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435" windowWidth="27420" windowHeight="12210"/>
  </bookViews>
  <sheets>
    <sheet name="データ" sheetId="1" r:id="rId1"/>
    <sheet name="検索操作での注意メモ" sheetId="5" r:id="rId2"/>
    <sheet name="オートフィルターの使い方" sheetId="2" r:id="rId3"/>
    <sheet name="めも" sheetId="3" r:id="rId4"/>
    <sheet name="国立国会図書館デジタルコレクション" sheetId="4" r:id="rId5"/>
  </sheets>
  <definedNames>
    <definedName name="_xlnm._FilterDatabase" localSheetId="0" hidden="1">データ!$A$1:$H$6073</definedName>
  </definedNames>
  <calcPr calcId="145621"/>
</workbook>
</file>

<file path=xl/calcChain.xml><?xml version="1.0" encoding="utf-8"?>
<calcChain xmlns="http://schemas.openxmlformats.org/spreadsheetml/2006/main">
  <c r="G32" i="3" l="1"/>
  <c r="F32" i="3"/>
  <c r="H995" i="1" l="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81" i="1"/>
  <c r="H2382" i="1"/>
  <c r="H2383" i="1"/>
  <c r="H2384" i="1"/>
  <c r="H2385" i="1"/>
  <c r="H2386" i="1"/>
  <c r="H2387" i="1"/>
  <c r="H2388" i="1"/>
  <c r="H2389" i="1"/>
  <c r="H2390" i="1"/>
  <c r="H2391" i="1"/>
  <c r="H2392" i="1"/>
  <c r="H2393" i="1"/>
  <c r="H2394" i="1"/>
  <c r="H2395" i="1"/>
  <c r="H2396" i="1"/>
  <c r="H2397" i="1"/>
  <c r="H239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H3688" i="1"/>
  <c r="H3689" i="1"/>
  <c r="H3690" i="1"/>
  <c r="H3691" i="1"/>
  <c r="H3692" i="1"/>
  <c r="H3693" i="1"/>
  <c r="H3694" i="1"/>
  <c r="H3695" i="1"/>
  <c r="H3696" i="1"/>
  <c r="H3697" i="1"/>
  <c r="H3698" i="1"/>
  <c r="H3699" i="1"/>
  <c r="H3700" i="1"/>
  <c r="H3701" i="1"/>
  <c r="H3702" i="1"/>
  <c r="H3703" i="1"/>
  <c r="H3704" i="1"/>
  <c r="H3705" i="1"/>
  <c r="H3706" i="1"/>
  <c r="H3707" i="1"/>
  <c r="H3708" i="1"/>
  <c r="H3709" i="1"/>
  <c r="H3710" i="1"/>
  <c r="H3711" i="1"/>
  <c r="H3712" i="1"/>
  <c r="H3713" i="1"/>
  <c r="H3714" i="1"/>
  <c r="H3715" i="1"/>
  <c r="H3716" i="1"/>
  <c r="H3717" i="1"/>
  <c r="H3718" i="1"/>
  <c r="H3719" i="1"/>
  <c r="H3720" i="1"/>
  <c r="H3721" i="1"/>
  <c r="H3722" i="1"/>
  <c r="H3723" i="1"/>
  <c r="H3724" i="1"/>
  <c r="H3725" i="1"/>
  <c r="H3726" i="1"/>
  <c r="H3727" i="1"/>
  <c r="H3728" i="1"/>
  <c r="H3729" i="1"/>
  <c r="H3730" i="1"/>
  <c r="H3731" i="1"/>
  <c r="H3732" i="1"/>
  <c r="H3733" i="1"/>
  <c r="H3734" i="1"/>
  <c r="H3735" i="1"/>
  <c r="H3736" i="1"/>
  <c r="H3737" i="1"/>
  <c r="H3738" i="1"/>
  <c r="H3739" i="1"/>
  <c r="H3740" i="1"/>
  <c r="H3741" i="1"/>
  <c r="H3742" i="1"/>
  <c r="H3743" i="1"/>
  <c r="H3744" i="1"/>
  <c r="H3745" i="1"/>
  <c r="H3746" i="1"/>
  <c r="H3747" i="1"/>
  <c r="H3748" i="1"/>
  <c r="H3749" i="1"/>
  <c r="H3750" i="1"/>
  <c r="H3751" i="1"/>
  <c r="H3752" i="1"/>
  <c r="H3753" i="1"/>
  <c r="H3754" i="1"/>
  <c r="H3755" i="1"/>
  <c r="H3756" i="1"/>
  <c r="H3757" i="1"/>
  <c r="H3758" i="1"/>
  <c r="H3759" i="1"/>
  <c r="H3760" i="1"/>
  <c r="H3761" i="1"/>
  <c r="H3762" i="1"/>
  <c r="H3763" i="1"/>
  <c r="H3764" i="1"/>
  <c r="H3765" i="1"/>
  <c r="H3766" i="1"/>
  <c r="H3767" i="1"/>
  <c r="H3768" i="1"/>
  <c r="H3769" i="1"/>
  <c r="H3770" i="1"/>
  <c r="H3771" i="1"/>
  <c r="H3772" i="1"/>
  <c r="H3773" i="1"/>
  <c r="H3774" i="1"/>
  <c r="H3775" i="1"/>
  <c r="H3776" i="1"/>
  <c r="H3777" i="1"/>
  <c r="H3778" i="1"/>
  <c r="H3779" i="1"/>
  <c r="H3780" i="1"/>
  <c r="H3781" i="1"/>
  <c r="H3782" i="1"/>
  <c r="H3783" i="1"/>
  <c r="H3784" i="1"/>
  <c r="H3785" i="1"/>
  <c r="H3786" i="1"/>
  <c r="H3787" i="1"/>
  <c r="H3788" i="1"/>
  <c r="H3789" i="1"/>
  <c r="H3790" i="1"/>
  <c r="H3791" i="1"/>
  <c r="H3792" i="1"/>
  <c r="H3793" i="1"/>
  <c r="H3794"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19"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2" i="1"/>
  <c r="H3853" i="1"/>
  <c r="H3854" i="1"/>
  <c r="H3855" i="1"/>
  <c r="H3856" i="1"/>
  <c r="H3857" i="1"/>
  <c r="H3858" i="1"/>
  <c r="H3859" i="1"/>
  <c r="H3860" i="1"/>
  <c r="H3861" i="1"/>
  <c r="H3862" i="1"/>
  <c r="H3863" i="1"/>
  <c r="H3864" i="1"/>
  <c r="H3865" i="1"/>
  <c r="H3866" i="1"/>
  <c r="H3867" i="1"/>
  <c r="H3868" i="1"/>
  <c r="H3869" i="1"/>
  <c r="H3870" i="1"/>
  <c r="H3871" i="1"/>
  <c r="H3872" i="1"/>
  <c r="H3873" i="1"/>
  <c r="H3874" i="1"/>
  <c r="H3875" i="1"/>
  <c r="H3876" i="1"/>
  <c r="H3877" i="1"/>
  <c r="H3878" i="1"/>
  <c r="H3879" i="1"/>
  <c r="H3880" i="1"/>
  <c r="H3881" i="1"/>
  <c r="H3882" i="1"/>
  <c r="H3883" i="1"/>
  <c r="H3884" i="1"/>
  <c r="H3885" i="1"/>
  <c r="H3886" i="1"/>
  <c r="H3887" i="1"/>
  <c r="H3888" i="1"/>
  <c r="H3889" i="1"/>
  <c r="H3890" i="1"/>
  <c r="H3891" i="1"/>
  <c r="H3892" i="1"/>
  <c r="H3893" i="1"/>
  <c r="H3894" i="1"/>
  <c r="H3895" i="1"/>
  <c r="H3896" i="1"/>
  <c r="H3897" i="1"/>
  <c r="H3898" i="1"/>
  <c r="H3899" i="1"/>
  <c r="H3900" i="1"/>
  <c r="H3901" i="1"/>
  <c r="H3902" i="1"/>
  <c r="H3903" i="1"/>
  <c r="H3904" i="1"/>
  <c r="H3905" i="1"/>
  <c r="H3906" i="1"/>
  <c r="H3907" i="1"/>
  <c r="H3908" i="1"/>
  <c r="H3909" i="1"/>
  <c r="H3910" i="1"/>
  <c r="H3911" i="1"/>
  <c r="H3912" i="1"/>
  <c r="H3913" i="1"/>
  <c r="H3914" i="1"/>
  <c r="H3915" i="1"/>
  <c r="H3916" i="1"/>
  <c r="H3917" i="1"/>
  <c r="H3918" i="1"/>
  <c r="H3919" i="1"/>
  <c r="H3920" i="1"/>
  <c r="H3921" i="1"/>
  <c r="H3922" i="1"/>
  <c r="H3923" i="1"/>
  <c r="H3924" i="1"/>
  <c r="H3925" i="1"/>
  <c r="H3926" i="1"/>
  <c r="H3927" i="1"/>
  <c r="H3928" i="1"/>
  <c r="H3929" i="1"/>
  <c r="H3930" i="1"/>
  <c r="H3931" i="1"/>
  <c r="H3932" i="1"/>
  <c r="H3933" i="1"/>
  <c r="H3934" i="1"/>
  <c r="H3935" i="1"/>
  <c r="H3936" i="1"/>
  <c r="H3937" i="1"/>
  <c r="H3938" i="1"/>
  <c r="H3939" i="1"/>
  <c r="H3940" i="1"/>
  <c r="H3941" i="1"/>
  <c r="H3942" i="1"/>
  <c r="H3943" i="1"/>
  <c r="H3944" i="1"/>
  <c r="H3945" i="1"/>
  <c r="H3946" i="1"/>
  <c r="H3947" i="1"/>
  <c r="H3948" i="1"/>
  <c r="H3949" i="1"/>
  <c r="H3950" i="1"/>
  <c r="H3951" i="1"/>
  <c r="H3952" i="1"/>
  <c r="H3953" i="1"/>
  <c r="H3954" i="1"/>
  <c r="H3955" i="1"/>
  <c r="H3956" i="1"/>
  <c r="H3957" i="1"/>
  <c r="H3958" i="1"/>
  <c r="H3959" i="1"/>
  <c r="H3960" i="1"/>
  <c r="H3961" i="1"/>
  <c r="H3962" i="1"/>
  <c r="H3963" i="1"/>
  <c r="H3964" i="1"/>
  <c r="H3965" i="1"/>
  <c r="H3966" i="1"/>
  <c r="H3967" i="1"/>
  <c r="H3968" i="1"/>
  <c r="H3969" i="1"/>
  <c r="H3970" i="1"/>
  <c r="H3971" i="1"/>
  <c r="H3972" i="1"/>
  <c r="H3973" i="1"/>
  <c r="H3974" i="1"/>
  <c r="H3975" i="1"/>
  <c r="H3976" i="1"/>
  <c r="H3977" i="1"/>
  <c r="H3978" i="1"/>
  <c r="H3979" i="1"/>
  <c r="H3980" i="1"/>
  <c r="H3981" i="1"/>
  <c r="H3982" i="1"/>
  <c r="H3983" i="1"/>
  <c r="H3984" i="1"/>
  <c r="H3985" i="1"/>
  <c r="H3986" i="1"/>
  <c r="H3987" i="1"/>
  <c r="H3988" i="1"/>
  <c r="H3989" i="1"/>
  <c r="H3990" i="1"/>
  <c r="H3991" i="1"/>
  <c r="H3992" i="1"/>
  <c r="H3993" i="1"/>
  <c r="H3994" i="1"/>
  <c r="H3995" i="1"/>
  <c r="H3996" i="1"/>
  <c r="H3997" i="1"/>
  <c r="H3998" i="1"/>
  <c r="H3999" i="1"/>
  <c r="H4000" i="1"/>
  <c r="H4001" i="1"/>
  <c r="H4002" i="1"/>
  <c r="H4003" i="1"/>
  <c r="H4004" i="1"/>
  <c r="H4005" i="1"/>
  <c r="H4006" i="1"/>
  <c r="H4007" i="1"/>
  <c r="H4008" i="1"/>
  <c r="H4009" i="1"/>
  <c r="H4010" i="1"/>
  <c r="H4011" i="1"/>
  <c r="H4012" i="1"/>
  <c r="H4013" i="1"/>
  <c r="H4014" i="1"/>
  <c r="H4015" i="1"/>
  <c r="H4016" i="1"/>
  <c r="H4017" i="1"/>
  <c r="H4018" i="1"/>
  <c r="H4019" i="1"/>
  <c r="H4020" i="1"/>
  <c r="H4021" i="1"/>
  <c r="H4022" i="1"/>
  <c r="H4023" i="1"/>
  <c r="H4024" i="1"/>
  <c r="H4025" i="1"/>
  <c r="H4026" i="1"/>
  <c r="H4027" i="1"/>
  <c r="H4028" i="1"/>
  <c r="H4029" i="1"/>
  <c r="H4030" i="1"/>
  <c r="H4031" i="1"/>
  <c r="H4032" i="1"/>
  <c r="H4033" i="1"/>
  <c r="H4034" i="1"/>
  <c r="H4035" i="1"/>
  <c r="H4036" i="1"/>
  <c r="H4037" i="1"/>
  <c r="H4038" i="1"/>
  <c r="H4039" i="1"/>
  <c r="H4040" i="1"/>
  <c r="H4041" i="1"/>
  <c r="H4042" i="1"/>
  <c r="H4043" i="1"/>
  <c r="H4044" i="1"/>
  <c r="H4045" i="1"/>
  <c r="H4046" i="1"/>
  <c r="H4047" i="1"/>
  <c r="H4048" i="1"/>
  <c r="H4049" i="1"/>
  <c r="H4050" i="1"/>
  <c r="H4051" i="1"/>
  <c r="H4052" i="1"/>
  <c r="H4053" i="1"/>
  <c r="H4054" i="1"/>
  <c r="H4055" i="1"/>
  <c r="H4056" i="1"/>
  <c r="H4057" i="1"/>
  <c r="H4058" i="1"/>
  <c r="H4059" i="1"/>
  <c r="H4060" i="1"/>
  <c r="H4061" i="1"/>
  <c r="H4062" i="1"/>
  <c r="H4063" i="1"/>
  <c r="H4064" i="1"/>
  <c r="H4065" i="1"/>
  <c r="H4066" i="1"/>
  <c r="H4067" i="1"/>
  <c r="H4068" i="1"/>
  <c r="H4069" i="1"/>
  <c r="H4070" i="1"/>
  <c r="H4071" i="1"/>
  <c r="H4072" i="1"/>
  <c r="H4073" i="1"/>
  <c r="H4074" i="1"/>
  <c r="H4075" i="1"/>
  <c r="H4076" i="1"/>
  <c r="H4077" i="1"/>
  <c r="H4078" i="1"/>
  <c r="H4079" i="1"/>
  <c r="H4080" i="1"/>
  <c r="H4081" i="1"/>
  <c r="H4082" i="1"/>
  <c r="H4083" i="1"/>
  <c r="H4084" i="1"/>
  <c r="H4085" i="1"/>
  <c r="H4086" i="1"/>
  <c r="H4087" i="1"/>
  <c r="H4088" i="1"/>
  <c r="H4089" i="1"/>
  <c r="H4090" i="1"/>
  <c r="H4091" i="1"/>
  <c r="H4092" i="1"/>
  <c r="H4093" i="1"/>
  <c r="H4094" i="1"/>
  <c r="H4095" i="1"/>
  <c r="H4096" i="1"/>
  <c r="H4097" i="1"/>
  <c r="H4098" i="1"/>
  <c r="H4099" i="1"/>
  <c r="H4100" i="1"/>
  <c r="H4101" i="1"/>
  <c r="H4102" i="1"/>
  <c r="H4103" i="1"/>
  <c r="H4104" i="1"/>
  <c r="H4105" i="1"/>
  <c r="H4106" i="1"/>
  <c r="H4107" i="1"/>
  <c r="H4108" i="1"/>
  <c r="H4109" i="1"/>
  <c r="H4110" i="1"/>
  <c r="H4111" i="1"/>
  <c r="H4112" i="1"/>
  <c r="H4113" i="1"/>
  <c r="H4114" i="1"/>
  <c r="H4115" i="1"/>
  <c r="H4116" i="1"/>
  <c r="H4117" i="1"/>
  <c r="H4118" i="1"/>
  <c r="H4119" i="1"/>
  <c r="H4120" i="1"/>
  <c r="H4121" i="1"/>
  <c r="H4122" i="1"/>
  <c r="H4123" i="1"/>
  <c r="H4124" i="1"/>
  <c r="H4125" i="1"/>
  <c r="H4126" i="1"/>
  <c r="H4127" i="1"/>
  <c r="H4128" i="1"/>
  <c r="H4129" i="1"/>
  <c r="H4130" i="1"/>
  <c r="H4131" i="1"/>
  <c r="H4132" i="1"/>
  <c r="H4133" i="1"/>
  <c r="H4134" i="1"/>
  <c r="H4135" i="1"/>
  <c r="H4136" i="1"/>
  <c r="H4137" i="1"/>
  <c r="H4138" i="1"/>
  <c r="H4139" i="1"/>
  <c r="H4140" i="1"/>
  <c r="H4141" i="1"/>
  <c r="H4142" i="1"/>
  <c r="H4143" i="1"/>
  <c r="H4144" i="1"/>
  <c r="H4145" i="1"/>
  <c r="H4146" i="1"/>
  <c r="H4147" i="1"/>
  <c r="H4148" i="1"/>
  <c r="H4149" i="1"/>
  <c r="H4150" i="1"/>
  <c r="H4151" i="1"/>
  <c r="H4152" i="1"/>
  <c r="H4153" i="1"/>
  <c r="H4154" i="1"/>
  <c r="H4155" i="1"/>
  <c r="H4156" i="1"/>
  <c r="H4157" i="1"/>
  <c r="H4158" i="1"/>
  <c r="H4159" i="1"/>
  <c r="H4160" i="1"/>
  <c r="H4161" i="1"/>
  <c r="H4162" i="1"/>
  <c r="H4163" i="1"/>
  <c r="H4164" i="1"/>
  <c r="H4165" i="1"/>
  <c r="H4166" i="1"/>
  <c r="H4167" i="1"/>
  <c r="H4168" i="1"/>
  <c r="H4169" i="1"/>
  <c r="H4170" i="1"/>
  <c r="H4171" i="1"/>
  <c r="H4172" i="1"/>
  <c r="H4173" i="1"/>
  <c r="H4174" i="1"/>
  <c r="H4175" i="1"/>
  <c r="H4176" i="1"/>
  <c r="H4177" i="1"/>
  <c r="H4178" i="1"/>
  <c r="H4179" i="1"/>
  <c r="H4180" i="1"/>
  <c r="H4181" i="1"/>
  <c r="H4182" i="1"/>
  <c r="H4183" i="1"/>
  <c r="H4184" i="1"/>
  <c r="H4185" i="1"/>
  <c r="H4186" i="1"/>
  <c r="H4187" i="1"/>
  <c r="H4188" i="1"/>
  <c r="H4189" i="1"/>
  <c r="H4190" i="1"/>
  <c r="H4191" i="1"/>
  <c r="H4192" i="1"/>
  <c r="H4193" i="1"/>
  <c r="H4194" i="1"/>
  <c r="H4195" i="1"/>
  <c r="H4196" i="1"/>
  <c r="H4197" i="1"/>
  <c r="H4198" i="1"/>
  <c r="H4199" i="1"/>
  <c r="H4200" i="1"/>
  <c r="H4201" i="1"/>
  <c r="H4202" i="1"/>
  <c r="H4203" i="1"/>
  <c r="H4204" i="1"/>
  <c r="H4205" i="1"/>
  <c r="H4206"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44" i="1"/>
  <c r="H945" i="1"/>
  <c r="H946" i="1"/>
  <c r="H947" i="1"/>
  <c r="H948" i="1"/>
  <c r="H949" i="1"/>
  <c r="H950" i="1"/>
  <c r="H951" i="1"/>
  <c r="H952" i="1"/>
  <c r="H953" i="1"/>
  <c r="H954" i="1"/>
  <c r="H955" i="1"/>
  <c r="H956" i="1"/>
  <c r="H957" i="1"/>
  <c r="H958" i="1"/>
  <c r="H959" i="1"/>
  <c r="H960" i="1"/>
  <c r="H961" i="1"/>
  <c r="H962" i="1"/>
  <c r="H963" i="1"/>
  <c r="H964" i="1"/>
  <c r="H920" i="1"/>
  <c r="H921" i="1"/>
  <c r="H922" i="1"/>
  <c r="H923" i="1"/>
  <c r="H924" i="1"/>
  <c r="H925" i="1"/>
  <c r="H926" i="1"/>
  <c r="H927" i="1"/>
  <c r="H928" i="1"/>
  <c r="H929" i="1"/>
  <c r="H930" i="1"/>
  <c r="H931" i="1"/>
  <c r="H932" i="1"/>
  <c r="H933" i="1"/>
  <c r="H934" i="1"/>
  <c r="H935" i="1"/>
  <c r="H936" i="1"/>
  <c r="H937" i="1"/>
  <c r="H938" i="1"/>
  <c r="H939" i="1"/>
  <c r="H940" i="1"/>
  <c r="H941" i="1"/>
  <c r="H942"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877" i="1"/>
  <c r="H878" i="1"/>
  <c r="H879" i="1"/>
  <c r="H880" i="1"/>
  <c r="H881" i="1"/>
  <c r="H882" i="1"/>
  <c r="H883" i="1"/>
  <c r="H884" i="1"/>
  <c r="H885" i="1"/>
  <c r="H886" i="1"/>
  <c r="H887" i="1"/>
  <c r="H888" i="1"/>
  <c r="H889" i="1"/>
  <c r="H890" i="1"/>
  <c r="H857" i="1"/>
  <c r="H858" i="1"/>
  <c r="H859" i="1"/>
  <c r="H860" i="1"/>
  <c r="H861" i="1"/>
  <c r="H862" i="1"/>
  <c r="H863" i="1"/>
  <c r="H864" i="1"/>
  <c r="H865" i="1"/>
  <c r="H866" i="1"/>
  <c r="H867" i="1"/>
  <c r="H868" i="1"/>
  <c r="H869" i="1"/>
  <c r="H870" i="1"/>
  <c r="H871" i="1"/>
  <c r="H872" i="1"/>
  <c r="H873" i="1"/>
  <c r="H874" i="1"/>
  <c r="H875"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779" i="1"/>
  <c r="H780" i="1"/>
  <c r="H781" i="1"/>
  <c r="H782" i="1"/>
  <c r="H783" i="1"/>
  <c r="H784" i="1"/>
  <c r="H785" i="1"/>
  <c r="H786" i="1"/>
  <c r="H787" i="1"/>
  <c r="H788" i="1"/>
  <c r="H789" i="1"/>
  <c r="H790" i="1"/>
  <c r="H791" i="1"/>
  <c r="H792" i="1"/>
  <c r="H793" i="1"/>
  <c r="H794" i="1"/>
  <c r="H795" i="1"/>
  <c r="H796" i="1"/>
  <c r="H797" i="1"/>
  <c r="H798" i="1"/>
  <c r="H799" i="1"/>
  <c r="H800" i="1"/>
  <c r="H801"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27" i="1"/>
  <c r="H728" i="1"/>
  <c r="H729" i="1"/>
  <c r="H730" i="1"/>
  <c r="H731" i="1"/>
  <c r="H732" i="1"/>
  <c r="H733" i="1"/>
  <c r="H734" i="1"/>
  <c r="H735" i="1"/>
  <c r="H736" i="1"/>
  <c r="H737" i="1"/>
  <c r="H738" i="1"/>
  <c r="H739" i="1"/>
  <c r="H740" i="1"/>
  <c r="H741" i="1"/>
  <c r="H742" i="1"/>
  <c r="H743" i="1"/>
  <c r="H744" i="1"/>
  <c r="H711" i="1"/>
  <c r="H712" i="1"/>
  <c r="H713" i="1"/>
  <c r="H714" i="1"/>
  <c r="H715" i="1"/>
  <c r="H716" i="1"/>
  <c r="H717" i="1"/>
  <c r="H718" i="1"/>
  <c r="H719" i="1"/>
  <c r="H720" i="1"/>
  <c r="H721" i="1"/>
  <c r="H722" i="1"/>
  <c r="H723" i="1"/>
  <c r="H724" i="1"/>
  <c r="H725" i="1"/>
  <c r="H689" i="1"/>
  <c r="H690" i="1"/>
  <c r="H691" i="1"/>
  <c r="H692" i="1"/>
  <c r="H693" i="1"/>
  <c r="H694" i="1"/>
  <c r="H695" i="1"/>
  <c r="H696" i="1"/>
  <c r="H697" i="1"/>
  <c r="H698" i="1"/>
  <c r="H699" i="1"/>
  <c r="H700" i="1"/>
  <c r="H701" i="1"/>
  <c r="H702" i="1"/>
  <c r="H703" i="1"/>
  <c r="H704" i="1"/>
  <c r="H705" i="1"/>
  <c r="H706" i="1"/>
  <c r="H707" i="1"/>
  <c r="H708" i="1"/>
  <c r="H709"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31" i="1"/>
  <c r="H632" i="1"/>
  <c r="H633" i="1"/>
  <c r="H634" i="1"/>
  <c r="H635" i="1"/>
  <c r="H636" i="1"/>
  <c r="H637" i="1"/>
  <c r="H638" i="1"/>
  <c r="H639" i="1"/>
  <c r="H640" i="1"/>
  <c r="H641" i="1"/>
  <c r="H642" i="1"/>
  <c r="H643" i="1"/>
  <c r="H644" i="1"/>
  <c r="H645" i="1"/>
  <c r="H646" i="1"/>
  <c r="H647" i="1"/>
  <c r="H648" i="1"/>
  <c r="H649" i="1"/>
  <c r="H612" i="1"/>
  <c r="H613" i="1"/>
  <c r="H614" i="1"/>
  <c r="H615" i="1"/>
  <c r="H616" i="1"/>
  <c r="H617" i="1"/>
  <c r="H618" i="1"/>
  <c r="H619" i="1"/>
  <c r="H620" i="1"/>
  <c r="H621" i="1"/>
  <c r="H622" i="1"/>
  <c r="H623" i="1"/>
  <c r="H624" i="1"/>
  <c r="H625" i="1"/>
  <c r="H626" i="1"/>
  <c r="H627" i="1"/>
  <c r="H628" i="1"/>
  <c r="H629"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541" i="1"/>
  <c r="H542" i="1"/>
  <c r="H543" i="1"/>
  <c r="H544" i="1"/>
  <c r="H545" i="1"/>
  <c r="H546" i="1"/>
  <c r="H547" i="1"/>
  <c r="H548" i="1"/>
  <c r="H549" i="1"/>
  <c r="H550" i="1"/>
  <c r="H551" i="1"/>
  <c r="H552" i="1"/>
  <c r="H553" i="1"/>
  <c r="H554" i="1"/>
  <c r="H555" i="1"/>
  <c r="H556" i="1"/>
  <c r="H557" i="1"/>
  <c r="H558" i="1"/>
  <c r="H559" i="1"/>
  <c r="H560" i="1"/>
  <c r="H561" i="1"/>
  <c r="H525" i="1"/>
  <c r="H526" i="1"/>
  <c r="H527" i="1"/>
  <c r="H528" i="1"/>
  <c r="H529" i="1"/>
  <c r="H530" i="1"/>
  <c r="H531" i="1"/>
  <c r="H532" i="1"/>
  <c r="H533" i="1"/>
  <c r="H534" i="1"/>
  <c r="H535" i="1"/>
  <c r="H536" i="1"/>
  <c r="H537" i="1"/>
  <c r="H538" i="1"/>
  <c r="H539" i="1"/>
  <c r="H511" i="1"/>
  <c r="H512" i="1"/>
  <c r="H513" i="1"/>
  <c r="H514" i="1"/>
  <c r="H515" i="1"/>
  <c r="H516" i="1"/>
  <c r="H517" i="1"/>
  <c r="H518" i="1"/>
  <c r="H519" i="1"/>
  <c r="H520" i="1"/>
  <c r="H521" i="1"/>
  <c r="H522" i="1"/>
  <c r="H523" i="1"/>
  <c r="H496" i="1"/>
  <c r="H497" i="1"/>
  <c r="H498" i="1"/>
  <c r="H499" i="1"/>
  <c r="H500" i="1"/>
  <c r="H501" i="1"/>
  <c r="H502" i="1"/>
  <c r="H503" i="1"/>
  <c r="H504" i="1"/>
  <c r="H505" i="1"/>
  <c r="H506" i="1"/>
  <c r="H507" i="1"/>
  <c r="H508" i="1"/>
  <c r="H50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52" i="1"/>
  <c r="H453" i="1"/>
  <c r="H454" i="1"/>
  <c r="H455" i="1"/>
  <c r="H456" i="1"/>
  <c r="H457" i="1"/>
  <c r="H458" i="1"/>
  <c r="H446" i="1"/>
  <c r="H447" i="1"/>
  <c r="H448" i="1"/>
  <c r="H449" i="1"/>
  <c r="H450"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04" i="1"/>
  <c r="H405" i="1"/>
  <c r="H406" i="1"/>
  <c r="H407" i="1"/>
  <c r="H408" i="1"/>
  <c r="H399" i="1"/>
  <c r="H400" i="1"/>
  <c r="H401" i="1"/>
  <c r="H402" i="1"/>
  <c r="H375" i="1"/>
  <c r="H376" i="1"/>
  <c r="H377" i="1"/>
  <c r="H378" i="1"/>
  <c r="H379" i="1"/>
  <c r="H380" i="1"/>
  <c r="H381" i="1"/>
  <c r="H382" i="1"/>
  <c r="H383" i="1"/>
  <c r="H384" i="1"/>
  <c r="H385" i="1"/>
  <c r="H386" i="1"/>
  <c r="H387" i="1"/>
  <c r="H388" i="1"/>
  <c r="H389" i="1"/>
  <c r="H390" i="1"/>
  <c r="H391" i="1"/>
  <c r="H392" i="1"/>
  <c r="H393" i="1"/>
  <c r="H394" i="1"/>
  <c r="H395" i="1"/>
  <c r="H396" i="1"/>
  <c r="H397" i="1"/>
  <c r="H372" i="1"/>
  <c r="H373" i="1"/>
  <c r="H367" i="1"/>
  <c r="H368" i="1"/>
  <c r="H369" i="1"/>
  <c r="H370" i="1"/>
  <c r="H359" i="1"/>
  <c r="H360" i="1"/>
  <c r="H361" i="1"/>
  <c r="H362" i="1"/>
  <c r="H363" i="1"/>
  <c r="H364" i="1"/>
  <c r="H365" i="1"/>
  <c r="H108" i="1"/>
  <c r="H109" i="1"/>
  <c r="H110" i="1"/>
  <c r="H111" i="1"/>
  <c r="H112" i="1"/>
  <c r="H113" i="1"/>
  <c r="H102" i="1"/>
  <c r="H103" i="1"/>
  <c r="H104" i="1"/>
  <c r="H105" i="1"/>
  <c r="H106" i="1"/>
  <c r="H83" i="1"/>
  <c r="H84" i="1"/>
  <c r="H85" i="1"/>
  <c r="H86" i="1"/>
  <c r="H87" i="1"/>
  <c r="H88" i="1"/>
  <c r="H89" i="1"/>
  <c r="H90" i="1"/>
  <c r="H91" i="1"/>
  <c r="H92" i="1"/>
  <c r="H93" i="1"/>
  <c r="H94" i="1"/>
  <c r="H95" i="1"/>
  <c r="H96" i="1"/>
  <c r="H97" i="1"/>
  <c r="H98" i="1"/>
  <c r="H99" i="1"/>
  <c r="H100" i="1"/>
  <c r="H77" i="1"/>
  <c r="H78" i="1"/>
  <c r="H79" i="1"/>
  <c r="H80" i="1"/>
  <c r="H81" i="1"/>
  <c r="H69" i="1"/>
  <c r="H70" i="1"/>
  <c r="H71" i="1"/>
  <c r="H72" i="1"/>
  <c r="H73" i="1"/>
  <c r="H74" i="1"/>
  <c r="H75" i="1"/>
  <c r="H43" i="1"/>
  <c r="H44" i="1"/>
  <c r="H45" i="1"/>
  <c r="H46" i="1"/>
  <c r="H47" i="1"/>
  <c r="H48" i="1"/>
  <c r="H49" i="1"/>
  <c r="H50" i="1"/>
  <c r="H51" i="1"/>
  <c r="H52" i="1"/>
  <c r="H53" i="1"/>
  <c r="H54" i="1"/>
  <c r="H55" i="1"/>
  <c r="H56" i="1"/>
  <c r="H57" i="1"/>
  <c r="H58" i="1"/>
  <c r="H59" i="1"/>
  <c r="H60" i="1"/>
  <c r="H61" i="1"/>
  <c r="H62" i="1"/>
  <c r="H63" i="1"/>
  <c r="H64" i="1"/>
  <c r="H65" i="1"/>
  <c r="H66" i="1"/>
  <c r="H67" i="1"/>
  <c r="H33" i="1"/>
  <c r="H34" i="1"/>
  <c r="H35" i="1"/>
  <c r="H36" i="1"/>
  <c r="H37" i="1"/>
  <c r="H38" i="1"/>
  <c r="H39" i="1"/>
  <c r="H40" i="1"/>
  <c r="H41" i="1"/>
  <c r="H20" i="1"/>
  <c r="H21" i="1"/>
  <c r="H22" i="1"/>
  <c r="H23" i="1"/>
  <c r="H24" i="1"/>
  <c r="H25" i="1"/>
  <c r="H26" i="1"/>
  <c r="H27" i="1"/>
  <c r="H28" i="1"/>
  <c r="H29" i="1"/>
  <c r="H30" i="1"/>
  <c r="H31" i="1"/>
  <c r="H3" i="1"/>
  <c r="H4" i="1"/>
  <c r="H5" i="1"/>
  <c r="H6" i="1"/>
  <c r="H7" i="1"/>
  <c r="H8" i="1"/>
  <c r="H9" i="1"/>
  <c r="H10" i="1"/>
  <c r="H11" i="1"/>
  <c r="H12" i="1"/>
  <c r="H13" i="1"/>
  <c r="H14" i="1"/>
  <c r="H15" i="1"/>
  <c r="H16" i="1"/>
  <c r="H17" i="1"/>
  <c r="H18" i="1"/>
  <c r="H994" i="1"/>
  <c r="H965" i="1"/>
  <c r="H919" i="1"/>
  <c r="H891" i="1"/>
  <c r="H876" i="1"/>
  <c r="H829" i="1"/>
  <c r="H802" i="1"/>
  <c r="H778" i="1"/>
  <c r="H726" i="1"/>
  <c r="H710" i="1"/>
  <c r="H688" i="1"/>
  <c r="H630" i="1"/>
  <c r="H611" i="1"/>
  <c r="H562" i="1"/>
  <c r="H943" i="1"/>
  <c r="H856" i="1"/>
  <c r="H745" i="1"/>
  <c r="H650" i="1"/>
  <c r="H540" i="1"/>
  <c r="H524" i="1"/>
  <c r="H510" i="1"/>
  <c r="H495" i="1"/>
  <c r="H459" i="1"/>
  <c r="H451" i="1"/>
  <c r="H445" i="1"/>
  <c r="H409" i="1"/>
  <c r="H403" i="1"/>
  <c r="H398" i="1"/>
  <c r="H374" i="1"/>
  <c r="H371" i="1"/>
  <c r="H366" i="1"/>
  <c r="H358" i="1"/>
  <c r="H357" i="1"/>
  <c r="H107" i="1"/>
  <c r="H101" i="1"/>
  <c r="H82" i="1"/>
  <c r="H76" i="1"/>
  <c r="H68" i="1"/>
  <c r="H42" i="1"/>
  <c r="H32" i="1"/>
  <c r="H19" i="1"/>
  <c r="H2" i="1"/>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10" i="4"/>
  <c r="C9" i="4"/>
  <c r="C8" i="4"/>
  <c r="C7" i="4"/>
  <c r="C6" i="4"/>
  <c r="C5" i="4"/>
  <c r="C4" i="4"/>
  <c r="C3" i="4"/>
  <c r="C2" i="4"/>
  <c r="G5879" i="1" l="1"/>
  <c r="G5728" i="1"/>
  <c r="G5719" i="1"/>
  <c r="G5715" i="1"/>
  <c r="G5714" i="1"/>
  <c r="G5713" i="1"/>
  <c r="G5712" i="1"/>
  <c r="G5711" i="1"/>
  <c r="G5710" i="1"/>
  <c r="G5709" i="1"/>
  <c r="G5708" i="1"/>
  <c r="G5707" i="1"/>
  <c r="G5706" i="1"/>
  <c r="G5705" i="1"/>
  <c r="G5703" i="1"/>
  <c r="G5586" i="1"/>
  <c r="G5578" i="1"/>
  <c r="G5577" i="1"/>
  <c r="G5576" i="1"/>
  <c r="G5575" i="1"/>
  <c r="G5574" i="1"/>
  <c r="G5573" i="1"/>
  <c r="G5572" i="1"/>
  <c r="G5571" i="1"/>
  <c r="G5562" i="1"/>
  <c r="G5561" i="1"/>
  <c r="G5560" i="1"/>
  <c r="G5559" i="1"/>
  <c r="G5558" i="1"/>
  <c r="G5557" i="1"/>
  <c r="G5437" i="1"/>
  <c r="G5436" i="1"/>
  <c r="G5435" i="1"/>
  <c r="G5434" i="1"/>
  <c r="G5439" i="1"/>
  <c r="G5438" i="1"/>
  <c r="G5440" i="1"/>
  <c r="G5288" i="1"/>
  <c r="G5264" i="1"/>
  <c r="G5263" i="1"/>
  <c r="G5174" i="1"/>
  <c r="G5173" i="1"/>
  <c r="G5157" i="1"/>
  <c r="G5156" i="1"/>
  <c r="G5155" i="1"/>
  <c r="G5154" i="1"/>
  <c r="G5151" i="1"/>
  <c r="G5150" i="1"/>
  <c r="G5149" i="1"/>
  <c r="G4739" i="1"/>
  <c r="G4737" i="1"/>
  <c r="G4624" i="1"/>
  <c r="G4623" i="1"/>
  <c r="G4469" i="1"/>
  <c r="G4467" i="1"/>
  <c r="G4231" i="1"/>
  <c r="G4229" i="1"/>
  <c r="G4211" i="1"/>
  <c r="G4209" i="1"/>
  <c r="G4188" i="1"/>
  <c r="G4185" i="1"/>
  <c r="G4183" i="1"/>
  <c r="G4205" i="1"/>
  <c r="G4108" i="1"/>
  <c r="G4090" i="1"/>
  <c r="G4087" i="1"/>
  <c r="G4075" i="1"/>
  <c r="G4073" i="1"/>
  <c r="G4071" i="1"/>
  <c r="G4022" i="1"/>
  <c r="G4019" i="1"/>
  <c r="G4020" i="1"/>
  <c r="G3871" i="1"/>
  <c r="G3870" i="1"/>
  <c r="G3869" i="1"/>
  <c r="G3102" i="1"/>
  <c r="G2888" i="1"/>
  <c r="G2887" i="1"/>
  <c r="G2886" i="1"/>
  <c r="G2885" i="1"/>
  <c r="G2884" i="1"/>
  <c r="G2883" i="1"/>
  <c r="G2882" i="1"/>
  <c r="G2881" i="1"/>
  <c r="G2880" i="1"/>
  <c r="G2879" i="1"/>
  <c r="G2878" i="1"/>
  <c r="G2877" i="1"/>
  <c r="G2876" i="1"/>
  <c r="G2862" i="1"/>
  <c r="G2861" i="1"/>
  <c r="G2860" i="1"/>
  <c r="G2859" i="1"/>
  <c r="G2858" i="1"/>
  <c r="G2857" i="1"/>
  <c r="G2856" i="1"/>
  <c r="G2855" i="1"/>
  <c r="G2854" i="1"/>
  <c r="G2853" i="1"/>
  <c r="G2852" i="1"/>
  <c r="G2851" i="1"/>
  <c r="G2850" i="1"/>
  <c r="G2849" i="1"/>
  <c r="G2848" i="1"/>
  <c r="G2847" i="1"/>
  <c r="G2846" i="1"/>
  <c r="G2845" i="1"/>
  <c r="G2844" i="1"/>
  <c r="G2843" i="1"/>
  <c r="G2842" i="1"/>
  <c r="G2841" i="1"/>
  <c r="G2840" i="1"/>
  <c r="G2825" i="1"/>
  <c r="G2824" i="1"/>
  <c r="G2823" i="1"/>
  <c r="G2822" i="1"/>
  <c r="G2821" i="1"/>
  <c r="G2820" i="1"/>
  <c r="G2819" i="1"/>
  <c r="G2818" i="1"/>
  <c r="G2817" i="1"/>
  <c r="G2816" i="1"/>
  <c r="G2815" i="1"/>
  <c r="G2814" i="1"/>
  <c r="G2813" i="1"/>
  <c r="G2812" i="1"/>
  <c r="G2811" i="1"/>
  <c r="G2810" i="1"/>
  <c r="G2809" i="1"/>
  <c r="G2808" i="1"/>
  <c r="G2807" i="1"/>
  <c r="G2806" i="1"/>
  <c r="G2805" i="1"/>
  <c r="G5184" i="1"/>
  <c r="G4625" i="1"/>
  <c r="G3780" i="1"/>
  <c r="G3779" i="1"/>
  <c r="G3778" i="1"/>
  <c r="G3777" i="1"/>
  <c r="G3776" i="1"/>
  <c r="G3024" i="1"/>
  <c r="G2336" i="1"/>
  <c r="G2335" i="1"/>
  <c r="G2744" i="1"/>
  <c r="G2743" i="1"/>
  <c r="G2741" i="1"/>
  <c r="G2740" i="1"/>
  <c r="G2739" i="1"/>
  <c r="G2738" i="1"/>
  <c r="G2737" i="1"/>
  <c r="G2736" i="1"/>
  <c r="G2735" i="1"/>
  <c r="G2734" i="1"/>
  <c r="G2733" i="1"/>
  <c r="G2719" i="1"/>
  <c r="G2718" i="1"/>
  <c r="G2717" i="1"/>
  <c r="G2716" i="1"/>
  <c r="G2715" i="1"/>
  <c r="G2714" i="1"/>
  <c r="G2713" i="1"/>
  <c r="G2712" i="1"/>
  <c r="G2711" i="1"/>
  <c r="G2710" i="1"/>
  <c r="G2709" i="1"/>
  <c r="G2708" i="1"/>
  <c r="G2707" i="1"/>
  <c r="G2706" i="1"/>
  <c r="G2705" i="1"/>
  <c r="G2704" i="1"/>
  <c r="G2637" i="1"/>
  <c r="G2636" i="1"/>
  <c r="G2635" i="1"/>
  <c r="G2634" i="1"/>
  <c r="G2633" i="1"/>
  <c r="G2632" i="1"/>
  <c r="G2631" i="1"/>
  <c r="G2630" i="1"/>
  <c r="G2629" i="1"/>
  <c r="G2628" i="1"/>
  <c r="G2615" i="1"/>
  <c r="G2613" i="1"/>
  <c r="G2612" i="1"/>
  <c r="G2611" i="1"/>
  <c r="G2610" i="1"/>
  <c r="G2609" i="1"/>
  <c r="G2608" i="1"/>
  <c r="G2607" i="1"/>
  <c r="G2606" i="1"/>
  <c r="G2605" i="1"/>
  <c r="G2604" i="1"/>
  <c r="G2603" i="1"/>
  <c r="G2598" i="1"/>
  <c r="G2590" i="1"/>
  <c r="G2589" i="1"/>
  <c r="G2588" i="1"/>
  <c r="G2587" i="1"/>
  <c r="G2586" i="1"/>
  <c r="G2585" i="1"/>
  <c r="G2584" i="1"/>
  <c r="G2583" i="1"/>
  <c r="G2582" i="1"/>
  <c r="G2581" i="1"/>
  <c r="G2580" i="1"/>
  <c r="G2579" i="1"/>
  <c r="G2578" i="1"/>
  <c r="G2577" i="1"/>
  <c r="G2576" i="1"/>
  <c r="G2575" i="1"/>
  <c r="G2572" i="1"/>
  <c r="G2571" i="1"/>
  <c r="G2570" i="1"/>
  <c r="G2569" i="1"/>
  <c r="G2555" i="1"/>
  <c r="G2532" i="1"/>
  <c r="G2531" i="1"/>
  <c r="G2530" i="1"/>
  <c r="G2518" i="1"/>
  <c r="G2476" i="1"/>
  <c r="G2475" i="1"/>
  <c r="G2467" i="1"/>
  <c r="G2466" i="1"/>
  <c r="G2465" i="1"/>
  <c r="G2464" i="1"/>
  <c r="G2463" i="1"/>
  <c r="G2462" i="1"/>
  <c r="G2449" i="1"/>
  <c r="G2448" i="1"/>
  <c r="G2447" i="1"/>
  <c r="G2446" i="1"/>
  <c r="G2445" i="1"/>
  <c r="G2444" i="1"/>
  <c r="G2443" i="1"/>
  <c r="G2442" i="1"/>
  <c r="G2441" i="1"/>
  <c r="G2440" i="1"/>
  <c r="G2439" i="1"/>
  <c r="G2438" i="1"/>
  <c r="G2437" i="1"/>
  <c r="G2436" i="1"/>
  <c r="G2435" i="1"/>
  <c r="G2434" i="1"/>
  <c r="G2433" i="1"/>
  <c r="G2432" i="1"/>
  <c r="G2431" i="1"/>
  <c r="G2327" i="1"/>
  <c r="G2326" i="1"/>
  <c r="G2325" i="1"/>
  <c r="G2298" i="1"/>
  <c r="G2238" i="1"/>
  <c r="G2237" i="1"/>
  <c r="G2236" i="1"/>
  <c r="G2235" i="1"/>
  <c r="G2234" i="1"/>
  <c r="G2225" i="1"/>
  <c r="G2140" i="1"/>
  <c r="G2139" i="1"/>
  <c r="G2138" i="1"/>
  <c r="G2137" i="1"/>
  <c r="G1885" i="1"/>
  <c r="G2398" i="1"/>
  <c r="G2389" i="1"/>
  <c r="G2390" i="1"/>
  <c r="G2395" i="1"/>
  <c r="G2418" i="1"/>
  <c r="G2417" i="1"/>
  <c r="G2416" i="1"/>
  <c r="G2415" i="1"/>
  <c r="G2414" i="1"/>
  <c r="G2413" i="1"/>
  <c r="G2412" i="1"/>
  <c r="G2411" i="1"/>
  <c r="G2410" i="1"/>
  <c r="G2409" i="1"/>
  <c r="G2408" i="1"/>
  <c r="G2407" i="1"/>
  <c r="G2406" i="1"/>
  <c r="G2405" i="1"/>
  <c r="G2404" i="1"/>
  <c r="G2403" i="1"/>
  <c r="G2402" i="1"/>
  <c r="G2401" i="1"/>
  <c r="G2400" i="1"/>
  <c r="G2399" i="1"/>
  <c r="G2" i="1" l="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6" i="1"/>
  <c r="G2227" i="1"/>
  <c r="G2228" i="1"/>
  <c r="G2229" i="1"/>
  <c r="G2230" i="1"/>
  <c r="G2231" i="1"/>
  <c r="G2232" i="1"/>
  <c r="G2233"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8" i="1"/>
  <c r="G2329" i="1"/>
  <c r="G2330" i="1"/>
  <c r="G2331" i="1"/>
  <c r="G2332" i="1"/>
  <c r="G2333" i="1"/>
  <c r="G2334"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91" i="1"/>
  <c r="G2392" i="1"/>
  <c r="G2393" i="1"/>
  <c r="G2394" i="1"/>
  <c r="G2396" i="1"/>
  <c r="G2397" i="1"/>
  <c r="G2419" i="1"/>
  <c r="G2420" i="1"/>
  <c r="G2421" i="1"/>
  <c r="G2422" i="1"/>
  <c r="G2423" i="1"/>
  <c r="G2424" i="1"/>
  <c r="G2425" i="1"/>
  <c r="G2426" i="1"/>
  <c r="G2427" i="1"/>
  <c r="G2428" i="1"/>
  <c r="G2429" i="1"/>
  <c r="G2430" i="1"/>
  <c r="G2450" i="1"/>
  <c r="G2451" i="1"/>
  <c r="G2452" i="1"/>
  <c r="G2453" i="1"/>
  <c r="G2454" i="1"/>
  <c r="G2455" i="1"/>
  <c r="G2456" i="1"/>
  <c r="G2457" i="1"/>
  <c r="G2458" i="1"/>
  <c r="G2459" i="1"/>
  <c r="G2460" i="1"/>
  <c r="G2461" i="1"/>
  <c r="G2468" i="1"/>
  <c r="G2469" i="1"/>
  <c r="G2470" i="1"/>
  <c r="G2471" i="1"/>
  <c r="G2472" i="1"/>
  <c r="G2473" i="1"/>
  <c r="G2474"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9" i="1"/>
  <c r="G2520" i="1"/>
  <c r="G2521" i="1"/>
  <c r="G2522" i="1"/>
  <c r="G2523" i="1"/>
  <c r="G2524" i="1"/>
  <c r="G2525" i="1"/>
  <c r="G2526" i="1"/>
  <c r="G2527" i="1"/>
  <c r="G2528" i="1"/>
  <c r="G2529" i="1"/>
  <c r="G2533" i="1"/>
  <c r="G2534" i="1"/>
  <c r="G2535" i="1"/>
  <c r="G2536" i="1"/>
  <c r="G2537" i="1"/>
  <c r="G2538" i="1"/>
  <c r="G2539" i="1"/>
  <c r="G2540" i="1"/>
  <c r="G2541" i="1"/>
  <c r="G2542" i="1"/>
  <c r="G2543" i="1"/>
  <c r="G2544" i="1"/>
  <c r="G2545" i="1"/>
  <c r="G2546" i="1"/>
  <c r="G2547" i="1"/>
  <c r="G2548" i="1"/>
  <c r="G2549" i="1"/>
  <c r="G2550" i="1"/>
  <c r="G2551" i="1"/>
  <c r="G2552" i="1"/>
  <c r="G2553" i="1"/>
  <c r="G2554" i="1"/>
  <c r="G2556" i="1"/>
  <c r="G2557" i="1"/>
  <c r="G2558" i="1"/>
  <c r="G2559" i="1"/>
  <c r="G2560" i="1"/>
  <c r="G2561" i="1"/>
  <c r="G2562" i="1"/>
  <c r="G2563" i="1"/>
  <c r="G2564" i="1"/>
  <c r="G2565" i="1"/>
  <c r="G2566" i="1"/>
  <c r="G2567" i="1"/>
  <c r="G2568" i="1"/>
  <c r="G2573" i="1"/>
  <c r="G2574" i="1"/>
  <c r="G2591" i="1"/>
  <c r="G2592" i="1"/>
  <c r="G2593" i="1"/>
  <c r="G2594" i="1"/>
  <c r="G2595" i="1"/>
  <c r="G2596" i="1"/>
  <c r="G2597" i="1"/>
  <c r="G2599" i="1"/>
  <c r="G2600" i="1"/>
  <c r="G2601" i="1"/>
  <c r="G2602" i="1"/>
  <c r="G2614" i="1"/>
  <c r="G2616" i="1"/>
  <c r="G2617" i="1"/>
  <c r="G2618" i="1"/>
  <c r="G2619" i="1"/>
  <c r="G2620" i="1"/>
  <c r="G2621" i="1"/>
  <c r="G2622" i="1"/>
  <c r="G2623" i="1"/>
  <c r="G2624" i="1"/>
  <c r="G2625" i="1"/>
  <c r="G2626" i="1"/>
  <c r="G262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20" i="1"/>
  <c r="G2721" i="1"/>
  <c r="G2722" i="1"/>
  <c r="G2723" i="1"/>
  <c r="G2724" i="1"/>
  <c r="G2725" i="1"/>
  <c r="G2726" i="1"/>
  <c r="G2727" i="1"/>
  <c r="G2728" i="1"/>
  <c r="G2729" i="1"/>
  <c r="G2730" i="1"/>
  <c r="G2731" i="1"/>
  <c r="G2732" i="1"/>
  <c r="G2742"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26" i="1"/>
  <c r="G2827" i="1"/>
  <c r="G2828" i="1"/>
  <c r="G2829" i="1"/>
  <c r="G2830" i="1"/>
  <c r="G2831" i="1"/>
  <c r="G2832" i="1"/>
  <c r="G2833" i="1"/>
  <c r="G2834" i="1"/>
  <c r="G2835" i="1"/>
  <c r="G2836" i="1"/>
  <c r="G2837" i="1"/>
  <c r="G2838" i="1"/>
  <c r="G2839" i="1"/>
  <c r="G2863" i="1"/>
  <c r="G2864" i="1"/>
  <c r="G2865" i="1"/>
  <c r="G2866" i="1"/>
  <c r="G2867" i="1"/>
  <c r="G2868" i="1"/>
  <c r="G2869" i="1"/>
  <c r="G2870" i="1"/>
  <c r="G2871" i="1"/>
  <c r="G2872" i="1"/>
  <c r="G2873" i="1"/>
  <c r="G2874" i="1"/>
  <c r="G2875"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3659" i="1"/>
  <c r="G3660" i="1"/>
  <c r="G3661" i="1"/>
  <c r="G3662" i="1"/>
  <c r="G3663" i="1"/>
  <c r="G3664" i="1"/>
  <c r="G3665" i="1"/>
  <c r="G3666" i="1"/>
  <c r="G3667" i="1"/>
  <c r="G3668" i="1"/>
  <c r="G3669" i="1"/>
  <c r="G3670" i="1"/>
  <c r="G3671" i="1"/>
  <c r="G3672" i="1"/>
  <c r="G3673" i="1"/>
  <c r="G3674" i="1"/>
  <c r="G3675" i="1"/>
  <c r="G3676" i="1"/>
  <c r="G3677" i="1"/>
  <c r="G3678" i="1"/>
  <c r="G3679" i="1"/>
  <c r="G3680" i="1"/>
  <c r="G3681" i="1"/>
  <c r="G3682" i="1"/>
  <c r="G3683" i="1"/>
  <c r="G3684" i="1"/>
  <c r="G3685" i="1"/>
  <c r="G3686" i="1"/>
  <c r="G3687" i="1"/>
  <c r="G3688" i="1"/>
  <c r="G3689" i="1"/>
  <c r="G3690" i="1"/>
  <c r="G3691" i="1"/>
  <c r="G3692" i="1"/>
  <c r="G3693" i="1"/>
  <c r="G3694" i="1"/>
  <c r="G3695" i="1"/>
  <c r="G3696" i="1"/>
  <c r="G3697" i="1"/>
  <c r="G3698" i="1"/>
  <c r="G3699" i="1"/>
  <c r="G3700" i="1"/>
  <c r="G3701" i="1"/>
  <c r="G3702" i="1"/>
  <c r="G3703" i="1"/>
  <c r="G3704" i="1"/>
  <c r="G3705" i="1"/>
  <c r="G3706" i="1"/>
  <c r="G3707" i="1"/>
  <c r="G3708" i="1"/>
  <c r="G3709" i="1"/>
  <c r="G3710" i="1"/>
  <c r="G3711" i="1"/>
  <c r="G3712" i="1"/>
  <c r="G3713" i="1"/>
  <c r="G3714" i="1"/>
  <c r="G3715" i="1"/>
  <c r="G3716" i="1"/>
  <c r="G3717" i="1"/>
  <c r="G3718" i="1"/>
  <c r="G3719" i="1"/>
  <c r="G3720" i="1"/>
  <c r="G3721" i="1"/>
  <c r="G3722" i="1"/>
  <c r="G3723" i="1"/>
  <c r="G3724" i="1"/>
  <c r="G3725" i="1"/>
  <c r="G3726" i="1"/>
  <c r="G3727" i="1"/>
  <c r="G3728" i="1"/>
  <c r="G3729" i="1"/>
  <c r="G3730" i="1"/>
  <c r="G3731" i="1"/>
  <c r="G3732" i="1"/>
  <c r="G3733" i="1"/>
  <c r="G3734" i="1"/>
  <c r="G3735" i="1"/>
  <c r="G3736" i="1"/>
  <c r="G3737" i="1"/>
  <c r="G3738" i="1"/>
  <c r="G3739" i="1"/>
  <c r="G3740" i="1"/>
  <c r="G3741" i="1"/>
  <c r="G3742" i="1"/>
  <c r="G3743" i="1"/>
  <c r="G3744" i="1"/>
  <c r="G3745" i="1"/>
  <c r="G3746" i="1"/>
  <c r="G3747" i="1"/>
  <c r="G3748" i="1"/>
  <c r="G3749" i="1"/>
  <c r="G3750" i="1"/>
  <c r="G3751" i="1"/>
  <c r="G3752" i="1"/>
  <c r="G3753" i="1"/>
  <c r="G3754" i="1"/>
  <c r="G3755" i="1"/>
  <c r="G3756" i="1"/>
  <c r="G3757" i="1"/>
  <c r="G3758" i="1"/>
  <c r="G3759" i="1"/>
  <c r="G3760" i="1"/>
  <c r="G3761" i="1"/>
  <c r="G3762" i="1"/>
  <c r="G3763" i="1"/>
  <c r="G3764" i="1"/>
  <c r="G3765" i="1"/>
  <c r="G3766" i="1"/>
  <c r="G3767" i="1"/>
  <c r="G3768" i="1"/>
  <c r="G3769" i="1"/>
  <c r="G3770" i="1"/>
  <c r="G3771" i="1"/>
  <c r="G3772" i="1"/>
  <c r="G3773" i="1"/>
  <c r="G3774" i="1"/>
  <c r="G3775" i="1"/>
  <c r="G3781" i="1"/>
  <c r="G3782" i="1"/>
  <c r="G3783" i="1"/>
  <c r="G3784" i="1"/>
  <c r="G3785" i="1"/>
  <c r="G3786" i="1"/>
  <c r="G3787" i="1"/>
  <c r="G3788" i="1"/>
  <c r="G3789" i="1"/>
  <c r="G3790" i="1"/>
  <c r="G3791" i="1"/>
  <c r="G3792" i="1"/>
  <c r="G3793" i="1"/>
  <c r="G3794" i="1"/>
  <c r="G3795" i="1"/>
  <c r="G3796" i="1"/>
  <c r="G3797" i="1"/>
  <c r="G3798" i="1"/>
  <c r="G3799" i="1"/>
  <c r="G3800" i="1"/>
  <c r="G3801" i="1"/>
  <c r="G3802" i="1"/>
  <c r="G3803" i="1"/>
  <c r="G3804" i="1"/>
  <c r="G3805" i="1"/>
  <c r="G3806" i="1"/>
  <c r="G3807" i="1"/>
  <c r="G3808" i="1"/>
  <c r="G3809" i="1"/>
  <c r="G3810" i="1"/>
  <c r="G3811" i="1"/>
  <c r="G3812" i="1"/>
  <c r="G3813" i="1"/>
  <c r="G3814" i="1"/>
  <c r="G3815" i="1"/>
  <c r="G3816" i="1"/>
  <c r="G3817" i="1"/>
  <c r="G3818" i="1"/>
  <c r="G3819" i="1"/>
  <c r="G3820" i="1"/>
  <c r="G3821" i="1"/>
  <c r="G3822" i="1"/>
  <c r="G3823" i="1"/>
  <c r="G3824" i="1"/>
  <c r="G3825" i="1"/>
  <c r="G3826" i="1"/>
  <c r="G3827" i="1"/>
  <c r="G3828" i="1"/>
  <c r="G3829" i="1"/>
  <c r="G3830" i="1"/>
  <c r="G3831" i="1"/>
  <c r="G3832" i="1"/>
  <c r="G3833" i="1"/>
  <c r="G3834" i="1"/>
  <c r="G3835" i="1"/>
  <c r="G3836" i="1"/>
  <c r="G3837" i="1"/>
  <c r="G3838" i="1"/>
  <c r="G3839" i="1"/>
  <c r="G3840" i="1"/>
  <c r="G3841" i="1"/>
  <c r="G3842" i="1"/>
  <c r="G3843" i="1"/>
  <c r="G3844" i="1"/>
  <c r="G3845" i="1"/>
  <c r="G3846" i="1"/>
  <c r="G3847" i="1"/>
  <c r="G3848" i="1"/>
  <c r="G3849" i="1"/>
  <c r="G3850" i="1"/>
  <c r="G3851" i="1"/>
  <c r="G3852" i="1"/>
  <c r="G3853" i="1"/>
  <c r="G3854" i="1"/>
  <c r="G3855" i="1"/>
  <c r="G3856" i="1"/>
  <c r="G3857" i="1"/>
  <c r="G3858" i="1"/>
  <c r="G3859" i="1"/>
  <c r="G3860" i="1"/>
  <c r="G3861" i="1"/>
  <c r="G3862" i="1"/>
  <c r="G3863" i="1"/>
  <c r="G3864" i="1"/>
  <c r="G3865" i="1"/>
  <c r="G3866" i="1"/>
  <c r="G3867" i="1"/>
  <c r="G3868" i="1"/>
  <c r="G3872" i="1"/>
  <c r="G3873" i="1"/>
  <c r="G3874" i="1"/>
  <c r="G3875" i="1"/>
  <c r="G3876" i="1"/>
  <c r="G3877" i="1"/>
  <c r="G3878" i="1"/>
  <c r="G3879" i="1"/>
  <c r="G3880" i="1"/>
  <c r="G3881" i="1"/>
  <c r="G3882" i="1"/>
  <c r="G3883" i="1"/>
  <c r="G3884" i="1"/>
  <c r="G3885" i="1"/>
  <c r="G3886" i="1"/>
  <c r="G3887" i="1"/>
  <c r="G3888" i="1"/>
  <c r="G3889" i="1"/>
  <c r="G3890" i="1"/>
  <c r="G3891" i="1"/>
  <c r="G3892" i="1"/>
  <c r="G3893" i="1"/>
  <c r="G3894" i="1"/>
  <c r="G3895" i="1"/>
  <c r="G3896" i="1"/>
  <c r="G3897" i="1"/>
  <c r="G3898" i="1"/>
  <c r="G3899" i="1"/>
  <c r="G3900" i="1"/>
  <c r="G3901" i="1"/>
  <c r="G3902" i="1"/>
  <c r="G3903" i="1"/>
  <c r="G3904" i="1"/>
  <c r="G3905" i="1"/>
  <c r="G3906" i="1"/>
  <c r="G3907" i="1"/>
  <c r="G3908" i="1"/>
  <c r="G3909" i="1"/>
  <c r="G3910" i="1"/>
  <c r="G3911" i="1"/>
  <c r="G3912" i="1"/>
  <c r="G3913" i="1"/>
  <c r="G3914" i="1"/>
  <c r="G3915" i="1"/>
  <c r="G3916" i="1"/>
  <c r="G3917" i="1"/>
  <c r="G3918" i="1"/>
  <c r="G3919" i="1"/>
  <c r="G3920" i="1"/>
  <c r="G3921" i="1"/>
  <c r="G3922" i="1"/>
  <c r="G3923" i="1"/>
  <c r="G3924" i="1"/>
  <c r="G3925" i="1"/>
  <c r="G3926" i="1"/>
  <c r="G3927" i="1"/>
  <c r="G3928" i="1"/>
  <c r="G3929" i="1"/>
  <c r="G3930" i="1"/>
  <c r="G3931" i="1"/>
  <c r="G3932" i="1"/>
  <c r="G3933" i="1"/>
  <c r="G3934" i="1"/>
  <c r="G3935" i="1"/>
  <c r="G3936" i="1"/>
  <c r="G3937" i="1"/>
  <c r="G3938" i="1"/>
  <c r="G3939" i="1"/>
  <c r="G3940" i="1"/>
  <c r="G3941" i="1"/>
  <c r="G3942" i="1"/>
  <c r="G3943" i="1"/>
  <c r="G3944" i="1"/>
  <c r="G3945" i="1"/>
  <c r="G3946" i="1"/>
  <c r="G3947" i="1"/>
  <c r="G3948" i="1"/>
  <c r="G3949" i="1"/>
  <c r="G3950" i="1"/>
  <c r="G3951" i="1"/>
  <c r="G3952" i="1"/>
  <c r="G3953" i="1"/>
  <c r="G3954" i="1"/>
  <c r="G3955" i="1"/>
  <c r="G3956" i="1"/>
  <c r="G3957" i="1"/>
  <c r="G3958" i="1"/>
  <c r="G3959" i="1"/>
  <c r="G3960" i="1"/>
  <c r="G3961" i="1"/>
  <c r="G3962" i="1"/>
  <c r="G3963" i="1"/>
  <c r="G3964" i="1"/>
  <c r="G3965" i="1"/>
  <c r="G3966" i="1"/>
  <c r="G3967" i="1"/>
  <c r="G3968" i="1"/>
  <c r="G3969" i="1"/>
  <c r="G3970" i="1"/>
  <c r="G3971" i="1"/>
  <c r="G3972" i="1"/>
  <c r="G3973" i="1"/>
  <c r="G3974" i="1"/>
  <c r="G3975" i="1"/>
  <c r="G3976" i="1"/>
  <c r="G3977" i="1"/>
  <c r="G3978" i="1"/>
  <c r="G3979" i="1"/>
  <c r="G3980" i="1"/>
  <c r="G3981" i="1"/>
  <c r="G3982" i="1"/>
  <c r="G3983" i="1"/>
  <c r="G3984" i="1"/>
  <c r="G3985" i="1"/>
  <c r="G3986" i="1"/>
  <c r="G3987" i="1"/>
  <c r="G3988" i="1"/>
  <c r="G3989" i="1"/>
  <c r="G3990" i="1"/>
  <c r="G3991" i="1"/>
  <c r="G3992" i="1"/>
  <c r="G3993" i="1"/>
  <c r="G3994" i="1"/>
  <c r="G3995" i="1"/>
  <c r="G3996" i="1"/>
  <c r="G3997" i="1"/>
  <c r="G3998" i="1"/>
  <c r="G3999" i="1"/>
  <c r="G4000" i="1"/>
  <c r="G4001" i="1"/>
  <c r="G4002" i="1"/>
  <c r="G4003" i="1"/>
  <c r="G4004" i="1"/>
  <c r="G4005" i="1"/>
  <c r="G4006" i="1"/>
  <c r="G4007" i="1"/>
  <c r="G4008" i="1"/>
  <c r="G4009" i="1"/>
  <c r="G4010" i="1"/>
  <c r="G4011" i="1"/>
  <c r="G4012" i="1"/>
  <c r="G4013" i="1"/>
  <c r="G4014" i="1"/>
  <c r="G4015" i="1"/>
  <c r="G4016" i="1"/>
  <c r="G4017" i="1"/>
  <c r="G4018" i="1"/>
  <c r="G4021" i="1"/>
  <c r="G4023" i="1"/>
  <c r="G4024" i="1"/>
  <c r="G4025" i="1"/>
  <c r="G4026" i="1"/>
  <c r="G4027" i="1"/>
  <c r="G4028" i="1"/>
  <c r="G4029" i="1"/>
  <c r="G4030" i="1"/>
  <c r="G4031" i="1"/>
  <c r="G4032" i="1"/>
  <c r="G4033" i="1"/>
  <c r="G4034" i="1"/>
  <c r="G4035" i="1"/>
  <c r="G4036" i="1"/>
  <c r="G4037" i="1"/>
  <c r="G4038" i="1"/>
  <c r="G4039" i="1"/>
  <c r="G4040" i="1"/>
  <c r="G4041" i="1"/>
  <c r="G4042" i="1"/>
  <c r="G4043" i="1"/>
  <c r="G4044" i="1"/>
  <c r="G4045" i="1"/>
  <c r="G4046" i="1"/>
  <c r="G4047" i="1"/>
  <c r="G4048" i="1"/>
  <c r="G4049" i="1"/>
  <c r="G4050" i="1"/>
  <c r="G4051" i="1"/>
  <c r="G4052" i="1"/>
  <c r="G4053" i="1"/>
  <c r="G4054" i="1"/>
  <c r="G4055" i="1"/>
  <c r="G4056" i="1"/>
  <c r="G4057" i="1"/>
  <c r="G4058" i="1"/>
  <c r="G4059" i="1"/>
  <c r="G4060" i="1"/>
  <c r="G4061" i="1"/>
  <c r="G4062" i="1"/>
  <c r="G4063" i="1"/>
  <c r="G4064" i="1"/>
  <c r="G4065" i="1"/>
  <c r="G4066" i="1"/>
  <c r="G4067" i="1"/>
  <c r="G4068" i="1"/>
  <c r="G4069" i="1"/>
  <c r="G4070" i="1"/>
  <c r="G4072" i="1"/>
  <c r="G4074" i="1"/>
  <c r="G4076" i="1"/>
  <c r="G4077" i="1"/>
  <c r="G4078" i="1"/>
  <c r="G4079" i="1"/>
  <c r="G4080" i="1"/>
  <c r="G4081" i="1"/>
  <c r="G4082" i="1"/>
  <c r="G4083" i="1"/>
  <c r="G4084" i="1"/>
  <c r="G4085" i="1"/>
  <c r="G4086" i="1"/>
  <c r="G4088" i="1"/>
  <c r="G4089" i="1"/>
  <c r="G4091" i="1"/>
  <c r="G4092" i="1"/>
  <c r="G4093" i="1"/>
  <c r="G4094" i="1"/>
  <c r="G4095" i="1"/>
  <c r="G4096" i="1"/>
  <c r="G4097" i="1"/>
  <c r="G4098" i="1"/>
  <c r="G4099" i="1"/>
  <c r="G4100" i="1"/>
  <c r="G4101" i="1"/>
  <c r="G4102" i="1"/>
  <c r="G4103" i="1"/>
  <c r="G4104" i="1"/>
  <c r="G4105" i="1"/>
  <c r="G4106" i="1"/>
  <c r="G4107" i="1"/>
  <c r="G4109" i="1"/>
  <c r="G4110" i="1"/>
  <c r="G4111" i="1"/>
  <c r="G4112" i="1"/>
  <c r="G4113" i="1"/>
  <c r="G4114" i="1"/>
  <c r="G4115" i="1"/>
  <c r="G4116" i="1"/>
  <c r="G4117" i="1"/>
  <c r="G4118" i="1"/>
  <c r="G4119" i="1"/>
  <c r="G4120" i="1"/>
  <c r="G4121" i="1"/>
  <c r="G4122" i="1"/>
  <c r="G4123" i="1"/>
  <c r="G4124" i="1"/>
  <c r="G4125" i="1"/>
  <c r="G4126" i="1"/>
  <c r="G4127" i="1"/>
  <c r="G4128" i="1"/>
  <c r="G4129" i="1"/>
  <c r="G4130" i="1"/>
  <c r="G4131" i="1"/>
  <c r="G4132" i="1"/>
  <c r="G4133" i="1"/>
  <c r="G4134" i="1"/>
  <c r="G4135" i="1"/>
  <c r="G4136" i="1"/>
  <c r="G4137" i="1"/>
  <c r="G4138" i="1"/>
  <c r="G4139" i="1"/>
  <c r="G4140" i="1"/>
  <c r="G4141" i="1"/>
  <c r="G4142" i="1"/>
  <c r="G4143" i="1"/>
  <c r="G4144" i="1"/>
  <c r="G4145" i="1"/>
  <c r="G4146" i="1"/>
  <c r="G4147" i="1"/>
  <c r="G4148" i="1"/>
  <c r="G4149" i="1"/>
  <c r="G4150" i="1"/>
  <c r="G4151" i="1"/>
  <c r="G4152" i="1"/>
  <c r="G4153" i="1"/>
  <c r="G4154" i="1"/>
  <c r="G4155" i="1"/>
  <c r="G4156" i="1"/>
  <c r="G4157" i="1"/>
  <c r="G4158" i="1"/>
  <c r="G4159" i="1"/>
  <c r="G4160" i="1"/>
  <c r="G4161" i="1"/>
  <c r="G4162" i="1"/>
  <c r="G4163" i="1"/>
  <c r="G4164" i="1"/>
  <c r="G4165" i="1"/>
  <c r="G4166" i="1"/>
  <c r="G4167" i="1"/>
  <c r="G4168" i="1"/>
  <c r="G4169" i="1"/>
  <c r="G4170" i="1"/>
  <c r="G4171" i="1"/>
  <c r="G4172" i="1"/>
  <c r="G4173" i="1"/>
  <c r="G4174" i="1"/>
  <c r="G4175" i="1"/>
  <c r="G4176" i="1"/>
  <c r="G4177" i="1"/>
  <c r="G4178" i="1"/>
  <c r="G4179" i="1"/>
  <c r="G4180" i="1"/>
  <c r="G4181" i="1"/>
  <c r="G4182" i="1"/>
  <c r="G4184" i="1"/>
  <c r="G4186" i="1"/>
  <c r="G4187" i="1"/>
  <c r="G4189" i="1"/>
  <c r="G4190" i="1"/>
  <c r="G4191" i="1"/>
  <c r="G4192" i="1"/>
  <c r="G4193" i="1"/>
  <c r="G4194" i="1"/>
  <c r="G4195" i="1"/>
  <c r="G4196" i="1"/>
  <c r="G4197" i="1"/>
  <c r="G4198" i="1"/>
  <c r="G4199" i="1"/>
  <c r="G4200" i="1"/>
  <c r="G4201" i="1"/>
  <c r="G4202" i="1"/>
  <c r="G4203" i="1"/>
  <c r="G4204" i="1"/>
  <c r="G4206" i="1"/>
  <c r="G4207" i="1"/>
  <c r="G4208" i="1"/>
  <c r="G4210" i="1"/>
  <c r="G4212" i="1"/>
  <c r="G4213" i="1"/>
  <c r="G4214" i="1"/>
  <c r="G4215" i="1"/>
  <c r="G4216" i="1"/>
  <c r="G4217" i="1"/>
  <c r="G4218" i="1"/>
  <c r="G4219" i="1"/>
  <c r="G4220" i="1"/>
  <c r="G4221" i="1"/>
  <c r="G4222" i="1"/>
  <c r="G4223" i="1"/>
  <c r="G4224" i="1"/>
  <c r="G4225" i="1"/>
  <c r="G4226" i="1"/>
  <c r="G4227" i="1"/>
  <c r="G4228" i="1"/>
  <c r="G4230" i="1"/>
  <c r="G4232" i="1"/>
  <c r="G4233" i="1"/>
  <c r="G4234" i="1"/>
  <c r="G4235" i="1"/>
  <c r="G4236" i="1"/>
  <c r="G4237" i="1"/>
  <c r="G4238" i="1"/>
  <c r="G4239" i="1"/>
  <c r="G4240" i="1"/>
  <c r="G4241" i="1"/>
  <c r="G4242" i="1"/>
  <c r="G4243" i="1"/>
  <c r="G4244" i="1"/>
  <c r="G4245" i="1"/>
  <c r="G4246" i="1"/>
  <c r="G4247" i="1"/>
  <c r="G4248" i="1"/>
  <c r="G4249" i="1"/>
  <c r="G4250" i="1"/>
  <c r="G4251" i="1"/>
  <c r="G4252" i="1"/>
  <c r="G4253" i="1"/>
  <c r="G4254" i="1"/>
  <c r="G4255" i="1"/>
  <c r="G4256" i="1"/>
  <c r="G4257" i="1"/>
  <c r="G4258" i="1"/>
  <c r="G4259" i="1"/>
  <c r="G4260" i="1"/>
  <c r="G4261" i="1"/>
  <c r="G4262" i="1"/>
  <c r="G4263" i="1"/>
  <c r="G4264" i="1"/>
  <c r="G4265" i="1"/>
  <c r="G4266" i="1"/>
  <c r="G4267" i="1"/>
  <c r="G4268" i="1"/>
  <c r="G4269" i="1"/>
  <c r="G4270" i="1"/>
  <c r="G4271" i="1"/>
  <c r="G4272" i="1"/>
  <c r="G4273" i="1"/>
  <c r="G4274" i="1"/>
  <c r="G4275" i="1"/>
  <c r="G4276" i="1"/>
  <c r="G4277" i="1"/>
  <c r="G4278" i="1"/>
  <c r="G4279" i="1"/>
  <c r="G4280" i="1"/>
  <c r="G4281" i="1"/>
  <c r="G4282" i="1"/>
  <c r="G4283" i="1"/>
  <c r="G4284" i="1"/>
  <c r="G4285" i="1"/>
  <c r="G4286" i="1"/>
  <c r="G4287" i="1"/>
  <c r="G4288" i="1"/>
  <c r="G4289" i="1"/>
  <c r="G4290" i="1"/>
  <c r="G4291" i="1"/>
  <c r="G4292" i="1"/>
  <c r="G4293" i="1"/>
  <c r="G4294" i="1"/>
  <c r="G4295" i="1"/>
  <c r="G4296" i="1"/>
  <c r="G4297" i="1"/>
  <c r="G4298" i="1"/>
  <c r="G4299" i="1"/>
  <c r="G4300" i="1"/>
  <c r="G4301" i="1"/>
  <c r="G4302" i="1"/>
  <c r="G4303" i="1"/>
  <c r="G4304" i="1"/>
  <c r="G4305" i="1"/>
  <c r="G4306" i="1"/>
  <c r="G4307" i="1"/>
  <c r="G4308" i="1"/>
  <c r="G4309" i="1"/>
  <c r="G4310" i="1"/>
  <c r="G4311" i="1"/>
  <c r="G4312" i="1"/>
  <c r="G4313" i="1"/>
  <c r="G4314" i="1"/>
  <c r="G4315" i="1"/>
  <c r="G4316" i="1"/>
  <c r="G4317" i="1"/>
  <c r="G4318" i="1"/>
  <c r="G4319" i="1"/>
  <c r="G4320" i="1"/>
  <c r="G4321" i="1"/>
  <c r="G4322" i="1"/>
  <c r="G4323" i="1"/>
  <c r="G4324" i="1"/>
  <c r="G4325" i="1"/>
  <c r="G4326" i="1"/>
  <c r="G4327" i="1"/>
  <c r="G4328" i="1"/>
  <c r="G4329" i="1"/>
  <c r="G4330" i="1"/>
  <c r="G4331" i="1"/>
  <c r="G4332" i="1"/>
  <c r="G4333" i="1"/>
  <c r="G4334" i="1"/>
  <c r="G4335" i="1"/>
  <c r="G4336" i="1"/>
  <c r="G4337" i="1"/>
  <c r="G4338" i="1"/>
  <c r="G4339" i="1"/>
  <c r="G4340" i="1"/>
  <c r="G4341" i="1"/>
  <c r="G4342" i="1"/>
  <c r="G4343" i="1"/>
  <c r="G4344" i="1"/>
  <c r="G4345" i="1"/>
  <c r="G4346" i="1"/>
  <c r="G4347" i="1"/>
  <c r="G4348" i="1"/>
  <c r="G4349" i="1"/>
  <c r="G4350" i="1"/>
  <c r="G4351" i="1"/>
  <c r="G4352" i="1"/>
  <c r="G4353" i="1"/>
  <c r="G4354" i="1"/>
  <c r="G4355" i="1"/>
  <c r="G4356" i="1"/>
  <c r="G4357" i="1"/>
  <c r="G4358" i="1"/>
  <c r="G4359" i="1"/>
  <c r="G4360" i="1"/>
  <c r="G4361" i="1"/>
  <c r="G4362" i="1"/>
  <c r="G4363" i="1"/>
  <c r="G4364" i="1"/>
  <c r="G4365" i="1"/>
  <c r="G4366" i="1"/>
  <c r="G4367" i="1"/>
  <c r="G4368" i="1"/>
  <c r="G4369" i="1"/>
  <c r="G4370" i="1"/>
  <c r="G4371" i="1"/>
  <c r="G4372" i="1"/>
  <c r="G4373" i="1"/>
  <c r="G4374" i="1"/>
  <c r="G4375" i="1"/>
  <c r="G4376" i="1"/>
  <c r="G4377" i="1"/>
  <c r="G4378" i="1"/>
  <c r="G4379" i="1"/>
  <c r="G4380" i="1"/>
  <c r="G4381" i="1"/>
  <c r="G4382" i="1"/>
  <c r="G4383" i="1"/>
  <c r="G4384" i="1"/>
  <c r="G4385" i="1"/>
  <c r="G4386" i="1"/>
  <c r="G4387" i="1"/>
  <c r="G4388" i="1"/>
  <c r="G4389" i="1"/>
  <c r="G4390" i="1"/>
  <c r="G4391" i="1"/>
  <c r="G4392" i="1"/>
  <c r="G4393" i="1"/>
  <c r="G4394" i="1"/>
  <c r="G4395" i="1"/>
  <c r="G4396" i="1"/>
  <c r="G4397" i="1"/>
  <c r="G4398" i="1"/>
  <c r="G4399" i="1"/>
  <c r="G4400" i="1"/>
  <c r="G4401" i="1"/>
  <c r="G4402" i="1"/>
  <c r="G4403" i="1"/>
  <c r="G4404" i="1"/>
  <c r="G4405" i="1"/>
  <c r="G4406" i="1"/>
  <c r="G4407" i="1"/>
  <c r="G4408" i="1"/>
  <c r="G4409" i="1"/>
  <c r="G4410" i="1"/>
  <c r="G4411" i="1"/>
  <c r="G4412" i="1"/>
  <c r="G4413" i="1"/>
  <c r="G4414" i="1"/>
  <c r="G4415" i="1"/>
  <c r="G4416" i="1"/>
  <c r="G4417" i="1"/>
  <c r="G4418" i="1"/>
  <c r="G4419" i="1"/>
  <c r="G4420" i="1"/>
  <c r="G4421" i="1"/>
  <c r="G4422" i="1"/>
  <c r="G4423" i="1"/>
  <c r="G4424" i="1"/>
  <c r="G4425" i="1"/>
  <c r="G4426" i="1"/>
  <c r="G4427" i="1"/>
  <c r="G4428" i="1"/>
  <c r="G4429" i="1"/>
  <c r="G4430" i="1"/>
  <c r="G4431" i="1"/>
  <c r="G4432" i="1"/>
  <c r="G4433" i="1"/>
  <c r="G4434" i="1"/>
  <c r="G4435" i="1"/>
  <c r="G4436" i="1"/>
  <c r="G4437" i="1"/>
  <c r="G4438" i="1"/>
  <c r="G4439" i="1"/>
  <c r="G4440" i="1"/>
  <c r="G4441" i="1"/>
  <c r="G4442" i="1"/>
  <c r="G4443" i="1"/>
  <c r="G4444" i="1"/>
  <c r="G4445" i="1"/>
  <c r="G4446" i="1"/>
  <c r="G4447" i="1"/>
  <c r="G4448" i="1"/>
  <c r="G4449" i="1"/>
  <c r="G4450" i="1"/>
  <c r="G4451" i="1"/>
  <c r="G4452" i="1"/>
  <c r="G4453" i="1"/>
  <c r="G4454" i="1"/>
  <c r="G4455" i="1"/>
  <c r="G4456" i="1"/>
  <c r="G4457" i="1"/>
  <c r="G4458" i="1"/>
  <c r="G4459" i="1"/>
  <c r="G4460" i="1"/>
  <c r="G4461" i="1"/>
  <c r="G4462" i="1"/>
  <c r="G4463" i="1"/>
  <c r="G4464" i="1"/>
  <c r="G4465" i="1"/>
  <c r="G4466" i="1"/>
  <c r="G4468" i="1"/>
  <c r="G4470" i="1"/>
  <c r="G4471" i="1"/>
  <c r="G4472" i="1"/>
  <c r="G4473" i="1"/>
  <c r="G4474" i="1"/>
  <c r="G4475" i="1"/>
  <c r="G4476" i="1"/>
  <c r="G4477" i="1"/>
  <c r="G4478" i="1"/>
  <c r="G4479" i="1"/>
  <c r="G4480" i="1"/>
  <c r="G4481" i="1"/>
  <c r="G4482" i="1"/>
  <c r="G4483" i="1"/>
  <c r="G4484" i="1"/>
  <c r="G4485" i="1"/>
  <c r="G4486" i="1"/>
  <c r="G4487" i="1"/>
  <c r="G4488" i="1"/>
  <c r="G4489" i="1"/>
  <c r="G4490" i="1"/>
  <c r="G4491" i="1"/>
  <c r="G4492" i="1"/>
  <c r="G4493" i="1"/>
  <c r="G4494" i="1"/>
  <c r="G4495" i="1"/>
  <c r="G4496" i="1"/>
  <c r="G4497" i="1"/>
  <c r="G4498" i="1"/>
  <c r="G4499" i="1"/>
  <c r="G4500" i="1"/>
  <c r="G4501" i="1"/>
  <c r="G4502" i="1"/>
  <c r="G4503" i="1"/>
  <c r="G4504" i="1"/>
  <c r="G4505" i="1"/>
  <c r="G4506" i="1"/>
  <c r="G4507" i="1"/>
  <c r="G4508" i="1"/>
  <c r="G4509" i="1"/>
  <c r="G4510" i="1"/>
  <c r="G4511" i="1"/>
  <c r="G4512" i="1"/>
  <c r="G4513" i="1"/>
  <c r="G4514" i="1"/>
  <c r="G4515" i="1"/>
  <c r="G4516" i="1"/>
  <c r="G4517" i="1"/>
  <c r="G4518" i="1"/>
  <c r="G4519" i="1"/>
  <c r="G4520" i="1"/>
  <c r="G4521" i="1"/>
  <c r="G4522" i="1"/>
  <c r="G4523" i="1"/>
  <c r="G4524" i="1"/>
  <c r="G4525" i="1"/>
  <c r="G4526" i="1"/>
  <c r="G4527" i="1"/>
  <c r="G4528" i="1"/>
  <c r="G4529" i="1"/>
  <c r="G4530" i="1"/>
  <c r="G4531" i="1"/>
  <c r="G4532" i="1"/>
  <c r="G4533" i="1"/>
  <c r="G4534" i="1"/>
  <c r="G4535" i="1"/>
  <c r="G4536" i="1"/>
  <c r="G4537" i="1"/>
  <c r="G4538" i="1"/>
  <c r="G4539" i="1"/>
  <c r="G4540" i="1"/>
  <c r="G4541" i="1"/>
  <c r="G4542" i="1"/>
  <c r="G4543" i="1"/>
  <c r="G4544" i="1"/>
  <c r="G4545" i="1"/>
  <c r="G4546" i="1"/>
  <c r="G4547" i="1"/>
  <c r="G4548" i="1"/>
  <c r="G4549" i="1"/>
  <c r="G4550" i="1"/>
  <c r="G4551" i="1"/>
  <c r="G4552" i="1"/>
  <c r="G4553" i="1"/>
  <c r="G4554" i="1"/>
  <c r="G4555" i="1"/>
  <c r="G4556" i="1"/>
  <c r="G4557" i="1"/>
  <c r="G4558" i="1"/>
  <c r="G4559" i="1"/>
  <c r="G4560" i="1"/>
  <c r="G4561" i="1"/>
  <c r="G4562" i="1"/>
  <c r="G4563" i="1"/>
  <c r="G4564" i="1"/>
  <c r="G4565" i="1"/>
  <c r="G4566" i="1"/>
  <c r="G4567" i="1"/>
  <c r="G4568" i="1"/>
  <c r="G4569" i="1"/>
  <c r="G4570" i="1"/>
  <c r="G4571" i="1"/>
  <c r="G4572" i="1"/>
  <c r="G4573" i="1"/>
  <c r="G4574" i="1"/>
  <c r="G4575" i="1"/>
  <c r="G4576" i="1"/>
  <c r="G4577" i="1"/>
  <c r="G4578" i="1"/>
  <c r="G4579" i="1"/>
  <c r="G4580" i="1"/>
  <c r="G4581" i="1"/>
  <c r="G4582" i="1"/>
  <c r="G4583" i="1"/>
  <c r="G4584" i="1"/>
  <c r="G4585" i="1"/>
  <c r="G4586" i="1"/>
  <c r="G4587" i="1"/>
  <c r="G4588" i="1"/>
  <c r="G4589" i="1"/>
  <c r="G4590" i="1"/>
  <c r="G4591" i="1"/>
  <c r="G4592" i="1"/>
  <c r="G4593" i="1"/>
  <c r="G4594" i="1"/>
  <c r="G4595" i="1"/>
  <c r="G4596" i="1"/>
  <c r="G4597" i="1"/>
  <c r="G4598" i="1"/>
  <c r="G4599" i="1"/>
  <c r="G4600" i="1"/>
  <c r="G4601" i="1"/>
  <c r="G4602" i="1"/>
  <c r="G4603" i="1"/>
  <c r="G4604" i="1"/>
  <c r="G4605" i="1"/>
  <c r="G4606" i="1"/>
  <c r="G4607" i="1"/>
  <c r="G4608" i="1"/>
  <c r="G4609" i="1"/>
  <c r="G4610" i="1"/>
  <c r="G4611" i="1"/>
  <c r="G4612" i="1"/>
  <c r="G4613" i="1"/>
  <c r="G4614" i="1"/>
  <c r="G4615" i="1"/>
  <c r="G4616" i="1"/>
  <c r="G4617" i="1"/>
  <c r="G4618" i="1"/>
  <c r="G4619" i="1"/>
  <c r="G4620" i="1"/>
  <c r="G4621" i="1"/>
  <c r="G4622" i="1"/>
  <c r="G4626" i="1"/>
  <c r="G4627" i="1"/>
  <c r="G4628" i="1"/>
  <c r="G4629" i="1"/>
  <c r="G4630" i="1"/>
  <c r="G4631" i="1"/>
  <c r="G4632" i="1"/>
  <c r="G4633" i="1"/>
  <c r="G4634" i="1"/>
  <c r="G4635" i="1"/>
  <c r="G4636" i="1"/>
  <c r="G4637" i="1"/>
  <c r="G4638" i="1"/>
  <c r="G4639" i="1"/>
  <c r="G4640" i="1"/>
  <c r="G4641" i="1"/>
  <c r="G4642" i="1"/>
  <c r="G4643" i="1"/>
  <c r="G4644" i="1"/>
  <c r="G4645" i="1"/>
  <c r="G4646" i="1"/>
  <c r="G4647" i="1"/>
  <c r="G4648" i="1"/>
  <c r="G4649" i="1"/>
  <c r="G4650" i="1"/>
  <c r="G4651" i="1"/>
  <c r="G4652" i="1"/>
  <c r="G4653" i="1"/>
  <c r="G4654" i="1"/>
  <c r="G4655" i="1"/>
  <c r="G4656" i="1"/>
  <c r="G4657" i="1"/>
  <c r="G4658" i="1"/>
  <c r="G4659" i="1"/>
  <c r="G4660" i="1"/>
  <c r="G4661" i="1"/>
  <c r="G4662" i="1"/>
  <c r="G4663" i="1"/>
  <c r="G4664" i="1"/>
  <c r="G4665" i="1"/>
  <c r="G4666" i="1"/>
  <c r="G4667" i="1"/>
  <c r="G4668" i="1"/>
  <c r="G4669" i="1"/>
  <c r="G4670" i="1"/>
  <c r="G4671" i="1"/>
  <c r="G4672" i="1"/>
  <c r="G4673" i="1"/>
  <c r="G4674" i="1"/>
  <c r="G4675" i="1"/>
  <c r="G4676" i="1"/>
  <c r="G4677" i="1"/>
  <c r="G4678" i="1"/>
  <c r="G4679" i="1"/>
  <c r="G4680" i="1"/>
  <c r="G4681" i="1"/>
  <c r="G4682" i="1"/>
  <c r="G4683" i="1"/>
  <c r="G4684" i="1"/>
  <c r="G4685" i="1"/>
  <c r="G4686" i="1"/>
  <c r="G4687" i="1"/>
  <c r="G4688" i="1"/>
  <c r="G4689" i="1"/>
  <c r="G4690" i="1"/>
  <c r="G4691" i="1"/>
  <c r="G4692" i="1"/>
  <c r="G4693" i="1"/>
  <c r="G4694" i="1"/>
  <c r="G4695" i="1"/>
  <c r="G4696" i="1"/>
  <c r="G4697" i="1"/>
  <c r="G4698" i="1"/>
  <c r="G4699" i="1"/>
  <c r="G4700" i="1"/>
  <c r="G4701" i="1"/>
  <c r="G4702" i="1"/>
  <c r="G4703" i="1"/>
  <c r="G4704" i="1"/>
  <c r="G4705" i="1"/>
  <c r="G4706" i="1"/>
  <c r="G4707" i="1"/>
  <c r="G4708" i="1"/>
  <c r="G4709" i="1"/>
  <c r="G4710" i="1"/>
  <c r="G4711" i="1"/>
  <c r="G4712" i="1"/>
  <c r="G4713" i="1"/>
  <c r="G4714" i="1"/>
  <c r="G4715" i="1"/>
  <c r="G4716" i="1"/>
  <c r="G4717" i="1"/>
  <c r="G4718" i="1"/>
  <c r="G4719" i="1"/>
  <c r="G4720" i="1"/>
  <c r="G4721" i="1"/>
  <c r="G4722" i="1"/>
  <c r="G4723" i="1"/>
  <c r="G4724" i="1"/>
  <c r="G4725" i="1"/>
  <c r="G4726" i="1"/>
  <c r="G4727" i="1"/>
  <c r="G4728" i="1"/>
  <c r="G4729" i="1"/>
  <c r="G4730" i="1"/>
  <c r="G4731" i="1"/>
  <c r="G4732" i="1"/>
  <c r="G4733" i="1"/>
  <c r="G4734" i="1"/>
  <c r="G4735" i="1"/>
  <c r="G4736" i="1"/>
  <c r="G4738" i="1"/>
  <c r="G4740" i="1"/>
  <c r="G4741" i="1"/>
  <c r="G4742" i="1"/>
  <c r="G4743" i="1"/>
  <c r="G4744" i="1"/>
  <c r="G4745" i="1"/>
  <c r="G4746" i="1"/>
  <c r="G4747" i="1"/>
  <c r="G4748" i="1"/>
  <c r="G4749" i="1"/>
  <c r="G4750" i="1"/>
  <c r="G4751" i="1"/>
  <c r="G4752" i="1"/>
  <c r="G4753" i="1"/>
  <c r="G4754" i="1"/>
  <c r="G4755" i="1"/>
  <c r="G4756" i="1"/>
  <c r="G4757" i="1"/>
  <c r="G4758" i="1"/>
  <c r="G4759" i="1"/>
  <c r="G4760" i="1"/>
  <c r="G4761" i="1"/>
  <c r="G4762" i="1"/>
  <c r="G4763" i="1"/>
  <c r="G4764" i="1"/>
  <c r="G4765" i="1"/>
  <c r="G4766" i="1"/>
  <c r="G4767" i="1"/>
  <c r="G4768" i="1"/>
  <c r="G4769" i="1"/>
  <c r="G4770" i="1"/>
  <c r="G4771" i="1"/>
  <c r="G4772" i="1"/>
  <c r="G4773" i="1"/>
  <c r="G4774" i="1"/>
  <c r="G4775" i="1"/>
  <c r="G4776" i="1"/>
  <c r="G4777" i="1"/>
  <c r="G4778" i="1"/>
  <c r="G4779" i="1"/>
  <c r="G4780" i="1"/>
  <c r="G4781" i="1"/>
  <c r="G4782" i="1"/>
  <c r="G4783" i="1"/>
  <c r="G4784" i="1"/>
  <c r="G4785" i="1"/>
  <c r="G4786" i="1"/>
  <c r="G4787" i="1"/>
  <c r="G4788" i="1"/>
  <c r="G4789" i="1"/>
  <c r="G4790" i="1"/>
  <c r="G4791" i="1"/>
  <c r="G4792" i="1"/>
  <c r="G4793" i="1"/>
  <c r="G4794" i="1"/>
  <c r="G4795" i="1"/>
  <c r="G4796" i="1"/>
  <c r="G4797" i="1"/>
  <c r="G4798" i="1"/>
  <c r="G4799" i="1"/>
  <c r="G4800" i="1"/>
  <c r="G4801" i="1"/>
  <c r="G4802" i="1"/>
  <c r="G4803" i="1"/>
  <c r="G4804" i="1"/>
  <c r="G4805" i="1"/>
  <c r="G4806" i="1"/>
  <c r="G4807" i="1"/>
  <c r="G4808" i="1"/>
  <c r="G4809" i="1"/>
  <c r="G4810" i="1"/>
  <c r="G4811" i="1"/>
  <c r="G4812" i="1"/>
  <c r="G4813" i="1"/>
  <c r="G4814" i="1"/>
  <c r="G4815" i="1"/>
  <c r="G4816" i="1"/>
  <c r="G4817" i="1"/>
  <c r="G4818" i="1"/>
  <c r="G4819" i="1"/>
  <c r="G4820" i="1"/>
  <c r="G4821" i="1"/>
  <c r="G4822" i="1"/>
  <c r="G4823" i="1"/>
  <c r="G4824" i="1"/>
  <c r="G4825" i="1"/>
  <c r="G4826" i="1"/>
  <c r="G4827" i="1"/>
  <c r="G4828" i="1"/>
  <c r="G4829" i="1"/>
  <c r="G4830" i="1"/>
  <c r="G4831" i="1"/>
  <c r="G4832" i="1"/>
  <c r="G4833" i="1"/>
  <c r="G4834" i="1"/>
  <c r="G4835" i="1"/>
  <c r="G4836" i="1"/>
  <c r="G4837" i="1"/>
  <c r="G4838" i="1"/>
  <c r="G4839" i="1"/>
  <c r="G4840" i="1"/>
  <c r="G4841" i="1"/>
  <c r="G4842" i="1"/>
  <c r="G4843" i="1"/>
  <c r="G4844" i="1"/>
  <c r="G4845" i="1"/>
  <c r="G4846" i="1"/>
  <c r="G4847" i="1"/>
  <c r="G4848" i="1"/>
  <c r="G4849" i="1"/>
  <c r="G4850" i="1"/>
  <c r="G4851" i="1"/>
  <c r="G4852" i="1"/>
  <c r="G4853" i="1"/>
  <c r="G4854" i="1"/>
  <c r="G4855" i="1"/>
  <c r="G4856" i="1"/>
  <c r="G4857" i="1"/>
  <c r="G4858" i="1"/>
  <c r="G4859" i="1"/>
  <c r="G4860" i="1"/>
  <c r="G4861" i="1"/>
  <c r="G4862" i="1"/>
  <c r="G4863" i="1"/>
  <c r="G4864" i="1"/>
  <c r="G4865" i="1"/>
  <c r="G4866" i="1"/>
  <c r="G4867" i="1"/>
  <c r="G4868" i="1"/>
  <c r="G4869" i="1"/>
  <c r="G4870" i="1"/>
  <c r="G4871" i="1"/>
  <c r="G4872" i="1"/>
  <c r="G4873" i="1"/>
  <c r="G4874" i="1"/>
  <c r="G4875" i="1"/>
  <c r="G4876" i="1"/>
  <c r="G4877" i="1"/>
  <c r="G4878" i="1"/>
  <c r="G4879" i="1"/>
  <c r="G4880" i="1"/>
  <c r="G4881" i="1"/>
  <c r="G4882" i="1"/>
  <c r="G4883" i="1"/>
  <c r="G4884" i="1"/>
  <c r="G4885" i="1"/>
  <c r="G4886" i="1"/>
  <c r="G4887" i="1"/>
  <c r="G4888" i="1"/>
  <c r="G4889" i="1"/>
  <c r="G4890" i="1"/>
  <c r="G4891" i="1"/>
  <c r="G4892" i="1"/>
  <c r="G4893" i="1"/>
  <c r="G4894" i="1"/>
  <c r="G4895" i="1"/>
  <c r="G4896" i="1"/>
  <c r="G4897" i="1"/>
  <c r="G4898" i="1"/>
  <c r="G4899" i="1"/>
  <c r="G4900" i="1"/>
  <c r="G4901" i="1"/>
  <c r="G4902" i="1"/>
  <c r="G4903" i="1"/>
  <c r="G4904" i="1"/>
  <c r="G4905" i="1"/>
  <c r="G4906" i="1"/>
  <c r="G4907" i="1"/>
  <c r="G4908" i="1"/>
  <c r="G4909" i="1"/>
  <c r="G4910" i="1"/>
  <c r="G4911" i="1"/>
  <c r="G4912" i="1"/>
  <c r="G4913" i="1"/>
  <c r="G4914" i="1"/>
  <c r="G4915" i="1"/>
  <c r="G4916" i="1"/>
  <c r="G4917" i="1"/>
  <c r="G4918" i="1"/>
  <c r="G4919" i="1"/>
  <c r="G4920" i="1"/>
  <c r="G4921" i="1"/>
  <c r="G4922" i="1"/>
  <c r="G4923" i="1"/>
  <c r="G4924" i="1"/>
  <c r="G4925" i="1"/>
  <c r="G4926" i="1"/>
  <c r="G4927" i="1"/>
  <c r="G4928" i="1"/>
  <c r="G4929" i="1"/>
  <c r="G4930" i="1"/>
  <c r="G4931" i="1"/>
  <c r="G4932" i="1"/>
  <c r="G4933" i="1"/>
  <c r="G4934" i="1"/>
  <c r="G4935" i="1"/>
  <c r="G4936" i="1"/>
  <c r="G4937" i="1"/>
  <c r="G4938" i="1"/>
  <c r="G4939" i="1"/>
  <c r="G4940" i="1"/>
  <c r="G4941" i="1"/>
  <c r="G4942" i="1"/>
  <c r="G4943" i="1"/>
  <c r="G4944" i="1"/>
  <c r="G4945" i="1"/>
  <c r="G4946" i="1"/>
  <c r="G4947" i="1"/>
  <c r="G4948" i="1"/>
  <c r="G4949" i="1"/>
  <c r="G4950" i="1"/>
  <c r="G4951" i="1"/>
  <c r="G4952" i="1"/>
  <c r="G4953" i="1"/>
  <c r="G4954" i="1"/>
  <c r="G4955" i="1"/>
  <c r="G4956" i="1"/>
  <c r="G4957" i="1"/>
  <c r="G4958" i="1"/>
  <c r="G4959" i="1"/>
  <c r="G4960" i="1"/>
  <c r="G4961" i="1"/>
  <c r="G4962" i="1"/>
  <c r="G4963" i="1"/>
  <c r="G4964" i="1"/>
  <c r="G4965" i="1"/>
  <c r="G4966" i="1"/>
  <c r="G4967" i="1"/>
  <c r="G4968" i="1"/>
  <c r="G4969" i="1"/>
  <c r="G4970" i="1"/>
  <c r="G4971" i="1"/>
  <c r="G4972" i="1"/>
  <c r="G4973" i="1"/>
  <c r="G4974" i="1"/>
  <c r="G4975" i="1"/>
  <c r="G4976" i="1"/>
  <c r="G4977" i="1"/>
  <c r="G4978" i="1"/>
  <c r="G4979" i="1"/>
  <c r="G4980" i="1"/>
  <c r="G4981" i="1"/>
  <c r="G4982" i="1"/>
  <c r="G4983" i="1"/>
  <c r="G4984" i="1"/>
  <c r="G4985" i="1"/>
  <c r="G4986" i="1"/>
  <c r="G4987" i="1"/>
  <c r="G4988" i="1"/>
  <c r="G4989" i="1"/>
  <c r="G4990" i="1"/>
  <c r="G4991" i="1"/>
  <c r="G4992" i="1"/>
  <c r="G4993" i="1"/>
  <c r="G4994" i="1"/>
  <c r="G4995" i="1"/>
  <c r="G4996" i="1"/>
  <c r="G4997" i="1"/>
  <c r="G4998" i="1"/>
  <c r="G4999" i="1"/>
  <c r="G5000" i="1"/>
  <c r="G5001" i="1"/>
  <c r="G5002" i="1"/>
  <c r="G5003" i="1"/>
  <c r="G5004" i="1"/>
  <c r="G5005" i="1"/>
  <c r="G5006" i="1"/>
  <c r="G5007" i="1"/>
  <c r="G5008" i="1"/>
  <c r="G5009" i="1"/>
  <c r="G5010" i="1"/>
  <c r="G5011" i="1"/>
  <c r="G5012" i="1"/>
  <c r="G5013" i="1"/>
  <c r="G5014" i="1"/>
  <c r="G5015" i="1"/>
  <c r="G5016" i="1"/>
  <c r="G5017" i="1"/>
  <c r="G5018" i="1"/>
  <c r="G5019" i="1"/>
  <c r="G5020" i="1"/>
  <c r="G5021" i="1"/>
  <c r="G5022" i="1"/>
  <c r="G5023" i="1"/>
  <c r="G5024" i="1"/>
  <c r="G5025" i="1"/>
  <c r="G5026" i="1"/>
  <c r="G5027" i="1"/>
  <c r="G5028" i="1"/>
  <c r="G5029" i="1"/>
  <c r="G5030" i="1"/>
  <c r="G5031" i="1"/>
  <c r="G5032" i="1"/>
  <c r="G5033" i="1"/>
  <c r="G5034" i="1"/>
  <c r="G5035" i="1"/>
  <c r="G5036" i="1"/>
  <c r="G5037" i="1"/>
  <c r="G5038" i="1"/>
  <c r="G5039" i="1"/>
  <c r="G5040" i="1"/>
  <c r="G5041" i="1"/>
  <c r="G5042" i="1"/>
  <c r="G5043" i="1"/>
  <c r="G5044" i="1"/>
  <c r="G5045" i="1"/>
  <c r="G5046" i="1"/>
  <c r="G5047" i="1"/>
  <c r="G5048" i="1"/>
  <c r="G5049" i="1"/>
  <c r="G5050" i="1"/>
  <c r="G5051" i="1"/>
  <c r="G5052" i="1"/>
  <c r="G5053" i="1"/>
  <c r="G5054" i="1"/>
  <c r="G5055" i="1"/>
  <c r="G5056" i="1"/>
  <c r="G5057" i="1"/>
  <c r="G5058" i="1"/>
  <c r="G5059" i="1"/>
  <c r="G5060" i="1"/>
  <c r="G5061" i="1"/>
  <c r="G5062" i="1"/>
  <c r="G5063" i="1"/>
  <c r="G5064" i="1"/>
  <c r="G5065" i="1"/>
  <c r="G5066" i="1"/>
  <c r="G5067" i="1"/>
  <c r="G5068" i="1"/>
  <c r="G5069" i="1"/>
  <c r="G5070" i="1"/>
  <c r="G5071" i="1"/>
  <c r="G5072" i="1"/>
  <c r="G5073" i="1"/>
  <c r="G5074" i="1"/>
  <c r="G5075" i="1"/>
  <c r="G5076" i="1"/>
  <c r="G5077" i="1"/>
  <c r="G5078" i="1"/>
  <c r="G5079" i="1"/>
  <c r="G5080" i="1"/>
  <c r="G5081" i="1"/>
  <c r="G5082" i="1"/>
  <c r="G5083" i="1"/>
  <c r="G5084" i="1"/>
  <c r="G5085" i="1"/>
  <c r="G5086" i="1"/>
  <c r="G5087" i="1"/>
  <c r="G5088" i="1"/>
  <c r="G5089" i="1"/>
  <c r="G5090" i="1"/>
  <c r="G5091" i="1"/>
  <c r="G5092" i="1"/>
  <c r="G5093" i="1"/>
  <c r="G5094" i="1"/>
  <c r="G5095" i="1"/>
  <c r="G5096" i="1"/>
  <c r="G5097" i="1"/>
  <c r="G5098" i="1"/>
  <c r="G5099" i="1"/>
  <c r="G5100" i="1"/>
  <c r="G5101" i="1"/>
  <c r="G5102" i="1"/>
  <c r="G5103" i="1"/>
  <c r="G5104" i="1"/>
  <c r="G5105" i="1"/>
  <c r="G5106" i="1"/>
  <c r="G5107" i="1"/>
  <c r="G5108" i="1"/>
  <c r="G5109" i="1"/>
  <c r="G5110" i="1"/>
  <c r="G5111" i="1"/>
  <c r="G5112" i="1"/>
  <c r="G5113" i="1"/>
  <c r="G5114" i="1"/>
  <c r="G5115" i="1"/>
  <c r="G5116" i="1"/>
  <c r="G5117" i="1"/>
  <c r="G5118" i="1"/>
  <c r="G5119" i="1"/>
  <c r="G5120" i="1"/>
  <c r="G5121" i="1"/>
  <c r="G5122" i="1"/>
  <c r="G5123" i="1"/>
  <c r="G5124" i="1"/>
  <c r="G5125" i="1"/>
  <c r="G5126" i="1"/>
  <c r="G5127" i="1"/>
  <c r="G5128" i="1"/>
  <c r="G5129" i="1"/>
  <c r="G5130" i="1"/>
  <c r="G5131" i="1"/>
  <c r="G5132" i="1"/>
  <c r="G5133" i="1"/>
  <c r="G5134" i="1"/>
  <c r="G5135" i="1"/>
  <c r="G5136" i="1"/>
  <c r="G5137" i="1"/>
  <c r="G5138" i="1"/>
  <c r="G5139" i="1"/>
  <c r="G5140" i="1"/>
  <c r="G5141" i="1"/>
  <c r="G5142" i="1"/>
  <c r="G5143" i="1"/>
  <c r="G5144" i="1"/>
  <c r="G5145" i="1"/>
  <c r="G5146" i="1"/>
  <c r="G5147" i="1"/>
  <c r="G5148" i="1"/>
  <c r="G5152" i="1"/>
  <c r="G5153" i="1"/>
  <c r="G5158" i="1"/>
  <c r="G5159" i="1"/>
  <c r="G5160" i="1"/>
  <c r="G5161" i="1"/>
  <c r="G5162" i="1"/>
  <c r="G5163" i="1"/>
  <c r="G5164" i="1"/>
  <c r="G5165" i="1"/>
  <c r="G5166" i="1"/>
  <c r="G5167" i="1"/>
  <c r="G5168" i="1"/>
  <c r="G5169" i="1"/>
  <c r="G5170" i="1"/>
  <c r="G5171" i="1"/>
  <c r="G5172" i="1"/>
  <c r="G5175" i="1"/>
  <c r="G5176" i="1"/>
  <c r="G5177" i="1"/>
  <c r="G5178" i="1"/>
  <c r="G5179" i="1"/>
  <c r="G5180" i="1"/>
  <c r="G5181" i="1"/>
  <c r="G5182" i="1"/>
  <c r="G5183" i="1"/>
  <c r="G5185" i="1"/>
  <c r="G5186" i="1"/>
  <c r="G5187" i="1"/>
  <c r="G5188" i="1"/>
  <c r="G5189" i="1"/>
  <c r="G5190" i="1"/>
  <c r="G5191" i="1"/>
  <c r="G5192" i="1"/>
  <c r="G5193" i="1"/>
  <c r="G5194" i="1"/>
  <c r="G5195" i="1"/>
  <c r="G5196" i="1"/>
  <c r="G5197" i="1"/>
  <c r="G5198" i="1"/>
  <c r="G5199" i="1"/>
  <c r="G5200" i="1"/>
  <c r="G5201" i="1"/>
  <c r="G5202" i="1"/>
  <c r="G5203" i="1"/>
  <c r="G5204" i="1"/>
  <c r="G5205" i="1"/>
  <c r="G5206" i="1"/>
  <c r="G5207" i="1"/>
  <c r="G5208" i="1"/>
  <c r="G5209" i="1"/>
  <c r="G5210" i="1"/>
  <c r="G5211" i="1"/>
  <c r="G5212" i="1"/>
  <c r="G5213" i="1"/>
  <c r="G5214" i="1"/>
  <c r="G5215" i="1"/>
  <c r="G5216" i="1"/>
  <c r="G5217" i="1"/>
  <c r="G5218" i="1"/>
  <c r="G5219" i="1"/>
  <c r="G5220" i="1"/>
  <c r="G5221" i="1"/>
  <c r="G5222" i="1"/>
  <c r="G5223" i="1"/>
  <c r="G5224" i="1"/>
  <c r="G5225" i="1"/>
  <c r="G5226" i="1"/>
  <c r="G5227" i="1"/>
  <c r="G5228" i="1"/>
  <c r="G5229" i="1"/>
  <c r="G5230" i="1"/>
  <c r="G5231" i="1"/>
  <c r="G5232" i="1"/>
  <c r="G5233" i="1"/>
  <c r="G5234" i="1"/>
  <c r="G5235" i="1"/>
  <c r="G5236" i="1"/>
  <c r="G5237" i="1"/>
  <c r="G5238" i="1"/>
  <c r="G5239" i="1"/>
  <c r="G5240" i="1"/>
  <c r="G5241" i="1"/>
  <c r="G5242" i="1"/>
  <c r="G5243" i="1"/>
  <c r="G5244" i="1"/>
  <c r="G5245" i="1"/>
  <c r="G5246" i="1"/>
  <c r="G5247" i="1"/>
  <c r="G5248" i="1"/>
  <c r="G5249" i="1"/>
  <c r="G5250" i="1"/>
  <c r="G5251" i="1"/>
  <c r="G5252" i="1"/>
  <c r="G5253" i="1"/>
  <c r="G5254" i="1"/>
  <c r="G5255" i="1"/>
  <c r="G5256" i="1"/>
  <c r="G5257" i="1"/>
  <c r="G5258" i="1"/>
  <c r="G5259" i="1"/>
  <c r="G5260" i="1"/>
  <c r="G5261" i="1"/>
  <c r="G5262" i="1"/>
  <c r="G5265" i="1"/>
  <c r="G5266" i="1"/>
  <c r="G5267" i="1"/>
  <c r="G5268" i="1"/>
  <c r="G5269" i="1"/>
  <c r="G5270" i="1"/>
  <c r="G5271" i="1"/>
  <c r="G5272" i="1"/>
  <c r="G5273" i="1"/>
  <c r="G5274" i="1"/>
  <c r="G5275" i="1"/>
  <c r="G5276" i="1"/>
  <c r="G5277" i="1"/>
  <c r="G5278" i="1"/>
  <c r="G5279" i="1"/>
  <c r="G5280" i="1"/>
  <c r="G5281" i="1"/>
  <c r="G5282" i="1"/>
  <c r="G5283" i="1"/>
  <c r="G5284" i="1"/>
  <c r="G5285" i="1"/>
  <c r="G5286" i="1"/>
  <c r="G5287" i="1"/>
  <c r="G5289" i="1"/>
  <c r="G5290" i="1"/>
  <c r="G5291" i="1"/>
  <c r="G5292" i="1"/>
  <c r="G5293" i="1"/>
  <c r="G5294" i="1"/>
  <c r="G5295" i="1"/>
  <c r="G5296" i="1"/>
  <c r="G5297" i="1"/>
  <c r="G5298" i="1"/>
  <c r="G5299" i="1"/>
  <c r="G5300" i="1"/>
  <c r="G5301" i="1"/>
  <c r="G5302" i="1"/>
  <c r="G5303" i="1"/>
  <c r="G5304" i="1"/>
  <c r="G5305" i="1"/>
  <c r="G5306" i="1"/>
  <c r="G5307" i="1"/>
  <c r="G5308" i="1"/>
  <c r="G5309" i="1"/>
  <c r="G5310" i="1"/>
  <c r="G5311" i="1"/>
  <c r="G5312" i="1"/>
  <c r="G5313" i="1"/>
  <c r="G5314" i="1"/>
  <c r="G5315" i="1"/>
  <c r="G5316" i="1"/>
  <c r="G5317" i="1"/>
  <c r="G5318" i="1"/>
  <c r="G5319" i="1"/>
  <c r="G5320" i="1"/>
  <c r="G5321" i="1"/>
  <c r="G5322" i="1"/>
  <c r="G5323" i="1"/>
  <c r="G5324" i="1"/>
  <c r="G5325" i="1"/>
  <c r="G5326" i="1"/>
  <c r="G5327" i="1"/>
  <c r="G5328" i="1"/>
  <c r="G5329" i="1"/>
  <c r="G5330" i="1"/>
  <c r="G5331" i="1"/>
  <c r="G5332" i="1"/>
  <c r="G5333" i="1"/>
  <c r="G5334" i="1"/>
  <c r="G5335" i="1"/>
  <c r="G5336" i="1"/>
  <c r="G5337" i="1"/>
  <c r="G5338" i="1"/>
  <c r="G5339" i="1"/>
  <c r="G5340" i="1"/>
  <c r="G5341" i="1"/>
  <c r="G5342" i="1"/>
  <c r="G5343" i="1"/>
  <c r="G5344" i="1"/>
  <c r="G5345" i="1"/>
  <c r="G5346" i="1"/>
  <c r="G5347" i="1"/>
  <c r="G5348" i="1"/>
  <c r="G5349" i="1"/>
  <c r="G5350" i="1"/>
  <c r="G5351" i="1"/>
  <c r="G5352" i="1"/>
  <c r="G5353" i="1"/>
  <c r="G5354" i="1"/>
  <c r="G5355" i="1"/>
  <c r="G5356" i="1"/>
  <c r="G5357" i="1"/>
  <c r="G5358" i="1"/>
  <c r="G5359" i="1"/>
  <c r="G5360" i="1"/>
  <c r="G5361" i="1"/>
  <c r="G5362" i="1"/>
  <c r="G5363" i="1"/>
  <c r="G5364" i="1"/>
  <c r="G5365" i="1"/>
  <c r="G5366" i="1"/>
  <c r="G5367" i="1"/>
  <c r="G5368" i="1"/>
  <c r="G5369" i="1"/>
  <c r="G5370" i="1"/>
  <c r="G5371" i="1"/>
  <c r="G5372" i="1"/>
  <c r="G5373" i="1"/>
  <c r="G5374" i="1"/>
  <c r="G5375" i="1"/>
  <c r="G5376" i="1"/>
  <c r="G5377" i="1"/>
  <c r="G5378" i="1"/>
  <c r="G5379" i="1"/>
  <c r="G5380" i="1"/>
  <c r="G5381" i="1"/>
  <c r="G5382" i="1"/>
  <c r="G5383" i="1"/>
  <c r="G5384" i="1"/>
  <c r="G5385" i="1"/>
  <c r="G5386" i="1"/>
  <c r="G5387" i="1"/>
  <c r="G5388" i="1"/>
  <c r="G5389" i="1"/>
  <c r="G5390" i="1"/>
  <c r="G5391" i="1"/>
  <c r="G5392" i="1"/>
  <c r="G5393" i="1"/>
  <c r="G5394" i="1"/>
  <c r="G5395" i="1"/>
  <c r="G5396" i="1"/>
  <c r="G5397" i="1"/>
  <c r="G5398" i="1"/>
  <c r="G5399" i="1"/>
  <c r="G5400" i="1"/>
  <c r="G5401" i="1"/>
  <c r="G5402" i="1"/>
  <c r="G5403" i="1"/>
  <c r="G5404" i="1"/>
  <c r="G5405" i="1"/>
  <c r="G5406" i="1"/>
  <c r="G5407" i="1"/>
  <c r="G5408" i="1"/>
  <c r="G5409" i="1"/>
  <c r="G5410" i="1"/>
  <c r="G5411" i="1"/>
  <c r="G5412" i="1"/>
  <c r="G5413" i="1"/>
  <c r="G5414" i="1"/>
  <c r="G5415" i="1"/>
  <c r="G5416" i="1"/>
  <c r="G5417" i="1"/>
  <c r="G5418" i="1"/>
  <c r="G5419" i="1"/>
  <c r="G5420" i="1"/>
  <c r="G5421" i="1"/>
  <c r="G5422" i="1"/>
  <c r="G5423" i="1"/>
  <c r="G5424" i="1"/>
  <c r="G5425" i="1"/>
  <c r="G5426" i="1"/>
  <c r="G5427" i="1"/>
  <c r="G5428" i="1"/>
  <c r="G5429" i="1"/>
  <c r="G5430" i="1"/>
  <c r="G5431" i="1"/>
  <c r="G5432" i="1"/>
  <c r="G5433" i="1"/>
  <c r="G5441" i="1"/>
  <c r="G5442" i="1"/>
  <c r="G5443" i="1"/>
  <c r="G5444" i="1"/>
  <c r="G5445" i="1"/>
  <c r="G5446" i="1"/>
  <c r="G5447" i="1"/>
  <c r="G5448" i="1"/>
  <c r="G5449" i="1"/>
  <c r="G5450" i="1"/>
  <c r="G5451" i="1"/>
  <c r="G5452" i="1"/>
  <c r="G5453" i="1"/>
  <c r="G5454" i="1"/>
  <c r="G5455" i="1"/>
  <c r="G5456" i="1"/>
  <c r="G5457" i="1"/>
  <c r="G5458" i="1"/>
  <c r="G5459" i="1"/>
  <c r="G5460" i="1"/>
  <c r="G5461" i="1"/>
  <c r="G5462" i="1"/>
  <c r="G5463" i="1"/>
  <c r="G5464" i="1"/>
  <c r="G5465" i="1"/>
  <c r="G5466" i="1"/>
  <c r="G5467" i="1"/>
  <c r="G5468" i="1"/>
  <c r="G5469" i="1"/>
  <c r="G5470" i="1"/>
  <c r="G5471" i="1"/>
  <c r="G5472" i="1"/>
  <c r="G5473" i="1"/>
  <c r="G5474" i="1"/>
  <c r="G5475" i="1"/>
  <c r="G5476" i="1"/>
  <c r="G5477" i="1"/>
  <c r="G5478" i="1"/>
  <c r="G5479" i="1"/>
  <c r="G5480" i="1"/>
  <c r="G5481" i="1"/>
  <c r="G5482" i="1"/>
  <c r="G5483" i="1"/>
  <c r="G5484" i="1"/>
  <c r="G5485" i="1"/>
  <c r="G5486" i="1"/>
  <c r="G5487" i="1"/>
  <c r="G5488" i="1"/>
  <c r="G5489" i="1"/>
  <c r="G5490" i="1"/>
  <c r="G5491" i="1"/>
  <c r="G5492" i="1"/>
  <c r="G5493" i="1"/>
  <c r="G5494" i="1"/>
  <c r="G5495" i="1"/>
  <c r="G5496" i="1"/>
  <c r="G5497" i="1"/>
  <c r="G5498" i="1"/>
  <c r="G5499" i="1"/>
  <c r="G5500" i="1"/>
  <c r="G5501" i="1"/>
  <c r="G5502" i="1"/>
  <c r="G5503" i="1"/>
  <c r="G5504" i="1"/>
  <c r="G5505" i="1"/>
  <c r="G5506" i="1"/>
  <c r="G5507" i="1"/>
  <c r="G5508" i="1"/>
  <c r="G5509" i="1"/>
  <c r="G5510" i="1"/>
  <c r="G5511" i="1"/>
  <c r="G5512" i="1"/>
  <c r="G5513" i="1"/>
  <c r="G5514" i="1"/>
  <c r="G5515" i="1"/>
  <c r="G5516" i="1"/>
  <c r="G5517" i="1"/>
  <c r="G5518" i="1"/>
  <c r="G5519" i="1"/>
  <c r="G5520" i="1"/>
  <c r="G5521" i="1"/>
  <c r="G5522" i="1"/>
  <c r="G5523" i="1"/>
  <c r="G5524" i="1"/>
  <c r="G5525" i="1"/>
  <c r="G5526" i="1"/>
  <c r="G5527" i="1"/>
  <c r="G5528" i="1"/>
  <c r="G5529" i="1"/>
  <c r="G5530" i="1"/>
  <c r="G5531" i="1"/>
  <c r="G5532" i="1"/>
  <c r="G5533" i="1"/>
  <c r="G5534" i="1"/>
  <c r="G5535" i="1"/>
  <c r="G5536" i="1"/>
  <c r="G5537" i="1"/>
  <c r="G5538" i="1"/>
  <c r="G5539" i="1"/>
  <c r="G5540" i="1"/>
  <c r="G5541" i="1"/>
  <c r="G5542" i="1"/>
  <c r="G5543" i="1"/>
  <c r="G5544" i="1"/>
  <c r="G5545" i="1"/>
  <c r="G5546" i="1"/>
  <c r="G5547" i="1"/>
  <c r="G5548" i="1"/>
  <c r="G5549" i="1"/>
  <c r="G5550" i="1"/>
  <c r="G5551" i="1"/>
  <c r="G5552" i="1"/>
  <c r="G5553" i="1"/>
  <c r="G5554" i="1"/>
  <c r="G5555" i="1"/>
  <c r="G5556" i="1"/>
  <c r="G5563" i="1"/>
  <c r="G5564" i="1"/>
  <c r="G5565" i="1"/>
  <c r="G5566" i="1"/>
  <c r="G5567" i="1"/>
  <c r="G5568" i="1"/>
  <c r="G5569" i="1"/>
  <c r="G5570" i="1"/>
  <c r="G5579" i="1"/>
  <c r="G5580" i="1"/>
  <c r="G5581" i="1"/>
  <c r="G5582" i="1"/>
  <c r="G5583" i="1"/>
  <c r="G5584" i="1"/>
  <c r="G5585" i="1"/>
  <c r="G5587" i="1"/>
  <c r="G5588" i="1"/>
  <c r="G5589" i="1"/>
  <c r="G5590" i="1"/>
  <c r="G5591" i="1"/>
  <c r="G5592" i="1"/>
  <c r="G5593" i="1"/>
  <c r="G5594" i="1"/>
  <c r="G5595" i="1"/>
  <c r="G5596" i="1"/>
  <c r="G5597" i="1"/>
  <c r="G5598" i="1"/>
  <c r="G5599" i="1"/>
  <c r="G5600" i="1"/>
  <c r="G5601" i="1"/>
  <c r="G5602" i="1"/>
  <c r="G5603" i="1"/>
  <c r="G5604" i="1"/>
  <c r="G5605" i="1"/>
  <c r="G5606" i="1"/>
  <c r="G5607" i="1"/>
  <c r="G5608" i="1"/>
  <c r="G5609" i="1"/>
  <c r="G5610" i="1"/>
  <c r="G5611" i="1"/>
  <c r="G5612" i="1"/>
  <c r="G5613" i="1"/>
  <c r="G5614" i="1"/>
  <c r="G5615" i="1"/>
  <c r="G5616" i="1"/>
  <c r="G5617" i="1"/>
  <c r="G5618" i="1"/>
  <c r="G5619" i="1"/>
  <c r="G5620" i="1"/>
  <c r="G5621" i="1"/>
  <c r="G5622" i="1"/>
  <c r="G5623" i="1"/>
  <c r="G5624" i="1"/>
  <c r="G5625" i="1"/>
  <c r="G5626" i="1"/>
  <c r="G5627" i="1"/>
  <c r="G5628" i="1"/>
  <c r="G5629" i="1"/>
  <c r="G5630" i="1"/>
  <c r="G5631" i="1"/>
  <c r="G5632" i="1"/>
  <c r="G5633" i="1"/>
  <c r="G5634" i="1"/>
  <c r="G5635" i="1"/>
  <c r="G5636" i="1"/>
  <c r="G5637" i="1"/>
  <c r="G5638" i="1"/>
  <c r="G5639" i="1"/>
  <c r="G5640" i="1"/>
  <c r="G5641" i="1"/>
  <c r="G5642" i="1"/>
  <c r="G5643" i="1"/>
  <c r="G5644" i="1"/>
  <c r="G5645" i="1"/>
  <c r="G5646" i="1"/>
  <c r="G5647" i="1"/>
  <c r="G5648" i="1"/>
  <c r="G5649" i="1"/>
  <c r="G5650" i="1"/>
  <c r="G5651" i="1"/>
  <c r="G5652" i="1"/>
  <c r="G5653" i="1"/>
  <c r="G5654" i="1"/>
  <c r="G5655" i="1"/>
  <c r="G5656" i="1"/>
  <c r="G5657" i="1"/>
  <c r="G5658" i="1"/>
  <c r="G5659" i="1"/>
  <c r="G5660" i="1"/>
  <c r="G5661" i="1"/>
  <c r="G5662" i="1"/>
  <c r="G5663" i="1"/>
  <c r="G5664" i="1"/>
  <c r="G5665" i="1"/>
  <c r="G5666" i="1"/>
  <c r="G5667" i="1"/>
  <c r="G5668" i="1"/>
  <c r="G5669" i="1"/>
  <c r="G5670" i="1"/>
  <c r="G5671" i="1"/>
  <c r="G5672" i="1"/>
  <c r="G5673" i="1"/>
  <c r="G5674" i="1"/>
  <c r="G5675" i="1"/>
  <c r="G5676" i="1"/>
  <c r="G5677" i="1"/>
  <c r="G5678" i="1"/>
  <c r="G5679" i="1"/>
  <c r="G5680" i="1"/>
  <c r="G5681" i="1"/>
  <c r="G5682" i="1"/>
  <c r="G5683" i="1"/>
  <c r="G5684" i="1"/>
  <c r="G5685" i="1"/>
  <c r="G5686" i="1"/>
  <c r="G5687" i="1"/>
  <c r="G5688" i="1"/>
  <c r="G5689" i="1"/>
  <c r="G5690" i="1"/>
  <c r="G5691" i="1"/>
  <c r="G5692" i="1"/>
  <c r="G5693" i="1"/>
  <c r="G5694" i="1"/>
  <c r="G5695" i="1"/>
  <c r="G5696" i="1"/>
  <c r="G5697" i="1"/>
  <c r="G5698" i="1"/>
  <c r="G5699" i="1"/>
  <c r="G5700" i="1"/>
  <c r="G5701" i="1"/>
  <c r="G5702" i="1"/>
  <c r="G5704" i="1"/>
  <c r="G5716" i="1"/>
  <c r="G5717" i="1"/>
  <c r="G5718" i="1"/>
  <c r="G5720" i="1"/>
  <c r="G5721" i="1"/>
  <c r="G5722" i="1"/>
  <c r="G5723" i="1"/>
  <c r="G5724" i="1"/>
  <c r="G5725" i="1"/>
  <c r="G5726" i="1"/>
  <c r="G5727" i="1"/>
  <c r="G5729" i="1"/>
  <c r="G5730" i="1"/>
  <c r="G5731" i="1"/>
  <c r="G5732" i="1"/>
  <c r="G5733" i="1"/>
  <c r="G5734" i="1"/>
  <c r="G5735" i="1"/>
  <c r="G5736" i="1"/>
  <c r="G5737" i="1"/>
  <c r="G5738" i="1"/>
  <c r="G5739" i="1"/>
  <c r="G5740" i="1"/>
  <c r="G5741" i="1"/>
  <c r="G5742" i="1"/>
  <c r="G5743" i="1"/>
  <c r="G5744" i="1"/>
  <c r="G5745" i="1"/>
  <c r="G5746" i="1"/>
  <c r="G5747" i="1"/>
  <c r="G5748" i="1"/>
  <c r="G5749" i="1"/>
  <c r="G5750" i="1"/>
  <c r="G5751" i="1"/>
  <c r="G5752" i="1"/>
  <c r="G5753" i="1"/>
  <c r="G5754" i="1"/>
  <c r="G5755" i="1"/>
  <c r="G5756" i="1"/>
  <c r="G5757" i="1"/>
  <c r="G5758" i="1"/>
  <c r="G5759" i="1"/>
  <c r="G5760" i="1"/>
  <c r="G5761" i="1"/>
  <c r="G5762" i="1"/>
  <c r="G5763" i="1"/>
  <c r="G5764" i="1"/>
  <c r="G5765" i="1"/>
  <c r="G5766" i="1"/>
  <c r="G5767" i="1"/>
  <c r="G5768" i="1"/>
  <c r="G5769" i="1"/>
  <c r="G5770" i="1"/>
  <c r="G5771" i="1"/>
  <c r="G5772" i="1"/>
  <c r="G5773" i="1"/>
  <c r="G5774" i="1"/>
  <c r="G5775" i="1"/>
  <c r="G5776" i="1"/>
  <c r="G5777" i="1"/>
  <c r="G5778" i="1"/>
  <c r="G5779" i="1"/>
  <c r="G5780" i="1"/>
  <c r="G5781" i="1"/>
  <c r="G5782" i="1"/>
  <c r="G5783" i="1"/>
  <c r="G5784" i="1"/>
  <c r="G5785" i="1"/>
  <c r="G5786" i="1"/>
  <c r="G5787" i="1"/>
  <c r="G5788" i="1"/>
  <c r="G5789" i="1"/>
  <c r="G5790" i="1"/>
  <c r="G5791" i="1"/>
  <c r="G5792" i="1"/>
  <c r="G5793" i="1"/>
  <c r="G5794" i="1"/>
  <c r="G5795" i="1"/>
  <c r="G5796" i="1"/>
  <c r="G5797" i="1"/>
  <c r="G5798" i="1"/>
  <c r="G5799" i="1"/>
  <c r="G5800" i="1"/>
  <c r="G5801" i="1"/>
  <c r="G5802" i="1"/>
  <c r="G5803" i="1"/>
  <c r="G5804" i="1"/>
  <c r="G5805" i="1"/>
  <c r="G5806" i="1"/>
  <c r="G5807" i="1"/>
  <c r="G5808" i="1"/>
  <c r="G5809" i="1"/>
  <c r="G5810" i="1"/>
  <c r="G5811" i="1"/>
  <c r="G5812" i="1"/>
  <c r="G5813" i="1"/>
  <c r="G5814" i="1"/>
  <c r="G5815" i="1"/>
  <c r="G5816" i="1"/>
  <c r="G5817" i="1"/>
  <c r="G5818" i="1"/>
  <c r="G5819" i="1"/>
  <c r="G5820" i="1"/>
  <c r="G5821" i="1"/>
  <c r="G5822" i="1"/>
  <c r="G5823" i="1"/>
  <c r="G5824" i="1"/>
  <c r="G5825" i="1"/>
  <c r="G5826" i="1"/>
  <c r="G5827" i="1"/>
  <c r="G5828" i="1"/>
  <c r="G5829" i="1"/>
  <c r="G5830" i="1"/>
  <c r="G5831" i="1"/>
  <c r="G5832" i="1"/>
  <c r="G5833" i="1"/>
  <c r="G5834" i="1"/>
  <c r="G5835" i="1"/>
  <c r="G5836" i="1"/>
  <c r="G5837" i="1"/>
  <c r="G5838" i="1"/>
  <c r="G5839" i="1"/>
  <c r="G5840" i="1"/>
  <c r="G5841" i="1"/>
  <c r="G5842" i="1"/>
  <c r="G5843" i="1"/>
  <c r="G5844" i="1"/>
  <c r="G5845" i="1"/>
  <c r="G5846" i="1"/>
  <c r="G5847" i="1"/>
  <c r="G5848" i="1"/>
  <c r="G5849" i="1"/>
  <c r="G5850" i="1"/>
  <c r="G5851" i="1"/>
  <c r="G5852" i="1"/>
  <c r="G5853" i="1"/>
  <c r="G5854" i="1"/>
  <c r="G5855" i="1"/>
  <c r="G5856" i="1"/>
  <c r="G5857" i="1"/>
  <c r="G5858" i="1"/>
  <c r="G5859" i="1"/>
  <c r="G5860" i="1"/>
  <c r="G5861" i="1"/>
  <c r="G5862" i="1"/>
  <c r="G5863" i="1"/>
  <c r="G5864" i="1"/>
  <c r="G5865" i="1"/>
  <c r="G5866" i="1"/>
  <c r="G5867" i="1"/>
  <c r="G5868" i="1"/>
  <c r="G5869" i="1"/>
  <c r="G5870" i="1"/>
  <c r="G5871" i="1"/>
  <c r="G5872" i="1"/>
  <c r="G5873" i="1"/>
  <c r="G5874" i="1"/>
  <c r="G5875" i="1"/>
  <c r="G5876" i="1"/>
  <c r="G5877" i="1"/>
  <c r="G5878" i="1"/>
  <c r="G5880" i="1"/>
  <c r="G5881" i="1"/>
  <c r="G5882" i="1"/>
  <c r="G5883" i="1"/>
  <c r="G5884" i="1"/>
  <c r="G5885" i="1"/>
  <c r="G5886" i="1"/>
  <c r="G5887" i="1"/>
  <c r="G5888" i="1"/>
  <c r="G5889" i="1"/>
  <c r="G5890" i="1"/>
  <c r="G5891" i="1"/>
  <c r="G5892" i="1"/>
  <c r="G5893" i="1"/>
  <c r="G5894" i="1"/>
  <c r="G5895" i="1"/>
  <c r="G5896" i="1"/>
  <c r="G5897" i="1"/>
  <c r="G5898" i="1"/>
  <c r="G5899" i="1"/>
  <c r="G5900" i="1"/>
  <c r="G5901" i="1"/>
  <c r="G5902" i="1"/>
  <c r="G5903" i="1"/>
  <c r="G5904" i="1"/>
  <c r="G5905" i="1"/>
  <c r="G5906" i="1"/>
  <c r="G5907" i="1"/>
  <c r="G5908" i="1"/>
  <c r="G5909" i="1"/>
  <c r="G5910" i="1"/>
  <c r="G5911" i="1"/>
  <c r="G5912" i="1"/>
  <c r="G5913" i="1"/>
  <c r="G5914" i="1"/>
  <c r="G5915" i="1"/>
  <c r="G5916" i="1"/>
  <c r="G5917" i="1"/>
  <c r="G5918" i="1"/>
  <c r="G5919" i="1"/>
  <c r="G5920" i="1"/>
  <c r="G5921" i="1"/>
  <c r="G5922" i="1"/>
  <c r="G5923" i="1"/>
  <c r="G5924" i="1"/>
  <c r="G5925" i="1"/>
  <c r="G5926" i="1"/>
  <c r="G5927" i="1"/>
  <c r="G5928" i="1"/>
  <c r="G5929" i="1"/>
  <c r="G5930" i="1"/>
  <c r="G5931" i="1"/>
  <c r="G5932" i="1"/>
  <c r="G5933" i="1"/>
  <c r="G5934" i="1"/>
  <c r="G5935" i="1"/>
  <c r="G5936" i="1"/>
  <c r="G5937" i="1"/>
  <c r="G5938" i="1"/>
  <c r="G5939" i="1"/>
  <c r="G5940" i="1"/>
  <c r="G5941" i="1"/>
  <c r="G5942" i="1"/>
  <c r="G5943" i="1"/>
  <c r="G5944" i="1"/>
  <c r="G5945" i="1"/>
  <c r="G5946" i="1"/>
  <c r="G5947" i="1"/>
  <c r="G5948" i="1"/>
  <c r="G5949" i="1"/>
  <c r="G5950" i="1"/>
  <c r="G5951" i="1"/>
  <c r="G5952" i="1"/>
  <c r="G5953" i="1"/>
  <c r="G5954" i="1"/>
  <c r="G5955" i="1"/>
  <c r="G5956" i="1"/>
  <c r="G5957" i="1"/>
  <c r="G5958" i="1"/>
  <c r="G5959" i="1"/>
  <c r="G5960" i="1"/>
  <c r="G5961" i="1"/>
  <c r="G5962" i="1"/>
  <c r="G5963" i="1"/>
  <c r="G5964" i="1"/>
  <c r="G5965" i="1"/>
  <c r="G5966" i="1"/>
  <c r="G5967" i="1"/>
  <c r="G5968" i="1"/>
  <c r="G5969" i="1"/>
  <c r="G5970" i="1"/>
  <c r="G5971" i="1"/>
  <c r="G5972" i="1"/>
  <c r="G5973" i="1"/>
  <c r="G5974" i="1"/>
  <c r="G5975" i="1"/>
  <c r="G5976" i="1"/>
  <c r="G5977" i="1"/>
  <c r="G5978" i="1"/>
  <c r="G5979" i="1"/>
  <c r="G5980" i="1"/>
  <c r="G5981" i="1"/>
  <c r="G5982" i="1"/>
  <c r="G5983" i="1"/>
  <c r="G5984" i="1"/>
  <c r="G5985" i="1"/>
  <c r="G5986" i="1"/>
  <c r="G5987" i="1"/>
  <c r="G5988" i="1"/>
  <c r="G5989" i="1"/>
  <c r="G5990" i="1"/>
  <c r="G5991" i="1"/>
  <c r="G5992" i="1"/>
  <c r="G5993" i="1"/>
  <c r="G5994" i="1"/>
  <c r="G5995" i="1"/>
  <c r="G5996" i="1"/>
  <c r="G5997" i="1"/>
  <c r="G5998" i="1"/>
  <c r="G5999" i="1"/>
  <c r="G6000" i="1"/>
  <c r="G6001" i="1"/>
  <c r="G6002" i="1"/>
  <c r="G6003" i="1"/>
  <c r="G6004" i="1"/>
  <c r="G6005" i="1"/>
  <c r="G6006" i="1"/>
  <c r="G6007" i="1"/>
  <c r="G6008" i="1"/>
  <c r="G6009" i="1"/>
  <c r="G6010" i="1"/>
  <c r="G6011" i="1"/>
  <c r="G6012" i="1"/>
  <c r="G6013" i="1"/>
  <c r="G6014" i="1"/>
  <c r="G6015" i="1"/>
  <c r="G6016" i="1"/>
  <c r="G6017" i="1"/>
  <c r="G6018" i="1"/>
  <c r="G6019" i="1"/>
  <c r="G6020" i="1"/>
  <c r="G6021" i="1"/>
  <c r="G6022" i="1"/>
  <c r="G6023" i="1"/>
  <c r="G6024" i="1"/>
  <c r="G6025" i="1"/>
  <c r="G6026" i="1"/>
  <c r="G6027" i="1"/>
  <c r="G6028" i="1"/>
  <c r="G6029" i="1"/>
  <c r="G6030" i="1"/>
  <c r="G6031" i="1"/>
  <c r="G6032" i="1"/>
  <c r="G6033" i="1"/>
  <c r="G6034" i="1"/>
  <c r="G6035" i="1"/>
  <c r="G6036" i="1"/>
  <c r="G6037" i="1"/>
  <c r="G6038" i="1"/>
  <c r="G6039" i="1"/>
  <c r="G6040" i="1"/>
  <c r="G6041" i="1"/>
  <c r="G6042" i="1"/>
  <c r="G6043" i="1"/>
  <c r="G6044" i="1"/>
  <c r="G6045" i="1"/>
  <c r="G6046" i="1"/>
  <c r="G6047" i="1"/>
  <c r="G6048" i="1"/>
  <c r="G6049" i="1"/>
  <c r="G6050" i="1"/>
  <c r="G6051" i="1"/>
  <c r="G6052" i="1"/>
  <c r="G6053" i="1"/>
  <c r="G6054" i="1"/>
  <c r="G6055" i="1"/>
  <c r="G6056" i="1"/>
  <c r="G6057" i="1"/>
  <c r="G6058" i="1"/>
  <c r="G6059" i="1"/>
  <c r="G6060" i="1"/>
  <c r="G6061" i="1"/>
  <c r="G6062" i="1"/>
  <c r="G6063" i="1"/>
  <c r="G6064" i="1"/>
  <c r="G6065" i="1"/>
  <c r="G6066" i="1"/>
  <c r="G6067" i="1"/>
  <c r="G6068" i="1"/>
  <c r="G6069" i="1"/>
  <c r="G6070" i="1"/>
  <c r="G6071" i="1"/>
  <c r="G6072" i="1"/>
  <c r="G6073" i="1"/>
</calcChain>
</file>

<file path=xl/sharedStrings.xml><?xml version="1.0" encoding="utf-8"?>
<sst xmlns="http://schemas.openxmlformats.org/spreadsheetml/2006/main" count="36730" uniqueCount="10669">
  <si>
    <t>区分</t>
  </si>
  <si>
    <t>論文</t>
  </si>
  <si>
    <t>著者</t>
  </si>
  <si>
    <t>年</t>
    <rPh sb="0" eb="1">
      <t>ネン</t>
    </rPh>
    <phoneticPr fontId="1"/>
  </si>
  <si>
    <t>巻数／号数</t>
  </si>
  <si>
    <t>頁</t>
  </si>
  <si>
    <t>巻数変更について</t>
  </si>
  <si>
    <t>1954年(昭和29)</t>
  </si>
  <si>
    <t>第05巻第1号</t>
  </si>
  <si>
    <t>000頁</t>
  </si>
  <si>
    <t>復刊の辞</t>
  </si>
  <si>
    <t>内山孝一</t>
  </si>
  <si>
    <t>001頁</t>
  </si>
  <si>
    <t>総会予告</t>
  </si>
  <si>
    <t>002頁</t>
  </si>
  <si>
    <t>日本医史学会役員</t>
  </si>
  <si>
    <t>002頁</t>
    <phoneticPr fontId="1"/>
  </si>
  <si>
    <t>原著</t>
  </si>
  <si>
    <t>小川鼎三</t>
  </si>
  <si>
    <t>003-12頁</t>
  </si>
  <si>
    <t>一節截考</t>
  </si>
  <si>
    <t>山崎佐</t>
  </si>
  <si>
    <t>013-19頁</t>
  </si>
  <si>
    <t>018頁</t>
  </si>
  <si>
    <t>中野操</t>
  </si>
  <si>
    <t>019-25頁</t>
  </si>
  <si>
    <t>026頁</t>
  </si>
  <si>
    <t>報告</t>
  </si>
  <si>
    <t>027-41頁</t>
  </si>
  <si>
    <t>執筆者紹介</t>
  </si>
  <si>
    <t>041頁</t>
  </si>
  <si>
    <t>042頁</t>
  </si>
  <si>
    <t>043-50頁</t>
  </si>
  <si>
    <t>朝鮮疾病史（一）</t>
  </si>
  <si>
    <t>051-56頁</t>
  </si>
  <si>
    <t>史(資)料</t>
  </si>
  <si>
    <t>緒方洪庵歌集</t>
  </si>
  <si>
    <t>057-83頁</t>
  </si>
  <si>
    <t>084頁</t>
  </si>
  <si>
    <t>第05巻第2号</t>
  </si>
  <si>
    <t>085頁</t>
  </si>
  <si>
    <t>一節截考（2）</t>
  </si>
  <si>
    <t>086-90頁</t>
  </si>
  <si>
    <t>江戸時代の眼科書に於ける灸法について</t>
  </si>
  <si>
    <t>091-97頁</t>
  </si>
  <si>
    <t>本号執筆者紹介</t>
  </si>
  <si>
    <t>097頁</t>
  </si>
  <si>
    <t>098頁</t>
  </si>
  <si>
    <t>杉田暉道</t>
  </si>
  <si>
    <t>099-112頁</t>
  </si>
  <si>
    <t>104頁</t>
  </si>
  <si>
    <t>105-112頁</t>
  </si>
  <si>
    <t>112-129頁</t>
  </si>
  <si>
    <t>朝鮮疾病史（二）</t>
  </si>
  <si>
    <t>130-137頁</t>
  </si>
  <si>
    <t>研究餘録</t>
  </si>
  <si>
    <t>丹波康頼の遺墨</t>
  </si>
  <si>
    <t>石原明</t>
  </si>
  <si>
    <t>130頁</t>
  </si>
  <si>
    <t>緒方洪庵歌集（2）</t>
  </si>
  <si>
    <t>138-151頁</t>
  </si>
  <si>
    <t>152頁</t>
  </si>
  <si>
    <t>1955年(昭和30)</t>
  </si>
  <si>
    <t>第05巻第3号</t>
  </si>
  <si>
    <t>153-160頁</t>
  </si>
  <si>
    <t>徳川時代の救急法書</t>
  </si>
  <si>
    <t>三浦豊彦</t>
  </si>
  <si>
    <t>161-164頁</t>
  </si>
  <si>
    <t>164頁</t>
  </si>
  <si>
    <t>田中助一</t>
  </si>
  <si>
    <t>165-167頁</t>
  </si>
  <si>
    <t>167-175頁</t>
  </si>
  <si>
    <t>伏屋素狄資料の発見・億川理事逝去</t>
  </si>
  <si>
    <t>167頁</t>
  </si>
  <si>
    <t>176-177頁</t>
  </si>
  <si>
    <t>朝鮮疾病史（三）</t>
  </si>
  <si>
    <t>三木栄</t>
  </si>
  <si>
    <t>177-188頁</t>
  </si>
  <si>
    <t>緒方洪庵歌集（3）</t>
  </si>
  <si>
    <t>188-201頁</t>
  </si>
  <si>
    <t>202頁</t>
  </si>
  <si>
    <t>雑報</t>
  </si>
  <si>
    <t>医史学講座開設要望についての建議</t>
  </si>
  <si>
    <t>第05巻第4号</t>
  </si>
  <si>
    <t>203-204頁</t>
  </si>
  <si>
    <t>シンポヂウム</t>
  </si>
  <si>
    <t>第57回日本医史学会総会講演要旨　シンポヂウム「医学教育の歴史」講演要旨</t>
  </si>
  <si>
    <t>205-215頁</t>
  </si>
  <si>
    <t>特別講演</t>
  </si>
  <si>
    <t>216-218頁</t>
    <phoneticPr fontId="1"/>
  </si>
  <si>
    <t>219-224頁</t>
    <phoneticPr fontId="1"/>
  </si>
  <si>
    <t>一般講演</t>
  </si>
  <si>
    <t>中国史料に見られる解剖</t>
  </si>
  <si>
    <t>渡辺幸三</t>
  </si>
  <si>
    <t>225-226頁</t>
  </si>
  <si>
    <t>一般演題</t>
  </si>
  <si>
    <t>森田幸門</t>
  </si>
  <si>
    <t>225頁</t>
  </si>
  <si>
    <t>五蔵入胎の意義</t>
  </si>
  <si>
    <t>226頁</t>
  </si>
  <si>
    <t>江戸時代における不食病の研究</t>
  </si>
  <si>
    <t>大塚敬節</t>
  </si>
  <si>
    <t>仏教経典にみられる胎児発育説</t>
  </si>
  <si>
    <t>227-228頁</t>
  </si>
  <si>
    <t>山田照胤</t>
  </si>
  <si>
    <t>227頁</t>
  </si>
  <si>
    <t>医学史における思想史的背景</t>
  </si>
  <si>
    <t>巴陵宣祐</t>
  </si>
  <si>
    <t>228-229頁</t>
  </si>
  <si>
    <t>王義之の健康について</t>
  </si>
  <si>
    <t>和田正系</t>
  </si>
  <si>
    <t>229-230頁</t>
  </si>
  <si>
    <t>医は仁術に関する興味ある文献の二・三</t>
  </si>
  <si>
    <t>鈴木宜民</t>
  </si>
  <si>
    <t>229頁</t>
  </si>
  <si>
    <t>史的人物の性行の変動について</t>
  </si>
  <si>
    <t>王丸勇</t>
  </si>
  <si>
    <t>菅公の死因を修正す</t>
  </si>
  <si>
    <t>川井銀之助</t>
  </si>
  <si>
    <t>230-231頁</t>
  </si>
  <si>
    <t>曲直瀬道三正盛に関する二つの新史料</t>
  </si>
  <si>
    <t>231-232頁</t>
  </si>
  <si>
    <t>京都の古薬園について</t>
  </si>
  <si>
    <t>岡西為人</t>
  </si>
  <si>
    <t>232-233頁</t>
  </si>
  <si>
    <t>田中華城について</t>
  </si>
  <si>
    <t>安西安周</t>
  </si>
  <si>
    <t>232頁</t>
  </si>
  <si>
    <t>医薬分業の史的考察</t>
  </si>
  <si>
    <t>清水藤太郎</t>
  </si>
  <si>
    <t>233-234頁</t>
  </si>
  <si>
    <t>蘭学勃興期における京阪洋学者たちの交遊について</t>
  </si>
  <si>
    <t>234-235頁</t>
  </si>
  <si>
    <t>和漢癌史料</t>
  </si>
  <si>
    <t>大矢全節</t>
  </si>
  <si>
    <t>234頁</t>
  </si>
  <si>
    <t>江戸時代における生理学の独創的研究</t>
  </si>
  <si>
    <t>235-236頁</t>
  </si>
  <si>
    <t>寺院の過去帳に現れた天明・天保飢饉の様相－特に仙台を中心とした東北地方について－</t>
  </si>
  <si>
    <t>青木大輔</t>
  </si>
  <si>
    <t>236-237頁</t>
  </si>
  <si>
    <t>創生期の日本の労働衛生学</t>
  </si>
  <si>
    <t>237-238頁</t>
  </si>
  <si>
    <t>紙上発表</t>
  </si>
  <si>
    <t>賀川南龍の「南陽館一家言」の独創性について</t>
  </si>
  <si>
    <t>238-239頁</t>
  </si>
  <si>
    <t>本邦女子医学教育の歴史</t>
  </si>
  <si>
    <t>吉岡博人</t>
  </si>
  <si>
    <t>239-240頁</t>
  </si>
  <si>
    <t>江戸時代のサントニン</t>
  </si>
  <si>
    <t>佐藤文比古</t>
  </si>
  <si>
    <t>第06巻第1号</t>
  </si>
  <si>
    <t>001-3頁</t>
  </si>
  <si>
    <t>003-4頁</t>
  </si>
  <si>
    <t>004-11頁</t>
  </si>
  <si>
    <t>012-21頁</t>
  </si>
  <si>
    <t>朝鮮疾病史（四）</t>
  </si>
  <si>
    <t>022-25頁</t>
  </si>
  <si>
    <t>022頁</t>
  </si>
  <si>
    <t>史料</t>
  </si>
  <si>
    <t>緒方洪庵歌集（完）</t>
  </si>
  <si>
    <t>026-48頁</t>
  </si>
  <si>
    <t>1956年(昭和31)</t>
  </si>
  <si>
    <t>第06巻第2号</t>
  </si>
  <si>
    <t>049-55頁</t>
  </si>
  <si>
    <t>雑報Ⅰ</t>
  </si>
  <si>
    <t>第５８回総会予告</t>
  </si>
  <si>
    <t>055頁</t>
  </si>
  <si>
    <t>人事消息</t>
  </si>
  <si>
    <t>梶原性全の生涯とその著書（一）</t>
  </si>
  <si>
    <t>057-68頁</t>
  </si>
  <si>
    <t>錦小路家文書（一）</t>
  </si>
  <si>
    <t>069-89頁</t>
  </si>
  <si>
    <t>雑報Ⅱ</t>
  </si>
  <si>
    <t>新刊紹介　朝鮮医学史疾病史、正倉院薬物、尾張医科学史考及拾遺</t>
  </si>
  <si>
    <t>090頁</t>
  </si>
  <si>
    <t>大阪蘭学史</t>
  </si>
  <si>
    <t>第06巻第3号</t>
  </si>
  <si>
    <t>091-95頁</t>
  </si>
  <si>
    <t>黎明期の日本解剖学</t>
  </si>
  <si>
    <t>096-98頁</t>
  </si>
  <si>
    <t>世界皮膚科学史</t>
  </si>
  <si>
    <t>099-102頁</t>
  </si>
  <si>
    <t>古代エジプトの医術について</t>
  </si>
  <si>
    <t>102-104頁</t>
  </si>
  <si>
    <t>「正法念処経」に見られる病因論の虫について</t>
  </si>
  <si>
    <t>104-105頁</t>
  </si>
  <si>
    <t>カンフル考</t>
  </si>
  <si>
    <t>赤松金芳</t>
  </si>
  <si>
    <t>106-107頁</t>
  </si>
  <si>
    <t>上世期の仏教医学思想－当時の呪禁療法の一資料供覧－</t>
  </si>
  <si>
    <t>阿知波五郎</t>
  </si>
  <si>
    <t>106頁</t>
  </si>
  <si>
    <t>王清任の「医林改錯」の解剖図について</t>
  </si>
  <si>
    <t>107-108頁</t>
  </si>
  <si>
    <t>甲比丹クライエルの「支那医学軌範」について</t>
  </si>
  <si>
    <t>109-110頁</t>
  </si>
  <si>
    <t>文化六・七年の「蘭館日誌」の医学関係記事について</t>
  </si>
  <si>
    <t>大鳥蘭三郎</t>
  </si>
  <si>
    <t>110頁</t>
  </si>
  <si>
    <t>福沢本、幸田本及び内山本「和蘭事始」についての研究</t>
  </si>
  <si>
    <t>日本における労働衛生学発達小史（その二）</t>
  </si>
  <si>
    <t>111-112頁</t>
  </si>
  <si>
    <t>「泰西眼科全書」について</t>
  </si>
  <si>
    <t>鮫島近二</t>
  </si>
  <si>
    <t>111頁</t>
  </si>
  <si>
    <t>佐藤応渠（文政元年－明治三十年）について</t>
  </si>
  <si>
    <t>112-114頁</t>
  </si>
  <si>
    <t>温知社遺品の解説と供覧</t>
  </si>
  <si>
    <t>矢数道明</t>
  </si>
  <si>
    <t>114-117頁</t>
  </si>
  <si>
    <t>秩父、落合家の医薬史的資料</t>
  </si>
  <si>
    <t>吉田一郎</t>
  </si>
  <si>
    <t>117頁</t>
  </si>
  <si>
    <t>欧米の医史学研究者を訪ねて</t>
  </si>
  <si>
    <t>石川光昭</t>
  </si>
  <si>
    <t>付録</t>
  </si>
  <si>
    <t>国際医史学会規約　国際医史学会議規約</t>
  </si>
  <si>
    <t>石原明　訳</t>
  </si>
  <si>
    <t>118-121頁</t>
  </si>
  <si>
    <t>医家先哲祭、三木栄博士出版記念講演会、眼科に関する古医書展示会</t>
  </si>
  <si>
    <t>132頁</t>
  </si>
  <si>
    <t>元禄前後における医学教育の一端</t>
  </si>
  <si>
    <t>伊良子光孝</t>
  </si>
  <si>
    <t>第06巻第4号</t>
  </si>
  <si>
    <t>133-138頁</t>
  </si>
  <si>
    <t>梶原性全の生涯とその著書（二）</t>
  </si>
  <si>
    <t>139-160頁</t>
  </si>
  <si>
    <t>161頁</t>
  </si>
  <si>
    <t>新刊紹介　内閣文庫漢籍分類目録、明治前日本医学史第三巻、朝鮮医書誌</t>
  </si>
  <si>
    <t>蕃書取調所旧蔵和蘭医書目録</t>
  </si>
  <si>
    <t>163-167頁</t>
  </si>
  <si>
    <t>錦小路家文書（二）</t>
  </si>
  <si>
    <t>168-170頁</t>
  </si>
  <si>
    <t>清涼寺釈迦像胎内五蔵研究特集号</t>
  </si>
  <si>
    <t>清涼寺釈迦胎内五蔵研究序説（清涼寺釈迦胎内五蔵研究　第一報）</t>
  </si>
  <si>
    <t>第07巻第1～3号</t>
  </si>
  <si>
    <t>001-4頁</t>
  </si>
  <si>
    <t>五蔵入胎の意義について（清涼寺釈迦胎内五蔵研究　第二報）</t>
  </si>
  <si>
    <t>005-29頁</t>
  </si>
  <si>
    <t>清涼寺釈迦胎内五蔵の解剖学的研究－中国伝統医学よりの研究－（清涼寺釈迦胎内五蔵研究　第三報）</t>
  </si>
  <si>
    <t>030-63頁</t>
  </si>
  <si>
    <t>印度解剖学の成立とその流伝（清涼寺釈迦像胎内五蔵研究　第四報）</t>
  </si>
  <si>
    <t>064-87頁</t>
  </si>
  <si>
    <t>現存する中国近世までの五蔵六府図の概説（清涼寺釈迦像胎内五蔵研究　第五報）</t>
  </si>
  <si>
    <t>088-182頁</t>
  </si>
  <si>
    <t>附図</t>
  </si>
  <si>
    <t>特集号発行について、附図説明（第１～１２図）</t>
  </si>
  <si>
    <t>江戸幕府時代における朝廷の医療制度</t>
  </si>
  <si>
    <t>1957年(昭和32)</t>
  </si>
  <si>
    <t>第07巻第4号</t>
  </si>
  <si>
    <t>187-198頁</t>
  </si>
  <si>
    <t>宋代の医書校勘について</t>
  </si>
  <si>
    <t>199-201頁</t>
  </si>
  <si>
    <t>メソポタミアの文明史における医事事項</t>
  </si>
  <si>
    <t>十誦律に見られる医学</t>
  </si>
  <si>
    <t>204-205頁</t>
  </si>
  <si>
    <t>医学史料の分類法に関する私案</t>
  </si>
  <si>
    <t>205-207頁</t>
  </si>
  <si>
    <t>「医心方をめぐる諸問題」</t>
  </si>
  <si>
    <t>安田竜夫</t>
  </si>
  <si>
    <t>207頁</t>
  </si>
  <si>
    <t>室町時代堺医事管見（竹門文明口決・蔗軒日録・医書大全など）</t>
  </si>
  <si>
    <t>「解体新書」に引用されたる漢訳西洋医書</t>
  </si>
  <si>
    <t>208頁</t>
  </si>
  <si>
    <t>「解体新書」と「解体発蒙」との差異について</t>
  </si>
  <si>
    <t>江戸時代精神病治療に用いられた吐方について</t>
  </si>
  <si>
    <t>209-210頁</t>
  </si>
  <si>
    <t>橋本宗吉のパルヘイン解剖書訳稿について</t>
  </si>
  <si>
    <t>209頁</t>
  </si>
  <si>
    <t>蘭方腸虫史</t>
  </si>
  <si>
    <t>210-211頁</t>
  </si>
  <si>
    <t>蘭方製薬史（第一報）</t>
  </si>
  <si>
    <t>宗田一</t>
  </si>
  <si>
    <t>212-213頁</t>
  </si>
  <si>
    <t>ポンペの生理学講義</t>
  </si>
  <si>
    <t>213-214頁</t>
  </si>
  <si>
    <t>朝廷医官の習俗故実について</t>
  </si>
  <si>
    <t>伊良子光義</t>
  </si>
  <si>
    <t>213頁</t>
  </si>
  <si>
    <t>青蓮院療病仮院開業当日の光景</t>
  </si>
  <si>
    <t>214-215頁</t>
  </si>
  <si>
    <t>ポンペの外科学説について</t>
  </si>
  <si>
    <t>214頁</t>
  </si>
  <si>
    <t>伊賀藩井上貞重の資料を通して見た長崎・吉雄門の和蘭流外科について</t>
  </si>
  <si>
    <t>215-216頁</t>
  </si>
  <si>
    <t>Ｈ．Ｂ．Ｓｃｈｅｕｂｅについて</t>
  </si>
  <si>
    <t>横田穣</t>
  </si>
  <si>
    <t>215頁</t>
  </si>
  <si>
    <t>栗山孝庵の遺墨</t>
  </si>
  <si>
    <t>淡輪元潜及び養子元朔の全国医業行脚（特に北海道渡島）</t>
  </si>
  <si>
    <t>羽倉敬尚</t>
  </si>
  <si>
    <t>216-217頁</t>
  </si>
  <si>
    <t>二宮彦可先生事跡小考</t>
  </si>
  <si>
    <t>蒲原宏・中山沃</t>
  </si>
  <si>
    <t>217-218頁</t>
  </si>
  <si>
    <t>儒者近藤篤山と蘭医野村良哲の関係について</t>
  </si>
  <si>
    <t>宮内孝夫</t>
  </si>
  <si>
    <t>218-219頁</t>
  </si>
  <si>
    <t>中村信斎と伊藤道斎</t>
  </si>
  <si>
    <t>219-220頁</t>
  </si>
  <si>
    <t>西洋医育創始百周年記念特集号</t>
  </si>
  <si>
    <t>序</t>
  </si>
  <si>
    <t>緒方富雄</t>
  </si>
  <si>
    <t>第08巻第1・2号</t>
  </si>
  <si>
    <t>ポンペが日本文化に与えた功績</t>
  </si>
  <si>
    <t>北村精一</t>
  </si>
  <si>
    <t>長崎ことにその医学校に関する知見報告</t>
  </si>
  <si>
    <t>ポムペ・フアン・メールデルフオールト著　荒瀬進訳</t>
  </si>
  <si>
    <t>005-87頁</t>
  </si>
  <si>
    <t>あとがき</t>
  </si>
  <si>
    <t>荒瀬進</t>
  </si>
  <si>
    <t>088頁</t>
  </si>
  <si>
    <t>編集後記</t>
  </si>
  <si>
    <t>089頁</t>
  </si>
  <si>
    <t>学界消息、杉田玄白展、藤林普山百二十年祭、日本医史学会関東地方会、関西地方会</t>
  </si>
  <si>
    <t>ポンペ肖像</t>
  </si>
  <si>
    <t>長崎養生所全景</t>
  </si>
  <si>
    <t>杉田玄白１４０年忌記念特集号</t>
  </si>
  <si>
    <t>まえがき</t>
  </si>
  <si>
    <t>日本医史学会</t>
  </si>
  <si>
    <t>第08巻第3・4号</t>
  </si>
  <si>
    <t>001-2頁</t>
  </si>
  <si>
    <t>杉田玄白史料解題（二）　遺墨および肖像</t>
  </si>
  <si>
    <t>014-26頁</t>
  </si>
  <si>
    <t>杉田玄白史料解題（三）　関係文献</t>
  </si>
  <si>
    <t>027-33頁</t>
  </si>
  <si>
    <t>杉田玄白史料解題（一）　著述</t>
  </si>
  <si>
    <t>03-14頁</t>
  </si>
  <si>
    <t>杉田玄白史料解題（四）　関係史料</t>
  </si>
  <si>
    <t>033-40頁</t>
  </si>
  <si>
    <t>杉田玄白史料解題（五）　遺蹟</t>
  </si>
  <si>
    <t>041-42頁</t>
  </si>
  <si>
    <t>杉田玄白史料解題（附）玄白関係研究概説書および主要研究論文一覧</t>
  </si>
  <si>
    <t>043-45頁</t>
  </si>
  <si>
    <t>杉田玄白年譜</t>
  </si>
  <si>
    <t>046-54頁</t>
  </si>
  <si>
    <t>杉田玄白の学統</t>
  </si>
  <si>
    <t>055-56頁</t>
  </si>
  <si>
    <t>杉田玄白の家系</t>
  </si>
  <si>
    <t>057-64頁</t>
  </si>
  <si>
    <t>065頁</t>
  </si>
  <si>
    <t>学界消息、関西支部創立二十年祝賀会、歯科医事衛生史後編完成、再度杉田玄白展開催</t>
  </si>
  <si>
    <t>日本医史学会沿革</t>
  </si>
  <si>
    <t>1958年(昭和33)</t>
  </si>
  <si>
    <t>第09巻第1号</t>
  </si>
  <si>
    <t>幕末における蘭学医家の語学研究</t>
  </si>
  <si>
    <t>001-6頁</t>
  </si>
  <si>
    <t>特別講演（第６０回）</t>
  </si>
  <si>
    <t>日蘭医学交流史－十七世紀における日蘭医学の交渉－</t>
  </si>
  <si>
    <t>007-12頁</t>
  </si>
  <si>
    <t>三焦の諸問題</t>
  </si>
  <si>
    <t>013-14頁</t>
  </si>
  <si>
    <t>仏典に見られる古代印度医学－特に治療医学の変遷について－</t>
  </si>
  <si>
    <t>013頁</t>
  </si>
  <si>
    <t>チャラカ本集に見られる医学（その二）</t>
  </si>
  <si>
    <t>金匱要略の流伝と傷寒論との関係</t>
  </si>
  <si>
    <t>014-15頁</t>
  </si>
  <si>
    <t>古代印度医学を唐に伝えた善無畏三蔵</t>
  </si>
  <si>
    <t>015頁</t>
  </si>
  <si>
    <t>軍陣衛生史ノート－衛生史の研究　その二十</t>
  </si>
  <si>
    <t>016-17頁</t>
  </si>
  <si>
    <t>奈良時代の名僧鑑真の伝えた医学について</t>
  </si>
  <si>
    <t>016頁</t>
  </si>
  <si>
    <t>産科学の独立とＡｍｂｒｏｉｓｅ　Ｐａｒｅ並にＪａｃｋ　Ｇｕｉｌｌｅｍｅａｕ</t>
  </si>
  <si>
    <t>佐藤美実</t>
  </si>
  <si>
    <t>017-18頁</t>
  </si>
  <si>
    <t>アラビア痘瘡胎毒説東漸考</t>
  </si>
  <si>
    <t>017頁</t>
  </si>
  <si>
    <t>蘭医方癌史</t>
  </si>
  <si>
    <t>018-19頁</t>
  </si>
  <si>
    <t>全九集について</t>
  </si>
  <si>
    <t>中泉行正</t>
  </si>
  <si>
    <t>病家要論の著者伊藤玄恕</t>
  </si>
  <si>
    <t>019頁</t>
  </si>
  <si>
    <t>骨継治療重宝記について</t>
  </si>
  <si>
    <t>石原昂・蒲原宏</t>
  </si>
  <si>
    <t>020-21頁</t>
  </si>
  <si>
    <t>高血圧の史的展望</t>
  </si>
  <si>
    <t>020頁</t>
  </si>
  <si>
    <t>吐方と吐方家に関する一考察</t>
  </si>
  <si>
    <t>021頁</t>
  </si>
  <si>
    <t>ポンペ来朝後最初に出版した種痘書について</t>
  </si>
  <si>
    <t>明治時代初期における日本の生理学</t>
  </si>
  <si>
    <t>022-23頁</t>
  </si>
  <si>
    <t>鹿児島市在の赤倉病院考</t>
  </si>
  <si>
    <t>明治女医の始、生沢クノとその生涯</t>
  </si>
  <si>
    <t>023-24頁</t>
  </si>
  <si>
    <t>蘭方製薬史（第二報）</t>
  </si>
  <si>
    <t>024-25頁</t>
  </si>
  <si>
    <t>中共における医学史教育について</t>
  </si>
  <si>
    <t>024頁</t>
  </si>
  <si>
    <t>与石考</t>
  </si>
  <si>
    <t>025-26頁</t>
  </si>
  <si>
    <t>ニンニクの民間薬史</t>
  </si>
  <si>
    <t>平塚俊亮</t>
  </si>
  <si>
    <t>医学古典集発刊</t>
  </si>
  <si>
    <t>027-28頁</t>
  </si>
  <si>
    <t>西洋医学教育発祥百年記念祭</t>
  </si>
  <si>
    <t>027頁</t>
  </si>
  <si>
    <t>蘭学創始地標識設置と顕彰</t>
  </si>
  <si>
    <t>028-29頁</t>
  </si>
  <si>
    <t>第十七回国際医史学会議</t>
  </si>
  <si>
    <t>津崎孝道</t>
  </si>
  <si>
    <t>029頁</t>
  </si>
  <si>
    <t>カスパル流外科の流祖について</t>
  </si>
  <si>
    <t>第09巻第2号</t>
  </si>
  <si>
    <t>031-34頁</t>
  </si>
  <si>
    <t>医学古典集刊行予告</t>
  </si>
  <si>
    <t>034頁</t>
  </si>
  <si>
    <t>蘭方薬ミリンカ考</t>
  </si>
  <si>
    <t>035-37頁</t>
  </si>
  <si>
    <t>江戸時代精神病の治療に用いられた吐方（その二　喜多村良宅の治療について）</t>
  </si>
  <si>
    <t>038-46頁</t>
  </si>
  <si>
    <t>研究余禄</t>
  </si>
  <si>
    <t>元禄九年の官医名簿</t>
  </si>
  <si>
    <t>048-51頁</t>
  </si>
  <si>
    <t>051頁</t>
  </si>
  <si>
    <t>錦小路家文書（三）</t>
  </si>
  <si>
    <t>052-58頁</t>
  </si>
  <si>
    <t>新刊紹介</t>
  </si>
  <si>
    <t>概説産婦人科学史</t>
  </si>
  <si>
    <t>059頁</t>
  </si>
  <si>
    <t>志賀潔</t>
  </si>
  <si>
    <t>正倉院薬物を中心とする古代石薬の研究</t>
  </si>
  <si>
    <t>明治前日本薬物学史</t>
  </si>
  <si>
    <t>校訂・解説・勧医抄</t>
  </si>
  <si>
    <t>060頁</t>
  </si>
  <si>
    <t>外科学序説</t>
  </si>
  <si>
    <t>紙魚のむかし語り</t>
  </si>
  <si>
    <t>鑑真</t>
  </si>
  <si>
    <t>修訂本・中国医学史</t>
  </si>
  <si>
    <t>061頁</t>
  </si>
  <si>
    <t>日本医史学会小誌（中国語・英文）</t>
  </si>
  <si>
    <t>062頁</t>
  </si>
  <si>
    <t>室町末期以降海外交通資料解説－内外主要海図－</t>
  </si>
  <si>
    <t>中村拓</t>
  </si>
  <si>
    <t>063-70頁</t>
  </si>
  <si>
    <t>日本眼鏡史の研究</t>
  </si>
  <si>
    <t>福島義一</t>
  </si>
  <si>
    <t>1962年(昭和37)</t>
  </si>
  <si>
    <t>第09巻第3・4号</t>
  </si>
  <si>
    <t>071-80頁</t>
  </si>
  <si>
    <t>「家法難波骨継秘伝」について</t>
  </si>
  <si>
    <t>蒲原宏</t>
  </si>
  <si>
    <t>081-82頁</t>
  </si>
  <si>
    <t>第６１回日本医史学会総会一般講演要旨　昭和３５年５月１５日、東京大学医学部本館小講堂において開催</t>
  </si>
  <si>
    <t>081頁</t>
  </si>
  <si>
    <t>明治初期医学校の教科書について</t>
  </si>
  <si>
    <t>082-83頁</t>
  </si>
  <si>
    <t>ベルツ博士の序文のある著書－江馬賎男の「新薬説約」について</t>
  </si>
  <si>
    <t>083頁</t>
  </si>
  <si>
    <t>「蘭館日誌」中のシーボルト関係記事について</t>
  </si>
  <si>
    <t>アルバート・ウイリス（帰化名、宇利有平）のことども</t>
  </si>
  <si>
    <t>084-85頁</t>
  </si>
  <si>
    <t>広島における蘭学の始祖中井厚沢</t>
  </si>
  <si>
    <t>小石元俊著「背部十対二十穴図」について</t>
  </si>
  <si>
    <t>大阪町人の合理主義と西洋医学への理解</t>
  </si>
  <si>
    <t>和蘭伝来ルザラシについて</t>
  </si>
  <si>
    <t>記主禅師の看護観</t>
  </si>
  <si>
    <t>086-87頁</t>
  </si>
  <si>
    <t>蘭方製薬史（第四報）</t>
  </si>
  <si>
    <t>086頁</t>
  </si>
  <si>
    <t>学会刊行物一覧</t>
  </si>
  <si>
    <t>087頁</t>
  </si>
  <si>
    <t>第６２回日本医史学会総会一般講演要旨　昭和３６年１１月１１・１２日、京都市立植物園会館講堂において開催</t>
  </si>
  <si>
    <t>Ａｖｉｃｅｎｎａの゛医術の詩゛について</t>
  </si>
  <si>
    <t>東西医学の源流と交流</t>
  </si>
  <si>
    <t>「医家千字文註」が中世医学に占める地位について</t>
  </si>
  <si>
    <t>中華共和国における最近の李時珍研究</t>
  </si>
  <si>
    <t>京都における駆梅用水銀剤製造研究史－蘭方製薬史第五報－</t>
  </si>
  <si>
    <t>090-91頁</t>
  </si>
  <si>
    <t>「杏隠斎正骨要訣」について</t>
  </si>
  <si>
    <t>福沢諭吉と蘭学事始</t>
  </si>
  <si>
    <t>091-92頁</t>
  </si>
  <si>
    <t>「蘭館日誌」中に見られるいわゆるシーボルト事件関係記事について</t>
  </si>
  <si>
    <t>091頁</t>
  </si>
  <si>
    <t>幕末における外国船々員患者の治療について</t>
  </si>
  <si>
    <t>わが国における初期結核療養所</t>
  </si>
  <si>
    <t>長門谷洋治</t>
  </si>
  <si>
    <t>092頁</t>
  </si>
  <si>
    <t>尾州藩医浅井氏家譜大成と浅井系図について</t>
  </si>
  <si>
    <t>093頁</t>
  </si>
  <si>
    <t>野口英世の邦文著書「十二指腸虫病」について</t>
  </si>
  <si>
    <t>日本放射線医学史上における室馨造と福田雋一の業績</t>
  </si>
  <si>
    <t>今市正義</t>
  </si>
  <si>
    <t>094頁</t>
  </si>
  <si>
    <t>日本眼科史</t>
  </si>
  <si>
    <t>第10巻第1号</t>
  </si>
  <si>
    <t>001-9頁</t>
  </si>
  <si>
    <t>山脇東洋二百年忌記念行事</t>
  </si>
  <si>
    <t>009-10頁</t>
  </si>
  <si>
    <t>蘭学事始記念会開催</t>
  </si>
  <si>
    <t>009頁</t>
  </si>
  <si>
    <t>順天堂医大に医史学教室設置</t>
  </si>
  <si>
    <t>内閣文庫国書目録完成</t>
  </si>
  <si>
    <t>「日本科学技術史」出版</t>
  </si>
  <si>
    <t>010頁</t>
  </si>
  <si>
    <t>医史学雑誌発行について</t>
  </si>
  <si>
    <t>会長講演</t>
  </si>
  <si>
    <t>「蘭館日誌」の医史学的研究</t>
  </si>
  <si>
    <t>011-12頁</t>
  </si>
  <si>
    <t>本邦史上に見る薬効認識の変遷</t>
  </si>
  <si>
    <t>蘭方製薬史（第六報）－江戸後期の反訳医書にみられる製薬技術－</t>
  </si>
  <si>
    <t>江戸時代の食療書と「食道記」</t>
  </si>
  <si>
    <t>初期蘭医方の薬品</t>
  </si>
  <si>
    <t>郵便切手でみるフランスの医学史</t>
  </si>
  <si>
    <t>古川明</t>
  </si>
  <si>
    <t>019-20頁</t>
  </si>
  <si>
    <t>日本におけるヒポクラテス画像について</t>
  </si>
  <si>
    <t>典薬諸家の概観－福井家－</t>
  </si>
  <si>
    <t>021-22頁</t>
  </si>
  <si>
    <t>解剖学ジアムバチスタ・カナーノの事蹟</t>
  </si>
  <si>
    <t>オランダ伝来の生理学書とその和訳本についての研究</t>
  </si>
  <si>
    <t>022-24頁</t>
  </si>
  <si>
    <t>京都にウイリスの跡を訪ねて</t>
  </si>
  <si>
    <t>尾州蕃医「浅井氏家譜大成」と「浅井系図」及び国幹の「墓に告ぐる文」について</t>
  </si>
  <si>
    <t>わが国初期のアメリカ医学</t>
  </si>
  <si>
    <t>鉱山における友子同盟について（第二報）</t>
  </si>
  <si>
    <t>「素問」の成立について</t>
  </si>
  <si>
    <t>丸山昌朗</t>
  </si>
  <si>
    <t>026-27頁</t>
  </si>
  <si>
    <t>法賢が訳した小児科の仏典について</t>
  </si>
  <si>
    <t>八丈島医学史</t>
  </si>
  <si>
    <t>1963年(昭和38)</t>
  </si>
  <si>
    <t>第10巻第2・3号</t>
  </si>
  <si>
    <t>001-12頁</t>
  </si>
  <si>
    <t>桐山家について－主として桐山正哲永世－</t>
  </si>
  <si>
    <t>羽賀与七郎</t>
  </si>
  <si>
    <t>013-32頁</t>
  </si>
  <si>
    <t>中井厚沢とその著書「粥離力考」</t>
  </si>
  <si>
    <t>江戸時代蘭医方癌史</t>
  </si>
  <si>
    <t>佐藤文比古　安田史郎</t>
  </si>
  <si>
    <t>041-47頁</t>
  </si>
  <si>
    <t>例会記録 追悼</t>
  </si>
  <si>
    <t>富士川游先生を憶う</t>
  </si>
  <si>
    <t>047頁</t>
  </si>
  <si>
    <t>例会記録</t>
  </si>
  <si>
    <t>晩年の緒方洪庵</t>
  </si>
  <si>
    <t>入沢達吉先生の思い出</t>
  </si>
  <si>
    <t>赤門と育徳園</t>
  </si>
  <si>
    <t>生理学者としての大沢謙二（一）</t>
  </si>
  <si>
    <t>048頁</t>
  </si>
  <si>
    <t>コンラード・ゲスナーについて</t>
  </si>
  <si>
    <t>トーマス・フレミング</t>
  </si>
  <si>
    <t>歯科医パ－キンスの日本滞在とその子孫</t>
  </si>
  <si>
    <t>奈良時代の薬学と正倉院薬物</t>
  </si>
  <si>
    <t>鑑真の医学とその史料</t>
  </si>
  <si>
    <t>フルベッキ小伝</t>
  </si>
  <si>
    <t>国際ヒポクラテス財団への寄附</t>
  </si>
  <si>
    <t>056頁</t>
  </si>
  <si>
    <t>三枝評議員死去</t>
  </si>
  <si>
    <t>シーボルトと熊谷五右衛門</t>
  </si>
  <si>
    <t>057-59頁</t>
  </si>
  <si>
    <t>沢野忠庵伝補遺</t>
  </si>
  <si>
    <t>061-64頁</t>
  </si>
  <si>
    <t>永富独嘯庵著「漫遊雑記」の初版本</t>
  </si>
  <si>
    <t>065-66頁</t>
  </si>
  <si>
    <t>記事</t>
  </si>
  <si>
    <t>第６５回日本医史学会総会予告</t>
  </si>
  <si>
    <t>066頁</t>
  </si>
  <si>
    <t>江戸時代酒石考</t>
  </si>
  <si>
    <t>第10巻第4号</t>
  </si>
  <si>
    <t>061-63頁</t>
  </si>
  <si>
    <t>第１６回日本医学会総会記念展示</t>
  </si>
  <si>
    <t>063頁</t>
  </si>
  <si>
    <t>日本医史学会会則（改正案）</t>
  </si>
  <si>
    <t>064頁</t>
  </si>
  <si>
    <t>寺院の過去帳は疫史の研究に役立つか</t>
  </si>
  <si>
    <t>「運気論」について</t>
  </si>
  <si>
    <t>066-67頁</t>
  </si>
  <si>
    <t>宗教家の寿命の年代的考察－特に浄土宗を中心として－</t>
  </si>
  <si>
    <t>敦煌医薬文書の研究の二、三</t>
  </si>
  <si>
    <t>阿波藩医師学問所創設者小原春造の事績</t>
  </si>
  <si>
    <t>067-68頁</t>
  </si>
  <si>
    <t>「医学天正記」における福島正則と淀君の症状について</t>
  </si>
  <si>
    <t>067頁</t>
  </si>
  <si>
    <t>068-69頁</t>
  </si>
  <si>
    <t>杉本周徳翁とその学統</t>
  </si>
  <si>
    <t>068頁</t>
  </si>
  <si>
    <t>浅田宗伯の学統について</t>
  </si>
  <si>
    <t>一ノ関（岩手県）の解剖供養碑</t>
  </si>
  <si>
    <t>青木大輔　長田勝郎</t>
  </si>
  <si>
    <t>069-70頁</t>
  </si>
  <si>
    <t>ウイリアム・スメリーの産科学書の紹介</t>
  </si>
  <si>
    <t>森優</t>
  </si>
  <si>
    <t>069頁</t>
  </si>
  <si>
    <t>日本整形外科史上における「折肱要訣」と著者加賀良玄</t>
  </si>
  <si>
    <t>070-71頁</t>
  </si>
  <si>
    <t>070頁</t>
  </si>
  <si>
    <t>小石元瑞の究理堂と蘭方医学</t>
  </si>
  <si>
    <t>071-72頁</t>
  </si>
  <si>
    <t>小川含章の著「生野銀山孝義伝」について</t>
  </si>
  <si>
    <t>072頁</t>
  </si>
  <si>
    <t>わが国における化学の認識（蘭方製薬史第七報）</t>
  </si>
  <si>
    <t>073-75頁</t>
  </si>
  <si>
    <t>日本塵肺小史（その２）</t>
  </si>
  <si>
    <t>073頁</t>
  </si>
  <si>
    <t>洪庵の二子と大野藩</t>
  </si>
  <si>
    <t>岩治勇一</t>
  </si>
  <si>
    <t>075-76頁</t>
  </si>
  <si>
    <t>十九世紀、アメリカの東洋における医療伝道</t>
  </si>
  <si>
    <t>076-77頁</t>
  </si>
  <si>
    <t>オランダの旅に得た印象</t>
  </si>
  <si>
    <t>077-78頁</t>
  </si>
  <si>
    <t>生麦事件におけるウイリス、ヘボン両氏の活躍</t>
  </si>
  <si>
    <t>077頁</t>
  </si>
  <si>
    <t>078頁</t>
  </si>
  <si>
    <t>European Impression of Ｊapanese Medicine during the Tokugawa Period</t>
  </si>
  <si>
    <t>Ｉｌｚａ　Ｖｅｉｔｈ，Ｐｈ・Ｄ・</t>
  </si>
  <si>
    <t>079-94頁</t>
  </si>
  <si>
    <t>日本整形外科発達史</t>
  </si>
  <si>
    <t>1964年(昭和39)</t>
  </si>
  <si>
    <t>第11巻第1号</t>
  </si>
  <si>
    <t>大学東校生徒大野九十九と「解体学語箋」</t>
  </si>
  <si>
    <t>003-5頁</t>
  </si>
  <si>
    <t>西域出土医学関係文献解説目録</t>
  </si>
  <si>
    <t>006-7頁</t>
  </si>
  <si>
    <t>006頁</t>
  </si>
  <si>
    <t>山脇東洋の「外台秘要」の出版</t>
  </si>
  <si>
    <t>007-8頁</t>
  </si>
  <si>
    <t>いわゆる落人部落における保健薬</t>
  </si>
  <si>
    <t>今市正義　今市賀子</t>
  </si>
  <si>
    <t>007頁</t>
  </si>
  <si>
    <t>並河天民自筆稿雑療方について</t>
  </si>
  <si>
    <t>008-9頁</t>
  </si>
  <si>
    <t>吉田長淑と加賀藩</t>
  </si>
  <si>
    <t>津田進三</t>
  </si>
  <si>
    <t>本間玄調の伝記について</t>
  </si>
  <si>
    <t>010-11頁</t>
  </si>
  <si>
    <t>郵便切手に描かれたオーストリアの医学者</t>
  </si>
  <si>
    <t>トーマス・バルトリン著、解剖学書の一六五三年版と一六五六年版の図譜の比較</t>
  </si>
  <si>
    <t>011頁</t>
  </si>
  <si>
    <t>「カスパル十七方」について（蘭方製薬史第８報）</t>
  </si>
  <si>
    <t>012-13頁</t>
  </si>
  <si>
    <t>扶歇蘭度「原病学」と利摂蘭度「人身窮理書」</t>
  </si>
  <si>
    <t>未知のシーボルト関係資料について</t>
  </si>
  <si>
    <t>尾台榕堂の生い立ち（第一報）</t>
  </si>
  <si>
    <t>015-16頁</t>
  </si>
  <si>
    <t>明治初年における皇漢医道御用掛の医史学的意義</t>
  </si>
  <si>
    <t>同志社におけるベリーとリチャーズ</t>
  </si>
  <si>
    <t>明治期輸入医学の研究様式（Ｗｅｉｓｅ）と研究手段(Ｍｉｔｔｅｌ）との関係－比較医学史の方法のための試み－衛生学（ペツテンコーフアー学派）の場合について－</t>
  </si>
  <si>
    <t>野村拓　山城正之</t>
  </si>
  <si>
    <t>明治前期における衛生行政の展開過程</t>
  </si>
  <si>
    <t>松田武</t>
  </si>
  <si>
    <t>封建制下の農民の保健状態（第１報）－過去帳その他古文書利用による畿内－山村の人口変遷－</t>
  </si>
  <si>
    <t>アメリカの医史学者を訪ねて</t>
  </si>
  <si>
    <t>１０６１年に沈括が製造した性ホルモン剤について</t>
  </si>
  <si>
    <t>宮下三郎</t>
  </si>
  <si>
    <t>第11巻第2号</t>
  </si>
  <si>
    <t>禅僧鈴木正三の唱えた医師の倫理観</t>
  </si>
  <si>
    <t>002-3頁</t>
  </si>
  <si>
    <t>我が国における救急蘇生法の歩みについて</t>
  </si>
  <si>
    <t>谷津三雄　武田充弘</t>
  </si>
  <si>
    <t>十日町の名医服部家</t>
  </si>
  <si>
    <t>我が国の歯科医学分科史について　（一）本間玄調の歯科（口腔）外科　（二）名古屋玄医の歯口科</t>
  </si>
  <si>
    <t>鈴木勝　谷津三雄</t>
  </si>
  <si>
    <t>004-5頁</t>
  </si>
  <si>
    <t>「読腹証奇覧」を読んで</t>
  </si>
  <si>
    <t>005-6頁</t>
  </si>
  <si>
    <t>「蘭学事始」の写本についての諸問題</t>
  </si>
  <si>
    <t>藤井方亭と加賀藩</t>
  </si>
  <si>
    <t>藤井方亭の資料『柿園文鈔』について</t>
  </si>
  <si>
    <t>藤井亭巳</t>
  </si>
  <si>
    <t>『依百乙薬性論』について</t>
  </si>
  <si>
    <t>ポムペの梅毒学講義について</t>
  </si>
  <si>
    <t>012頁</t>
  </si>
  <si>
    <t>Ｃｏｍｅｒｆｏｒｄの日本印象記</t>
  </si>
  <si>
    <t>田口和美と明治の解剖事始め</t>
  </si>
  <si>
    <t>封建制下の農民の保健状態（第二報）</t>
  </si>
  <si>
    <t>日米医学の関連</t>
  </si>
  <si>
    <t>金井泉博士著「臨牀検査法提要」の初版刊行について</t>
  </si>
  <si>
    <t>会田恵</t>
  </si>
  <si>
    <t>富士川游先生の別号・筆名について－富士川先生生誕百年に因みて－</t>
  </si>
  <si>
    <t>歴史的人間、特に日本生理学の伝統と創造について</t>
  </si>
  <si>
    <t>切手で見るオランダの医学史</t>
  </si>
  <si>
    <t>ゲーテの「ファウスト」に於ける医学的事項について</t>
  </si>
  <si>
    <t>藤森速水</t>
  </si>
  <si>
    <t>一元的体系による医学史研究、東西医学一元論</t>
  </si>
  <si>
    <t>第十九回国際医史学会の報告</t>
  </si>
  <si>
    <t>日本医学放射線科学・技術史年表</t>
  </si>
  <si>
    <t>今市正義　笠原和賀江　米田賀子</t>
  </si>
  <si>
    <t>日本製薬技術史の研究</t>
  </si>
  <si>
    <t>1965年(昭和40)</t>
  </si>
  <si>
    <t>第11巻第3号</t>
  </si>
  <si>
    <t>003-137頁</t>
  </si>
  <si>
    <t>我が国外科に及ぼしたヨーロッパ医学の影響</t>
  </si>
  <si>
    <t>第11巻第4号</t>
  </si>
  <si>
    <t>001-26頁</t>
  </si>
  <si>
    <t>杉田玄白述『犬解嘲』について</t>
  </si>
  <si>
    <t>片桐一男</t>
  </si>
  <si>
    <t>027-39頁</t>
  </si>
  <si>
    <t>資料</t>
  </si>
  <si>
    <t>寄贈図書紹介</t>
  </si>
  <si>
    <t>大鳥蘭三郎　</t>
  </si>
  <si>
    <t>039頁</t>
  </si>
  <si>
    <t>040-44頁</t>
  </si>
  <si>
    <t>『庶物類纂』の成立と伝本</t>
  </si>
  <si>
    <t>福井保</t>
  </si>
  <si>
    <t>045-53頁</t>
  </si>
  <si>
    <t>053-54頁</t>
  </si>
  <si>
    <t>東京医大蔵貴重古医書解題</t>
  </si>
  <si>
    <t>矢数道明　石原明</t>
  </si>
  <si>
    <t>055-58頁</t>
  </si>
  <si>
    <t>例会記事</t>
  </si>
  <si>
    <t>059-60頁</t>
  </si>
  <si>
    <t>我が国外科に及ぼしたヨーロッパ医学の影響（２）</t>
  </si>
  <si>
    <t>第12巻第1号</t>
  </si>
  <si>
    <t>002-53頁</t>
  </si>
  <si>
    <t>054頁</t>
  </si>
  <si>
    <t>『蘭学事始』福沢本の筆者</t>
  </si>
  <si>
    <t>富田正文</t>
  </si>
  <si>
    <t>055-57頁</t>
  </si>
  <si>
    <t>会告</t>
  </si>
  <si>
    <t>058-59頁</t>
  </si>
  <si>
    <t>Ｔｈｅ　Ｐａｓｔ　１００　Ｙｅａｒｓ，Ａ　Ｃｅｎｔｕｒｙ　ｏｆ　Ｊａｐａｎｅｓｅ　Ｍｅｄｉｃｉｎｅ</t>
  </si>
  <si>
    <t>060-66頁</t>
  </si>
  <si>
    <t>我が国外科に及ぼしたヨーロッパ医学の影響（３）</t>
  </si>
  <si>
    <t>1966年(昭和41)</t>
  </si>
  <si>
    <t>第12巻第2号</t>
  </si>
  <si>
    <t>002-65頁</t>
  </si>
  <si>
    <t>蘭館医デ・ホウトの死について</t>
  </si>
  <si>
    <t>066-69頁</t>
  </si>
  <si>
    <t>071頁</t>
  </si>
  <si>
    <t>明治初期横浜医学史稿</t>
  </si>
  <si>
    <t>第12巻第3号</t>
  </si>
  <si>
    <t>0013-22頁</t>
  </si>
  <si>
    <t>薬の生いたち</t>
  </si>
  <si>
    <t>生命体験、その自覚と反省</t>
  </si>
  <si>
    <t>007-11頁</t>
  </si>
  <si>
    <t>矢数道明　矢数圭堂</t>
  </si>
  <si>
    <t>「世界医学史」書誌</t>
  </si>
  <si>
    <t>阿知波五郎　三木栄</t>
  </si>
  <si>
    <t>024-26頁</t>
  </si>
  <si>
    <t>医学の合理的性格</t>
  </si>
  <si>
    <t>明治初年頃の歯牙養生法（口腔衛生）について</t>
  </si>
  <si>
    <t>鈴木勝　谷津三雄　西山伸二</t>
  </si>
  <si>
    <t>我が国における歯科麻酔史について</t>
  </si>
  <si>
    <t>谷津三雄　高橋清一郎　川畑紀義</t>
  </si>
  <si>
    <t>我が国における救急蘇生法の歩みと口腔外科史（第二報）</t>
  </si>
  <si>
    <t>谷津三雄　佐藤巌　阿部富雄</t>
  </si>
  <si>
    <t>歯科レントゲンの歩みについて</t>
  </si>
  <si>
    <t>鈴木勝　谷津三雄　武田充弘</t>
  </si>
  <si>
    <t>日本の放射線医学と技術を発達させた成書について</t>
  </si>
  <si>
    <t>029-30頁</t>
  </si>
  <si>
    <t>寺院の過去帳に現われた岩手県の飢饉の様相</t>
  </si>
  <si>
    <t>030-31頁</t>
  </si>
  <si>
    <t>031-32頁</t>
  </si>
  <si>
    <t>ゲーテ家系を血液型不適合と考える学説について</t>
  </si>
  <si>
    <t>031頁</t>
  </si>
  <si>
    <t>「南海寄帰伝」に見られる衛生学的事項について</t>
  </si>
  <si>
    <t>033頁</t>
  </si>
  <si>
    <t>琉球本草史の一考察</t>
  </si>
  <si>
    <t>034-35頁</t>
  </si>
  <si>
    <t>疫神</t>
  </si>
  <si>
    <t>蘭方莨宕考</t>
  </si>
  <si>
    <t>035-36頁</t>
  </si>
  <si>
    <t>杵築藩侍医佐野家遺文集と藤井方亭</t>
  </si>
  <si>
    <t>036-37頁</t>
  </si>
  <si>
    <t>来日外人医学関係者名簿の作成について</t>
  </si>
  <si>
    <t>中川米造　長門谷洋治</t>
  </si>
  <si>
    <t>036頁</t>
  </si>
  <si>
    <t>宇田川玄真訳「印度備要方」について</t>
  </si>
  <si>
    <t>037-38頁</t>
  </si>
  <si>
    <t>「瘍科新選」の原書</t>
  </si>
  <si>
    <t>038-39頁</t>
  </si>
  <si>
    <t>１８００～１８５０年間のフランス衛生学と法医学－明治期近代医学受容過程の解析のための－</t>
  </si>
  <si>
    <t>山城正之</t>
  </si>
  <si>
    <t>039-40頁</t>
  </si>
  <si>
    <t>パイエル氏板の発見者は誰か</t>
  </si>
  <si>
    <t>040頁</t>
  </si>
  <si>
    <t>わが国外科に及ぼしたヨーロッパ医学の影響（４）</t>
  </si>
  <si>
    <t>第12巻第4号</t>
  </si>
  <si>
    <t>002-76頁</t>
  </si>
  <si>
    <t>077-96頁</t>
  </si>
  <si>
    <t>第６７回総会記事</t>
  </si>
  <si>
    <t>097-99頁</t>
  </si>
  <si>
    <t>雑誌文籍</t>
  </si>
  <si>
    <t>100-101頁</t>
  </si>
  <si>
    <t>102-103頁</t>
  </si>
  <si>
    <t>ドイツ医学採用についてのフルベッキの証言とその時代的背景</t>
  </si>
  <si>
    <t>安芸基雄</t>
  </si>
  <si>
    <t>1967年(昭和42)</t>
  </si>
  <si>
    <t>第13巻第1号</t>
  </si>
  <si>
    <t>001-32頁</t>
  </si>
  <si>
    <t>禅僧鈴木正三の唱えた医者の倫理観</t>
  </si>
  <si>
    <t>034-37頁</t>
  </si>
  <si>
    <t>吉川宗元宛前野良沢書状と石川大浪筆ヒポクラテス像</t>
  </si>
  <si>
    <t>038-53頁</t>
  </si>
  <si>
    <t>「白鳥雄蔵種痘之書」について－中川五郎治の種痘法に関連して</t>
  </si>
  <si>
    <t>松木明知</t>
  </si>
  <si>
    <t>054-60頁</t>
  </si>
  <si>
    <t>061-62頁</t>
  </si>
  <si>
    <t>町医者としての本居宣長と上田秋成</t>
  </si>
  <si>
    <t>服部敏良</t>
  </si>
  <si>
    <t>第13巻第2号</t>
  </si>
  <si>
    <t>001-18頁</t>
  </si>
  <si>
    <t>伊藤圭介翁の生涯とその業績</t>
  </si>
  <si>
    <t>吉川芳秋</t>
  </si>
  <si>
    <t>019-28頁</t>
  </si>
  <si>
    <t>現代日本の医育史</t>
  </si>
  <si>
    <t>戸苅近太郎</t>
  </si>
  <si>
    <t>029-44頁</t>
  </si>
  <si>
    <t>ロシアにおける牛痘種痘法の起源－中川五郎治の種痘法に関連して－</t>
  </si>
  <si>
    <t>045-48頁</t>
  </si>
  <si>
    <t>津軽における人体解剖の事蹟</t>
  </si>
  <si>
    <t>049-53頁</t>
  </si>
  <si>
    <t>琉球に於ける牛痘の始祖仲地紀仁の種痘に就て</t>
  </si>
  <si>
    <t>金城清松</t>
  </si>
  <si>
    <t>054-58頁</t>
  </si>
  <si>
    <t>日本における歯科法医学の歩み</t>
  </si>
  <si>
    <t>癌という漢字について</t>
  </si>
  <si>
    <t>我が国における口腔外科史（第三報）</t>
  </si>
  <si>
    <t>谷津三雄　岩瀬一也</t>
  </si>
  <si>
    <t>060-62頁</t>
  </si>
  <si>
    <t>日本における歯科医学分科史の研究（補遺）</t>
  </si>
  <si>
    <t>鈴木勝　谷津三雄　石橋直</t>
  </si>
  <si>
    <t>062-64頁</t>
  </si>
  <si>
    <t>わが国における歯科麻酔史について（第二報）</t>
  </si>
  <si>
    <t>064-66頁</t>
  </si>
  <si>
    <t>わが国における救急蘇生法の歩み（第三報）</t>
  </si>
  <si>
    <t>谷津三雄　西山伸二</t>
  </si>
  <si>
    <t>066-68頁</t>
  </si>
  <si>
    <t>越後長岡藩における人屍解剖事蹟について</t>
  </si>
  <si>
    <t>蒲原宏　藤井正宣</t>
  </si>
  <si>
    <t>金元本草の特徴とその成立の過程</t>
  </si>
  <si>
    <t>欧州へ留学した最初の日本人</t>
  </si>
  <si>
    <t>阿波の戦国時代における武将が軍陣に用いた薬方</t>
  </si>
  <si>
    <t>米田賀子　今市正義</t>
  </si>
  <si>
    <t>欧州への東洋医学紹介者としての蘭医ウイレム・テン・リーネの業蹟について</t>
  </si>
  <si>
    <t>大塚恭男</t>
  </si>
  <si>
    <t>072-73頁</t>
  </si>
  <si>
    <t>稀本、英文「ヘルマン、ブールハーヴェ伝」（１７４３）について</t>
  </si>
  <si>
    <t>074頁</t>
  </si>
  <si>
    <t>栗崎正羽道有伝補遺</t>
  </si>
  <si>
    <t>ゲーテの医道観とその背景</t>
  </si>
  <si>
    <t>075頁</t>
  </si>
  <si>
    <t>南蛮栗崎流の一学系について－愛知県碧海郡高浜町山脇家所蔵古文書の紹介－</t>
  </si>
  <si>
    <t>安井広</t>
  </si>
  <si>
    <t>南蛮、紅毛流医学受容過渡期における、いわゆるカスパル流医学の位置づけについて</t>
  </si>
  <si>
    <t>河口信任の長崎遊学寸見</t>
  </si>
  <si>
    <t>川島恂二</t>
  </si>
  <si>
    <t>078-79頁</t>
  </si>
  <si>
    <t>東北地方における安政のコレラ流行について</t>
  </si>
  <si>
    <t>079-80頁</t>
  </si>
  <si>
    <t>杵築藩医井坂玄琳の診療簿について</t>
  </si>
  <si>
    <t>080-81頁</t>
  </si>
  <si>
    <t>黒川良安について</t>
  </si>
  <si>
    <t>江戸時代行刑にみられる囚人の給食</t>
  </si>
  <si>
    <t>木村英子　杉田暉道　宍戸昌夫　石原明</t>
  </si>
  <si>
    <t>蘭方禁止の幕令と藤井方朔</t>
  </si>
  <si>
    <t>083-84頁</t>
  </si>
  <si>
    <t>西郷隆盛と医学</t>
  </si>
  <si>
    <t>九大医学部の前進「福岡医学校」について</t>
  </si>
  <si>
    <t>奥村武</t>
  </si>
  <si>
    <t>学校給食の史的考察（明治より昭和の戦前まで）</t>
  </si>
  <si>
    <t>杉田暉道　宍戸昌夫　石原明</t>
  </si>
  <si>
    <t>田代文基、竹崎藤樹、纂補の「組織図」に書かれた術語について</t>
  </si>
  <si>
    <t>日赤病院の発展</t>
  </si>
  <si>
    <t>087-88頁</t>
  </si>
  <si>
    <t>日本医学会の歩み第一回日本医学会と（１８９０）第一回日本聊合医学会（１９０２）について</t>
  </si>
  <si>
    <t>088-89頁</t>
  </si>
  <si>
    <t>大正三年所謂「伝研移管問題」について</t>
  </si>
  <si>
    <t>第２０回国際医史学会に出席しての報告</t>
  </si>
  <si>
    <t>大正三年の所謂「伝研移管問題」について　其の一</t>
  </si>
  <si>
    <t>第13巻第3号</t>
  </si>
  <si>
    <t>001-25頁</t>
  </si>
  <si>
    <t>中川五郎治に関する最近の知見</t>
  </si>
  <si>
    <t>026-32頁</t>
  </si>
  <si>
    <t>白鳥雄蔵と白鳥家の塋域</t>
  </si>
  <si>
    <t>033-37頁</t>
  </si>
  <si>
    <t>038-45頁</t>
  </si>
  <si>
    <t>山崎佐、藤井尚久、青木大輔三博士の逝去</t>
  </si>
  <si>
    <t>046頁</t>
  </si>
  <si>
    <t>伏屋琴坂の記念碑について</t>
  </si>
  <si>
    <t>047-48頁</t>
  </si>
  <si>
    <t>Ｋｕｒｚｅ　Ｇｅｓｃｈｉｃｈｔｅ　ｖｏｎ　ｅｉｎｅｍ　ｃｈｉｎｅｓｉｓｃｈｅｎ　Ｈｅｉｌｋｒａｕｔ　Ｔｕ　Ｆｕ　Ｌｉｎｇ　土茯苓　（Ｃｈｉｎａｗｕｒｚｅｌ）</t>
  </si>
  <si>
    <t>1968年(昭和43)</t>
  </si>
  <si>
    <t>第13巻第4号</t>
  </si>
  <si>
    <t>001-15頁</t>
  </si>
  <si>
    <t>杉田玄白の女「八百」</t>
  </si>
  <si>
    <t>大正３年の所謂「伝研移管問題」について　其の２</t>
  </si>
  <si>
    <t>019-40頁</t>
  </si>
  <si>
    <t>比良野貞彦と解剖図譜</t>
  </si>
  <si>
    <t>041-48頁</t>
  </si>
  <si>
    <t>わが国近世の手紙の読み方</t>
  </si>
  <si>
    <t>049-51頁</t>
  </si>
  <si>
    <t>052-54頁</t>
  </si>
  <si>
    <t>国際医史学会のお知らせ</t>
  </si>
  <si>
    <t>054-55頁</t>
  </si>
  <si>
    <t>「日本医史学雑誌」投稿規定</t>
  </si>
  <si>
    <t>日本検疫史</t>
  </si>
  <si>
    <t>山下喜明</t>
  </si>
  <si>
    <t>第14巻第1号</t>
  </si>
  <si>
    <t>001-34頁</t>
  </si>
  <si>
    <t>シンポジウム「北裏日本における種痘伝播について」</t>
  </si>
  <si>
    <t>金沢地方における種痘伝播について</t>
  </si>
  <si>
    <t>越後佐渡種痘史</t>
  </si>
  <si>
    <t>038-43頁</t>
  </si>
  <si>
    <t>秋田におけるロシア伝来の種痘法</t>
  </si>
  <si>
    <t>吉成直太郎</t>
  </si>
  <si>
    <t>044-47頁</t>
  </si>
  <si>
    <t>青森県における種痘の歴史</t>
  </si>
  <si>
    <t>047-51頁</t>
  </si>
  <si>
    <t>衛生検査技師教育の史的観察</t>
  </si>
  <si>
    <t>柴田幸雄</t>
  </si>
  <si>
    <t>051-53頁</t>
  </si>
  <si>
    <t>わが国における血球計算法の使用について</t>
  </si>
  <si>
    <t>古代医学史上の甲状腺腫</t>
  </si>
  <si>
    <t>徳島医学放射線文化史年表（完）</t>
  </si>
  <si>
    <t>医学用語辞典の歴史</t>
  </si>
  <si>
    <t>再び「体系・世界医学史」について</t>
  </si>
  <si>
    <t>三木栄　阿知波五郎</t>
  </si>
  <si>
    <t>060-61頁</t>
  </si>
  <si>
    <t>アカクネヒトのパリ病院医学（１７９４－１８４８）</t>
  </si>
  <si>
    <t>比較語学的方法による身体意識史検討の試み（一）</t>
  </si>
  <si>
    <t>三輪卓爾</t>
  </si>
  <si>
    <t>仏典にみられる社会政策</t>
  </si>
  <si>
    <t>外国看護史書における本邦看護史に関する記述について</t>
  </si>
  <si>
    <t>068-70頁</t>
  </si>
  <si>
    <t>中国医学に関する医学全書</t>
  </si>
  <si>
    <t>070-73頁</t>
  </si>
  <si>
    <t>循環生理学の歴史</t>
  </si>
  <si>
    <t>073-77頁</t>
  </si>
  <si>
    <t>備作医史補遺</t>
  </si>
  <si>
    <t>中山沃</t>
  </si>
  <si>
    <t>077-80頁</t>
  </si>
  <si>
    <t>「タバコ」の功罪について（大槻盤水「篶録」を中心に）</t>
  </si>
  <si>
    <t>中沢修</t>
  </si>
  <si>
    <t>080-82頁</t>
  </si>
  <si>
    <t>加州家三世藤井方亭（方省）の主なる経歴について</t>
  </si>
  <si>
    <t>川柳等より見たる「腑分け」と「解剖」</t>
  </si>
  <si>
    <t>山本成之助</t>
  </si>
  <si>
    <t>084-86頁</t>
  </si>
  <si>
    <t>清亮寺の「解剖人墓」について</t>
  </si>
  <si>
    <t>087-89頁</t>
  </si>
  <si>
    <t>三重県にある寛政十二年女屍解体図について報告</t>
  </si>
  <si>
    <t>茅原弘</t>
  </si>
  <si>
    <t>緒方洪庵の備前藩主診察と尺牘二通</t>
  </si>
  <si>
    <t>091-94頁</t>
  </si>
  <si>
    <t>杉田玄白著未刊随筆三種</t>
  </si>
  <si>
    <t>094-97頁</t>
  </si>
  <si>
    <t>蘭学医学思想の受容と抵抗―河野省庵の「医則発揮」を中心として</t>
  </si>
  <si>
    <t>097-100頁</t>
  </si>
  <si>
    <t>傍観機関における森鴎外</t>
  </si>
  <si>
    <t>安芸基雄　藤村英子</t>
  </si>
  <si>
    <t>100-103頁</t>
  </si>
  <si>
    <t>別天氏と鴎外と―衛生学の医史学的試論―</t>
  </si>
  <si>
    <t>丸山博　松田武</t>
  </si>
  <si>
    <t>103-104頁</t>
  </si>
  <si>
    <t>日本医学史上の明治２０年</t>
  </si>
  <si>
    <t>104-107頁</t>
  </si>
  <si>
    <t>医療の分科史をどう考えるか</t>
  </si>
  <si>
    <t>中川米造</t>
  </si>
  <si>
    <t>良寛をめぐる医師達</t>
  </si>
  <si>
    <t>藤井正宣</t>
  </si>
  <si>
    <t>109-111頁</t>
  </si>
  <si>
    <t>新潟における外人宣教医</t>
  </si>
  <si>
    <t>戌辰越後戦争と加賀藩</t>
  </si>
  <si>
    <t>112-115頁</t>
  </si>
  <si>
    <t>越後の産んだ仁医、尾台榕堂翁について</t>
  </si>
  <si>
    <t>115-118頁</t>
  </si>
  <si>
    <t>新潟県北部の歯の民俗について</t>
  </si>
  <si>
    <t>本間邦則</t>
  </si>
  <si>
    <t>118-119頁</t>
  </si>
  <si>
    <t>遁花秘訣（二種）と魯西亜牛痘全書と村山七郎訳ロシア原書の内容比較</t>
  </si>
  <si>
    <t>小川鼎三　酒井シヅ</t>
  </si>
  <si>
    <t>119-122頁</t>
  </si>
  <si>
    <t>緒方洪庵の贈位とその前後</t>
  </si>
  <si>
    <t>第14巻第2号</t>
  </si>
  <si>
    <t>123-130頁</t>
  </si>
  <si>
    <t>緒方洪庵の贈位記念碑建設の前後</t>
  </si>
  <si>
    <t>131-139頁</t>
  </si>
  <si>
    <t>大正三年の「所謂伝研移管問題」について　其の３</t>
  </si>
  <si>
    <t>140-189頁</t>
  </si>
  <si>
    <t>「伝研移管と森鴎外」</t>
  </si>
  <si>
    <t>190-191頁</t>
  </si>
  <si>
    <t>横浜市立大学病院の沿革及び看護業務の歴史的考察</t>
  </si>
  <si>
    <t>杉田暉道　野口美和子</t>
  </si>
  <si>
    <t>190頁</t>
  </si>
  <si>
    <t>「蘭館日誌」に見える西洋人科学者</t>
  </si>
  <si>
    <t>191-192頁</t>
  </si>
  <si>
    <t>佐藤泰然と種痘</t>
  </si>
  <si>
    <t>191頁</t>
  </si>
  <si>
    <t>嬰児殺しに関する医史学的一考察</t>
  </si>
  <si>
    <t>石山【いく】夫</t>
  </si>
  <si>
    <t>192-193頁</t>
  </si>
  <si>
    <t>杉田玄白と直宿物語、フェイトなど</t>
  </si>
  <si>
    <t>192頁</t>
  </si>
  <si>
    <t>故宮博物院の医学史料</t>
  </si>
  <si>
    <t>193-194頁</t>
  </si>
  <si>
    <t>江戸時代精神病治療史の梗概</t>
  </si>
  <si>
    <t>山田光胤</t>
  </si>
  <si>
    <t>194-195頁</t>
  </si>
  <si>
    <t>日本医史学会新潟地方会の創立</t>
  </si>
  <si>
    <t>195頁</t>
  </si>
  <si>
    <t>雑報　論文抄読</t>
  </si>
  <si>
    <t>Ｆｒａｎｃｉｓｃｏ　Ｇｕｅｒｒａ：Ｊｕａｎ　ｄｅ　Ｖａｌｖｅｒｄｅ　ｄｅ　Ａｍｕｓｃｏ・　Ｃｌｉｏ　Ｍｅｄｉｃａ　Ｖｏｌ　２，ｐｐ　３３９－３６２，１９６７</t>
  </si>
  <si>
    <t>Ｔ・Ｏ・生</t>
  </si>
  <si>
    <t>196-197頁</t>
  </si>
  <si>
    <t>寺院の過去帳からみた岩手県の飢饉</t>
  </si>
  <si>
    <t>196頁</t>
  </si>
  <si>
    <t>Ｔｈｅ　Ｐｒｅｖｅｎｔｉｏｎ　ｏｆ　ｓｍａｌｌｐｏｘ：Ｆｒｏｍ　Ｅｄｗａｒｄ　Ｊｅｎｎｅｒ　ｔｏ　Ｍｏｎｃｋｔｏｎ　Ｃｏｐｅｍａｎ　ｂｙ　Ｓｉｒ　Ａｒｔｈｕｒ　Ｓａｌｕｓｂｕｒｙ　ＭａｃＮａｌｔｙ，Ｋ．Ｃ．Ｂ．ｍｅｄｉｃａｌ　Ｈｉｓｔｏｔｙ，Ｖｏｌ．ＸＩＩ．１－１８・１９６８・</t>
  </si>
  <si>
    <t>Ｓ・Ｓ</t>
  </si>
  <si>
    <t>197頁</t>
  </si>
  <si>
    <t>嶺春泰伝</t>
  </si>
  <si>
    <t>第14巻第3号</t>
  </si>
  <si>
    <t>201-249頁</t>
  </si>
  <si>
    <t>典薬諸家の概説　その一家福井家について</t>
  </si>
  <si>
    <t>250-257頁</t>
  </si>
  <si>
    <t>「蘭館日誌」に見える日本人科学者医学者を中心として</t>
  </si>
  <si>
    <t>258-259頁</t>
  </si>
  <si>
    <t>明治百年漢方略史年表作成余話</t>
  </si>
  <si>
    <t>258頁</t>
  </si>
  <si>
    <t>忍性の医療社会事業とくにその思想的背景について</t>
  </si>
  <si>
    <t>259-260頁</t>
  </si>
  <si>
    <t>幕末における宮中の御出産について</t>
  </si>
  <si>
    <t>259頁</t>
  </si>
  <si>
    <t>近刊「解体新書」の自評</t>
  </si>
  <si>
    <t>260-262頁</t>
  </si>
  <si>
    <t>Ｄｉｅ　ｆｒａｎｚｏｓｉｓｃｈｅ　Ｒｅｖｏｌｕｔｉｏｎ　ｕｎｄ　ｄｉｅ　Ｍｅｄｉｚｉｎ　Ｅｂｅｒｈａｒｄ　Ｓｔｕｂｌｅｒ　（Ｓｕｄｈｏｆｆｓ　Ａｒｃｈｉｖ　Ｂｄ．３７　ｐ．１３１－１３９）</t>
  </si>
  <si>
    <t>262頁</t>
  </si>
  <si>
    <t>小川鼎三著「解体新書－蘭学をおこした人々－」</t>
  </si>
  <si>
    <t>263頁</t>
  </si>
  <si>
    <t>ＥＤＷＡＲＤ　ＪＥＮＮＥＲ；Ｔｈｅ　Ｈｉｓｔｏｒｙ　ｏｆ　ａ　ｍｅｄｉｃａｌｍｙｔｈ　ｂｙ　Ｐ．Ｅ．Ｒａｚｚｅｌｌ，Ｍｅｄｉｃａｌ　Ｈｉｓｔｏｒｙ，Ｖｏｌ．９．ｐ．２１６－２２９・１９６５</t>
  </si>
  <si>
    <t>Ｓ・Ｓ抄</t>
  </si>
  <si>
    <t>264-265頁</t>
  </si>
  <si>
    <t>Ｃｈａｒｌｅｓ　Ｃｏｕｒｙ；Ｓｉｒ　Ｗｉｌｌｉａｍ　Ｏｓｌｅｒ　ａｎｄ　Ｆｒｅｎｃｈ　ｍｅｄｉｃｉｎｅ，Ｍｅｄｉｃａｌ　Ｈｉｓｔｏｒｙ，Ｖｏｌ．ＸＩ．Ｎｏ．１（１９６７）ｐｐ．１－１４</t>
  </si>
  <si>
    <t>264頁</t>
  </si>
  <si>
    <t>Ｊｏｓｅｐｈ　Ｎｅｅｄｈａｍ；Ｓｃｉｅｎｃｅ　ａｎｄ　Ｓｏｃｉｅｔｙ　ｉｎ　Ｅａｓｔａｎｄ　Ｗｅｓｔ，Ｃｅｎｔａｕｒｕｓ．Ｖｏｌ．１０，Ｎｏ．３（１９９４）ｐｐ．１７４－１９７</t>
  </si>
  <si>
    <t>Ｔ・Ｏ</t>
  </si>
  <si>
    <t>265-266頁</t>
  </si>
  <si>
    <t>Ｍａｒｔｉｎ　Ｓｕｄｈｏｆｆｓａｒｃｈｉｖ，Ｂｄ・５１，Ｈ・２（Ｊｕｌｉ・１９６７）・Ｓ・１６５－１８３</t>
  </si>
  <si>
    <t>266頁</t>
  </si>
  <si>
    <t>実験生理学の祖伏屋素狄の建碑</t>
  </si>
  <si>
    <t>267頁</t>
  </si>
  <si>
    <t>緒方洪庵墓の整理</t>
  </si>
  <si>
    <t>第14巻第4号</t>
  </si>
  <si>
    <t>271-274頁</t>
  </si>
  <si>
    <t>鴎外の史伝「渋江抽斎」の校勘記（１）</t>
  </si>
  <si>
    <t>松木明</t>
  </si>
  <si>
    <t>275-278頁</t>
  </si>
  <si>
    <t>「甲状腺」の語史学的考察</t>
  </si>
  <si>
    <t>279-284頁</t>
  </si>
  <si>
    <t>石川大浪筆ヒポクラテス像の蘭文書き入れ</t>
  </si>
  <si>
    <t>285-287頁</t>
  </si>
  <si>
    <t>近代医家の位地</t>
  </si>
  <si>
    <t>288頁</t>
  </si>
  <si>
    <t>日本医史学会の沿革について</t>
  </si>
  <si>
    <t>日本における医聖崇拝</t>
  </si>
  <si>
    <t>289-290頁</t>
  </si>
  <si>
    <t>ナイチンゲールと日本</t>
  </si>
  <si>
    <t>289頁</t>
  </si>
  <si>
    <t>中国における水銀利尿剤の濫觴と神仙流医学</t>
  </si>
  <si>
    <t>290頁</t>
  </si>
  <si>
    <t>わが国における初期歯科医師団体の成立並びにその発展過程の展望</t>
  </si>
  <si>
    <t>高木圭ニ郎</t>
  </si>
  <si>
    <t>291-292頁</t>
  </si>
  <si>
    <t>藤井方亭の生家をたづねて</t>
  </si>
  <si>
    <t>291頁</t>
  </si>
  <si>
    <t>「解体新書」の原書供覧</t>
  </si>
  <si>
    <t>293-294頁</t>
  </si>
  <si>
    <t>司馬江漢の銅版画技法の原典について</t>
  </si>
  <si>
    <t>菅野陽</t>
  </si>
  <si>
    <t>293頁</t>
  </si>
  <si>
    <t>Ｇｙｕｌａ　Ｒｅｇ【ｏ】ｌｙ－Ｍｅｒｅｉ；Ｐ【ａ】ｌａｏｐａｔｈｏｌｏｇｉｓｃｈｅ　ｕｎｄ　ｅｐｉｇｒａｐｈｉｓｃｈｅ　Ａｎｇａｂｅｎｚｕｒ　Ｆｒａｇｅ　ｄｅｒ　Ｐｏｃｋｅｎ　ｉｎ　Ａｌｔ【ａ】ｇｙｐｔｅｎ，Ｓｕｄｈｏｆｆｓ　Ａｒｃｈｉｖ，Ｂｄ．５０，Ｓ．４１１－４１７</t>
  </si>
  <si>
    <t>294頁</t>
  </si>
  <si>
    <t>第２１回　国際医史学会に参加して</t>
  </si>
  <si>
    <t>295頁</t>
  </si>
  <si>
    <t>日本法医学総会５０回の歩み</t>
  </si>
  <si>
    <t>酒井シヅ</t>
  </si>
  <si>
    <t>栗崎道有伝補遺</t>
  </si>
  <si>
    <t>1969年(昭和44)</t>
  </si>
  <si>
    <t>第15巻第1号</t>
  </si>
  <si>
    <t>001-5頁</t>
  </si>
  <si>
    <t>安懐堂をめぐる二・三の問題</t>
  </si>
  <si>
    <t>006-8頁</t>
  </si>
  <si>
    <t>安懐堂と日習堂</t>
  </si>
  <si>
    <t>009-11頁</t>
  </si>
  <si>
    <t>烏山松円ははたして庄内藩医か―「蘭東事始」覚え書（三）―</t>
  </si>
  <si>
    <t>012-15頁</t>
  </si>
  <si>
    <t>山鳴大年にあてた洪庵と郁蔵の書簡</t>
  </si>
  <si>
    <t>小田晧二</t>
  </si>
  <si>
    <t>016-20頁</t>
  </si>
  <si>
    <t>明治・大正医師会史略</t>
  </si>
  <si>
    <t>塩沢香</t>
  </si>
  <si>
    <t>031-47頁</t>
  </si>
  <si>
    <t>臨床家・薬理学者としてのシドニ―・リンケル</t>
  </si>
  <si>
    <t>Ａ．Ｈ</t>
  </si>
  <si>
    <t>日本薬理学の誕生及びその後の展開</t>
  </si>
  <si>
    <t>原三郎</t>
  </si>
  <si>
    <t>048-49頁</t>
  </si>
  <si>
    <t>Ａｂｒａｈａｍ　Ｌｉｎｃｏｌｎ　ａｎｄ　Ｈｉｓ　Ｄｏｃｔｏｒｓ</t>
  </si>
  <si>
    <t>Ｅｍｍｅｔ　Ｆ．Ｐｅａｒｓｏｎ</t>
  </si>
  <si>
    <t>Ｓａｍｕｅｌ　Ｄ・Ｇｒｏｓｓ　について</t>
  </si>
  <si>
    <t>小野譲</t>
  </si>
  <si>
    <t>ポンペ来日直前の長崎の蘭学</t>
  </si>
  <si>
    <t>大滝紀雄</t>
  </si>
  <si>
    <t>江戸期の中国系薬物書概観</t>
  </si>
  <si>
    <t>049-50頁</t>
  </si>
  <si>
    <t>インドにアユール・ヴエーダを訪ねて</t>
  </si>
  <si>
    <t>050-51頁</t>
  </si>
  <si>
    <t>書評</t>
  </si>
  <si>
    <t>ドナルドキーン著、芳賀徹訳『日本人の西洋発見』</t>
  </si>
  <si>
    <t>051-52頁</t>
  </si>
  <si>
    <t>万年甫訳編『神経学の源流１』を読んで</t>
  </si>
  <si>
    <t>052頁</t>
  </si>
  <si>
    <t>矢数道明著『明治百年漢方略史年表』</t>
  </si>
  <si>
    <t>053頁</t>
  </si>
  <si>
    <t>Ｅｄｉｔｈ　Ｈｅｉｓｃｈｋｅｌ―Ａｒｔｅｌｔ：Ｔｈｅ　Ｃｏｎｃｅｐｔ　ｏｆ　Ｂａｒｏｇｕｅ　Ｍｅｄｉｃｉｎｅ　ｉｎ　ｔｈｅ　Ｄｅｖｅｌｏｐｍｅｎｔ　ｏｆ　Ｍｅｄｉｃａｌ　Ｈｉｓｔｏｒｉｏｇｒａｐｈｙ．Ａｃｔｅｓ　ｄｕ　ｄｉｘｉｅｍｅ　ｃｏｎｇｒｅｓ　ｉｎｔｅｒｎａｔｉｏｎａｌ　ｄ　Ｈｉｓｔｏｉｒｅ　ｄｅｓ　Ｓｃｉｅｎｃｅｓ．Ｈｅｒｍａｎｎ，Ｐａｒｉｓ，１９６４，ｐｐ．９１３－９２６．</t>
  </si>
  <si>
    <t>Ｔ・Ｏ生</t>
  </si>
  <si>
    <t>Ｆｒａｎｃｉｓｃｏ　Ｇｕｅｒｒａ：Ｊｕａｎ　ｄｅ　Ｖａｌｖｅｒｄｅ　ｄｅ　Ａｍｕｓｃｏ．Ｃｌｉｏ　Ｍｅｄｉｃａ　Ｖｏｌ．２，ｐｐ．３３９－３６２，１９６７．</t>
  </si>
  <si>
    <t>Ｇ．Ｓｅｉｆｆｅｒｔ　ｕ．Ｄｕ　Ｄｓｃｈｅｎｇ－Ｈｓｉｎｇ：Ｚｕｒ　Ｇｅｓｃｈｉｃｈｔｅ　ｄｅｒ　Ｐｏｃｋｅｎ　ｕｎｄ　Ｐｏｃｋｅｎｉｍｐｆｕｎｇ，Ｓｕｄｈｏｆｆｓ，Ａｒｃｈｉｖ　Ｂｄ．３０，１９３７，Ｓ．２６－３４．</t>
  </si>
  <si>
    <t>Ｒｉｃｈａｒｄ　Ｐａｎｋｈｕｒｓｔ；Ｔｈｅ　Ｈｉｓｔｏｒｙ　ａｎｄ　Ｔｒａｄｉｔｉｏｎａｌ　Ｔｒｅａｔｍｅｎｔ　ｏｆ　Ｓｍａｌｌｐｏｘ　ｉｎ　Ｅｔｈｉｏｐｉａ，Ｍｅｄｉｃａｌ　Ｈｉｓｔｏｒｙ，Ｖｏｌ．９，ｐｐ．３４３－３５５．</t>
  </si>
  <si>
    <t>日本医史学会関西支部講演会</t>
  </si>
  <si>
    <t>学会記事</t>
  </si>
  <si>
    <t>伊藤圭介翁の旭園趾碑建碑除幕式について</t>
  </si>
  <si>
    <t>21-30頁</t>
  </si>
  <si>
    <t>蕃書調所について</t>
  </si>
  <si>
    <t>沼田次郎</t>
  </si>
  <si>
    <t>第15巻第2号</t>
  </si>
  <si>
    <t>001-10頁</t>
  </si>
  <si>
    <t>日本におけるヒポクラテスの画像と賛</t>
  </si>
  <si>
    <t>011-15頁</t>
  </si>
  <si>
    <t>明治初期の日本歯学</t>
  </si>
  <si>
    <t>山田平太</t>
  </si>
  <si>
    <t>016-18頁</t>
  </si>
  <si>
    <t>明治維新前後の医学－とくにお雇い外人について－</t>
  </si>
  <si>
    <t>019-24頁</t>
  </si>
  <si>
    <t>第１１回蘭学資料研究大会一般講演</t>
  </si>
  <si>
    <t>中天游訳＜引律＞について</t>
  </si>
  <si>
    <t>吉田忠</t>
  </si>
  <si>
    <t>025頁</t>
  </si>
  <si>
    <t>写本和蘭会話書（【てい】斎進印あるものおよび河東館・小関氏等の印あるもの）について</t>
  </si>
  <si>
    <t>佐藤良雄</t>
  </si>
  <si>
    <t>江馬元益著「藤渠漫筆」をめぐって　（２）</t>
  </si>
  <si>
    <t>末中哲夫</t>
  </si>
  <si>
    <t>平井海蔵</t>
  </si>
  <si>
    <t>Ｇｏｍｅｚの天球論とＣｌａｖｉｕｓ（２）</t>
  </si>
  <si>
    <t>今井</t>
  </si>
  <si>
    <t>適塾門下生井上主水について</t>
  </si>
  <si>
    <t>新元会員中の西哲像について</t>
  </si>
  <si>
    <t>031-36頁</t>
  </si>
  <si>
    <t>宇田川玄真『小児諸病』、坪井信道『診候大概』、箕作阮甫『斯微甸・発斑熱』について</t>
  </si>
  <si>
    <t>司馬江漢の「天地理談」</t>
  </si>
  <si>
    <t>神田茂</t>
  </si>
  <si>
    <t>ジョージ・ワシントンの義歯と当時の日本義歯</t>
  </si>
  <si>
    <t>新藤恵久</t>
  </si>
  <si>
    <t>杉田玄白先生解体図と記銘のある平次郎解剖図について</t>
  </si>
  <si>
    <t>大槻玄沢著「西【ひん】対語」について</t>
  </si>
  <si>
    <t>第一回、内国勧業博覧会における歯科と医科の主品について</t>
  </si>
  <si>
    <t>四世紀（古墳時代）代の洞穴遺跡より堀出された齲蝕歯牙について</t>
  </si>
  <si>
    <t>瀬戸俊一　小出義治　高橋和人</t>
  </si>
  <si>
    <t>042-43頁</t>
  </si>
  <si>
    <t>大阪の蘭学者橋本宗吉の年譜について</t>
  </si>
  <si>
    <t>明治初年京都医史資料として『京都府政治部衛生類』について</t>
  </si>
  <si>
    <t>043-44頁</t>
  </si>
  <si>
    <t>日本の義歯に関する医史学的研究</t>
  </si>
  <si>
    <t>筒井正弘</t>
  </si>
  <si>
    <t>044-45頁</t>
  </si>
  <si>
    <t>切手で見る種痘の歴史</t>
  </si>
  <si>
    <t>045-46頁</t>
  </si>
  <si>
    <t>蘭医ボードインの胎児解剖</t>
  </si>
  <si>
    <t>046-47頁</t>
  </si>
  <si>
    <t>アイヌ医療政策史の研究</t>
  </si>
  <si>
    <t>放射線医家浦野多門治と装置製作者福田雋一・室馨造について</t>
  </si>
  <si>
    <t>049頁</t>
  </si>
  <si>
    <t>ロンドノウ著　医事法規について</t>
  </si>
  <si>
    <t>西域医療の東漸史考</t>
  </si>
  <si>
    <t>「千金要方」に関する二、三の問題点</t>
  </si>
  <si>
    <t>050頁</t>
  </si>
  <si>
    <t>わが国における歯科診療報酬の変遷、とくに主要歯科診療行為間の報酬のバランスの変遷について</t>
  </si>
  <si>
    <t>高木圭二郎</t>
  </si>
  <si>
    <t>備前藩主を診察した名医達</t>
  </si>
  <si>
    <t>栗崎家系譜およびニ代道喜等の書簡について</t>
  </si>
  <si>
    <t>竹内真一</t>
  </si>
  <si>
    <t>江戸時代における京都・大阪の歯科医について</t>
  </si>
  <si>
    <t>杉本茂春</t>
  </si>
  <si>
    <t>宇田川蘭方医学の問題点　秘められた諏訪俊士徳と藤井方亭</t>
  </si>
  <si>
    <t>足立長雋の訳著「女科集成」と「産科礎」</t>
  </si>
  <si>
    <t>056-57頁</t>
  </si>
  <si>
    <t>中川五郎治の系譜</t>
  </si>
  <si>
    <t>057-58頁</t>
  </si>
  <si>
    <t>華岡青洲の麻酔剤の蘭学史上における位置</t>
  </si>
  <si>
    <t>058頁</t>
  </si>
  <si>
    <t>適塾門生と加賀藩</t>
  </si>
  <si>
    <t>クラスブを応用した木彫部分床義歯の一例</t>
  </si>
  <si>
    <t>中沢勇　平田幹男　佐藤裕</t>
  </si>
  <si>
    <t>新発田にウイリスの跡を訪ねて</t>
  </si>
  <si>
    <t>幕末の生野銀山における煙毒とその対策</t>
  </si>
  <si>
    <t>軍医総監森鴎外の業績－その試論１－</t>
  </si>
  <si>
    <t>伊達一男</t>
  </si>
  <si>
    <t>062-63頁</t>
  </si>
  <si>
    <t>明治時代における日本歯学雑誌について</t>
  </si>
  <si>
    <t>高麗日出男</t>
  </si>
  <si>
    <t>063-64頁</t>
  </si>
  <si>
    <t>公衆衛生面よりみた横浜医学史</t>
  </si>
  <si>
    <t>本邦医学教育制度史序説</t>
  </si>
  <si>
    <t>第７０回日本医史学会総会展示品目録</t>
  </si>
  <si>
    <t>067-69頁</t>
  </si>
  <si>
    <t>十七－十九世紀日鮮麻疹流行史　流行周期則</t>
  </si>
  <si>
    <t>華岡青州と門人杉立以成</t>
  </si>
  <si>
    <t>第15巻第3号</t>
  </si>
  <si>
    <t>0135-142頁</t>
  </si>
  <si>
    <t>鴎外の史伝「渋江抽斎」の校勘記（２）</t>
  </si>
  <si>
    <t>0143-145頁</t>
  </si>
  <si>
    <t>0146-158頁</t>
  </si>
  <si>
    <t>河口信任と隠れキリシタン</t>
  </si>
  <si>
    <t>0159-163頁</t>
  </si>
  <si>
    <t>肖像異変－山県大弐か香川修徳か</t>
  </si>
  <si>
    <t>若尾隣平</t>
  </si>
  <si>
    <t>0164-171頁</t>
  </si>
  <si>
    <t>古医書二種（写本）「口中療治俗書」、「小児方録」</t>
  </si>
  <si>
    <t>0172-173頁</t>
  </si>
  <si>
    <t>0172頁</t>
  </si>
  <si>
    <t>小森桃塢の「蘭方枢機」とブカンの家庭医学（予報）</t>
  </si>
  <si>
    <t>寺門静軒と安藤文沢</t>
  </si>
  <si>
    <t>跡尋社長　　吉益四峰の業績について</t>
  </si>
  <si>
    <t>0173-174頁</t>
  </si>
  <si>
    <t>ウイリアム・ジュームス不在の米国精神病学</t>
  </si>
  <si>
    <t>0174頁</t>
  </si>
  <si>
    <t>Ｒｅｇｉｎａｌｄ　Ｓ．Ａ．Ｌｏａｄ：Ｔｈｅ　Ｗｈｉｔｅ　Ｖｅｉｎｓ：Ｃｏｎｃｅｐｔｕａｌ　ｄｉｆｆｉｃｕｌｔｉｅｓ　ｉｎ　ｔｈｅ　Ｈｉｓｔｏｒｙ　ｏｆ　ｔｈｅ　Ｌｙｍｐｈａｔｉｃｓ，Ｍｅｄｉｃａｌ　Ｈｉｓｔｏｒｙ，Ｖｏｌ．１２，Ｎｏ．２，ｐｐ．１７４－１８４，１９６８．</t>
  </si>
  <si>
    <t>0177-178頁</t>
  </si>
  <si>
    <t>Ａｌｅｘａｎｄｅｒ　Ｂｏｒｏｄｉｎ，ｔｈｅ　Ｓｃｉｅｎｔｉｓｔ，ｔｈｅ　Ｍｕｓｉｃｉａｎ，ｔｈｅ　ｍａｎ．Ｊａｎｉｅｓ，ＣＣｏｌｅ，Ｍ，Ｄ．ＪＡＭＡ　Ａｐｒｉｌ　７，１９６９　Ｖｏｌ２０８，Ｎｏ．１　１２９－１３０</t>
  </si>
  <si>
    <t>Ａ・Ｍ</t>
  </si>
  <si>
    <t>0178-179頁</t>
  </si>
  <si>
    <t>Ｍａｒｙ　Ａ．Ｂ．Ｂｒａｚｉｅｒ：ｔｈｅ　Ｈｉｓｔｏｒｙ　ｏｆ　ｔｈｅ　Ｅｌｅｃｔｒｉｃａｌ　Ａｃｔｉｖｉｔｙ　ｏｆ　ｔｈｅ　Ｂｒａｉｎ　ａｓ　ａ　Ｍｅｔｈｏｄ　ｆｏｒ　Ｌｏｃａｌｉｚｉｎｇ　Ｓｅｎｓｏｒｙ　Ｆｕｎｃｔｉｏｎ．Ｍｅｄｉｃａｌ　Ｈｉｓｔｏｒｙ，Ｖｏｌ．７，ｐｐ．１９９－２１１，１９６３</t>
  </si>
  <si>
    <t>0179頁</t>
  </si>
  <si>
    <t>阿知波五郎著　ヘルマン・ブールハーヴェーその生涯、思想、そして蘭医学への影響－</t>
  </si>
  <si>
    <t>0180-182頁</t>
  </si>
  <si>
    <t>阿知波五郎著「ブールハーヴェーその生涯、思想、そして蘭医学への影響」</t>
  </si>
  <si>
    <t>Ｒ．Ｏ</t>
  </si>
  <si>
    <t>0182頁</t>
  </si>
  <si>
    <t>Ａｂｒａｈａｍ　Ｌｉｎｃｏｌｎｓ　Ｆａｍｉｌｙ　Ｄｏｃｔｏｒｓ</t>
  </si>
  <si>
    <t>Ｅ．Ｆ．Ｐｅ，ａｒｓｏｎ</t>
  </si>
  <si>
    <t>0187-190頁</t>
  </si>
  <si>
    <t>雑報　追悼</t>
  </si>
  <si>
    <t>故鮫島近二先生略歴</t>
  </si>
  <si>
    <t>福沢諭吉の「牛痘再種之説」</t>
  </si>
  <si>
    <t>第15巻第4号</t>
  </si>
  <si>
    <t>191-195頁</t>
  </si>
  <si>
    <t>利光仙庵著「引痘夜話」について</t>
  </si>
  <si>
    <t>196-204頁</t>
  </si>
  <si>
    <t>生きた歴史－内分泌学者、シーハン博士小伝</t>
  </si>
  <si>
    <t>中江孝治</t>
  </si>
  <si>
    <t>205-208頁</t>
  </si>
  <si>
    <t>適塾門下生坪井信立に就て</t>
  </si>
  <si>
    <t>青木一郎</t>
  </si>
  <si>
    <t>209-213頁</t>
  </si>
  <si>
    <t>嶺春泰伝追加</t>
  </si>
  <si>
    <t>214-217頁</t>
  </si>
  <si>
    <t>鴎外の史伝「渋江抽斎」の校勘記（３）</t>
  </si>
  <si>
    <t>218-221頁</t>
  </si>
  <si>
    <t>福沢諭吉の種痘再種の説</t>
  </si>
  <si>
    <t>222頁</t>
  </si>
  <si>
    <t>利光仙庵著　　引痘夜話について</t>
  </si>
  <si>
    <t>欧州ホメオパシー医薬の今昔</t>
  </si>
  <si>
    <t>歯科の古画と処方</t>
  </si>
  <si>
    <t>広木彦吉</t>
  </si>
  <si>
    <t>アンブロアズ．パレ―について</t>
  </si>
  <si>
    <t>解体新書の付図とライデン大学教授ビドロー</t>
  </si>
  <si>
    <t>223-224頁</t>
  </si>
  <si>
    <t>日蘭交渉史に関するシンポジウムの成果</t>
  </si>
  <si>
    <t>223頁</t>
  </si>
  <si>
    <t>Ｗｉｌｌａｉｍ　Ｓｍｅｌｌｉｅ　とわが国の西洋産科との関係</t>
  </si>
  <si>
    <t>224頁</t>
  </si>
  <si>
    <t>吉益東洞と亀井南溟</t>
  </si>
  <si>
    <t>シーボルトの墓</t>
  </si>
  <si>
    <t>菊地重郎</t>
  </si>
  <si>
    <t>日本におけるヒポクラテスの画像と賛－その後の研究―</t>
  </si>
  <si>
    <t>日本医事新報社社長　日本医史学会理事　故梅沢彦太郎さんを悼む</t>
  </si>
  <si>
    <t>今田見信</t>
  </si>
  <si>
    <t>最後に梅沢さんの略歴を掲げておこう</t>
  </si>
  <si>
    <t>Ｄｅｔａｃｈｍｅｎｔｓ　ｔｏ　ｔｈｅ　Ｉｓｌｅ　ｏｆ　Ｙｅｚｏ　ａｎｄ　Ｓｃｕｒｖｙ</t>
  </si>
  <si>
    <t>Ａｋｉｔｏｍｏ　Ｍａｔｓｕｋｉ</t>
  </si>
  <si>
    <t>238-242頁</t>
  </si>
  <si>
    <t>近代日本における外人宣教医の研究</t>
  </si>
  <si>
    <t>1970年(昭和45)</t>
  </si>
  <si>
    <t>第16巻第1号</t>
  </si>
  <si>
    <t>001-44頁</t>
  </si>
  <si>
    <t>ススルタ・サムヒータを訳して</t>
  </si>
  <si>
    <t>鈴木正夫</t>
  </si>
  <si>
    <t>糖尿病による視力障害についての史的考察</t>
  </si>
  <si>
    <t>鈴木宣民</t>
  </si>
  <si>
    <t>明治初期漢洋脚気病院設立の裏面史について</t>
  </si>
  <si>
    <t>「千金要方」の研究（第一報）</t>
  </si>
  <si>
    <t>帆足万里の「医学啓蒙」について</t>
  </si>
  <si>
    <t>052-53頁</t>
  </si>
  <si>
    <t>岡山地方の種痘と適塾門人守屋庸庵</t>
  </si>
  <si>
    <t>中山沃　石田純郎</t>
  </si>
  <si>
    <t>ポンペの脚気論並麻疹説</t>
  </si>
  <si>
    <t>ベルツと日本学校衛生</t>
  </si>
  <si>
    <t>杉浦守邦</t>
  </si>
  <si>
    <t>フイシスと陰陽</t>
  </si>
  <si>
    <t>藤井方亭に関する研究―特に諏訪俊に関する新資料について</t>
  </si>
  <si>
    <t>パラメデイカル教育史の一面（明治初期の看護婦教育）</t>
  </si>
  <si>
    <t>外科手術無菌法の開拓者テリヨン</t>
  </si>
  <si>
    <t>コス島のヒポクラテス財団の現況</t>
  </si>
  <si>
    <t>加賀藩の人体解剖学模型</t>
  </si>
  <si>
    <t>酒井恒</t>
  </si>
  <si>
    <t>坪井信道の日習堂塾平面図</t>
  </si>
  <si>
    <t>青木一郎　中野操</t>
  </si>
  <si>
    <t>「蝦夷地異疾考」と壊血病</t>
  </si>
  <si>
    <t>『眼科新書』中の「眼球略図」をめぐって</t>
  </si>
  <si>
    <t>明治時代の鉱夫共済組合病院</t>
  </si>
  <si>
    <t>比較語学的方法による身体意識史検討の試み（２）</t>
  </si>
  <si>
    <t>アグノーの著書について</t>
  </si>
  <si>
    <t>愛知県病院教師ヨングハンスについて</t>
  </si>
  <si>
    <t>酒湯（ささゆ）の行事記録からみた阿波藩主（峰須賀家）とその家族の疫史的考察</t>
  </si>
  <si>
    <t>医学教育史について</t>
  </si>
  <si>
    <t>064-65頁</t>
  </si>
  <si>
    <t>江戸時代の精神病学書としての一本堂－行余医言巻五－</t>
  </si>
  <si>
    <t>蘭学事始への大槻玄沢の寄与</t>
  </si>
  <si>
    <t>室町・戦国時代における曲直瀬道三の史料考証</t>
  </si>
  <si>
    <t>西域医薬の東漸史考</t>
  </si>
  <si>
    <t>享保十五年の製剤記録</t>
  </si>
  <si>
    <t>陶斎雑録（河口信順）</t>
  </si>
  <si>
    <t>川本幸民の化学書についての一考察</t>
  </si>
  <si>
    <t>小森桃塢著「蘭方枢機」について</t>
  </si>
  <si>
    <t>仏像・仏画におけるＢａｂｉｎｓｋｉの足ゆび現象</t>
  </si>
  <si>
    <t>豊倉康夫</t>
  </si>
  <si>
    <t>温室経疏にみられる医学思想</t>
  </si>
  <si>
    <t>銅人と石経</t>
  </si>
  <si>
    <t>ギプス包帯技術の日本への輸入について</t>
  </si>
  <si>
    <t>大槻玄沢の産科書について</t>
  </si>
  <si>
    <t>明治前における北海道・青森の狂犬病史</t>
  </si>
  <si>
    <t>緒方洪庵，青木周弼，伊東南洋共訳の「袖珍内外方叢」とその原著</t>
  </si>
  <si>
    <t>第16巻第2号</t>
  </si>
  <si>
    <t>081-87頁</t>
  </si>
  <si>
    <t>「異形頚骨記」と各務文献－整形外科史におけるその意義</t>
  </si>
  <si>
    <t>088-92頁</t>
  </si>
  <si>
    <t>下北疫癘史</t>
  </si>
  <si>
    <t>093-97頁</t>
  </si>
  <si>
    <t>北海道における人体解剖の事蹟</t>
  </si>
  <si>
    <t>098-103頁</t>
  </si>
  <si>
    <t>加賀藩の「キンストレーキ」</t>
  </si>
  <si>
    <t>104-115頁</t>
  </si>
  <si>
    <t>瑞方面山『釈氏洗浄法』について</t>
  </si>
  <si>
    <t>関根正雄</t>
  </si>
  <si>
    <t>116-124頁</t>
  </si>
  <si>
    <t>前田信輔自筆「客窓漫筆」</t>
  </si>
  <si>
    <t>125-131頁</t>
  </si>
  <si>
    <t>鴎外の史伝「渋江抽斎」の校勘記（　四）</t>
  </si>
  <si>
    <t>132-134頁</t>
  </si>
  <si>
    <t>シーボルトに贈られた日本の針</t>
  </si>
  <si>
    <t>135-136頁</t>
  </si>
  <si>
    <t>富士川游を語る－その一－</t>
  </si>
  <si>
    <t>136頁</t>
  </si>
  <si>
    <t>ウエルカム医学史博物館について</t>
  </si>
  <si>
    <t>137-138頁</t>
  </si>
  <si>
    <t>西洋の文献にみえる甘草</t>
  </si>
  <si>
    <t>137頁</t>
  </si>
  <si>
    <t>「釈氏洗浄法」について</t>
  </si>
  <si>
    <t>138頁</t>
  </si>
  <si>
    <t>ドイツ人教師ミュルレルの著述「東京医学」</t>
  </si>
  <si>
    <t>欧州の医史学界瞥見</t>
  </si>
  <si>
    <t>139-140頁</t>
  </si>
  <si>
    <t>蘭館長ニーマンについて</t>
  </si>
  <si>
    <t>139頁</t>
  </si>
  <si>
    <t>東洋の文献にみえる甘草</t>
  </si>
  <si>
    <t>前田信輔「客窓漫筆」の中の「日習堂医按」と「モーニケ説控帳（仮称）」の紹介</t>
  </si>
  <si>
    <t>140頁</t>
  </si>
  <si>
    <t>日本医史学会関西支部大会</t>
  </si>
  <si>
    <t>141頁</t>
  </si>
  <si>
    <t>医学史関係論文目録（続き）</t>
  </si>
  <si>
    <t>Ｊａｍｅｓ　Ｈ．Ｃａｓｓｅｄｙ：Ｈｉｓｔｏｒｙ　ｏｆ　ｍｅｄｉｃｉｎｅ　ａｎｄ　ｒｅｌａｔｅｄ　ｓｉｅｎｃｅｓ　ｉｎ　Ｅｕｒｏｐｅ．ｏｎ　ｔｅａｃｈｉｎｇ　ａｎｄ　ｓｔｕｄｙ．　　Ｂｕｌｌｅｔｉｎ　ｏｆ　ｔｈｅ　Ｈｉｓｔｏｒｙ　ｏｆ　Ｍｅｄｉｃｉｎｅ，Ｖｏｌ．４３，Ｎｏ．３，ｐｐ．２７０－２８３，１９６９．</t>
  </si>
  <si>
    <t>Ｒ・Ｏ・抄</t>
  </si>
  <si>
    <t>142頁</t>
  </si>
  <si>
    <t>訃報　　長岡博男氏　長門谷丈一氏</t>
  </si>
  <si>
    <t>143頁</t>
  </si>
  <si>
    <t>坪井信道塾の研修記録としての前田信輔筆「日習堂医按」</t>
  </si>
  <si>
    <t>第16巻第3号</t>
  </si>
  <si>
    <t>147-166頁</t>
  </si>
  <si>
    <t>吉益東洞の天命説をめぐって</t>
  </si>
  <si>
    <t>167-179頁</t>
  </si>
  <si>
    <t>江戸時代の精神病学における一本堂－「行余医言」巻五－</t>
  </si>
  <si>
    <t>180-189頁</t>
  </si>
  <si>
    <t>種痘法の移入と弘前藩の態度</t>
  </si>
  <si>
    <t>190-196頁</t>
  </si>
  <si>
    <t>「胡地養生考」と壊血病</t>
  </si>
  <si>
    <t>197-200頁</t>
  </si>
  <si>
    <t>201-204頁</t>
  </si>
  <si>
    <t>資料　一</t>
  </si>
  <si>
    <t>堀内文書目録稿</t>
  </si>
  <si>
    <t>205-213頁</t>
  </si>
  <si>
    <t>資料　二</t>
  </si>
  <si>
    <t>三宅秀回顧談</t>
  </si>
  <si>
    <t>大滝紀雄．酒井シヅ（注）</t>
  </si>
  <si>
    <t>214-221頁</t>
  </si>
  <si>
    <t>富士川游を語る　　その二</t>
  </si>
  <si>
    <t>222-223頁</t>
  </si>
  <si>
    <t>インド東北部の民間医療</t>
  </si>
  <si>
    <t>嶺春泰筆の蘭文写本の原典</t>
  </si>
  <si>
    <t>224-225頁</t>
  </si>
  <si>
    <t>緒方洪庵「適々斎薬室膠柱方」と「解剖略式」</t>
  </si>
  <si>
    <t>仏教と解剖学</t>
  </si>
  <si>
    <t>日本医史学会関西支部例会</t>
  </si>
  <si>
    <t>世界の医学雑誌－一－</t>
  </si>
  <si>
    <t>ホルマリンの歴史　その発見より防腐注入剤への応用</t>
  </si>
  <si>
    <t>第16巻第4号</t>
  </si>
  <si>
    <t>231-250頁</t>
  </si>
  <si>
    <t>前田信輔筆「モーニケ談話筆記（仮称）」</t>
  </si>
  <si>
    <t>251-259頁</t>
  </si>
  <si>
    <t>瑞方面山の「経行軌聞解」について</t>
  </si>
  <si>
    <t>260-270頁</t>
  </si>
  <si>
    <t>仏教における身体観</t>
  </si>
  <si>
    <t>271-277頁</t>
  </si>
  <si>
    <t>松前藩医桜井小膳の塋域</t>
  </si>
  <si>
    <t>278-284頁</t>
  </si>
  <si>
    <t>北海道における人体解剖の事蹟－補遺－ビッサリオン．サルトフの墓</t>
  </si>
  <si>
    <t>堀内文書の研究　一</t>
  </si>
  <si>
    <t>289-297頁</t>
  </si>
  <si>
    <t>堀内家略系図</t>
  </si>
  <si>
    <t>297-298頁</t>
  </si>
  <si>
    <t>富士川游を語る　その（三）…性格と性癖</t>
  </si>
  <si>
    <t>299-301頁</t>
  </si>
  <si>
    <t>山崎文庫所蔵の「緒方洪庵先生行実」</t>
  </si>
  <si>
    <t>301-302頁</t>
  </si>
  <si>
    <t>チベット医学とラマの秘薬（実物供覧）</t>
  </si>
  <si>
    <t>301頁</t>
  </si>
  <si>
    <t>大槻玄幹の蘭学事始附記について</t>
  </si>
  <si>
    <t>302-303頁</t>
  </si>
  <si>
    <t>江戸時代の囚人給食</t>
  </si>
  <si>
    <t>日野英子</t>
  </si>
  <si>
    <t>303-304頁</t>
  </si>
  <si>
    <t>レンブラントの名画「解剖」に描かれた医師</t>
  </si>
  <si>
    <t>304-305頁</t>
  </si>
  <si>
    <t>軍医の徽章</t>
  </si>
  <si>
    <t>太田臨一郎</t>
  </si>
  <si>
    <t>305-308頁</t>
  </si>
  <si>
    <t>洋風画と浮世絵に反映した西洋画家</t>
  </si>
  <si>
    <t>坂本満</t>
  </si>
  <si>
    <t>308-309頁</t>
  </si>
  <si>
    <t>日本医史学雑誌総索引の作製を望む</t>
  </si>
  <si>
    <t>319-320頁</t>
  </si>
  <si>
    <t>再び「桂川の人々」を推奨する</t>
  </si>
  <si>
    <t>321頁</t>
  </si>
  <si>
    <t>福島義一著「阿波の医学史」</t>
  </si>
  <si>
    <t>医学とは何か、医学史とは何か。</t>
  </si>
  <si>
    <t>1971年(昭和46)</t>
  </si>
  <si>
    <t>第17巻第1号</t>
  </si>
  <si>
    <t>001-8頁</t>
  </si>
  <si>
    <t>吉益東洞の医説について</t>
  </si>
  <si>
    <t>009-16頁</t>
  </si>
  <si>
    <t>明治三年の加賀藩の人体解剖</t>
  </si>
  <si>
    <t>江戸時代に作製された木製人体骨骼模型（木骨）について</t>
  </si>
  <si>
    <t>矼斎改訳の「人身究理小解序」について</t>
  </si>
  <si>
    <t>大内弘</t>
  </si>
  <si>
    <t>杉田玄白著「【い】斎遺稿」歌之一、同詩之二について</t>
  </si>
  <si>
    <t>坪井信道の「五液診法」</t>
  </si>
  <si>
    <t>司馬凌海の「七新薬説」と゛化学゛</t>
  </si>
  <si>
    <t>022-22頁</t>
  </si>
  <si>
    <t>明治初期の医学書について</t>
  </si>
  <si>
    <t>緒方郁蔵訳、富士川洽筆写の「薬性新論」について</t>
  </si>
  <si>
    <t>秋田藩医斎藤養達－とくに白鳥雄蔵との関係―</t>
  </si>
  <si>
    <t>『遁花秘訣』の一写本について</t>
  </si>
  <si>
    <t>花野井有年と医方正伝</t>
  </si>
  <si>
    <t>土屋重朗</t>
  </si>
  <si>
    <t>同一年中に二種類版行された大阪医師番付について</t>
  </si>
  <si>
    <t>関寛斎の研究　（第一報）</t>
  </si>
  <si>
    <t>阿波における医学者の墓所と墓碑銘</t>
  </si>
  <si>
    <t>米田賀子</t>
  </si>
  <si>
    <t>久居藩における蘭医木村家について</t>
  </si>
  <si>
    <t>第２２回国際医史学会の報告</t>
  </si>
  <si>
    <t>越後国新発田藩の口科医佐藤家の記録について</t>
  </si>
  <si>
    <t>030頁</t>
  </si>
  <si>
    <t>ダランベールの業蹟について</t>
  </si>
  <si>
    <t>ペスト菌の発見と北里柴三郎</t>
  </si>
  <si>
    <t>藤野恒三郎</t>
  </si>
  <si>
    <t>032-33頁</t>
  </si>
  <si>
    <t>パピルス．エドウイン―スミスからヒポクラテスへの外科学の変遷</t>
  </si>
  <si>
    <t>鈴木哲哉</t>
  </si>
  <si>
    <t>033-34頁</t>
  </si>
  <si>
    <t>「増壱阿含経」などにみられる看護行為</t>
  </si>
  <si>
    <t>東大初期の看護教育</t>
  </si>
  <si>
    <t>明治期学校衛生史の研究（八）－学校看護婦の出現―</t>
  </si>
  <si>
    <t>日本医学放射線技術史上における医学放射線技術論の発生点</t>
  </si>
  <si>
    <t>医科器械カタログよりみた歯科器械の変遷</t>
  </si>
  <si>
    <t>鈴木勝・谷津三雄</t>
  </si>
  <si>
    <t>明治以前の検疫</t>
  </si>
  <si>
    <t>小石川養生所について</t>
  </si>
  <si>
    <t>040-41頁</t>
  </si>
  <si>
    <t>第三高等中学校医学部の講義内容（予報）</t>
  </si>
  <si>
    <t>日本の医師免許制度</t>
  </si>
  <si>
    <t>「医学天正記」の研究</t>
  </si>
  <si>
    <t>「千金要方」の研究（第二報）</t>
  </si>
  <si>
    <t>第17巻第2号</t>
  </si>
  <si>
    <t>051-73頁</t>
  </si>
  <si>
    <t>加賀藩最初の人体解剖</t>
  </si>
  <si>
    <t>074-83頁</t>
  </si>
  <si>
    <t>「【い】斎遺稿」について(一)</t>
  </si>
  <si>
    <t>084-99頁</t>
  </si>
  <si>
    <t>明治前北海道疾病史（一）</t>
  </si>
  <si>
    <t>100-110頁</t>
  </si>
  <si>
    <t>111-117頁</t>
  </si>
  <si>
    <t>堀内文書の研究（２）</t>
  </si>
  <si>
    <t>119-127頁</t>
  </si>
  <si>
    <t>ドイツ大教師ミュルレルの著述「東京医学」（２）</t>
  </si>
  <si>
    <t>128-129頁</t>
  </si>
  <si>
    <t>お玉ケ池種痘所と種痘法の伝来</t>
  </si>
  <si>
    <t>130-134頁</t>
  </si>
  <si>
    <t>十九世紀後半のドイツ医学教育を探る</t>
  </si>
  <si>
    <t>岡島道夫</t>
  </si>
  <si>
    <t>平田篤胤の「志都乃石室」を読んで</t>
  </si>
  <si>
    <t>134-136頁</t>
  </si>
  <si>
    <t>伊東玄朴の人と交友</t>
  </si>
  <si>
    <t>134頁</t>
  </si>
  <si>
    <t>蘭学とその周辺</t>
  </si>
  <si>
    <t>司馬遼太郎</t>
  </si>
  <si>
    <t>戸塚芳男</t>
  </si>
  <si>
    <t>富士川游を語る（４）その生活、趣味、嗜好、娯楽</t>
  </si>
  <si>
    <t>136-138頁</t>
  </si>
  <si>
    <t>第７２回日本医史学会総会追加討論</t>
  </si>
  <si>
    <t>緒方富雄氏著『日本におけるヒポクラテス賛美』を読みて</t>
  </si>
  <si>
    <t>142-143頁</t>
  </si>
  <si>
    <t>片桐一男氏著『杉田玄白』を読む</t>
  </si>
  <si>
    <t>143-144頁</t>
  </si>
  <si>
    <t>変貌する労働環境（労働科学叢書２８）　三浦豊彦著</t>
  </si>
  <si>
    <t>雑報　新刊紹介</t>
  </si>
  <si>
    <t>安西安周先生遺稿「日本医道論」</t>
  </si>
  <si>
    <t>145頁</t>
  </si>
  <si>
    <t>石原明、杉田暉道、長門谷洋治共著　看護史－系統看護学講座　別巻５－</t>
  </si>
  <si>
    <t>146-147頁</t>
  </si>
  <si>
    <t>川本裕司・中谷一二共著「近世日本の化学の始祖　川本幸民伝」</t>
  </si>
  <si>
    <t>146頁</t>
  </si>
  <si>
    <t>第２３回国際医史学会について</t>
  </si>
  <si>
    <t>147頁</t>
  </si>
  <si>
    <t>Ｔｈｅ　Ｒｏｌｅ　ｏｆ　Ｏｒｇａｎｉｚｅｄ　Ｒｅｓｅａｒｃｈ　Ｕｎｉｔｓ　ｉｎ　Ｄｅｖｅｌｏｐｍｅｎｔ　ｏｆ　ｔｈｅ　Ｎｅｕｒｏｓｃｉｅｎｃｅｓ</t>
  </si>
  <si>
    <t>Ｈ．Ｗ．Ｍａｇｏｕｎ</t>
  </si>
  <si>
    <t>150-160頁</t>
  </si>
  <si>
    <t>欧州における人痘接種法の歴史、　とくにトルコ式接種法の西欧へのひろがり</t>
  </si>
  <si>
    <t>第17巻第3号</t>
  </si>
  <si>
    <t>165-179頁</t>
  </si>
  <si>
    <t>奈良時代に於ける僧侶の才芸としての医療</t>
  </si>
  <si>
    <t>樋口誠太郎</t>
  </si>
  <si>
    <t>「【い】斎遺稿」について(二)</t>
  </si>
  <si>
    <t>190-205頁</t>
  </si>
  <si>
    <t>明治前北海道疾病史（２）</t>
  </si>
  <si>
    <t>206-212頁</t>
  </si>
  <si>
    <t>北海道における人体解剖の事蹟－追補－</t>
  </si>
  <si>
    <t>213-215頁</t>
  </si>
  <si>
    <t>雑報　抄録</t>
  </si>
  <si>
    <t>Ｄｉｓｃｏｖｅｒｙ　ｏｆ　ｔｈｅ　Ｐｕｌｍｏｎａｒｙ　Ｃｉｒｃｕｌａｔｉｏｎ　ｂｙ　ａｎ　Ａｒａｄ　ｉｎ　ｔｈｅ　Ｔｈｉｒｔｅｅｎｔｈ　Ｃｅｎｔｕｒｙ・(抄)</t>
  </si>
  <si>
    <t>評伝</t>
  </si>
  <si>
    <t>216-230頁</t>
  </si>
  <si>
    <t>堀内文書の研究　三</t>
  </si>
  <si>
    <t>233-246頁</t>
  </si>
  <si>
    <t>高橋由一筆　川本幸民像</t>
  </si>
  <si>
    <t>247-248頁</t>
  </si>
  <si>
    <t>Ａ．Ｅ．Ｂｅｓｔ：Ｐｏｕｒｆｏｕｒ　ｄｕ　Ｐｅｔｉｔ´ｓ　Ｅｘｐｅｒｉｍｅｎｔｓ　ｏｎ　ｔｈｅ　ｏｒｇｉｎ　ｏｆ　ｓｙｍｐａｔｈｅｔｉｃ　ｎｅｒｖｅ　ｍｅｄｉｃａｌ　Ｈｉｓｔｏｒｙ、Ｖｏｌ、１３　Ｎｏ、２、１９６９　ｐ．１５４―１７４(抄)</t>
  </si>
  <si>
    <t>Ｍｅｄｉｃａｌ　Ｈｉｓｔｏｒｙ，</t>
  </si>
  <si>
    <t>248頁</t>
  </si>
  <si>
    <t>上下肢反射に関連した文化史的並びに生物学的象徴性－豊倉教授への追加として</t>
  </si>
  <si>
    <t>249-250頁</t>
  </si>
  <si>
    <t>ヘイステル内科書のなかのヒポクラテス</t>
  </si>
  <si>
    <t>249頁</t>
  </si>
  <si>
    <t>日本における甘草の歴史</t>
  </si>
  <si>
    <t>川本幸民歿後百年記念　　川本幸民の理化学書－二、三の書誌学的考察―</t>
  </si>
  <si>
    <t>251-253頁</t>
  </si>
  <si>
    <t>川本幸民歿後百年記念　　日本学士院所蔵　川本幸民関係資料－語学関係－</t>
  </si>
  <si>
    <t>253-256頁</t>
  </si>
  <si>
    <t>川本幸民歿後百年記念　　川本幸民歿後百年におもうこと</t>
  </si>
  <si>
    <t>井上悌雄</t>
  </si>
  <si>
    <t>256-258頁</t>
  </si>
  <si>
    <t>川本幸民歿後百年記念　　川本幸民と蘭学者たち</t>
  </si>
  <si>
    <t>258-263頁</t>
  </si>
  <si>
    <t>日本思想大系５５「渡辺崋山、高野長英、佐久間象山、横井小楠、橋本左内」</t>
  </si>
  <si>
    <t>日本医史学会関西支部例会記事</t>
  </si>
  <si>
    <t>日本思想大系６３「近世科学思想下」</t>
  </si>
  <si>
    <t>児玉作左衛門著「明治前日本人類学史・先史学史アイヌ民族史の研究（黎明前）</t>
  </si>
  <si>
    <t>265頁</t>
  </si>
  <si>
    <t>内田守著「光田健輔」</t>
  </si>
  <si>
    <t>松井喜三編集・解説　レオナルド・ダ・ヴィンチ解剖図集</t>
  </si>
  <si>
    <t>「医学文化保存事業部」を開設</t>
  </si>
  <si>
    <t>268頁</t>
  </si>
  <si>
    <t>「医学古書目録」を刊行</t>
  </si>
  <si>
    <t>金原出版（株）創業百年を迎えて　画期的記念事業</t>
  </si>
  <si>
    <t>川本幸民歿後百年記念　蘭学資料研究会共催</t>
  </si>
  <si>
    <t>ヘイステル内科書とその中のヒポクラテスの言葉</t>
  </si>
  <si>
    <t>第17巻第4号</t>
  </si>
  <si>
    <t>273-287頁</t>
  </si>
  <si>
    <t>青森大病院教授　深瀬洋春　伊沢蘭軒覚え書（一）</t>
  </si>
  <si>
    <t>288-291頁</t>
  </si>
  <si>
    <t>「【い】斎遺稿」について(三)</t>
  </si>
  <si>
    <t>292-303頁</t>
  </si>
  <si>
    <t>津軽における人体解剖の事蹟（二）</t>
  </si>
  <si>
    <t>304-307頁</t>
  </si>
  <si>
    <t>青森県八戸地方の種痘史に関する一史料</t>
  </si>
  <si>
    <t>308-310頁</t>
  </si>
  <si>
    <t>資料一</t>
  </si>
  <si>
    <t>戸塚静海より兄柳斎宛の書簡の紹介（一）</t>
  </si>
  <si>
    <t>311-315頁</t>
  </si>
  <si>
    <t>資料二</t>
  </si>
  <si>
    <t>堀内文書の研究（四）</t>
  </si>
  <si>
    <t>317-324頁</t>
  </si>
  <si>
    <t>父の遺品をめぐって</t>
  </si>
  <si>
    <t>325-327頁</t>
  </si>
  <si>
    <t>ブルク・ワルテンシュタイン・シンポジウム「アジアの医学体系の比較研究」に出席して</t>
  </si>
  <si>
    <t>325頁</t>
  </si>
  <si>
    <t>奈良時代における僧侶の医療について</t>
  </si>
  <si>
    <t>327-328頁</t>
  </si>
  <si>
    <t>頼山陽の病志</t>
  </si>
  <si>
    <t>富士川英郎</t>
  </si>
  <si>
    <t>327頁</t>
  </si>
  <si>
    <t>吉益東洞門人録について</t>
  </si>
  <si>
    <t>328-330頁</t>
  </si>
  <si>
    <t>日本医史学会関西支部秋季大会</t>
  </si>
  <si>
    <t>330頁</t>
  </si>
  <si>
    <t>愛知県医事風土記</t>
  </si>
  <si>
    <t>331-332頁</t>
  </si>
  <si>
    <t>伊東玄朴の墓</t>
  </si>
  <si>
    <t>331頁</t>
  </si>
  <si>
    <t>ススルタ大医典　全三巻</t>
  </si>
  <si>
    <t>332-333頁</t>
  </si>
  <si>
    <t>現代科学思想事典</t>
  </si>
  <si>
    <t>332頁</t>
  </si>
  <si>
    <t>科学の使徒・レントゲン</t>
  </si>
  <si>
    <t>馬詰嘉吉著　恩師井上誠夫先生</t>
  </si>
  <si>
    <t>松木明　松木明知著　津軽の医史</t>
  </si>
  <si>
    <t>333-334頁</t>
  </si>
  <si>
    <t>スシュルタ本集　全一巻</t>
  </si>
  <si>
    <t>333頁</t>
  </si>
  <si>
    <t>吉川芳秋著　本草蘭医科学郷土史考</t>
  </si>
  <si>
    <t>雑報　書評</t>
  </si>
  <si>
    <t>昭和４６年度日本医史学会寄贈本リスト</t>
  </si>
  <si>
    <t>334-335頁</t>
  </si>
  <si>
    <t>青木一郎著「年譜で見る坪井信道の生涯」　付美濃蘭学者の動静</t>
  </si>
  <si>
    <t>334頁</t>
  </si>
  <si>
    <t>世界の医史学雑誌－ニ－</t>
  </si>
  <si>
    <t>336頁</t>
  </si>
  <si>
    <t>Ｕｂｅｒ　ｄｅｎ　Ｖｏｒｎａｍｅｎｄｅ　Ｇｒａａｆｓ</t>
  </si>
  <si>
    <t>Ｈ．ＳＡＫＡＩ</t>
  </si>
  <si>
    <t>343-347頁</t>
  </si>
  <si>
    <t>Ｔｈｅ　Ｔｒａｄｉｔｉｏｎａｌ　Ｓｙｓｔｅｍ　ｏｆ　Ｉｎｄｉａｎ　Ｍｅｄｉｃｉｎｅ　（Ａｙｕｒｖｅｄａ）－ｔｈｅ　Ｂａｃｋｇｒｏｕｎｄ－</t>
  </si>
  <si>
    <t>Ｖ．Ｖ．Ｇｏｋｈａｌｃ</t>
  </si>
  <si>
    <t>348-362頁</t>
  </si>
  <si>
    <t>特集　堀内文書の研究</t>
  </si>
  <si>
    <t>堀内文書にみる蘭学者の生活と思想－第一回杉田玄白の手紙から―</t>
  </si>
  <si>
    <t>1972年(昭和47)</t>
  </si>
  <si>
    <t>第18巻第1号</t>
  </si>
  <si>
    <t>研究余滴</t>
  </si>
  <si>
    <t>解体新書に引用された本・タ―ヘル・アナトミアの出版事情</t>
  </si>
  <si>
    <t>堀内文書にみられるオランダ語について</t>
  </si>
  <si>
    <t>011-16頁</t>
  </si>
  <si>
    <t>米沢藩々医，堀内家とその周辺</t>
  </si>
  <si>
    <t>堀内淳一</t>
  </si>
  <si>
    <t>017-28頁</t>
  </si>
  <si>
    <t>堀内文書よりみた江戸時代後期の医療（第一報）</t>
  </si>
  <si>
    <t>029-37頁</t>
  </si>
  <si>
    <t>堀内文書関係年譜</t>
  </si>
  <si>
    <t>039-50頁</t>
  </si>
  <si>
    <t>弘前における渋江抽斎の遺族と伊沢棠軒－伊沢蘭軒覚之書（二）</t>
  </si>
  <si>
    <t>051-54頁</t>
  </si>
  <si>
    <t>浦和市医師会編纂「物語浦和市医師会史」</t>
  </si>
  <si>
    <t>堀内文書の研究（五）</t>
  </si>
  <si>
    <t>055-60頁</t>
  </si>
  <si>
    <t>061-66頁</t>
  </si>
  <si>
    <t>古川柳より見たる医学</t>
  </si>
  <si>
    <t>山路閑古</t>
  </si>
  <si>
    <t>矢部一郎</t>
  </si>
  <si>
    <t>箕作阮甫の訳語「人口」について</t>
  </si>
  <si>
    <t>坪井信道塾の塾生でつくった二つの医薬品辞典</t>
  </si>
  <si>
    <t>オランダの医学切手</t>
  </si>
  <si>
    <t>堀内文書にみる蘭学者の生活と思想</t>
  </si>
  <si>
    <t>昭和４６年度医史学関係文献目録（一）</t>
  </si>
  <si>
    <t>068-74頁</t>
  </si>
  <si>
    <t>森下薫著「ある医学史の周辺」</t>
  </si>
  <si>
    <t>Ｊａｐａｎｉｓｃｈｅ　Ｍｅｄｉｚｉｎ　ｕｎｄ　Ｄｅｕｔｓｃｈｌａｎｄ</t>
  </si>
  <si>
    <t>Ｔｅｉｚｏ　ＯＧＡＷＡ</t>
  </si>
  <si>
    <t>085-92頁</t>
  </si>
  <si>
    <t>養老令にみる奈良時代の疾病観と疾病</t>
  </si>
  <si>
    <t>宮崎吉平</t>
  </si>
  <si>
    <t>第18巻第2号</t>
  </si>
  <si>
    <t>093-106頁</t>
  </si>
  <si>
    <t>瑞方面山の「典座教訓聞解」について</t>
  </si>
  <si>
    <t>107-118頁</t>
  </si>
  <si>
    <t>坪井信道のヒポクラテス賛の作詩の年代</t>
  </si>
  <si>
    <t>秋田の蘭医岩谷省達</t>
  </si>
  <si>
    <t>123-126頁</t>
  </si>
  <si>
    <t>「【い】斎遺稿」について(四)</t>
  </si>
  <si>
    <t>127-134頁</t>
  </si>
  <si>
    <t>弘前藩の定府藩医須川隆白－伊沢蘭軒覚之書（三）</t>
  </si>
  <si>
    <t>135-138頁</t>
  </si>
  <si>
    <t>139-147頁</t>
  </si>
  <si>
    <t>三木栄著「体系世界医学史」－書誌的研究</t>
  </si>
  <si>
    <t>村上忠重校閲川俣建二著　胃外科の歴史</t>
  </si>
  <si>
    <t>148頁</t>
  </si>
  <si>
    <t>堀内文書の研究（六）</t>
  </si>
  <si>
    <t>149-155頁</t>
  </si>
  <si>
    <t>河野通俊の業蹟</t>
  </si>
  <si>
    <t>蓮見武爾</t>
  </si>
  <si>
    <t>156-157頁</t>
  </si>
  <si>
    <t>156頁</t>
  </si>
  <si>
    <t>切手に表われた細菌学・生物学</t>
  </si>
  <si>
    <t>華岡青洲の外科道具の比較研究</t>
  </si>
  <si>
    <t>緒方富雄　小川鼎三　中野操　大鳥蘭三郎　谷津三雄　酒井シヅ　市河作之助　松本善次郎</t>
  </si>
  <si>
    <t>157頁</t>
  </si>
  <si>
    <t>吾妻鏡を中心として見た鎌倉の医師</t>
  </si>
  <si>
    <t>仙台と蘭学</t>
  </si>
  <si>
    <t>山形敞一</t>
  </si>
  <si>
    <t>第18巻第3号</t>
  </si>
  <si>
    <t>165-169頁</t>
  </si>
  <si>
    <t>高野長英と蘭学</t>
  </si>
  <si>
    <t>170-172頁</t>
  </si>
  <si>
    <t>蘭学と大阪</t>
  </si>
  <si>
    <t>173-176頁</t>
  </si>
  <si>
    <t>医学およびパラメディカル教育における制度史－とくに日本における特長</t>
  </si>
  <si>
    <t>177-178頁</t>
  </si>
  <si>
    <t>日本医学放射線技術史上の石田熊治郎について</t>
  </si>
  <si>
    <t>177頁</t>
  </si>
  <si>
    <t>明治期学校衛生史の研究　九　学校身体検査制度</t>
  </si>
  <si>
    <t>178-180頁</t>
  </si>
  <si>
    <t>星野良悦の解屍</t>
  </si>
  <si>
    <t>180-181頁</t>
  </si>
  <si>
    <t>七科約説と太田用成</t>
  </si>
  <si>
    <t>182-183頁</t>
  </si>
  <si>
    <t>藤井方亭の生家について</t>
  </si>
  <si>
    <t>182頁</t>
  </si>
  <si>
    <t>佐伯理一郎（１８６２－１９５３）留学日記（米・独・墺・英）</t>
  </si>
  <si>
    <t>183-186頁</t>
  </si>
  <si>
    <t>日仏医学交流に貢献した茂木蔵之助</t>
  </si>
  <si>
    <t>186-187頁</t>
  </si>
  <si>
    <t>ターヘルアナトミアについて（その一）</t>
  </si>
  <si>
    <t>187-189頁</t>
  </si>
  <si>
    <t>解体新書と重訂解体新書を比較して</t>
  </si>
  <si>
    <t>189頁</t>
  </si>
  <si>
    <t>西説内科撰要について</t>
  </si>
  <si>
    <t>植学啓原における遺伝学</t>
  </si>
  <si>
    <t>卯辰山養生所について</t>
  </si>
  <si>
    <t>古代バビロニアに於ける医療について</t>
  </si>
  <si>
    <t>古代印度医学と仏教医学との比較（１）</t>
  </si>
  <si>
    <t>石原明　杉田暉道</t>
  </si>
  <si>
    <t>194頁</t>
  </si>
  <si>
    <t>日本先史時代の暦法－月名の解明と生産呪術の考察を中心として</t>
  </si>
  <si>
    <t>195-196頁</t>
  </si>
  <si>
    <t>奈良時代庶民の人口ピラミッドおよび死亡</t>
  </si>
  <si>
    <t>「医学天正記」の研究（第二報）</t>
  </si>
  <si>
    <t>197-198頁</t>
  </si>
  <si>
    <t>戦国武将の医学意識と医道伝授</t>
  </si>
  <si>
    <t>宮本義己</t>
  </si>
  <si>
    <t>198-199頁</t>
  </si>
  <si>
    <t>禅宗僧の延寿堂について</t>
  </si>
  <si>
    <t>199-200頁</t>
  </si>
  <si>
    <t>200-201頁</t>
  </si>
  <si>
    <t>旧約聖書時代の衛生状態</t>
  </si>
  <si>
    <t>小沢吉見</t>
  </si>
  <si>
    <t>201-202頁</t>
  </si>
  <si>
    <t>泰西医学と数学</t>
  </si>
  <si>
    <t>202-203頁</t>
  </si>
  <si>
    <t>頼山陽の病志（二）</t>
  </si>
  <si>
    <t>205-214頁</t>
  </si>
  <si>
    <t>近世日本医学の先覚者－相良知安文書の研究</t>
  </si>
  <si>
    <t>鍵山栄</t>
  </si>
  <si>
    <t>215-222頁</t>
  </si>
  <si>
    <t>出挙稲から眺めた奈良時代農民の死亡</t>
  </si>
  <si>
    <t>第18巻第4号</t>
  </si>
  <si>
    <t>237-245頁</t>
  </si>
  <si>
    <t>246-257頁</t>
  </si>
  <si>
    <t>畠山義綱と医道伝受（１）</t>
  </si>
  <si>
    <t>258-269頁</t>
  </si>
  <si>
    <t>藤林普山『水腫論』付北山正剛『外科要論』</t>
  </si>
  <si>
    <t>270-274頁</t>
  </si>
  <si>
    <t>275-281頁</t>
  </si>
  <si>
    <t>ロイトルに関する新資料　岡山藩医学館オランダ人教師</t>
  </si>
  <si>
    <t>石田純郎</t>
  </si>
  <si>
    <t>282-281頁</t>
  </si>
  <si>
    <t>「【い】斎遺稿」について(五)</t>
  </si>
  <si>
    <t>286-295頁</t>
  </si>
  <si>
    <t>豊橋浅井家に伝わる資料　豊橋医学舎設立願</t>
  </si>
  <si>
    <t>竹内孝一</t>
  </si>
  <si>
    <t>296-303頁</t>
  </si>
  <si>
    <t>堀内文書の研究（七）</t>
  </si>
  <si>
    <t>305-312頁</t>
  </si>
  <si>
    <t>明治の漢方月刊誌「春雨雑誌」などについて</t>
  </si>
  <si>
    <t>313-314頁</t>
  </si>
  <si>
    <t>杉山宗立について－シーボルトの門人－</t>
  </si>
  <si>
    <t>谷沢尚一</t>
  </si>
  <si>
    <t>313頁</t>
  </si>
  <si>
    <t>古代日本人の体液観－言語学的一考察</t>
  </si>
  <si>
    <t>314-315頁</t>
  </si>
  <si>
    <t>ヨーロッパの医学史跡めぐり－スライド供覧－</t>
  </si>
  <si>
    <t>立川昭二</t>
  </si>
  <si>
    <t>314頁</t>
  </si>
  <si>
    <t>太田典礼</t>
  </si>
  <si>
    <t>315-316頁</t>
  </si>
  <si>
    <t>第２３回国際医史学会見聞記</t>
  </si>
  <si>
    <t>316-317頁</t>
  </si>
  <si>
    <t>昭和４６年刊行医史学関係論文目録（２）</t>
  </si>
  <si>
    <t>317-326頁</t>
  </si>
  <si>
    <t>若越医学史展出品目録</t>
  </si>
  <si>
    <t>321-326頁</t>
  </si>
  <si>
    <t>安芸津記念病院郷土史料室の紹介</t>
  </si>
  <si>
    <t>坂田泰正</t>
  </si>
  <si>
    <t>日本医学文化保存会財団法人として文部省より許さる</t>
  </si>
  <si>
    <t>328頁</t>
  </si>
  <si>
    <t>財団法人「日本医学文化保存会」設立趣意書</t>
  </si>
  <si>
    <t>【Ｕ】ｂｅｒ　ｄｉｅ　Ｂｕｃｈｓｔａｂｉｅｒｕｎｇ　ｉｎ　ｄｅｎ　゛Ｏｎｔｌｅｅｄｋｕｎｄｉｇｅｎ　Ｔａｆｅｌｅｎ゛</t>
  </si>
  <si>
    <t>342-346頁</t>
  </si>
  <si>
    <t>明治初年地方医学校のオランダ語からドイツ語医学移行の研究―山口県．三田尻．華浦医学校の実例について―</t>
  </si>
  <si>
    <t>1973年(昭和48)</t>
  </si>
  <si>
    <t>第19巻第1号</t>
  </si>
  <si>
    <t>西説内科撰要について（一）</t>
  </si>
  <si>
    <t>藤原宮出土の典薬寮関係木簡考</t>
  </si>
  <si>
    <t>新村拓</t>
  </si>
  <si>
    <t>029-40頁</t>
  </si>
  <si>
    <t>旧約聖書における衛生状態</t>
  </si>
  <si>
    <t>041-49頁</t>
  </si>
  <si>
    <t>正倉院文書より得たる人口ピラミッド</t>
  </si>
  <si>
    <t>050-57頁</t>
  </si>
  <si>
    <t>畠山義綱と医道伝受（二）</t>
  </si>
  <si>
    <t>059-69頁</t>
  </si>
  <si>
    <t>「【い】斎遺稿」について(六)</t>
  </si>
  <si>
    <t>070-87頁</t>
  </si>
  <si>
    <t>江馬家にある坪井信道のヒポクラテス賛詩</t>
  </si>
  <si>
    <t>088-90頁</t>
  </si>
  <si>
    <t>堀内文書の研究（八）</t>
  </si>
  <si>
    <t>091-101頁</t>
  </si>
  <si>
    <t>江戸幕府と医師</t>
  </si>
  <si>
    <t>進士慶幹</t>
  </si>
  <si>
    <t>小絵馬に現われている疾病観と治療観</t>
  </si>
  <si>
    <t>三浦三郎</t>
  </si>
  <si>
    <t>102頁</t>
  </si>
  <si>
    <t>明治年代の歯科麻酔－殊に笑気麻酔小史－</t>
  </si>
  <si>
    <t>谷津三雄</t>
  </si>
  <si>
    <t>幕府医官奈須家資料について</t>
  </si>
  <si>
    <t>鍋島直玄</t>
  </si>
  <si>
    <t>記事　書評</t>
  </si>
  <si>
    <t>中川米造著「医学をみる眼」</t>
  </si>
  <si>
    <t>多摩の蘭学</t>
  </si>
  <si>
    <t>107頁</t>
  </si>
  <si>
    <t>切手でみた救ライと外科</t>
  </si>
  <si>
    <t>日本におけるヒポクラテス画像とその後</t>
  </si>
  <si>
    <t>カピタンの娘、平戸のコルネリアの半生</t>
  </si>
  <si>
    <t>岩生成一</t>
  </si>
  <si>
    <t>南海寄帰伝にみられる個人衛生</t>
  </si>
  <si>
    <t>佐藤尚中の長崎留学について</t>
  </si>
  <si>
    <t>昭和４７年度医史学関係論文目録（一）</t>
  </si>
  <si>
    <t>109-114頁</t>
  </si>
  <si>
    <t>東海医学史研究会発足す－発会記念講演会印象記－</t>
  </si>
  <si>
    <t>114頁</t>
  </si>
  <si>
    <t>『適々斎薬室膠柱方』について</t>
  </si>
  <si>
    <t>第19巻第2号</t>
  </si>
  <si>
    <t>119-163頁</t>
  </si>
  <si>
    <t>西説内科撰要について（二）</t>
  </si>
  <si>
    <t>165-173頁</t>
  </si>
  <si>
    <t>種子島における痘瘡について</t>
  </si>
  <si>
    <t>河内和夫</t>
  </si>
  <si>
    <t>174-192頁</t>
  </si>
  <si>
    <t>華岡青洲による最初の全身麻酔の期日について</t>
  </si>
  <si>
    <t>193-197頁</t>
  </si>
  <si>
    <t>写経生と病気</t>
  </si>
  <si>
    <t>198-212頁</t>
  </si>
  <si>
    <t>前野良沢・　同　良庵・　高山彦九郎書簡</t>
  </si>
  <si>
    <t>千々和実</t>
  </si>
  <si>
    <t>213-219頁</t>
  </si>
  <si>
    <t>抄録</t>
  </si>
  <si>
    <t>Ｙ．Ｋ．Ｌｅｅ</t>
  </si>
  <si>
    <t>219頁</t>
  </si>
  <si>
    <t>虎岩武の履歴書・論説・詩文</t>
  </si>
  <si>
    <t>220-225頁</t>
  </si>
  <si>
    <t>江戸時代の史蹟、「道立橋」、「道三堀」について</t>
  </si>
  <si>
    <t>226-227頁</t>
  </si>
  <si>
    <t>欧州医学・看護史の旅</t>
  </si>
  <si>
    <t>種子島の痘瘡について</t>
  </si>
  <si>
    <t>河内和夫　河内一郎</t>
  </si>
  <si>
    <t>横浜医学の百年</t>
  </si>
  <si>
    <t>在日宣教医　Ｔｈｅｏｂａｌｄ　Ａｄｒｉａｎ　Ｐａｌｍ　についてのイギリスにおける調査報告</t>
  </si>
  <si>
    <t>奈良朝の医書について</t>
  </si>
  <si>
    <t>関寛斎の長崎在学日記より</t>
  </si>
  <si>
    <t>古方派の系譜</t>
  </si>
  <si>
    <t>江戸東京の医人録</t>
  </si>
  <si>
    <t>古書の修理方法</t>
  </si>
  <si>
    <t>近衛家旧蔵古葉篭中の古文書をめぐって</t>
  </si>
  <si>
    <t>インド医学講演会</t>
  </si>
  <si>
    <t>228頁</t>
  </si>
  <si>
    <t>岡西為人博士と中国医薬書</t>
  </si>
  <si>
    <t>赤堀昭</t>
  </si>
  <si>
    <t>岡西為人先生永眠される</t>
  </si>
  <si>
    <t>学徳の人　岡西先生をしのぶ</t>
  </si>
  <si>
    <t>笑気、酸素麻酔の歴史－笑気酸素の発見の歴史－(抄)</t>
  </si>
  <si>
    <t>Ｗ．Ｄ．Ａ．Ｓｍｉｔｈ</t>
  </si>
  <si>
    <t>会員通信</t>
  </si>
  <si>
    <t>233頁</t>
  </si>
  <si>
    <t>Ｇｅｎｅｒａｌ　Ａｎｅｓｔｈｅｓｉａ　ａｎｄ　Ｓｕｒｇｅｒｙ　ｂｙ　Ｓｅｉｓｈｕ　Ｈａｎａｏｋａ</t>
  </si>
  <si>
    <t>Ａｋｉｔｏｍｏ　ＭＡＴＳＵＫＩ</t>
  </si>
  <si>
    <t>245-237頁</t>
  </si>
  <si>
    <t>Ｎｉｃｏｌａｕｓ　Ｃｏｐｅｒｎｉｃｕｓ　ａｓ　Ｐｈｙｓｉｃｉａｎ－ｏｎ　ｔｈｅ　ｆｉｆｔｈ　Ｃｅｎｔｅｎａｒｙ　ｏｆ　ｈｉｓ　Ｂｉｒｔｈ－</t>
  </si>
  <si>
    <t>Ｗｉｔｏｌｄ　ＲＵＤＯＷＳＫＩ</t>
  </si>
  <si>
    <t>267-246頁</t>
  </si>
  <si>
    <t>正骨範の書誌</t>
  </si>
  <si>
    <t>第19巻第3号</t>
  </si>
  <si>
    <t>269-270頁</t>
  </si>
  <si>
    <t>欧亜解剖資料展を観て</t>
  </si>
  <si>
    <t>270-271頁</t>
  </si>
  <si>
    <t>安楽死と合理的自殺について</t>
  </si>
  <si>
    <t>272-273頁</t>
  </si>
  <si>
    <t>十九世紀における蝦夷地の疾病</t>
  </si>
  <si>
    <t>273-274頁</t>
  </si>
  <si>
    <t>来日宣教医ＨＥＮＲＹ　ＦＡＵＬＤＳについて</t>
  </si>
  <si>
    <t>274-275頁</t>
  </si>
  <si>
    <t>九州における医学放射線技術者の先覚赤間与三次先生</t>
  </si>
  <si>
    <t>276頁</t>
  </si>
  <si>
    <t>精得館医学生好本純蔵の長崎通信</t>
  </si>
  <si>
    <t>277-278頁</t>
  </si>
  <si>
    <t>橋本宗吉訳未刊の医薬書二点について</t>
  </si>
  <si>
    <t>278頁</t>
  </si>
  <si>
    <t>高橋重賢の松前及び長崎の勤務について</t>
  </si>
  <si>
    <t>279-280頁</t>
  </si>
  <si>
    <t>屯田兵村における医療（第一報）</t>
  </si>
  <si>
    <t>方波見康雄</t>
  </si>
  <si>
    <t>280-281頁</t>
  </si>
  <si>
    <t>薩摩の洋医学</t>
  </si>
  <si>
    <t>森重孝</t>
  </si>
  <si>
    <t>281-282頁</t>
  </si>
  <si>
    <t>薬師経と薬師如来瑞応伝とについて</t>
  </si>
  <si>
    <t>283-284頁</t>
  </si>
  <si>
    <t>医学用語に関する研究　「糖尿病」の名称について－第一報－</t>
  </si>
  <si>
    <t>三村悟郎　福満昭二</t>
  </si>
  <si>
    <t>284-285頁</t>
  </si>
  <si>
    <t>関寛斎の研究　第二報　長崎時代の人物像</t>
  </si>
  <si>
    <t>286-287頁</t>
  </si>
  <si>
    <t>広島医学校の学生ノ－ト、明治十六年から</t>
  </si>
  <si>
    <t>医療及び保健衛生面における検査技術者の歴史－衛生検査技師から臨床検査技師への史的推移－</t>
  </si>
  <si>
    <t>谷島清郎</t>
  </si>
  <si>
    <t>種子島住人の出島見聞録－殊にオランダ医官列狄と吉雄幸載を中心として</t>
  </si>
  <si>
    <t>河内一郎</t>
  </si>
  <si>
    <t>比較語学的方法による身体意識史検討の試み（三）</t>
  </si>
  <si>
    <t>明治時代の女子歯科医師教育について</t>
  </si>
  <si>
    <t>本邦における最初の帝王切開術について</t>
  </si>
  <si>
    <t>石原力</t>
  </si>
  <si>
    <t>292-293頁</t>
  </si>
  <si>
    <t>麻酔の発展に関する考察</t>
  </si>
  <si>
    <t>栗本宗治</t>
  </si>
  <si>
    <t>梅毒の起源についての一考察</t>
  </si>
  <si>
    <t>吉井善作</t>
  </si>
  <si>
    <t>蘭医学書の原著者としてのフランス医学者</t>
  </si>
  <si>
    <t>296-297頁</t>
  </si>
  <si>
    <t>ヨーロッパ及びバタビヤからの購入図書から見たシーボルト</t>
  </si>
  <si>
    <t>明治期学校衛生史の研究（十）</t>
  </si>
  <si>
    <t>299-300頁</t>
  </si>
  <si>
    <t>江戸時代末期筑前国博多市小路に長崎より蘭学を導入していた医師の町（当時のメヂカルセンタ－）について</t>
  </si>
  <si>
    <t>開業医として四百年の私の家系－田中了斎とその医史学上の業績</t>
  </si>
  <si>
    <t>田中敬三</t>
  </si>
  <si>
    <t>Ｐｈｉｌｉｐｐ　Ｆ．Ｂ．ｖｏｎ　Ｓｉｅｂｏｌｄ　ａｎｄ　Ａｃｕｐｕｎｃｔｕｒｅ</t>
  </si>
  <si>
    <t>Ｊｏｈｎ　Ｚ．Ｂｏｗｅｒｓ</t>
  </si>
  <si>
    <t>307-313頁</t>
  </si>
  <si>
    <t>種子島における江戸時代の人口推移の状況についての一考察</t>
  </si>
  <si>
    <t>第19巻第4号</t>
  </si>
  <si>
    <t>317-332頁</t>
  </si>
  <si>
    <t>西説内科撰要について（三）</t>
  </si>
  <si>
    <t>333-342頁</t>
  </si>
  <si>
    <t>343-354頁</t>
  </si>
  <si>
    <t>アルブレヒトと「箱館の医学地誌」</t>
  </si>
  <si>
    <t>355-359頁</t>
  </si>
  <si>
    <t>エルドリッジの訃報</t>
  </si>
  <si>
    <t>360-363頁</t>
  </si>
  <si>
    <t>医史学と私</t>
  </si>
  <si>
    <t>365-376頁</t>
  </si>
  <si>
    <t>バロック時代のオランダ解剖書（いわゆる革新解剖学）その内容と表現</t>
  </si>
  <si>
    <t>Ａ・Ｍ・Ｌｕｙｅｎｄｉｊｋ－Ｅｌｓｈｏｕｔ</t>
  </si>
  <si>
    <t>377-383頁</t>
  </si>
  <si>
    <t>ターヘルアナトミアについて（その二）</t>
  </si>
  <si>
    <t>384-385頁</t>
  </si>
  <si>
    <t>堀内文書の研究（九）</t>
  </si>
  <si>
    <t>387-398頁</t>
  </si>
  <si>
    <t>羽生六郎左衛門著「阿蘭陀館内見物記」－阿蘭陀医者列狄との出逢い</t>
  </si>
  <si>
    <t>399-404頁</t>
  </si>
  <si>
    <t>江川担庵の侍医肥田春安</t>
  </si>
  <si>
    <t>405頁</t>
  </si>
  <si>
    <t>慶長年間の医家肖像二点</t>
  </si>
  <si>
    <t>406頁</t>
  </si>
  <si>
    <t>先哲・吉益東洞顕彰碑について</t>
  </si>
  <si>
    <t>江川義雄</t>
  </si>
  <si>
    <t>種子島に於ける江戸時代の人口の推移状況について</t>
  </si>
  <si>
    <t>宇田川榛斎の「遠田医範」と「医範提綱」（一）</t>
  </si>
  <si>
    <t>ショーメル異聞</t>
  </si>
  <si>
    <t>宇賀田為吉</t>
  </si>
  <si>
    <t>緒方洪庵の子、緒方惟直のこと</t>
  </si>
  <si>
    <t>絵画資料に見る日本の医師</t>
  </si>
  <si>
    <t>江馬塾における「扶氏経験遺訓」の需要</t>
  </si>
  <si>
    <t>昭和４７年度医史学関係論文目録（二）</t>
  </si>
  <si>
    <t>407-419頁</t>
  </si>
  <si>
    <t>日本学術会議第６４回総会報告</t>
  </si>
  <si>
    <t>日本学術会議広報委員会</t>
  </si>
  <si>
    <t>420-422頁</t>
  </si>
  <si>
    <t>東海医学会研究会総会</t>
  </si>
  <si>
    <t>420頁</t>
  </si>
  <si>
    <t>三浦医学研究振興財団より日本医史学会に助成金でる</t>
  </si>
  <si>
    <t>422-423頁</t>
  </si>
  <si>
    <t>中村禎里『生物学の歴史』</t>
  </si>
  <si>
    <t>423-424頁</t>
  </si>
  <si>
    <t>Ｐａｕｌ　Ｕ．Ｕｎｓｃｈｕｌｄ：Ｄｉｅ　Ｐｒａｘｉｓ　ｄｅｓ　ｔｒａｄｉｔｉｏｎｅｌｌｅｎ　ｃｈｉｎｅｓｉｓｃｈｅａ　Ｈｅｉｌｓｙｓｔｅｍｓ，１８２頁，写真３６葉，西独Ｗｉｅｓｂａｄｅｎ市，Ｓｔｅｉｎｅｒ　Ｖｅｒｌｎｇ刊，１９７３．</t>
  </si>
  <si>
    <t>425-426頁</t>
  </si>
  <si>
    <t>Ｈ．Ｅ．ジゲリスト著　松藤元訳「病気と文明」</t>
  </si>
  <si>
    <t>蔵方宏昌</t>
  </si>
  <si>
    <t>425頁</t>
  </si>
  <si>
    <t>Ｇ．Ａ．Ｌｉｎｄｅｂｏｏｍ，゛Ｄｅ　Ｇｅｓｃｈｉｅｄｅｎｉｓ　ｖａｎ　ｄｅ　Ｍｅｄｉｓｃｈｅ　Ｗｅｔｅｎｓｃｈａｐ　ｉｎ　Ｎｅｄｅｒｌａｎｄ・゛</t>
  </si>
  <si>
    <t>426-427頁</t>
  </si>
  <si>
    <t>文部省科学研究費補助金（学術定期刊行物）の交付決定</t>
  </si>
  <si>
    <t>427頁</t>
  </si>
  <si>
    <t>Ａｙｕｒｖｅｄｉｃ　Ｍｅｄｉｃｉｎｅ　ｉｎ　Ｐｒａｃｔｉｃｅ</t>
  </si>
  <si>
    <t>Ｐａｎｄｉｔ　Ｓｈｉｖ　Ｓｈａｒｍａ</t>
  </si>
  <si>
    <t>433-454頁</t>
  </si>
  <si>
    <t>シーボルトと門人</t>
  </si>
  <si>
    <t>1974年(昭和49)</t>
  </si>
  <si>
    <t>第20巻第1号</t>
  </si>
  <si>
    <t>001-39頁</t>
  </si>
  <si>
    <t>シーボルトの処方</t>
  </si>
  <si>
    <t>040-45頁</t>
  </si>
  <si>
    <t>画家の眼を開いたシーボルト</t>
  </si>
  <si>
    <t>兼重護</t>
  </si>
  <si>
    <t>046-52頁</t>
  </si>
  <si>
    <t>シーボルトと長州</t>
  </si>
  <si>
    <t>053-58頁</t>
  </si>
  <si>
    <t>シーボルトの治療法</t>
  </si>
  <si>
    <t>059-63頁</t>
  </si>
  <si>
    <t>蘭学史におけるシーボルトの役割</t>
  </si>
  <si>
    <t>064-70頁</t>
  </si>
  <si>
    <t>医師としてのシーボルト</t>
  </si>
  <si>
    <t>071-75頁</t>
  </si>
  <si>
    <t>日本眼科史上のシーボルト</t>
  </si>
  <si>
    <t>076-85頁</t>
  </si>
  <si>
    <t>「放射線医学史」舘野之男著</t>
  </si>
  <si>
    <t>Ａｎａｔｏｍｉａ　Ｒｅｆｏｒｍａｔａ・Ｔｈｅ　Ｄｕｔｃｈ　Ｈａｎｄｂｏｏｋ　ｏｆ　Ａｎａｔｏｍｙ　ｆｒｏｍ　ｔｈｅ　Ｂａｒｏｊｕｅ　Ｐｅｒｉｏｄ；ｔｈｅ　Ｃｏｎｔｅｎｔｓ　ａｎｄ　Ｐｒｅｓｅｔａｔｉｏｎ</t>
  </si>
  <si>
    <t>Ａ・Ｍ・ＬＵＹＥＮＤＩＪＫ－ＥＬＳＨＯＵＴ</t>
  </si>
  <si>
    <t>104-91頁</t>
  </si>
  <si>
    <t>慶長年間の医家肖像二点の考案</t>
  </si>
  <si>
    <t>第20巻第2号</t>
  </si>
  <si>
    <t>105-116頁</t>
  </si>
  <si>
    <t>江馬塾における「扶氏経験遺訓」の需要（上）</t>
  </si>
  <si>
    <t>117-124頁</t>
  </si>
  <si>
    <t>江戸時代における西欧遺伝学の受容と紹介</t>
  </si>
  <si>
    <t>125-133頁</t>
  </si>
  <si>
    <t>「唐律令」および「養老律令」における有疾獄囚の待遇について</t>
  </si>
  <si>
    <t>134-141頁</t>
  </si>
  <si>
    <t>西説内科撰要について（四）</t>
  </si>
  <si>
    <t>142-150頁</t>
  </si>
  <si>
    <t>絵巻物に描かれた日本の医療</t>
  </si>
  <si>
    <t>151-197頁</t>
  </si>
  <si>
    <t>寄書</t>
  </si>
  <si>
    <t>ポール・ストラデイン医学史博物館長ヘルト・ハンセン館長の死を悼んで</t>
  </si>
  <si>
    <t>164-165頁</t>
  </si>
  <si>
    <t>浅井家文書（一）</t>
  </si>
  <si>
    <t>166-173頁</t>
  </si>
  <si>
    <t>堀内文書の研究（十）</t>
  </si>
  <si>
    <t>174-183頁</t>
  </si>
  <si>
    <t>来日イギリス人宣教医パームの著作について</t>
  </si>
  <si>
    <t>184頁</t>
  </si>
  <si>
    <t>短命であった大阪舎密局</t>
  </si>
  <si>
    <t>佐藤尚中の「済衆録」自筆原稿</t>
  </si>
  <si>
    <t>脚気病院とその後</t>
  </si>
  <si>
    <t>「遊相医話」と森立之（枳園）</t>
  </si>
  <si>
    <t>今井久</t>
  </si>
  <si>
    <t>切手に現れた癌</t>
  </si>
  <si>
    <t>鮫島近二著「明治維新と英医ウイリス」</t>
  </si>
  <si>
    <t>185頁</t>
  </si>
  <si>
    <t>松木明知著「北海道の医史」</t>
  </si>
  <si>
    <t>186頁</t>
  </si>
  <si>
    <t>大城功訳、Ｒ・Ｈ・シュライオック著「近代医学の発達－その社会的、科学的要因の解釈－」、平凡社、一九七四年一月、Ａ５版、３５００円（原著Ｒｉｃｈａｒｄ　Ｈａｒｒｉｓｏｎ　Ｓｈｒｙｏｃｋ：Ｔｈｅ　ｔｈｅ　Ｓｏｃｉａｌ　ａｎｄ　Ｓｃｉｅｎｔｉｆｉｃ　Ｆａｃｔｏｒｓ　Ｉｎｖｏｌｖｅｄ，Ａｉｆｒｅｄ　Ａ，Ｋｎｏｐｆ，ＮｅｗＹｏｒｋ，１９４７）</t>
  </si>
  <si>
    <t>吉益東洞と賀川玄悦－鎮帯・産椅の禁をめぐって－（英文）</t>
  </si>
  <si>
    <t>198-193頁</t>
  </si>
  <si>
    <t>クルムス解剖書の脚注と「重訂解体新書」</t>
  </si>
  <si>
    <t>第20巻第3号</t>
  </si>
  <si>
    <t>解体新書以前に翻訳出版された西洋解剖書</t>
  </si>
  <si>
    <t>「解体新書」の「西説内科撰要」に及ぼした影響</t>
  </si>
  <si>
    <t>解体新書訳業の語学的考察</t>
  </si>
  <si>
    <t>203-205頁</t>
  </si>
  <si>
    <t>解体新書と越後の国</t>
  </si>
  <si>
    <t>205-206頁</t>
  </si>
  <si>
    <t>佐々木中沢の解剖と「解体新書」</t>
  </si>
  <si>
    <t>解体新書と家畜関係書について</t>
  </si>
  <si>
    <t>松尾信一</t>
  </si>
  <si>
    <t>208-210頁</t>
  </si>
  <si>
    <t>八王子で発見された「解体新書」</t>
  </si>
  <si>
    <t>毎年三月四日観臓記念に行われた「医家先哲推薦会」と富士川先生作歌琵琶「蘭学創始」について</t>
  </si>
  <si>
    <t>赤松近芳</t>
  </si>
  <si>
    <t>211-212頁</t>
  </si>
  <si>
    <t>栗山孝庵と杉田玄白及び小田野直武</t>
  </si>
  <si>
    <t>オランダ航海表</t>
  </si>
  <si>
    <t>「前野良沢」寸考</t>
  </si>
  <si>
    <t>小塚原と山谷との管見</t>
  </si>
  <si>
    <t>215-217頁</t>
  </si>
  <si>
    <t>蘭学事始の研究</t>
  </si>
  <si>
    <t>217-219頁</t>
  </si>
  <si>
    <t>220頁</t>
  </si>
  <si>
    <t>いわゆるタ－ヘル・アナトミアについて（その三）序文</t>
  </si>
  <si>
    <t>221-222頁</t>
  </si>
  <si>
    <t>解体新書発刊年時フランスにおいて陶歯創造に着手その後の経緯について</t>
  </si>
  <si>
    <t>瀬戸俊一</t>
  </si>
  <si>
    <t>223-225頁</t>
  </si>
  <si>
    <t>解体新書出版後の利用</t>
  </si>
  <si>
    <t>享保十四年の蘭書和解「西説伯楽必携」について</t>
  </si>
  <si>
    <t>坂本勇</t>
  </si>
  <si>
    <t>227-229頁</t>
  </si>
  <si>
    <t>小浜における杉田、中川家の新資料</t>
  </si>
  <si>
    <t>田辺賀啓　河原朝夫　小畑昭八郎</t>
  </si>
  <si>
    <t>229-231頁</t>
  </si>
  <si>
    <t>「遠西医範」と「医範提綱」（一）</t>
  </si>
  <si>
    <t>233-241頁</t>
  </si>
  <si>
    <t>越後の蘭方医森田兄弟について（一）</t>
  </si>
  <si>
    <t>長谷川一夫</t>
  </si>
  <si>
    <t>242-248頁</t>
  </si>
  <si>
    <t>一資料から見た科学者シーボルト</t>
  </si>
  <si>
    <t>249-257頁</t>
  </si>
  <si>
    <t>江馬塾における「扶氏経験遺訓」の需要（下）</t>
  </si>
  <si>
    <t>258-267頁</t>
  </si>
  <si>
    <t>西洋内科撰要について（五）</t>
  </si>
  <si>
    <t>268-279頁</t>
  </si>
  <si>
    <t>越後の蘭方医森田兄弟について</t>
  </si>
  <si>
    <t>片桐一男　長谷川一夫</t>
  </si>
  <si>
    <t>280頁</t>
  </si>
  <si>
    <t>奨進医会のはじまりについて</t>
  </si>
  <si>
    <t>見聞記にみる江戸時代の疾病</t>
  </si>
  <si>
    <t>八王子で発見された徳本流</t>
  </si>
  <si>
    <t>進藤恵久</t>
  </si>
  <si>
    <t>江戸幕府侍医伴氏の系図－史料供覧－</t>
  </si>
  <si>
    <t>伴七三雄</t>
  </si>
  <si>
    <t>今日に生きている病気平愈祈願小絵馬奉納の実態調査報告</t>
  </si>
  <si>
    <t>相見三郎</t>
  </si>
  <si>
    <t>佐藤進の「渡洋之記」（明治二年のドイツ留学日記）</t>
  </si>
  <si>
    <t>精神医療史研究会編「呉秀三先生－その業績」</t>
  </si>
  <si>
    <t>佐道正彦著「日本の母子衛生」</t>
  </si>
  <si>
    <t>282-283頁</t>
  </si>
  <si>
    <t>増岡敏和著「民主医療運動の先駆者たち」</t>
  </si>
  <si>
    <t>レンブラントの名画「トウルプとデーマンの解剖学講義」</t>
  </si>
  <si>
    <t>第20巻第4号</t>
  </si>
  <si>
    <t>289-312頁</t>
  </si>
  <si>
    <t>庶民史料にみる江戸時代の疾病</t>
  </si>
  <si>
    <t>313-335頁</t>
  </si>
  <si>
    <t>医療及び保健衛生面における検査技術者の歴史医療面における発展について</t>
  </si>
  <si>
    <t>336-346頁</t>
  </si>
  <si>
    <t>俳句の季語に投影している本草綱目の薬物文化</t>
  </si>
  <si>
    <t>347-355頁</t>
  </si>
  <si>
    <t>356-363頁</t>
  </si>
  <si>
    <t>越後の蘭方医森田兄弟について（二）</t>
  </si>
  <si>
    <t>364-369頁</t>
  </si>
  <si>
    <t>伴道与法眼栄藩の家系とその子孫</t>
  </si>
  <si>
    <t>370-375頁</t>
  </si>
  <si>
    <t>昭和４８年度医史学関係論文目録</t>
  </si>
  <si>
    <t>376-389頁</t>
  </si>
  <si>
    <t>岡西為人著「中国医書本草考」</t>
  </si>
  <si>
    <t>390-391頁</t>
  </si>
  <si>
    <t>大矢真一著「日本科学史散歩　江戸期の科学者たち」</t>
  </si>
  <si>
    <t>390頁</t>
  </si>
  <si>
    <t>雑報　弔報</t>
  </si>
  <si>
    <t>評議員金城清松氏逝去される</t>
  </si>
  <si>
    <t>391-392頁</t>
  </si>
  <si>
    <t>雑報　会報</t>
  </si>
  <si>
    <t>392-393頁</t>
  </si>
  <si>
    <t>Ｄｉｅ　Ｂｅｚｉｅｈｕｎｇｅｎ　Ｊａｐａｎｓ　ｚｎｒ　ｅｕｒｏｐａｉｓｃｈｅｎ　Ｍｅｄｉｚｉｎ　ｉｍ　１８・Ｊａｈｒｈｕｎｄｅｒｔ</t>
  </si>
  <si>
    <t>Ｈｅｉｎｚ　Ｇｏｅｒｋｅ</t>
  </si>
  <si>
    <t>418-405頁</t>
  </si>
  <si>
    <t>佐々木中沢と佐々城朴安－文政壬午女囚解剖をめぐって</t>
  </si>
  <si>
    <t>1975年(昭和50)</t>
  </si>
  <si>
    <t>第21巻第1号</t>
  </si>
  <si>
    <t>蘭館長ニーマンと長崎留学生</t>
  </si>
  <si>
    <t>010-18頁</t>
  </si>
  <si>
    <t>済生学舎初期の学舎規則</t>
  </si>
  <si>
    <t>前川久太郎</t>
  </si>
  <si>
    <t>019-27頁</t>
  </si>
  <si>
    <t>小絵馬信仰の現状</t>
  </si>
  <si>
    <t>028-39頁</t>
  </si>
  <si>
    <t>解体記念碑とそのうつりかわり</t>
  </si>
  <si>
    <t>040-51頁</t>
  </si>
  <si>
    <t>ススルタ大医典訳業について</t>
  </si>
  <si>
    <t>052-60頁</t>
  </si>
  <si>
    <t>西説内科撰要について（６）</t>
  </si>
  <si>
    <t>061-70頁</t>
  </si>
  <si>
    <t>越後の蘭方医森田兄弟について（３）</t>
  </si>
  <si>
    <t>071-82頁</t>
  </si>
  <si>
    <t>083-88頁</t>
  </si>
  <si>
    <t>「本草綱目」と俳句の歳時記</t>
  </si>
  <si>
    <t>明治初期の医学教育</t>
  </si>
  <si>
    <t>祈祷と医療</t>
  </si>
  <si>
    <t>初代曲直瀬道三の没年号</t>
  </si>
  <si>
    <t>近世医書の刊行発禁本の二、三</t>
  </si>
  <si>
    <t>中川家の肖像画について</t>
  </si>
  <si>
    <t>回向院の縁起について</t>
  </si>
  <si>
    <t>水野了仙</t>
  </si>
  <si>
    <t>回向院出土の江戸時代人骨</t>
  </si>
  <si>
    <t>河越逸作</t>
  </si>
  <si>
    <t>医家先哲推薦会について</t>
  </si>
  <si>
    <t>山谷、吉原、小塚原</t>
  </si>
  <si>
    <t>和蘭全駆内外分合図について</t>
  </si>
  <si>
    <t>中国の麻酔剤「洋金花」とわが華岡青州の麻沸湯</t>
  </si>
  <si>
    <t>第四回東海医学史研究会総会</t>
  </si>
  <si>
    <t>雑報　寄書</t>
  </si>
  <si>
    <t>解体新書にゆかりある人の署名（記念板）の署名の出所</t>
  </si>
  <si>
    <t>092-93頁</t>
  </si>
  <si>
    <t>富士川游撰「杏林遺芳」について</t>
  </si>
  <si>
    <t>093-94頁</t>
  </si>
  <si>
    <t>杉本つとむ訳・解説、杉田玄白著「蘭学事始」－鎖国の中の青春群像</t>
  </si>
  <si>
    <t>095-97頁</t>
  </si>
  <si>
    <t>Ｇｅｏｒａｇｅ　Ｒｏｓｅｎ　著、小栗史郎訳「公衆衛生の歴史」</t>
  </si>
  <si>
    <t>099-100頁</t>
  </si>
  <si>
    <t>富士川游著・小川鼎三校註「日本医学史綱要」（１）・（２）</t>
  </si>
  <si>
    <t>100頁</t>
  </si>
  <si>
    <t>宗田一著「近代薬物発展史」</t>
  </si>
  <si>
    <t>「京都の医学史展」のご案内</t>
  </si>
  <si>
    <t>守屋正</t>
  </si>
  <si>
    <t>101頁</t>
  </si>
  <si>
    <t>日本学校保健史</t>
  </si>
  <si>
    <t>第21巻第2号</t>
  </si>
  <si>
    <t>117-120頁</t>
  </si>
  <si>
    <t>日本細菌学小史</t>
  </si>
  <si>
    <t>121-124頁</t>
  </si>
  <si>
    <t>大阪にある蘭学史跡</t>
  </si>
  <si>
    <t>125頁</t>
  </si>
  <si>
    <t>古代インドにおける胎児発育の諸説</t>
  </si>
  <si>
    <t>杉田暉道　中田直道</t>
  </si>
  <si>
    <t>126-128頁</t>
  </si>
  <si>
    <t>明治二年版行された民間お産指導書「安産仙翁邦言教諭」について</t>
  </si>
  <si>
    <t>玉手英典</t>
  </si>
  <si>
    <t>130-131頁</t>
  </si>
  <si>
    <t>刺青史の資料</t>
  </si>
  <si>
    <t>131-132頁</t>
  </si>
  <si>
    <t>徳川時代の鉱山の珪肺</t>
  </si>
  <si>
    <t>132-133頁</t>
  </si>
  <si>
    <t>日本放射線医学史と技術史の構成私案について</t>
  </si>
  <si>
    <t>今井正義</t>
  </si>
  <si>
    <t>133頁</t>
  </si>
  <si>
    <t>中国中世における医者の地位について</t>
  </si>
  <si>
    <t>山本徳子</t>
  </si>
  <si>
    <t>「医師の誓詞」について</t>
  </si>
  <si>
    <t>ニコラース・トウルプとその医学業績</t>
  </si>
  <si>
    <t>136-137頁</t>
  </si>
  <si>
    <t>麻酔の初期発展－とくにＪｏｈｎ　Ｂｒｏｗｎ　とＴｈｏｍａｓ　Ｂｅｄｄｏｅｓについて</t>
  </si>
  <si>
    <t>Ｘ線による消化管運動の研究者キヤノン教授</t>
  </si>
  <si>
    <t>138-139頁</t>
  </si>
  <si>
    <t>土生玄碩のシーボルト散瞳薬伝授に関する一考察</t>
  </si>
  <si>
    <t>江戸時代の　葉について</t>
  </si>
  <si>
    <t>140-141頁</t>
  </si>
  <si>
    <t>最近見出した若干の資料について（京都の医学史展に際して）</t>
  </si>
  <si>
    <t>杉立義一</t>
  </si>
  <si>
    <t>141-143頁</t>
  </si>
  <si>
    <t>一気留滞論と万病一毒論</t>
  </si>
  <si>
    <t>小浜藩における林野家（小石元俊の相）の事蹟について</t>
  </si>
  <si>
    <t>田辺賀啓</t>
  </si>
  <si>
    <t>本木庄太夫の医学</t>
  </si>
  <si>
    <t>いわゆるターヘル・アナトミア（１７４３）の相違について</t>
  </si>
  <si>
    <t>148-149頁</t>
  </si>
  <si>
    <t>コンスブルック内科訳書について</t>
  </si>
  <si>
    <t>149-150頁</t>
  </si>
  <si>
    <t>プレンキ婦人病論の原書とその日本語訳書と比較検討</t>
  </si>
  <si>
    <t>150頁</t>
  </si>
  <si>
    <t>151頁</t>
  </si>
  <si>
    <t>江馬元恭「泰西熱病集訳」について</t>
  </si>
  <si>
    <t>緒方洪庵の書翰二通</t>
  </si>
  <si>
    <t>153頁</t>
  </si>
  <si>
    <t>林洞海の晩年</t>
  </si>
  <si>
    <t>154頁</t>
  </si>
  <si>
    <t>「貌氏成形手術図譜」と小山内建</t>
  </si>
  <si>
    <t>星栄一</t>
  </si>
  <si>
    <t>155-156頁</t>
  </si>
  <si>
    <t>宮城県における明治初期の医学教育と横山謙介</t>
  </si>
  <si>
    <t>吉田顕三（１８４８・４・８～１９２４・３・１）のこと</t>
  </si>
  <si>
    <t>丸山博</t>
  </si>
  <si>
    <t>157-158頁</t>
  </si>
  <si>
    <t>本邦海軍々医制度史序説</t>
  </si>
  <si>
    <t>159頁</t>
  </si>
  <si>
    <t>解体新書について</t>
  </si>
  <si>
    <t>160-166頁</t>
  </si>
  <si>
    <t>解体新書出版から二百年</t>
  </si>
  <si>
    <t>167-180頁</t>
  </si>
  <si>
    <t>越後の蘭方医森田兄弟について（四）</t>
  </si>
  <si>
    <t>181-185頁</t>
  </si>
  <si>
    <t>江戸時代における異常気象とインフルエンザ</t>
  </si>
  <si>
    <t>第21巻第3号</t>
  </si>
  <si>
    <t>191-207頁</t>
  </si>
  <si>
    <t>208-217頁</t>
  </si>
  <si>
    <t>218-223頁</t>
  </si>
  <si>
    <t>中世における祈祷と医療</t>
  </si>
  <si>
    <t>224-236頁</t>
  </si>
  <si>
    <t>『遠西医範』と『医範提綱』(二)</t>
  </si>
  <si>
    <t>237-241頁</t>
  </si>
  <si>
    <t>西説内科撰要について（７）</t>
  </si>
  <si>
    <t>242-252頁</t>
  </si>
  <si>
    <t>諸官衛及び諸使医師－日本古代医療史の研究３－</t>
  </si>
  <si>
    <t>253-262頁</t>
  </si>
  <si>
    <t>263-299頁</t>
  </si>
  <si>
    <t>浅井家文書　その二</t>
  </si>
  <si>
    <t>300-307頁</t>
  </si>
  <si>
    <t>プリーストリーの酸素発見</t>
  </si>
  <si>
    <t>渡辺慶昭</t>
  </si>
  <si>
    <t>308頁</t>
  </si>
  <si>
    <t>エルドリッチと父六角謙吉</t>
  </si>
  <si>
    <t>六角高雄</t>
  </si>
  <si>
    <t>幕末の陸軍軍楽</t>
  </si>
  <si>
    <t>升本清　若林勅滋　ヤン・デ・フリース</t>
  </si>
  <si>
    <t>石川孟高のヒポクラテス画像</t>
  </si>
  <si>
    <t>腹帯について</t>
  </si>
  <si>
    <t>江戸期における陰間（男娼）の生態とその使用薬剤について</t>
  </si>
  <si>
    <t>社会の変革と健康観の変遷</t>
  </si>
  <si>
    <t>桂川家旧蔵の木造人頭模型に関する疑問の解決</t>
  </si>
  <si>
    <t>富士川游先生顕彰碑建立</t>
  </si>
  <si>
    <t>原田東岷</t>
  </si>
  <si>
    <t>309-310頁</t>
  </si>
  <si>
    <t>森鴎外と呉秀三</t>
  </si>
  <si>
    <t>309頁</t>
  </si>
  <si>
    <t>最近刊行された拙著「前野良沢」について</t>
  </si>
  <si>
    <t>木造人頭模型の原型に関するイギリスよりの回答</t>
  </si>
  <si>
    <t>医師免許制度の変遷</t>
  </si>
  <si>
    <t>本邦海軍軍医制度史序説</t>
  </si>
  <si>
    <t>青木一郎著「坪井道信詩文及書翰集」あおきいちろうちょ「へいいどうしんしもんおやびしょかんしゅう」</t>
  </si>
  <si>
    <t>310-299頁</t>
  </si>
  <si>
    <t>「ショメール百科」（「厚生新編」）・「植学啓原」・「植学独語」の関連</t>
  </si>
  <si>
    <t>第21巻第4号</t>
  </si>
  <si>
    <t>317-330頁</t>
  </si>
  <si>
    <t>奥医師保見家累代の記録および四代保見隆敬の肖像写真</t>
  </si>
  <si>
    <t>331-345頁</t>
  </si>
  <si>
    <t>シーボルト事件と土生玄碩将軍家紋服贈与について</t>
  </si>
  <si>
    <t>346-351頁</t>
  </si>
  <si>
    <t>プレンキの「産婆術原理」（蘭訳本）について</t>
  </si>
  <si>
    <t>352-360頁</t>
  </si>
  <si>
    <t>361-368頁</t>
  </si>
  <si>
    <t>雑報　訃報</t>
  </si>
  <si>
    <t>津崎孝道氏逝く</t>
  </si>
  <si>
    <t>394頁</t>
  </si>
  <si>
    <t>文部省科学研究費補助金（学術定期刊行物）の交付</t>
  </si>
  <si>
    <t>大鳥蘭三郎　近世医学史から</t>
  </si>
  <si>
    <t>395-396頁</t>
  </si>
  <si>
    <t>明治前の外国医師と日本の医学</t>
  </si>
  <si>
    <t>395頁</t>
  </si>
  <si>
    <t>ミュルレルと東京医学校</t>
  </si>
  <si>
    <t>パレの生地をたずねて</t>
  </si>
  <si>
    <t>大村敏郎</t>
  </si>
  <si>
    <t>肺循環の発見とセルブエート</t>
  </si>
  <si>
    <t>大島智夫</t>
  </si>
  <si>
    <t>「植学啓原」の原図について</t>
  </si>
  <si>
    <t>アーユルグエーダの原典「ススルタ本集」について</t>
  </si>
  <si>
    <t>芳賀徹著「封建の異端杉田玄白」</t>
  </si>
  <si>
    <t>396-397頁</t>
  </si>
  <si>
    <t>服部敏良著「王朝貴族の病状診断」</t>
  </si>
  <si>
    <t>396頁</t>
  </si>
  <si>
    <t>Ｇｅｒｈａｒｄ　Ｖｅｓｃｏｖｉ　著　石橋長英・今井正共訳「日本医学の開拓者－エルウイン・ベルツ」</t>
  </si>
  <si>
    <t>Ｓ</t>
  </si>
  <si>
    <t>397-398頁</t>
  </si>
  <si>
    <t>レオポルト・ミュルレル著　石橋長英・小川鼎三・今井正共訳「東京医学」</t>
  </si>
  <si>
    <t>397頁</t>
  </si>
  <si>
    <t>中沢滉・原隆昭編著「ノーベル賞に輝く人々＜生理・医学賞＞</t>
  </si>
  <si>
    <t>398頁</t>
  </si>
  <si>
    <t>土屋重朗著「近代日本造船事始」</t>
  </si>
  <si>
    <t>中西啓「長崎のオランダ医たち」</t>
  </si>
  <si>
    <t>Ｔｈｅ　Ｈｉｓｔｏｒｙ　ｏｆ　ｔｈｅ　Ｓｏｕｔｈ　Ｍａｎｃｈｕｒｉａ　Ｍａｎｃｈｕｒｉａ　Ｍｅｄｉｃａｌ　Ｃｏｌｌｅｇｅ　ｏｆ　ｔｈｅ　Ｓｏｕｔｈ　Ｍａｎｃｈｒｉａｎ　Ｒａｉｌｗａｙ</t>
  </si>
  <si>
    <t>Ｊｏｈｎ　Ｚ・Ｂｏｗｅｒｓ，Ｍ・Ｄ・，Ｓｃ・Ｄ・，Ｌ・Ｈ・Ｄ・＊　ａｎｄ　Ａｋｉｋｏ　Ｋｏｂａｙａｓｈｉ　Ｂｏｗｅｒｓ＊＊</t>
  </si>
  <si>
    <t>424-407頁</t>
  </si>
  <si>
    <t>1976年(昭和51)</t>
  </si>
  <si>
    <t>第22巻第1号</t>
  </si>
  <si>
    <t>001-11頁</t>
  </si>
  <si>
    <t>Ａｍｅｒｉｃａｎ　Ｍｅｄｉｃｉｎｅ　Ｔｗｏ　Ｈａｎｄｒｅｄ　Ｙｅａｒｓ　Ａｇｏ</t>
  </si>
  <si>
    <t>Ｉｌｚａ　Ｖｅｉｔｈ</t>
  </si>
  <si>
    <t>「コンスブルック」本について－付・「モスト」の「医学韵府」と「薬学韵府」</t>
  </si>
  <si>
    <t>012-27頁</t>
  </si>
  <si>
    <t>028-38頁</t>
  </si>
  <si>
    <t>江戸幕府における痘瘡・麻疹・水痘の酒場行事の変遷</t>
  </si>
  <si>
    <t>039-48頁</t>
  </si>
  <si>
    <t>国医師について－日本古代医療史の研究（３）</t>
  </si>
  <si>
    <t>049-58頁</t>
  </si>
  <si>
    <t>京都の医学史に関する若干の新資料について</t>
  </si>
  <si>
    <t>059-64頁</t>
  </si>
  <si>
    <t>明治二年版行された民間お産指導書「安産仙翁邦言教諭」に就て</t>
  </si>
  <si>
    <t>065-71頁</t>
  </si>
  <si>
    <t>メキシコ国立心臓病学研究所の壁画について</t>
  </si>
  <si>
    <t>寿徳院曲直瀬玄由家系譜について</t>
  </si>
  <si>
    <t>073-74頁</t>
  </si>
  <si>
    <t>我が国の常民食蕎麦に投影している医学思想</t>
  </si>
  <si>
    <t>074-75頁</t>
  </si>
  <si>
    <t>076頁</t>
  </si>
  <si>
    <t>イリザ・グエイト女史紹介</t>
  </si>
  <si>
    <t>Ａｍｅｒｉｃａｎ　Ｍｅｄｉｃｉｎｅ　２００　Ｙｅａｒｓ　Ａｇｏ</t>
  </si>
  <si>
    <t>イルザ・グウイト</t>
  </si>
  <si>
    <t>舎密開宗の原著者ウイリアム・ヘンリーについて</t>
  </si>
  <si>
    <t>「寿徳院曲直瀬玄由家系譜について」</t>
  </si>
  <si>
    <t>解剖書の銅版画－その初期－</t>
  </si>
  <si>
    <t>斉藤信</t>
  </si>
  <si>
    <t>Ｎｉｃｏｌａａｓ　Ｔｕｌｐの伝記</t>
  </si>
  <si>
    <t>立ち遅れた日本の家族計画医学</t>
  </si>
  <si>
    <t>江戸時代における石川県医学史</t>
  </si>
  <si>
    <t>第22巻第2号</t>
  </si>
  <si>
    <t>095-100頁</t>
  </si>
  <si>
    <t>富山藩の薬業と本草</t>
  </si>
  <si>
    <t>101-103頁</t>
  </si>
  <si>
    <t>石川県医学教育における外人招聘教師とその周辺</t>
  </si>
  <si>
    <t>高瀬武平</t>
  </si>
  <si>
    <t>いわゆるターヘル・アナトミアの脚注について（その１）</t>
  </si>
  <si>
    <t>セミナーと日本医学小史</t>
  </si>
  <si>
    <t>寺畑喜朔</t>
  </si>
  <si>
    <t>福井藩最初の解剖者半井彦について</t>
  </si>
  <si>
    <t>坪井信良と福井－佐渡家文書を中心として</t>
  </si>
  <si>
    <t>110-111頁</t>
  </si>
  <si>
    <t>加賀藩医・吉田長淑の「和蘭書籍目録」について</t>
  </si>
  <si>
    <t>アルブレヒト・フォン・ローレツとその顕微鏡学講義</t>
  </si>
  <si>
    <t>112頁</t>
  </si>
  <si>
    <t>江戸時代京都における医家門人帳について（二）</t>
  </si>
  <si>
    <t>113-114頁</t>
  </si>
  <si>
    <t>「瘍医新書」の研究（第一報）（紙上発表）</t>
  </si>
  <si>
    <t>114-115頁</t>
  </si>
  <si>
    <t>湯治と薬師信仰</t>
  </si>
  <si>
    <t>115-116頁</t>
  </si>
  <si>
    <t>泰井俊三</t>
  </si>
  <si>
    <t>116-117頁</t>
  </si>
  <si>
    <t>弥勒ボサツ下生経と治病信仰</t>
  </si>
  <si>
    <t>117-118頁</t>
  </si>
  <si>
    <t>唐～清間における゛医師゛の官より見た医者の地位について</t>
  </si>
  <si>
    <t>119頁</t>
  </si>
  <si>
    <t>日本古代医療官人の出自について</t>
  </si>
  <si>
    <t>120-121頁</t>
  </si>
  <si>
    <t>医学の文芸化について</t>
  </si>
  <si>
    <t>121-122頁</t>
  </si>
  <si>
    <t>再び「安産仙翁邦言教喩」について、付・五十嵐紋水の生涯</t>
  </si>
  <si>
    <t>123-125頁</t>
  </si>
  <si>
    <t>佐々木中沢と大槻玄沢</t>
  </si>
  <si>
    <t>123頁</t>
  </si>
  <si>
    <t>Ｈｅｒｍａｎｎ　Ｌｅｂｅｒｔ（１８１３～１８７８）：Ｈａｎｄｂｏｅｋ　ｄ・Ｐｒａｋｔｉｓｃｈｅ　Ｇｅｎｅｅｓｋｕｎｄｅ・Ｇｒｏｎｉｎｇｅｎ，１８６１～１８６３とその訳書（坪井芳州訳述「医療新書」１８６８、及び「列別児駑氏・窒扶斯病論」、１８７９）ならびにその意義（最初の病理解剖を基盤として臨牀学の受容</t>
  </si>
  <si>
    <t>126-127頁</t>
  </si>
  <si>
    <t>127-128頁</t>
  </si>
  <si>
    <t>京都療病院におけるヨンケル</t>
  </si>
  <si>
    <t>129頁</t>
  </si>
  <si>
    <t>九大初代学長大森治豊先生のスライド</t>
  </si>
  <si>
    <t>宇留野勝弥</t>
  </si>
  <si>
    <t>邦訳「解体生理図説」とその原著者維廉杜児寧児（ウイリアム・ターナー）について</t>
  </si>
  <si>
    <t>指紋法の発見をめぐって</t>
  </si>
  <si>
    <t>アメリカ合衆国の独立二００年と医師ベンジャミン・ラッシュ</t>
  </si>
  <si>
    <t>明治２０年代の順天堂における手術</t>
  </si>
  <si>
    <t>酒井シヅ　鈴木滋子</t>
  </si>
  <si>
    <t>134-135頁</t>
  </si>
  <si>
    <t>大正期学校衛生史の研究（一）北豊吉</t>
  </si>
  <si>
    <t>スクリーニング史の二、三駒</t>
  </si>
  <si>
    <t>ヘルス・サービスとモーラルのフイロソフイ</t>
  </si>
  <si>
    <t>林洞海の晩年の感懐と書簡</t>
  </si>
  <si>
    <t>140-156頁</t>
  </si>
  <si>
    <t>酒湯記録より見た痘瘡・麻疹・水痘の大奥への伝播</t>
  </si>
  <si>
    <t>157-168頁</t>
  </si>
  <si>
    <t>小浜藩における林野家（小石元俊の祖）の事蹟について</t>
  </si>
  <si>
    <t>169-180頁</t>
  </si>
  <si>
    <t>２００年前のアメリカ医学</t>
  </si>
  <si>
    <t>181-194頁</t>
  </si>
  <si>
    <t>京都に山脇東洋観臓記念碑完成</t>
  </si>
  <si>
    <t>195-197頁</t>
  </si>
  <si>
    <t>訃報　石田憲吾氏逝く</t>
  </si>
  <si>
    <t>198頁</t>
  </si>
  <si>
    <t>「医師の誓詞」に見える「自然」（Ａ），「日本国憲法」と「誓詞」との対比（Ｂ），「誓詞」の日常談話体文（Ｃ）</t>
  </si>
  <si>
    <t>第22巻第3号</t>
  </si>
  <si>
    <t>207-214頁</t>
  </si>
  <si>
    <t>幕末明治初期（１８４０－１８８７）解剖学書（内外）目録について－とくに１９世紀欧米解剖学書目録とその蘭訳書と和訳書との関係－</t>
  </si>
  <si>
    <t>215-236頁</t>
  </si>
  <si>
    <t>榛斎著という「内外要論」について</t>
  </si>
  <si>
    <t>237-243頁</t>
  </si>
  <si>
    <t>近年発見されたエルドリッチの書簡（一）</t>
  </si>
  <si>
    <t>244-283頁</t>
  </si>
  <si>
    <t>284-293頁</t>
  </si>
  <si>
    <t>成説内科撰用について（八・完）</t>
  </si>
  <si>
    <t>294-308頁</t>
  </si>
  <si>
    <t>外科医アンブロアズ・パレの生地をたずねて</t>
  </si>
  <si>
    <t>309-319頁</t>
  </si>
  <si>
    <t>青木充夫　前川久太郎</t>
  </si>
  <si>
    <t>320-326頁</t>
  </si>
  <si>
    <t>第一回医史学国際シンボジウム開く</t>
  </si>
  <si>
    <t>326頁</t>
  </si>
  <si>
    <t>中野操先生傘寿祝賀　日本医史学会関西支部春季大会</t>
  </si>
  <si>
    <t>東大医学部第一回卒業生室賀録郎について</t>
  </si>
  <si>
    <t>室賀昭三</t>
  </si>
  <si>
    <t>仏典のなかの耆婆とその医療</t>
  </si>
  <si>
    <t>明治初期の医家の群像写真</t>
  </si>
  <si>
    <t>漱石の痘痕</t>
  </si>
  <si>
    <t>深瀬泰旦</t>
  </si>
  <si>
    <t>ライデン民族博物館の沿革－特にその日本関係資料－</t>
  </si>
  <si>
    <t>フアン・グーリック</t>
  </si>
  <si>
    <t>本草から見た生薬薬理－比較薬学史的アプローチ</t>
  </si>
  <si>
    <t>脳卒中の歴史</t>
  </si>
  <si>
    <t>堀江健也</t>
  </si>
  <si>
    <t>蘭学期の「自然」と「医ハ自然ノ臣僕ナリ」との出典について－『蘭学期の「自然良能」説研究』補遺－</t>
  </si>
  <si>
    <t>第22巻第4号</t>
  </si>
  <si>
    <t>明治初年の取種痘の状況</t>
  </si>
  <si>
    <t>346-359頁</t>
  </si>
  <si>
    <t>江戸時代における梅毒患者の実態－「日本人の病歴」覚書</t>
  </si>
  <si>
    <t>360-376頁</t>
  </si>
  <si>
    <t>馬琴日記に見る江戸の痘瘡習俗</t>
  </si>
  <si>
    <t>377-391頁</t>
  </si>
  <si>
    <t>近年発見されたエルトリッチの書簡</t>
  </si>
  <si>
    <t>392-427頁</t>
  </si>
  <si>
    <t>428-444頁</t>
  </si>
  <si>
    <t>杉浦守邦著「養護教員の歴史」</t>
  </si>
  <si>
    <t>445-446頁</t>
  </si>
  <si>
    <t>「看病用心抄」について</t>
  </si>
  <si>
    <t>山根信子</t>
  </si>
  <si>
    <t>445頁</t>
  </si>
  <si>
    <t>戦後の看護制度の推移について</t>
  </si>
  <si>
    <t>木下安子</t>
  </si>
  <si>
    <t>三上昭美</t>
  </si>
  <si>
    <t>虞列伊氏解剖訓蒙図をめぐって</t>
  </si>
  <si>
    <t>女医を描いた切手</t>
  </si>
  <si>
    <t>「始祖法医学　片山国嘉」</t>
  </si>
  <si>
    <t>Ｏ・Ｒ</t>
  </si>
  <si>
    <t>446-447頁</t>
  </si>
  <si>
    <t>日本医学文化保存会編「医学古書目録」</t>
  </si>
  <si>
    <t>447頁</t>
  </si>
  <si>
    <t>中野操氏　大阪府医師会より表彰される</t>
  </si>
  <si>
    <t>477頁</t>
  </si>
  <si>
    <t>大鳥蘭三郎氏　第２０回野口英世医学賞受賞</t>
  </si>
  <si>
    <t>江戸時代における梅毒患者の実</t>
  </si>
  <si>
    <t>「瘍医新書」の研究（１）</t>
  </si>
  <si>
    <t>1977年(昭和52)</t>
  </si>
  <si>
    <t>第23巻第1号</t>
  </si>
  <si>
    <t>Ｅｐｉｓｔｅｍｏｌｏｇｉｃａｌ　Ｆａｓｈｉｏｎｓ　ｉｎ　Ｉｎｔｅｒｐｒｅｔｉｎｇ　Ｄｉｓｅａｓｅ－Ｔｈｅ　Ｄｅｌｅｔｅｒｉｏｕｓ　Ｅｆｆｅｃｔｓ　ｏｆ　Ｗｅｓｔｒｎ　Ｔｅｒｍｉｎｏｌｏｇｙ　ｏｎ　ｔｈｅ　Ａｐｐｌｉｃａｔｉｏｎ　ｏｆ　ｔｈｅ　Ｓｃｉｅｎｔｉｆｉｃ　Ｔｒａｄｉｔｉｏｎ　ｏｆ　Ｃｈｉｎｅｓｅ　Ｍｅｄｉｃｉｎｅ　（ｉｌｌｕｓｔｒａｔｅｄ　ｂｙ　ｔｈｅ　Ｃａｓｅ　ｏｆ　ｄｉａｂｅｔｅｓ　ｍｅｌｌｉｔｕｓｖｓ・ｓｉｔｉｓ　ｄｉｆｆｕｎｄｅｎｓ　「ｈｓｉａｏ－ｋ’ｏ」）</t>
  </si>
  <si>
    <t>Ｍａｎｆｒｅｄ　Ｐｏｒｋｅｒｔ</t>
  </si>
  <si>
    <t>013-24頁</t>
  </si>
  <si>
    <t>愛知県公立医学校におけるフォン・ローレッツの事蹟</t>
  </si>
  <si>
    <t>025-42頁</t>
  </si>
  <si>
    <t>漱石の痘瘡</t>
  </si>
  <si>
    <t>051-69頁</t>
  </si>
  <si>
    <t>東京大学医学部別課生卒業生名簿</t>
  </si>
  <si>
    <t>070-79頁</t>
  </si>
  <si>
    <t>重訂解体新書付図について</t>
  </si>
  <si>
    <t>080頁</t>
  </si>
  <si>
    <t>漢洋脚気病院の追加</t>
  </si>
  <si>
    <t>砂糖その他糖類に関する発祥の挿話</t>
  </si>
  <si>
    <t>今世医家人名録について</t>
  </si>
  <si>
    <t>瘍医新書の研究（１）</t>
  </si>
  <si>
    <t>ゼンメルワイスとプレンクーハンガリ医学史より－</t>
  </si>
  <si>
    <t>安田純一</t>
  </si>
  <si>
    <t>日本薬園史の沿革</t>
  </si>
  <si>
    <t>木村雄四郎</t>
  </si>
  <si>
    <t>伊藤杢之丞関係文書の一部の紹介</t>
  </si>
  <si>
    <t>映画「ヒポクラテスの島」</t>
  </si>
  <si>
    <t>青銅プロダクショウ</t>
  </si>
  <si>
    <t>Ａ　Ｈｉｓｔｏｒｙ　ｏｆ　Ｏｐｈｔｈａｌｍｏｌｏｇｙ　ｂｅｆｏｒｅ　ｔｈｅ　Ｏｐｅｎｉｎｇ　ｏｆ　Ｊａｐａｎ</t>
  </si>
  <si>
    <t>内藤記念くすり博物館について</t>
  </si>
  <si>
    <t>青木允夫</t>
  </si>
  <si>
    <t>第23巻第2号</t>
  </si>
  <si>
    <t>130-132頁</t>
  </si>
  <si>
    <t>薬師信仰</t>
  </si>
  <si>
    <t>133-142頁</t>
  </si>
  <si>
    <t>濃州蘭学史</t>
  </si>
  <si>
    <t>143-151頁</t>
  </si>
  <si>
    <t>わが国における結核症の変遷―近年を主として―</t>
  </si>
  <si>
    <t>岡田博</t>
  </si>
  <si>
    <t>152-153頁</t>
  </si>
  <si>
    <t>いわゆるターヘル・アナトミアの脚注について（その２）</t>
  </si>
  <si>
    <t>154-156頁</t>
  </si>
  <si>
    <t>江戸、明治初期の鍼器具の解説と展示</t>
  </si>
  <si>
    <t>半田地域にみる幕末の村方医師</t>
  </si>
  <si>
    <t>茶谷悟郎</t>
  </si>
  <si>
    <t>筑前国藩医津田意安によって小児科を開業して３００年、又福岡市立伝染病院（荒津病院）の発祥母体となった吉祥寺避病院が設立されて１００年を迎えた福岡市</t>
  </si>
  <si>
    <t>158-160頁</t>
  </si>
  <si>
    <t>１９世紀の新潟県における剖検事蹟</t>
  </si>
  <si>
    <t>160-161頁</t>
  </si>
  <si>
    <t>伊勢路の売薬―万金丹考</t>
  </si>
  <si>
    <t>162-164頁</t>
  </si>
  <si>
    <t>日本散瞳薬伝来史補考―ヒヨス　Ｈｙｏｓｃｙａｍｕｓについて</t>
  </si>
  <si>
    <t>古書にみられる歯痛薬について</t>
  </si>
  <si>
    <t>165-166頁</t>
  </si>
  <si>
    <t>中国古代医学に於ける医療過誤</t>
  </si>
  <si>
    <t>家本誠一</t>
  </si>
  <si>
    <t>167-169頁</t>
  </si>
  <si>
    <t>フランス医人の蔵書票</t>
  </si>
  <si>
    <t>古代医学における帯下について</t>
  </si>
  <si>
    <t>170頁</t>
  </si>
  <si>
    <t>摩訶止観の医学</t>
  </si>
  <si>
    <t>171-172頁</t>
  </si>
  <si>
    <t>中国の諺を通じての医者像―社会風俗史的考察</t>
  </si>
  <si>
    <t>172-174頁</t>
  </si>
  <si>
    <t>日本における中国古代医聖の画像刻像について</t>
  </si>
  <si>
    <t>長州藩医としての坪井信道・信友父子</t>
  </si>
  <si>
    <t>177-179頁</t>
  </si>
  <si>
    <t>本居宣長筆「和漢本草医薬典」について</t>
  </si>
  <si>
    <t>179-180頁</t>
  </si>
  <si>
    <t>大正期学校衛生史の研究（２）最初の学校看護婦　広瀬ます</t>
  </si>
  <si>
    <t>180-182頁</t>
  </si>
  <si>
    <t>埼玉県立医学校とその社会的貢献</t>
  </si>
  <si>
    <t>西川　八</t>
  </si>
  <si>
    <t>183-185頁</t>
  </si>
  <si>
    <t>我が国に於ける結核対策の史的観察</t>
  </si>
  <si>
    <t>永坂三夫</t>
  </si>
  <si>
    <t>185-186頁</t>
  </si>
  <si>
    <t>星野良悦の手記かと考えられる古文書―木骨製作の由来及び解体新書批判の記載</t>
  </si>
  <si>
    <t>松永勝</t>
  </si>
  <si>
    <t>187-188頁</t>
  </si>
  <si>
    <t>虞列伊氏解剖訓蒙図にみられる中枢神経系の記載</t>
  </si>
  <si>
    <t>中村和成</t>
  </si>
  <si>
    <t>188-189頁</t>
  </si>
  <si>
    <t>比較語学的方法による身体意識史検討の試み（４）身体と空間認識</t>
  </si>
  <si>
    <t>190-192頁</t>
  </si>
  <si>
    <t>大阪大学初代精神科教授和田豊種博士の蔵書について</t>
  </si>
  <si>
    <t>泰井俊三　内藤正章</t>
  </si>
  <si>
    <t>明治初期静岡県医事に関する辞令</t>
  </si>
  <si>
    <t>大庭政世の事蹟―島根県の産業組合医療事業の創設者</t>
  </si>
  <si>
    <t>中尾鉱</t>
  </si>
  <si>
    <t>日本女医第二号―生沢久乃女史とその父</t>
  </si>
  <si>
    <t>日本医学放射線技術教育史上の滝内政治郎</t>
  </si>
  <si>
    <t>メデイカル・プロフェッショウ：コレジ・オブ・フイジシャンズ・オブ・ロンドンの例</t>
  </si>
  <si>
    <t>栗本宗治　</t>
  </si>
  <si>
    <t>三井駿一</t>
  </si>
  <si>
    <t>江馬元恭著『五液診法』について</t>
  </si>
  <si>
    <t>203頁</t>
  </si>
  <si>
    <t>原松庵とその家系について</t>
  </si>
  <si>
    <t>三重県下江馬家門人について（中間発表）</t>
  </si>
  <si>
    <t>医学者としての建部清庵</t>
  </si>
  <si>
    <t>206-208頁</t>
  </si>
  <si>
    <t>江馬格物堂門人田口鳳介の所蔵医書について</t>
  </si>
  <si>
    <t>209-211頁</t>
  </si>
  <si>
    <t>「愛育茶譚」にみる東西の混淆</t>
  </si>
  <si>
    <t>ＹＰＥＹ，ＡＤＯＬＰＥ（１７４７～１８２０）について―わが国でライデン学統医学はいつ頃まで受容されたか</t>
  </si>
  <si>
    <t>212-216頁</t>
  </si>
  <si>
    <t>『病を医するは自然である』、その『自然』について</t>
  </si>
  <si>
    <t>同志社病院を中心とした医療・医育制度</t>
  </si>
  <si>
    <t>柴田幸雄・宇賀田みや子・五味照子・津田弘子・中井啓子</t>
  </si>
  <si>
    <t>219-221頁</t>
  </si>
  <si>
    <t>戦前のわが国の看護婦</t>
  </si>
  <si>
    <t>病院の歴史（イギリスの場合）</t>
  </si>
  <si>
    <t>尿検査の歴史と臨床教育</t>
  </si>
  <si>
    <t>明治時代の産業医局</t>
  </si>
  <si>
    <t>226-228頁</t>
  </si>
  <si>
    <t>金沢市立図書館所蔵の「産科六器」について</t>
  </si>
  <si>
    <t>エ―デル麻酔のイギリスへの伝搬に関する一考察―とくに最初の三日間について</t>
  </si>
  <si>
    <t>230頁</t>
  </si>
  <si>
    <t>刺青の資料</t>
  </si>
  <si>
    <t>231-235頁</t>
  </si>
  <si>
    <t>佐賀県立病院好生舘所蔵書仮目録（幕末～明治初期）</t>
  </si>
  <si>
    <t>236-271頁</t>
  </si>
  <si>
    <t>アスクレピオス以前の古代医学</t>
  </si>
  <si>
    <t>272頁</t>
  </si>
  <si>
    <t>エンゲルベルト・ケンペルの署名簿について</t>
  </si>
  <si>
    <t>オランダ国歌（テ―プ録音）</t>
  </si>
  <si>
    <t>升本清</t>
  </si>
  <si>
    <t>解体新書以前の長崎蘭学</t>
  </si>
  <si>
    <t>奈良時代に来日したペルシャ人宣教医ペルシャ人宣教医「李密」について</t>
  </si>
  <si>
    <t>シーボルト来日の頃の出島建築について</t>
  </si>
  <si>
    <t>曲直瀬玄琳について</t>
  </si>
  <si>
    <t>半井古仙法印療治日記</t>
  </si>
  <si>
    <t>山脇東洋の肖像画について</t>
  </si>
  <si>
    <t>大垣藩医江馬家に関する二、三の資料について</t>
  </si>
  <si>
    <t>水戸学における医先哲（３）本間玄琢、玄有、玄調先生三代と稽医舘の医学教育</t>
  </si>
  <si>
    <t>山中一郎</t>
  </si>
  <si>
    <t>ハルマ原書（仏蘭・蘭仏）についての一考察</t>
  </si>
  <si>
    <t>石坂空洞賛・佐藤正持画のヒポクラテス像について</t>
  </si>
  <si>
    <t>岡山蘭学者伝補遺</t>
  </si>
  <si>
    <t>緒方洪庵の除痘舘の所在地について</t>
  </si>
  <si>
    <t>古西義麿</t>
  </si>
  <si>
    <t>『医戒』漫録</t>
  </si>
  <si>
    <t>近代医学の中の歯科学と抜歯鉗子への理解について</t>
  </si>
  <si>
    <t>指紋法とＦ・ゴ―ルトン</t>
  </si>
  <si>
    <t>野口英世博士生誕百年を記念して</t>
  </si>
  <si>
    <t>第２５回国際医学史学会（ケベック市）に出席して</t>
  </si>
  <si>
    <t>改訂増補国立国会図書館支部上野図書館所蔵『本草関係図書目録』</t>
  </si>
  <si>
    <t>鍵山栄著『佐賀の蘭学者たち』</t>
  </si>
  <si>
    <t>『東大第一外科の歩み（第一集）』</t>
  </si>
  <si>
    <t>275頁</t>
  </si>
  <si>
    <t>山陰医史学研究会発足</t>
  </si>
  <si>
    <t>277頁</t>
  </si>
  <si>
    <t>Ａ　Ｈｉｓｔｏｒｉｃａｌ　Ａｎａｌｙｓｉｓ　ｏｆ　Ｃｉｎｅｓｅ　Ｆｏｒｍｕｌａｒｉｅｓ　ａｎｄ　Ｐｒｅｓｃｒｉｐｔｉｏｎｓ：ｔｈｒｅｅ　ｅｘａｍｐｌｅｓ　</t>
  </si>
  <si>
    <t>Ｓａｂｕｒｏ　ＭＩＹＡＳＨＩＴＡ</t>
  </si>
  <si>
    <t>299-283頁</t>
  </si>
  <si>
    <t>Ｅｍｐｉｒｉｃｉｓｍ　ａｎｄ　Ｓｐｅｃｕｌａｔｉｏｎ　ｉｎ　Ｔｒａｄｉｔｉｏｎａｌ　Ｅａｓｔ　Ａｓｉａｎ　Ｍｅｄｉｃｉｎｅ</t>
  </si>
  <si>
    <t>Ｈａｎｓ　ＡＧＲＥＮ</t>
  </si>
  <si>
    <t>317-300頁</t>
  </si>
  <si>
    <t>平安時代の心身症―藤原道長を中心として</t>
  </si>
  <si>
    <t>第23巻第3号</t>
  </si>
  <si>
    <t>321-330頁</t>
  </si>
  <si>
    <t>ゼンメルワイスとプレンク―ハンガリ―医学史より―</t>
  </si>
  <si>
    <t>331-348頁</t>
  </si>
  <si>
    <t>御雇教師ウイルヘルム・デーニッツ</t>
  </si>
  <si>
    <t>349-361頁</t>
  </si>
  <si>
    <t>薬王寺考</t>
  </si>
  <si>
    <t>久米幸雄</t>
  </si>
  <si>
    <t>362-369頁</t>
  </si>
  <si>
    <t>「気違いの湯」一定義温泉の歴史聞書</t>
  </si>
  <si>
    <t>昼田源四郎</t>
  </si>
  <si>
    <t>370-380頁</t>
  </si>
  <si>
    <t>広瀬元恭の兄和達への書簡</t>
  </si>
  <si>
    <t>前川久太郎　古守豊甫　古守泰典</t>
  </si>
  <si>
    <t>381-387頁</t>
  </si>
  <si>
    <t>「軍医緒方惟準」</t>
  </si>
  <si>
    <t>中宮安夫</t>
  </si>
  <si>
    <t>388頁</t>
  </si>
  <si>
    <t>「ゲッチンゲン文庫」について</t>
  </si>
  <si>
    <t>高木和男</t>
  </si>
  <si>
    <t>衣笠昭</t>
  </si>
  <si>
    <t>内視鏡の歴史</t>
  </si>
  <si>
    <t>高賀須幸男</t>
  </si>
  <si>
    <t>中国古代医学と医療過誤</t>
  </si>
  <si>
    <t>「瘍医新書刺絡編」について</t>
  </si>
  <si>
    <t>「子玄子産論」について</t>
  </si>
  <si>
    <t>江馬蘭学塾資料展　出品目録</t>
  </si>
  <si>
    <t>389-394頁</t>
  </si>
  <si>
    <t>新刊の地方出版医史紹介</t>
  </si>
  <si>
    <t>矢数道明著『臨床４５年　漢方治療百話第４集』</t>
  </si>
  <si>
    <t>矢数道明著『ブ―ゲンビル島兵站病院の記録』</t>
  </si>
  <si>
    <t>二つのハ―グイ伝</t>
  </si>
  <si>
    <t>医学文化館の落成式を挙行</t>
  </si>
  <si>
    <t>Ｒａｔｉｏｎａｌ　ａｎｄ　Ｅｍｐｉｒｉｃａｌ　Ｍｅｔｈｏｄｓ　ｉｎ　Ｅａｒｌｙ　Ｗｅｓｔｅｒｎ　ａｎｄ　Ｅａｓｔｅｒｎ　Ａｎａｔｏｍｙ</t>
  </si>
  <si>
    <t>Ｒｏｇｅｒ　ＦＲＥＮＣＨ</t>
  </si>
  <si>
    <t>427-403頁</t>
  </si>
  <si>
    <t>今田見信先生のご逝去を悼む</t>
  </si>
  <si>
    <t>第23巻第4号</t>
  </si>
  <si>
    <t>429-443頁</t>
  </si>
  <si>
    <t>鈴木祐一とその著書「義手足纂論」</t>
  </si>
  <si>
    <t>武智秀夫</t>
  </si>
  <si>
    <t>444-459頁</t>
  </si>
  <si>
    <t>南海寄帰内法伝にみられる医学―特に個人衛生について</t>
  </si>
  <si>
    <t>460-466頁</t>
  </si>
  <si>
    <t>岡本一抱子年譜</t>
  </si>
  <si>
    <t>土井順一</t>
  </si>
  <si>
    <t>467-480頁</t>
  </si>
  <si>
    <t>「瘍医新書」の研究(2)</t>
  </si>
  <si>
    <t>481-485頁</t>
  </si>
  <si>
    <t>堀内文書の研究</t>
  </si>
  <si>
    <t>486-496頁</t>
  </si>
  <si>
    <t>中国の南北朝時代における医術者</t>
  </si>
  <si>
    <t>497頁</t>
  </si>
  <si>
    <t>中国道教の練丹術に想う</t>
  </si>
  <si>
    <t>五臓観について</t>
  </si>
  <si>
    <t>「維摩詰所説経」問疾品について</t>
  </si>
  <si>
    <t>青木記念医科器械史料館開館</t>
  </si>
  <si>
    <t>賀川玄悦没後２００年記念行事</t>
  </si>
  <si>
    <t>498頁</t>
  </si>
  <si>
    <t>京都外国語大学付属図書館編『対外交捗史文献目録近世編』</t>
  </si>
  <si>
    <t>矢数一郎</t>
  </si>
  <si>
    <t>500-501頁</t>
  </si>
  <si>
    <t>大鳥蘭三郎氏オランダの勲章を受賞</t>
  </si>
  <si>
    <t>501頁</t>
  </si>
  <si>
    <t>Ｓｏｃｉａｌ　Ｒｅｌａｔｉｏｎｓ　ｏｆ　Ｃｕｒｉｎｇ　ｉｎ　Ｔｒａｄｉｔｉｏｎａｌ　Ｃｈｉｎａ：Ｐｒｅｌｉｍｉｎａｒｙ　Ｃｏｎｓｉｄｅｒａｔｉｏｎｓ</t>
  </si>
  <si>
    <t>Ｎａｔｈａｎ　ＳＩＶＩＮ</t>
  </si>
  <si>
    <t>532-505頁</t>
  </si>
  <si>
    <t>神農本草経に記載された薬効</t>
  </si>
  <si>
    <t>1978年(昭和53)</t>
  </si>
  <si>
    <t>第24巻第1号</t>
  </si>
  <si>
    <t>001-13頁</t>
  </si>
  <si>
    <t>014-34頁</t>
  </si>
  <si>
    <t>『愛育茶譚』にみる東西の混淆</t>
  </si>
  <si>
    <t>035-47頁</t>
  </si>
  <si>
    <t>曲殿考</t>
  </si>
  <si>
    <t>久米幸夫</t>
  </si>
  <si>
    <t>048-53頁</t>
  </si>
  <si>
    <t>エルドリッヂの「近世医説」第一号について</t>
  </si>
  <si>
    <t>054-63頁</t>
  </si>
  <si>
    <t>「瘍医新書」の研究(3)</t>
  </si>
  <si>
    <t>064-71頁</t>
  </si>
  <si>
    <t>江戸今世　医家人名録初編</t>
  </si>
  <si>
    <t>072-85頁</t>
  </si>
  <si>
    <t>神奈川医学の歴史</t>
  </si>
  <si>
    <t>石原明　大滝紀雄</t>
  </si>
  <si>
    <t>『外科起廃』と『外科起廃図譜』</t>
  </si>
  <si>
    <t>第24巻第2号</t>
  </si>
  <si>
    <t>023-25頁</t>
  </si>
  <si>
    <t>宮崎県の明治に於ける公立病院</t>
  </si>
  <si>
    <t>田代逸郎</t>
  </si>
  <si>
    <t>真木和泉と西郷南州－その医学との関係</t>
  </si>
  <si>
    <t>宮崎県の医史学散歩</t>
  </si>
  <si>
    <t>内田醇</t>
  </si>
  <si>
    <t>来日宣教医Ｊｏｈｎ　Ｃ・Ｂｅｒｒｙの本国本部あて書簡</t>
  </si>
  <si>
    <t>駐日イギリス公使館附医師シダ－ル（Ｊｏｓｅｐｈ　Ｂｏｗｅｒ　Ｓｉｄｄａｌｌ１８４０－１９２５）について</t>
  </si>
  <si>
    <t>Ｅ・ベルツ『内科病論』について</t>
  </si>
  <si>
    <t>埼玉医学校と大野秋香について</t>
  </si>
  <si>
    <t>日本の近代自然科学教育における生理学者橋田邦彦と生化学者荒木寅三郎</t>
  </si>
  <si>
    <t>柴田幸雄　野田啓子　津田弘子　宇賀田みや子</t>
  </si>
  <si>
    <t>138-140頁</t>
  </si>
  <si>
    <t>高木喜寛伝</t>
  </si>
  <si>
    <t>141-142頁</t>
  </si>
  <si>
    <t>日本医学放射線技術史上における宮崎</t>
  </si>
  <si>
    <t>１９４５年（昭和２０年）夏宮崎県延岡市における赤痢大流行について</t>
  </si>
  <si>
    <t>144-145頁</t>
  </si>
  <si>
    <t>カドガンの『育児に関するエツセイ』について</t>
  </si>
  <si>
    <t>ニウマテイック・メデイシンについて</t>
  </si>
  <si>
    <t>149-151頁</t>
  </si>
  <si>
    <t>岡山藩における農家子弟と医業</t>
  </si>
  <si>
    <t>152-154頁</t>
  </si>
  <si>
    <t>坑夫の互助組織としての友子同盟</t>
  </si>
  <si>
    <t>眼科御目見医師大森寿安の御用留について</t>
  </si>
  <si>
    <t>北賀川家文書について</t>
  </si>
  <si>
    <t>159-160頁</t>
  </si>
  <si>
    <t>佐々木中沢と刺絡</t>
  </si>
  <si>
    <t>161-162頁</t>
  </si>
  <si>
    <t>高島文一</t>
  </si>
  <si>
    <t>田村藍水伝記資料について－万年帳を中心として－</t>
  </si>
  <si>
    <t>大森実</t>
  </si>
  <si>
    <t>166-167頁</t>
  </si>
  <si>
    <t>いわゆる「ターヘル・アナトミア」の脚注について（その三）</t>
  </si>
  <si>
    <t>江戸期日本におけるミュンチングの書</t>
  </si>
  <si>
    <t>アンブロアズ・パレの外科が日本に渡って来た道－と国語学上の問題について－</t>
  </si>
  <si>
    <t>日本心身障害医学前史（一）古代篇</t>
  </si>
  <si>
    <t>篠田達明</t>
  </si>
  <si>
    <t>174-176頁</t>
  </si>
  <si>
    <t>石田憲吾遺稿による「芸備医志」補遺</t>
  </si>
  <si>
    <t>177-177頁</t>
  </si>
  <si>
    <t>芭蕉の鹿島紀行自準亭について</t>
  </si>
  <si>
    <t>山中太木</t>
  </si>
  <si>
    <t>178-178頁</t>
  </si>
  <si>
    <t>鹿児島市における医学関係の史跡について</t>
  </si>
  <si>
    <t>楊枝について</t>
  </si>
  <si>
    <t>『達生図説』にみる産科看護</t>
  </si>
  <si>
    <t>181-181頁</t>
  </si>
  <si>
    <t>医の本質と医の倫理</t>
  </si>
  <si>
    <t>雑阿含にみる小乗仏教の疾病観</t>
  </si>
  <si>
    <t>素問の医師たち</t>
  </si>
  <si>
    <t>186-188頁</t>
  </si>
  <si>
    <t>唐代の資料に見られる医療技術者の社会的地位－制度的観点より－</t>
  </si>
  <si>
    <t>188-190頁</t>
  </si>
  <si>
    <t>天平九年の典薬寮の勘文について</t>
  </si>
  <si>
    <t>191-193頁</t>
  </si>
  <si>
    <t>生薬学者 内海蘭渓</t>
  </si>
  <si>
    <t>近世史料にみる「狂気」－守山領の場合－（その一）</t>
  </si>
  <si>
    <t>『本草品彙精要』の一未発表本について</t>
  </si>
  <si>
    <t>198-200頁</t>
  </si>
  <si>
    <t>本邦最初の全身麻酔下帝王切開術について</t>
  </si>
  <si>
    <t>本土に最初に麻酔を伝えた島津藩医伊佐敷道興について</t>
  </si>
  <si>
    <t>201-201頁</t>
  </si>
  <si>
    <t>明治三十五年歩兵第五連隊凍傷患者の治療について</t>
  </si>
  <si>
    <t>202-202頁</t>
  </si>
  <si>
    <t>元禄三年に行われた幕府医官の大更迭</t>
  </si>
  <si>
    <t>202-204頁</t>
  </si>
  <si>
    <t>華岡青洋門人『中村順助』について</t>
  </si>
  <si>
    <t>「医の本質」と「医の倫理」史的考察</t>
  </si>
  <si>
    <t>第24巻第3号</t>
  </si>
  <si>
    <t>214-223頁</t>
  </si>
  <si>
    <t>ニコラ―ス・トウルプ（Ⅰ）</t>
  </si>
  <si>
    <t>224-235頁</t>
  </si>
  <si>
    <t>記紀神話と医療（上）</t>
  </si>
  <si>
    <t>236-245頁</t>
  </si>
  <si>
    <t>246-251頁</t>
  </si>
  <si>
    <t>「瘍医新書」の研究(4)</t>
  </si>
  <si>
    <t>252-257頁</t>
  </si>
  <si>
    <t>258-272頁</t>
  </si>
  <si>
    <t>虞列伊氏解剖訓蒙図の洋印</t>
  </si>
  <si>
    <t>河本文庫―旧ヒルシュベルグ文庫―について</t>
  </si>
  <si>
    <t>小波宏全</t>
  </si>
  <si>
    <t>オランダ国歌（補遺）</t>
  </si>
  <si>
    <t>史学と医学の接点二例―典薬寮と伊賀氏事件―</t>
  </si>
  <si>
    <t>奥富敬之</t>
  </si>
  <si>
    <t>浅田宗伯の書供覧</t>
  </si>
  <si>
    <t>永富独嘯庵について</t>
  </si>
  <si>
    <t>駿東病院のことなど</t>
  </si>
  <si>
    <t>芹沢武男</t>
  </si>
  <si>
    <t>韓国金斗鐘博士の漢方解剖学の研究について</t>
  </si>
  <si>
    <t>戸塚武比古</t>
  </si>
  <si>
    <t>日本学術会議第７５回総会報告</t>
  </si>
  <si>
    <t>米田正治著「続島根県医家列伝」</t>
  </si>
  <si>
    <t>281頁</t>
  </si>
  <si>
    <t>水原秋桜子の「産論」句碑建立</t>
  </si>
  <si>
    <t>282頁</t>
  </si>
  <si>
    <t>沼野玄昌没後百年弔魂碑建立</t>
  </si>
  <si>
    <t>283頁</t>
  </si>
  <si>
    <t>庶民と国医師</t>
  </si>
  <si>
    <t>第24巻第4号</t>
  </si>
  <si>
    <t>289-299頁</t>
  </si>
  <si>
    <t>William　Cadogan　の『育児論』</t>
  </si>
  <si>
    <t>300-311頁</t>
  </si>
  <si>
    <t>本邦における明治前半の帝王切開術－とくに全身麻酔下の帝王切開術について－</t>
  </si>
  <si>
    <t>312-323頁</t>
  </si>
  <si>
    <t>高山文庫－高山尚平旧蔵書について</t>
  </si>
  <si>
    <t>石黒達也　西村敏雄</t>
  </si>
  <si>
    <t>324-336頁</t>
  </si>
  <si>
    <t>ニコラ－ス．トゥルプ（Ⅱ）</t>
  </si>
  <si>
    <t>337-346頁</t>
  </si>
  <si>
    <t>「瘍医新書」の研究(5)</t>
  </si>
  <si>
    <t>347-351頁</t>
  </si>
  <si>
    <t>記紀神話と医療（下）</t>
  </si>
  <si>
    <t>352-361頁</t>
  </si>
  <si>
    <t>今世　医家人名録　東</t>
  </si>
  <si>
    <t>362-371頁</t>
  </si>
  <si>
    <t>372-375頁</t>
  </si>
  <si>
    <t>アスクレピオスの杖と蛇</t>
  </si>
  <si>
    <t>376頁</t>
  </si>
  <si>
    <t>ヒポクラテスを追って（旅行報告　資料供覧）</t>
  </si>
  <si>
    <t>William　Harvey　the　man　and　his　works　</t>
  </si>
  <si>
    <t>Dr.Gweneth Whitteridge MA,D.Phil.,FSA,Hon.FRCP.</t>
  </si>
  <si>
    <t>中国古代の養生思想</t>
  </si>
  <si>
    <t>角田房子著『碧素・日本ペニシリン物語』</t>
  </si>
  <si>
    <t>377頁</t>
  </si>
  <si>
    <t>雑報　</t>
  </si>
  <si>
    <t>訃報</t>
  </si>
  <si>
    <t>378頁</t>
  </si>
  <si>
    <t>内山孝一先生を偲んで</t>
  </si>
  <si>
    <t>379頁</t>
  </si>
  <si>
    <t>Ｔｈｅ　Ｐｈｙｓｉｃｉａｎ　ｉｎ　Ｉｍｐｅｒｉａｌ　Ｃｈｉｎａ，Ｍｅｄｉｃａｌ　Ｅｔｈｉｃｓ　ａｎｄ　Ｍａｌｐｒａｃｔｉｃｅ　Ｓｅｇｉｓｒａｔｉｏｎ</t>
  </si>
  <si>
    <t>Ｐａｕｉ　Ｖ．Ｕｎｓｃｈｕｌｄ</t>
  </si>
  <si>
    <t>383-407頁</t>
  </si>
  <si>
    <t>日本の帝王切開術の歴史―伊古田純道の事蹟に関する最初の知見</t>
  </si>
  <si>
    <t>1979年(昭和54)</t>
  </si>
  <si>
    <t>第25巻第1号</t>
  </si>
  <si>
    <t>中国における解剖とカーニバリズム―中国医学ルーツの一つとして―</t>
  </si>
  <si>
    <t>吉元昭治</t>
  </si>
  <si>
    <t>014-31頁</t>
  </si>
  <si>
    <t>悲田院の沿革と終焉―その二～三の疑問―</t>
  </si>
  <si>
    <t>032-52頁</t>
  </si>
  <si>
    <t>今世医家人名録　西部　文政三年版</t>
  </si>
  <si>
    <t>053-61頁</t>
  </si>
  <si>
    <t>静海上府懐日記（二）</t>
  </si>
  <si>
    <t>062-71頁</t>
  </si>
  <si>
    <t>日本医史学会例会記事</t>
  </si>
  <si>
    <t>広島大学医学部医学資料館の開館について</t>
  </si>
  <si>
    <t>藤田尚男</t>
  </si>
  <si>
    <t>072-75頁</t>
  </si>
  <si>
    <t>和田啓十郎顕彰碑建立</t>
  </si>
  <si>
    <t>文献目録</t>
  </si>
  <si>
    <t>医史学関係文献目録（1977年）</t>
  </si>
  <si>
    <t>076-95頁</t>
  </si>
  <si>
    <t>FROM TRADITION TO PROFESSION―Intellectual and social impulses behind the professionalization of classical medicine in India</t>
  </si>
  <si>
    <t>Francis ZIMMERMANN</t>
  </si>
  <si>
    <t>099-118頁</t>
  </si>
  <si>
    <t>脳卒中の病理学説の史的変遷</t>
  </si>
  <si>
    <t>第25巻第2号</t>
  </si>
  <si>
    <t>121-138頁</t>
  </si>
  <si>
    <t>職業病としての煙毒・塵肺の歴史</t>
  </si>
  <si>
    <t>139-150頁</t>
  </si>
  <si>
    <t>医史学と私(抄)</t>
  </si>
  <si>
    <t>151-156頁</t>
  </si>
  <si>
    <t>アンブロアズ・パレの「私が処置をし、神がこれを癒し給う」という言葉について(抄)</t>
  </si>
  <si>
    <t>来日宣教医アダムス（Arthur H.Adams 1847－79）研究序説(抄)</t>
  </si>
  <si>
    <t>159-161頁</t>
  </si>
  <si>
    <t>Ｅ・ベルツの脚気伝染病論をめぐって(抄)</t>
  </si>
  <si>
    <t>161-163頁</t>
  </si>
  <si>
    <t>ウィリアム・ウィリスのこと（補遺）(抄)</t>
  </si>
  <si>
    <t>163-164頁</t>
  </si>
  <si>
    <t>ジェンナーの我が子実験の史実に関する研究(抄)</t>
  </si>
  <si>
    <t>加藤四郎、石井道子</t>
  </si>
  <si>
    <t>John Goodsir 1814～67について(抄)</t>
  </si>
  <si>
    <t>中期大乗『金光明最勝王経』にみる疾病観(抄)</t>
  </si>
  <si>
    <t>古京出土遺物の医史学的研究(抄)</t>
  </si>
  <si>
    <t>唐代における医者の社会的地位についての実態(抄)</t>
  </si>
  <si>
    <t>173-174頁</t>
  </si>
  <si>
    <t>桐山正怡の「学本草随筆」について(抄)</t>
  </si>
  <si>
    <t>174-175頁</t>
  </si>
  <si>
    <t>加賀藩御医者溜の「拝診日記」について(抄)</t>
  </si>
  <si>
    <t>175-177頁</t>
  </si>
  <si>
    <t>福知山藩医有馬文仲とその周辺(抄)</t>
  </si>
  <si>
    <t>福嶋正和</t>
  </si>
  <si>
    <t>蘭方医・木下凞について(抄)</t>
  </si>
  <si>
    <t>181-182頁</t>
  </si>
  <si>
    <t>宮崎県に於ける先哲追薦会に就いて(抄)</t>
  </si>
  <si>
    <t>富士川游と性科学(抄)</t>
  </si>
  <si>
    <t>歯みがきのラベル考(抄)</t>
  </si>
  <si>
    <t>鈴木勝、谷津三雄</t>
  </si>
  <si>
    <t>「はしか」の語原について(抄)</t>
  </si>
  <si>
    <t>「人間ドック」前史考(抄)</t>
  </si>
  <si>
    <t>189-191頁</t>
  </si>
  <si>
    <t>作品でみる松沢病院一〇〇年史(抄)</t>
  </si>
  <si>
    <t>岡田靖雄</t>
  </si>
  <si>
    <t>佐賀藩の「医業免札姓名録」について(抄)</t>
  </si>
  <si>
    <t>雲州大塚村「大森奇正軒塾」(抄)</t>
  </si>
  <si>
    <t>歩兵屯所医師取締・手塚良斎と手塚良仙(抄)</t>
  </si>
  <si>
    <t>尾鷲にある解剖図について(抄)</t>
  </si>
  <si>
    <t>200頁</t>
  </si>
  <si>
    <t>吉井震太郎・虎之助父子について(抄)</t>
  </si>
  <si>
    <t>201頁</t>
  </si>
  <si>
    <t>小関三英と内科書(抄)</t>
  </si>
  <si>
    <t>日本の糖尿病史(抄)</t>
  </si>
  <si>
    <t>同愛記念病院の由来と歴史について(抄)</t>
  </si>
  <si>
    <t>原桃介</t>
  </si>
  <si>
    <t>わが国注射療法史の一考察(抄)</t>
  </si>
  <si>
    <t>奥田万里とその木骨について(抄)</t>
  </si>
  <si>
    <t>211-213頁</t>
  </si>
  <si>
    <t>大正期学校衛生史の研究（３）大西永次郎(抄)</t>
  </si>
  <si>
    <t>明治十年前後の医事衛生(抄)</t>
  </si>
  <si>
    <t>「水嶋流懐婦産記」について(抄)</t>
  </si>
  <si>
    <t>218-220頁</t>
  </si>
  <si>
    <t>徳島医学放射線技術史上の牧野利三郎(抄)</t>
  </si>
  <si>
    <t>218頁</t>
  </si>
  <si>
    <t>野口英世博士の肝及び腎の病理組織学的所見(抄)</t>
  </si>
  <si>
    <t>(故)森下薫、加藤四郎、岡野錦弥、E.C.Christian、A.J.Duggan</t>
  </si>
  <si>
    <t>221頁</t>
  </si>
  <si>
    <t>日本に於ける近代麻酔科学の先駆者永江大助について(抄)</t>
  </si>
  <si>
    <t>麻酔科学史的に見た悪性高熱症(抄)</t>
  </si>
  <si>
    <t>歩兵五連隊雪中行軍山口少佐の死因について(抄)</t>
  </si>
  <si>
    <t>脳と心―中国医学思想における精神の座―</t>
  </si>
  <si>
    <t>加納喜光</t>
  </si>
  <si>
    <t>第25巻第3号</t>
  </si>
  <si>
    <t>229-243頁</t>
  </si>
  <si>
    <t>経験の医学＝本居宣長の医史学的考察（その一）―</t>
  </si>
  <si>
    <t>高橋正夫</t>
  </si>
  <si>
    <t>244-259頁</t>
  </si>
  <si>
    <t>小関三英覚書</t>
  </si>
  <si>
    <t>260-276頁</t>
  </si>
  <si>
    <t>『陰陽十一脈灸経』と『素問』―『素問』の成立についての一考察</t>
  </si>
  <si>
    <t>277-289頁</t>
  </si>
  <si>
    <t>歩兵屯所医師取締・手塚良斎と手塚良仙</t>
  </si>
  <si>
    <t>290-306頁</t>
  </si>
  <si>
    <t>桐山正怡と「学本草随筆」</t>
  </si>
  <si>
    <t>307-314頁</t>
  </si>
  <si>
    <t>C.G.マンスフェルト伝補遺</t>
  </si>
  <si>
    <t>315-317頁</t>
  </si>
  <si>
    <t>今世医家人名録　南部　文政三年版</t>
  </si>
  <si>
    <t>318-327頁</t>
  </si>
  <si>
    <t>宇田川玄随を繞る書簡四通</t>
  </si>
  <si>
    <t>329頁</t>
  </si>
  <si>
    <t>関西支部例会</t>
  </si>
  <si>
    <t>北陸医史学会同好会発足</t>
  </si>
  <si>
    <t>330-331頁</t>
  </si>
  <si>
    <t>静岡県医史学懇話会結成</t>
  </si>
  <si>
    <t>土屋伊磋雄</t>
  </si>
  <si>
    <t>紹介</t>
  </si>
  <si>
    <t>ジョセフ・Ｓ・フルートン著・水上茂樹訳『生化学史』　</t>
  </si>
  <si>
    <t>中野操著『大坂蘭学史話』　</t>
  </si>
  <si>
    <t>The Emergence and Development of the Barefoot Doctor in China</t>
  </si>
  <si>
    <t>F.P.LISOWSKI</t>
  </si>
  <si>
    <t>339-392頁</t>
  </si>
  <si>
    <t>富士川游伝の資料二、三</t>
  </si>
  <si>
    <t>第25巻第4号</t>
  </si>
  <si>
    <t>393-406頁</t>
  </si>
  <si>
    <t>薬王寺及び西悲田院の所在位置について</t>
  </si>
  <si>
    <t>407-412頁</t>
  </si>
  <si>
    <t>経験の医学＝本居宣長の医史学的考察＝（その二）</t>
  </si>
  <si>
    <t>413-445頁</t>
  </si>
  <si>
    <t>『続添鴻宝秘要抄』について、付「傷寒」史考</t>
  </si>
  <si>
    <t>446-469頁</t>
  </si>
  <si>
    <t>第八師団歩兵五連隊の雪中行軍遭難の医学的考察（一）</t>
  </si>
  <si>
    <t>470-483頁</t>
  </si>
  <si>
    <t>日本の帝王切開術の歴史－補遺－</t>
  </si>
  <si>
    <t>484-489頁</t>
  </si>
  <si>
    <t>明治前半期における人相書について</t>
  </si>
  <si>
    <t>小関恒雄</t>
  </si>
  <si>
    <t>490-501頁</t>
  </si>
  <si>
    <t>今世医家人名録　北部　文政三年版</t>
  </si>
  <si>
    <t>502-511頁</t>
  </si>
  <si>
    <t>戸塚家の文書から</t>
  </si>
  <si>
    <t>511-514頁</t>
  </si>
  <si>
    <t>訃報　和田正系名誉会員逝去</t>
  </si>
  <si>
    <t>515頁</t>
  </si>
  <si>
    <t>日本医史学会編『図録日本医事文化史料集成』に毎日出版文化賞特別賞受賞</t>
  </si>
  <si>
    <t>516頁</t>
  </si>
  <si>
    <t>川喜田愛郎氏　著書『近代医学の史的基盤』で学士院賞受賞</t>
  </si>
  <si>
    <t>J.V.Pickstone</t>
  </si>
  <si>
    <t>520-550頁</t>
  </si>
  <si>
    <t>我が国におけるJennerのわが子牛痘接種物語りの由来について</t>
  </si>
  <si>
    <t>加藤四郎</t>
  </si>
  <si>
    <t>1980年(昭和55)</t>
  </si>
  <si>
    <t>第26巻第1号</t>
  </si>
  <si>
    <t>古代国家の医師の診療形態について―往診と宅診―</t>
  </si>
  <si>
    <t>ドイツ医学採用前の別な事情（一）―主に太政官公文書よりの引例―</t>
  </si>
  <si>
    <t>原口忠男</t>
  </si>
  <si>
    <t>017-32頁</t>
  </si>
  <si>
    <t>青森県における最初の帝王切開術について―田沢多吉のことなど―</t>
  </si>
  <si>
    <t>033-43頁</t>
  </si>
  <si>
    <t>第八師団歩兵五連隊の雪中行軍の医学的考察（二）</t>
  </si>
  <si>
    <t>044-54頁</t>
  </si>
  <si>
    <t>戸塚家の文書から　其二</t>
  </si>
  <si>
    <t>医史学関係文献目録（1978年）</t>
  </si>
  <si>
    <t>061-81頁</t>
  </si>
  <si>
    <t>日本医史学会広島支部会について</t>
  </si>
  <si>
    <t>082頁</t>
  </si>
  <si>
    <t>横浜山手のヘボン碑</t>
  </si>
  <si>
    <t>「呉秀三先生胸像除幕式」挙行</t>
  </si>
  <si>
    <t>大垣先賢展－江馬蘭斎と細香－および記念講演会開催</t>
  </si>
  <si>
    <t>085-87頁</t>
  </si>
  <si>
    <t>奨進医会創立一〇〇周年「富士川游著作集」発刊記念文化講演会開催</t>
  </si>
  <si>
    <t>Competition among Healing Paradigms:an Aspect of the Professionalization of Medicine in America</t>
  </si>
  <si>
    <t>David.V.MCQUEEN</t>
  </si>
  <si>
    <t>092-112頁</t>
  </si>
  <si>
    <t>古代における民間医の変遷</t>
  </si>
  <si>
    <t>第26巻第2号</t>
  </si>
  <si>
    <t>113-142頁</t>
  </si>
  <si>
    <t>『四民月令』の薬品</t>
  </si>
  <si>
    <t>143-153頁</t>
  </si>
  <si>
    <t>小関三英と内科学</t>
  </si>
  <si>
    <t>154-169頁</t>
  </si>
  <si>
    <t>作品をとおしてみる松沢病院一〇〇年史</t>
  </si>
  <si>
    <t>170-188頁</t>
  </si>
  <si>
    <t>Jennerのわが子豚痘接種実験物語りの史実について</t>
  </si>
  <si>
    <t>189-203頁</t>
  </si>
  <si>
    <t>趙有臣</t>
  </si>
  <si>
    <t>204-211頁</t>
  </si>
  <si>
    <t>阿波漢方受難史―井上肇堂とその時代―</t>
  </si>
  <si>
    <t>212-230頁</t>
  </si>
  <si>
    <t>231-237頁</t>
  </si>
  <si>
    <t>238頁</t>
  </si>
  <si>
    <t>Scientization of Medicine</t>
  </si>
  <si>
    <t>Shigeru NAKAYAMA</t>
  </si>
  <si>
    <t>243-256頁</t>
  </si>
  <si>
    <t>医学・歯学・薬学のシンボル「蛇杖」(抄)</t>
  </si>
  <si>
    <t>第26巻第3号</t>
  </si>
  <si>
    <t>257-259頁</t>
  </si>
  <si>
    <t>中国口腔医学発展簡史(抄)</t>
  </si>
  <si>
    <t>周大成</t>
  </si>
  <si>
    <t>アユルヴェーダの薬物(抄)</t>
  </si>
  <si>
    <t>伊藤和洋</t>
  </si>
  <si>
    <t>263-264頁</t>
  </si>
  <si>
    <t>日本歯科医学発展の回顧(抄)</t>
  </si>
  <si>
    <t>鈴木勝</t>
  </si>
  <si>
    <t>265-268頁</t>
  </si>
  <si>
    <t>いわゆる「ターヘル・アナトミア」と解体新書の比較（その一）(抄)</t>
  </si>
  <si>
    <t>269-271頁</t>
  </si>
  <si>
    <t>木製ハンドルの抜歯用エレベータが使用された時期(抄)</t>
  </si>
  <si>
    <t>下総高次</t>
  </si>
  <si>
    <t>271-273頁</t>
  </si>
  <si>
    <t>岡山藩医学館教師ロイトルについて(抄)</t>
  </si>
  <si>
    <t>274-276頁</t>
  </si>
  <si>
    <t>本邦における明治期の帝王切開について(抄)</t>
  </si>
  <si>
    <t>わが国における草創期の胆のう外科について(抄)</t>
  </si>
  <si>
    <t>渋江抽斎編『直舎伝記抄』について　―とくに桐山正哲に関して―(抄)</t>
  </si>
  <si>
    <t>森井恕仙とその医学(抄)</t>
  </si>
  <si>
    <t>来日宣教医 Wallace Taylor(1835～1923)について(抄)</t>
  </si>
  <si>
    <t>281-283頁</t>
  </si>
  <si>
    <t>中国伝統医学（古代）と道教(抄)</t>
  </si>
  <si>
    <t>第四回内国勧業博覧会の歯科出品物　第一報　歯科器材について(抄)</t>
  </si>
  <si>
    <t>大橋正敬、仁平真佐秀</t>
  </si>
  <si>
    <t>285-286頁</t>
  </si>
  <si>
    <t>何故Ｗ・ウィリス医師は江戸で高い俸給をのぞんだか？(抄)</t>
  </si>
  <si>
    <t>286-288頁</t>
  </si>
  <si>
    <t>『鼈氏内科学』について(抄)</t>
  </si>
  <si>
    <t>昔のＸ線界の周辺(抄)</t>
  </si>
  <si>
    <t>沼田久次</t>
  </si>
  <si>
    <t>290-292頁</t>
  </si>
  <si>
    <t>痘瘡および麻疹史資料への疑義(抄)</t>
  </si>
  <si>
    <t>293-295頁</t>
  </si>
  <si>
    <t>明治当初の死亡届(抄)</t>
  </si>
  <si>
    <t>内田醇、田代逸郎</t>
  </si>
  <si>
    <t>295-296頁</t>
  </si>
  <si>
    <t>仏典にみえる健康観と特異な症候群(抄)</t>
  </si>
  <si>
    <t>296-298頁</t>
  </si>
  <si>
    <t>金沢における明治初期の体温表(抄)</t>
  </si>
  <si>
    <t>アテナイの疫病(抄)</t>
  </si>
  <si>
    <t>301-303頁</t>
  </si>
  <si>
    <t>江戸今世医家人名録初編の異本について(抄)</t>
  </si>
  <si>
    <t>303-305頁</t>
  </si>
  <si>
    <t>「清水氏講議録」―東京大学初代産科婦人科教授清水郁太郎の講義録―(抄)</t>
  </si>
  <si>
    <t>305-307頁</t>
  </si>
  <si>
    <t>大庭政世の事績（Ⅱ）―島根県における医療組合事業の展開と産青連の運動―(抄)</t>
  </si>
  <si>
    <t>日本史における価値観の変化に伴った各種学校、課程制大学、学科制大学、講座制大学の動き（医療関係を中心として）(抄)</t>
  </si>
  <si>
    <t>310-312頁</t>
  </si>
  <si>
    <t>岡谷蚕糸博物館所蔵資料にみる製糸工女の医療費負担について（第一報　明治二〇―三〇年代）(抄)</t>
  </si>
  <si>
    <t>清水勝嘉</t>
  </si>
  <si>
    <t>岡谷蚕糸博物館所蔵資料にみる製糸工女の医療費負担について（第二報　明治四〇年代）(抄)</t>
  </si>
  <si>
    <t>古代インドの公衆衛生(抄)</t>
  </si>
  <si>
    <t>316-318頁</t>
  </si>
  <si>
    <t>産業医としての先覚者　佐藤英太郎(抄)</t>
  </si>
  <si>
    <t>318-320頁</t>
  </si>
  <si>
    <t>房楊枝について(抄)</t>
  </si>
  <si>
    <t>中原泉、本間邦則</t>
  </si>
  <si>
    <t>明治期の英文「成医会月報」に投稿している外国人医師たち(抄)</t>
  </si>
  <si>
    <t>322-323頁</t>
  </si>
  <si>
    <t>平治郎解剖について　その場所と住民感情(抄)</t>
  </si>
  <si>
    <t>324-326頁</t>
  </si>
  <si>
    <t>隋唐時代の歴史書にみられる疾病(抄)</t>
  </si>
  <si>
    <t>326-328頁</t>
  </si>
  <si>
    <t>中国伝統医学における季節の問題(抄)</t>
  </si>
  <si>
    <t>丸山敏秋</t>
  </si>
  <si>
    <t>329-330頁</t>
  </si>
  <si>
    <t>曲亭馬琴の義歯について　第三報　予後(抄)</t>
  </si>
  <si>
    <t>本山佐太郎</t>
  </si>
  <si>
    <t>330-332頁</t>
  </si>
  <si>
    <t>ガブリエル・プラバーズとその皮下注射器について(抄)</t>
  </si>
  <si>
    <t>332-334頁</t>
  </si>
  <si>
    <t>「松阪の入目・入歯師」と「明治期医学生の写本について」(抄)</t>
  </si>
  <si>
    <t>拓植三郎</t>
  </si>
  <si>
    <t>335頁</t>
  </si>
  <si>
    <t>横浜外人墓地に眠る医人・薬人(抄)</t>
  </si>
  <si>
    <t>336-338頁</t>
  </si>
  <si>
    <t>明治初期に於ける入歯細工師の引札(抄)</t>
  </si>
  <si>
    <t>338-340頁</t>
  </si>
  <si>
    <t>肢体不自由児リハビリテーションの先駆者としての高木憲次博士(抄)</t>
  </si>
  <si>
    <t>340-342頁</t>
  </si>
  <si>
    <t>戦前の精神科病院における脚気の発生状況―巣鴨病院―松沢病院の統計を中心に―(抄)</t>
  </si>
  <si>
    <t>343-344頁</t>
  </si>
  <si>
    <t>比較語学的方法による身体意識史検討の試み（五）成長・増殖(抄)</t>
  </si>
  <si>
    <t>345-347頁</t>
  </si>
  <si>
    <t>ツユンベリーの来日とその意義(抄)</t>
  </si>
  <si>
    <t>高橋文、川瀬清</t>
  </si>
  <si>
    <t>347-349頁</t>
  </si>
  <si>
    <t>明治時代発刊の医学書に見られる歯科にかかわる医学用語について(抄)</t>
  </si>
  <si>
    <t>岡田治夫</t>
  </si>
  <si>
    <t>349-351頁</t>
  </si>
  <si>
    <t>仙台領の隠れた本草書『賢親本草』(抄)</t>
  </si>
  <si>
    <t>ヒキノヒロシ</t>
  </si>
  <si>
    <t>352-353頁</t>
  </si>
  <si>
    <t>カスパルの江戸での伝習動向について―『阿蘭陀外科医方秘伝』の紹介―(抄)</t>
  </si>
  <si>
    <t>353-354頁</t>
  </si>
  <si>
    <t>Bonwill 咬合器の史的考察(抄)</t>
  </si>
  <si>
    <t>永田和弘</t>
  </si>
  <si>
    <t>355-356頁</t>
  </si>
  <si>
    <t>緒方洪庵の薬箱について(抄)</t>
  </si>
  <si>
    <t>356-358頁</t>
  </si>
  <si>
    <t>山田顕義と公衆衛生(抄)</t>
  </si>
  <si>
    <t>西川滇八</t>
  </si>
  <si>
    <t>358-360頁</t>
  </si>
  <si>
    <t>歩兵屯所医師取締手塚良仙知見補遺(抄)</t>
  </si>
  <si>
    <t>360-362頁</t>
  </si>
  <si>
    <t>『臨牀歯科』の歴史について(抄)</t>
  </si>
  <si>
    <t>長谷川俊夫</t>
  </si>
  <si>
    <t>362-364頁</t>
  </si>
  <si>
    <t>歯固の変遷について（第一報）(抄)</t>
  </si>
  <si>
    <t>長谷川正康</t>
  </si>
  <si>
    <t>364-365頁</t>
  </si>
  <si>
    <t>伊沢信平閲『小児歯牙衛生論』について(抄)</t>
  </si>
  <si>
    <t>本間邦則、佐藤泰彦</t>
  </si>
  <si>
    <t>365-366頁</t>
  </si>
  <si>
    <t>本邦における医学放射線技術文化の開発者(抄)</t>
  </si>
  <si>
    <t>366-367頁</t>
  </si>
  <si>
    <t>現代史における日記の文献的利用性の事例研究（第一報－木戸幸一日記と厚生省の創設）(抄)</t>
  </si>
  <si>
    <t>沢井清、清水勝嘉</t>
  </si>
  <si>
    <t>368頁</t>
  </si>
  <si>
    <t>佐藤運雄著『歯科診断学』の推移について(抄)</t>
  </si>
  <si>
    <t>新国俊彦、工藤逸郎</t>
  </si>
  <si>
    <t>369-371頁</t>
  </si>
  <si>
    <t>本床義歯の製作法について(抄)</t>
  </si>
  <si>
    <t>369頁</t>
  </si>
  <si>
    <t>中国で口歯の医療に用いられた塩について(抄)</t>
  </si>
  <si>
    <t>戸出一郎</t>
  </si>
  <si>
    <t>372-373頁</t>
  </si>
  <si>
    <t>一九世紀前・中葉におけるリゾドントリピーの書誌学的研究(抄)</t>
  </si>
  <si>
    <t>森山徳長</t>
  </si>
  <si>
    <t>374頁</t>
  </si>
  <si>
    <t>長谷寺験記にみる治病の利生</t>
  </si>
  <si>
    <t>第26巻第4号</t>
  </si>
  <si>
    <t>379-395頁</t>
  </si>
  <si>
    <t>黄帝と医学―『黄帝内経』の成立事情をめぐって―</t>
  </si>
  <si>
    <t>396-412頁</t>
  </si>
  <si>
    <t>藤田利勝の「養生抄言」について</t>
  </si>
  <si>
    <t>413-419頁</t>
  </si>
  <si>
    <t>お玉ヶ池種痘所開設をめぐって　その二―川路聖謨と斎藤源蔵</t>
  </si>
  <si>
    <t>420-431頁</t>
  </si>
  <si>
    <t>御雇教師ウイルヘルム・デーニッツ（二）</t>
  </si>
  <si>
    <t>432-443頁</t>
  </si>
  <si>
    <t>島津斉興関係二文書</t>
  </si>
  <si>
    <t>444-449頁</t>
  </si>
  <si>
    <t>E.V.ベルツの来日最初の学術論文</t>
  </si>
  <si>
    <t>450-454頁</t>
  </si>
  <si>
    <t>医史学関係文献目録（1979年）</t>
  </si>
  <si>
    <t>455-477頁</t>
  </si>
  <si>
    <t>日本医史学会関西支部春季大会</t>
  </si>
  <si>
    <t>478頁</t>
  </si>
  <si>
    <t>東京慈恵会医科大学発祥の地に記念碑建立</t>
  </si>
  <si>
    <t>479-480頁</t>
  </si>
  <si>
    <t>480頁</t>
  </si>
  <si>
    <t>追悼</t>
  </si>
  <si>
    <t>石原明先生を悼む</t>
  </si>
  <si>
    <t>481-482頁</t>
  </si>
  <si>
    <t>Evolution of the Ideas about the Nature of the Psychotherapeutic Process in the Western World</t>
  </si>
  <si>
    <t>H.F.ELLENBERGER</t>
  </si>
  <si>
    <t>487-514頁</t>
  </si>
  <si>
    <t>1981年(昭和56)</t>
  </si>
  <si>
    <t>第27巻第1号</t>
  </si>
  <si>
    <t>001-05頁</t>
  </si>
  <si>
    <t>十八世紀日本の医学における科学革命―蘭方の発展のための思想的な前提</t>
  </si>
  <si>
    <t>ウィリアム・Ｄ・ジョンストン</t>
  </si>
  <si>
    <t>006-20頁</t>
  </si>
  <si>
    <t>手塚良仙光亨知見補遺</t>
  </si>
  <si>
    <t>021-34頁</t>
  </si>
  <si>
    <t>森井恕仙とその医学</t>
  </si>
  <si>
    <t>035-46頁</t>
  </si>
  <si>
    <t>日本における草創期の産科麻酔―産科麻酔の推奨者としてのエルウィン・フォン・ベルツ―</t>
  </si>
  <si>
    <t>047-55頁</t>
  </si>
  <si>
    <t>弘前藩斜里越冬兵と壊血病</t>
  </si>
  <si>
    <t>056-63頁</t>
  </si>
  <si>
    <t>杉田（玄白）氏の家紋</t>
  </si>
  <si>
    <t>京都医学史研究会設立</t>
  </si>
  <si>
    <t>日本学術会議第八〇回総会報告</t>
  </si>
  <si>
    <t>温知社結成一〇一年記念行事開催</t>
  </si>
  <si>
    <t>Theory and Practice in British Psychiatry from J.C. Prichard (1785-1848) to Henry Maudsley (1835-1918)</t>
  </si>
  <si>
    <t>W.F.Bynum</t>
  </si>
  <si>
    <t>073-94頁</t>
  </si>
  <si>
    <t>戦前の精神科病院における脚気の発生状況―巣鴨病院―松沢病院の統計を中心に―</t>
  </si>
  <si>
    <t>第27巻第2号</t>
  </si>
  <si>
    <t>095-111頁</t>
  </si>
  <si>
    <t>御雇教師 エルンスト・チーゲル（一）</t>
  </si>
  <si>
    <t>112-122頁</t>
  </si>
  <si>
    <t>烏山松円の研究―「からすやま」か「うやま」か―</t>
  </si>
  <si>
    <t>18世紀日本の医学における科学革命―蘭方の発展のための思想的な前提―（二）</t>
  </si>
  <si>
    <t>131-156頁</t>
  </si>
  <si>
    <t>157-162頁</t>
  </si>
  <si>
    <t>第六回医史学国際シンポジウム開催について</t>
  </si>
  <si>
    <t>163頁</t>
  </si>
  <si>
    <t>Hiroshi OHASHI</t>
  </si>
  <si>
    <t>168-187頁</t>
  </si>
  <si>
    <t>Concepts of Psychiatric Interest in Chinese Traditional Medicine</t>
  </si>
  <si>
    <t>Hans Agren</t>
  </si>
  <si>
    <t>188-204頁</t>
  </si>
  <si>
    <t>アイヌ頭蓋骨の人類学的研究の史的考察―慶応年間に起った英国領事館員によるアイヌ墳墓発掘事件を主題として―(抄)</t>
  </si>
  <si>
    <t>渡辺佐武郎</t>
  </si>
  <si>
    <t>第27巻第3号</t>
  </si>
  <si>
    <t>益満休之助と関寛斎(抄)</t>
  </si>
  <si>
    <t>高山坦三</t>
  </si>
  <si>
    <t>206-207頁</t>
  </si>
  <si>
    <t>薬師如来瑞応伝にみる治病信仰(抄)</t>
  </si>
  <si>
    <t>病草子と平安時代の諸文献に見える主な疾患(抄)</t>
  </si>
  <si>
    <t>MACE美枝子</t>
  </si>
  <si>
    <t>210-212頁</t>
  </si>
  <si>
    <t>医心方の伝写について(抄)</t>
  </si>
  <si>
    <t>香月牛山編「老人養草」について(抄)</t>
  </si>
  <si>
    <t>天保期における藤堂藩と本草学(抄)</t>
  </si>
  <si>
    <t>『紅夷外科宗伝』と他種の紅毛外科書との比較(抄)</t>
  </si>
  <si>
    <t>江戸時代の人体模型(抄)</t>
  </si>
  <si>
    <t>八十島信之助</t>
  </si>
  <si>
    <t>いわゆる「ターヘル・アナトミア」と解体新書の比較（その二）(抄)</t>
  </si>
  <si>
    <t>220-222頁</t>
  </si>
  <si>
    <t>大槻玄沢と厚生新編(抄)</t>
  </si>
  <si>
    <t>松岡恕庵の再評価(抄)</t>
  </si>
  <si>
    <t>伊東玄朴門人「徳岡左門」について(抄)</t>
  </si>
  <si>
    <t>中川五郎治の種痘に関する小資料―新潟県で発見された北方系種痘資料紹介―(抄)</t>
  </si>
  <si>
    <t>蒲原宏、藤井正宣</t>
  </si>
  <si>
    <t>甲斐における痘科及び牛痘種法の伝搬について(抄)</t>
  </si>
  <si>
    <t>神田昌道</t>
  </si>
  <si>
    <t>江戸時代の麻疹流行(抄)</t>
  </si>
  <si>
    <t>231-234頁</t>
  </si>
  <si>
    <t>蝦夷地の壊血病と小林東鴻(抄)</t>
  </si>
  <si>
    <t>安政年度のコレラ流行の北限について(抄)</t>
  </si>
  <si>
    <t>235頁</t>
  </si>
  <si>
    <t>近世農村の医療事情―守山領の場合(抄)</t>
  </si>
  <si>
    <t>237-239頁</t>
  </si>
  <si>
    <t>徳島時代の関寛斎(抄)</t>
  </si>
  <si>
    <t>239頁</t>
  </si>
  <si>
    <t>戊辰戦争中の軍事病院（Ⅰ）奥羽出張病院について(抄)</t>
  </si>
  <si>
    <t>佐久間温巳</t>
  </si>
  <si>
    <t>240-242頁</t>
  </si>
  <si>
    <t>『鼈氏内科学』神経系諸病について(抄)</t>
  </si>
  <si>
    <t>242-243頁</t>
  </si>
  <si>
    <t>東京大学医学部所蔵第一号頭骨標本の由来について(抄)</t>
  </si>
  <si>
    <t>小川鼎三、神谷敏郎</t>
  </si>
  <si>
    <t>244-245頁</t>
  </si>
  <si>
    <t>新島襄をめぐる医師・看護婦たち(抄)</t>
  </si>
  <si>
    <t>246-247頁</t>
  </si>
  <si>
    <t>248-249頁</t>
  </si>
  <si>
    <t>本邦における皮下注射の濫觴と札幌梅毒院(抄)</t>
  </si>
  <si>
    <t>宮下舜一</t>
  </si>
  <si>
    <t>250-251頁</t>
  </si>
  <si>
    <t>（誌上発表）抄録</t>
  </si>
  <si>
    <t>屯田兵村におけるわが国初期の農村保健の統計について(抄)</t>
  </si>
  <si>
    <t>252-254頁</t>
  </si>
  <si>
    <t>北海道における明治期の帝王切開術について(抄)</t>
  </si>
  <si>
    <t>252頁</t>
  </si>
  <si>
    <t>比較語学的方法による身体意識史検討の試み（六）－性(抄)</t>
  </si>
  <si>
    <t>254-255頁</t>
  </si>
  <si>
    <t>工場法の審議過程における条文修正の状況(抄)</t>
  </si>
  <si>
    <t>乾修然</t>
  </si>
  <si>
    <t>255-256頁</t>
  </si>
  <si>
    <t>極東国際軍事裁判記録のなかにある「厚生省」の記事について(抄)</t>
  </si>
  <si>
    <t>256-257頁</t>
  </si>
  <si>
    <t>岡谷蚕糸博物館所蔵資料にみる製糸工女の医療費負担について（第三報　入院、死亡および帰宅の場合）(抄)</t>
  </si>
  <si>
    <t>岡谷蚕糸博物館所蔵資料にみる製糸工女の医療費負担について（第四報　一ヵ年間の薬価支払先について）(抄)</t>
  </si>
  <si>
    <t>大正十五年の諏訪地方における製糸工場病室の看護婦名簿について(抄)</t>
  </si>
  <si>
    <t>262-264頁</t>
  </si>
  <si>
    <t>264-266頁</t>
  </si>
  <si>
    <t>明治中期における外科学講義の一例(抄)</t>
  </si>
  <si>
    <t>明治時代におけるわが国の造鼻術(抄)</t>
  </si>
  <si>
    <t>268-270頁</t>
  </si>
  <si>
    <t>戦時下に於て活用す可き歯科界の人的資源（昭十八）について(抄)</t>
  </si>
  <si>
    <t>271-272頁</t>
  </si>
  <si>
    <t>中世ヨーロッパの医戒・養生訓―中世医学のメッカ・サレルノの養生訓から―(抄)</t>
  </si>
  <si>
    <t>大槻真一郎</t>
  </si>
  <si>
    <t>272-274頁</t>
  </si>
  <si>
    <t>同時代人としてのアンブロアズ・パレとフランソア・ラブレー(抄)</t>
  </si>
  <si>
    <t>275-277頁</t>
  </si>
  <si>
    <t>George B. Newtonと種痘事業(抄)</t>
  </si>
  <si>
    <t>277-279頁</t>
  </si>
  <si>
    <t>世界最初のクロロフォルム麻酔死―ハンナ・グリーナー事件―(抄)</t>
  </si>
  <si>
    <t>ビルロートの胃切除術成功百年(抄)</t>
  </si>
  <si>
    <t>280-282頁</t>
  </si>
  <si>
    <t>風の医学（中国古代の場合）(抄)</t>
  </si>
  <si>
    <t>283-285頁</t>
  </si>
  <si>
    <t>梁哲周</t>
  </si>
  <si>
    <t>中国における太医署の職務の史的変遷について―唐代を中心として―(抄)</t>
  </si>
  <si>
    <t>中国伝統医学における薬物及び方剤の効能分類の変遷(抄)</t>
  </si>
  <si>
    <t>梁哲宗</t>
  </si>
  <si>
    <t>288-289頁</t>
  </si>
  <si>
    <t>古京出土遺物の歴史学的研究―その一―木簡について―</t>
  </si>
  <si>
    <t>第27巻第4号</t>
  </si>
  <si>
    <t>293-303頁</t>
  </si>
  <si>
    <t>大槻玄沢と厚生新編</t>
  </si>
  <si>
    <t>304-315頁</t>
  </si>
  <si>
    <t>呉秀三・富士川游両先生がはじめてであった頃―わが国医史学の濫觴をさぐる―</t>
  </si>
  <si>
    <t>316-323頁</t>
  </si>
  <si>
    <t>日本眼科学の先覚・井上達也 (一八四八～一八九五) 伝補遺</t>
  </si>
  <si>
    <t>324-334頁</t>
  </si>
  <si>
    <t>本邦における草創期の胆のう外科</t>
  </si>
  <si>
    <t>335-343頁</t>
  </si>
  <si>
    <t>概説</t>
  </si>
  <si>
    <t>日本解剖学史</t>
  </si>
  <si>
    <t>344-358頁</t>
  </si>
  <si>
    <t>帝国大学医科大学別課医学科第十九回、二十回卒業生名簿</t>
  </si>
  <si>
    <t>359-361頁</t>
  </si>
  <si>
    <t>医史学関係文献目録（1980年）</t>
  </si>
  <si>
    <t>362-382頁</t>
  </si>
  <si>
    <t>383頁</t>
  </si>
  <si>
    <t>第八十三回日本医史学会総会お知らせ</t>
  </si>
  <si>
    <t>小森玄良生誕二百年記念顕彰事業報告</t>
  </si>
  <si>
    <t>384-387頁</t>
  </si>
  <si>
    <t>京都医学史研究会報告</t>
  </si>
  <si>
    <t>384頁</t>
  </si>
  <si>
    <t>Man as Machine and Man as Microcosm: A Comparison of Western and Traditional Japanese Approaches to Patient Care</t>
  </si>
  <si>
    <t>Margaret M. Lock</t>
  </si>
  <si>
    <t>392-422頁</t>
  </si>
  <si>
    <t>有田樹林の論文「日本種痘ノ始祖」の紹介と痘苗活着年の検討</t>
  </si>
  <si>
    <t>添川正夫</t>
  </si>
  <si>
    <t>1982年(昭和57)</t>
  </si>
  <si>
    <t>第28巻第1号</t>
  </si>
  <si>
    <t>001-14頁</t>
  </si>
  <si>
    <t>森立之「八素説」をめぐって－『素問』の巻数についての疑問－</t>
  </si>
  <si>
    <t>015-33頁</t>
  </si>
  <si>
    <t>研究ノート</t>
  </si>
  <si>
    <t>三宅秀日記（一八八八～一九三八）</t>
  </si>
  <si>
    <t>034-47頁</t>
  </si>
  <si>
    <t>来日イギリス人医師の研究</t>
  </si>
  <si>
    <t>048-55頁</t>
  </si>
  <si>
    <t>天璋院様御麻疹諸留帳について</t>
  </si>
  <si>
    <t>056-71頁</t>
  </si>
  <si>
    <t>医学教育の中の医史学―全国アンケート調査の結果から―</t>
  </si>
  <si>
    <t>J. Bossy</t>
  </si>
  <si>
    <t>120-81頁</t>
  </si>
  <si>
    <t>Prescriptions Written at the Time of the Han Dynasty</t>
  </si>
  <si>
    <t>Akira AKAHORI</t>
  </si>
  <si>
    <t>121-142頁</t>
  </si>
  <si>
    <t>祭祀の医療思想（抄）</t>
  </si>
  <si>
    <t>第28巻第2号</t>
  </si>
  <si>
    <t>143-146頁</t>
  </si>
  <si>
    <t>京都の医学の源流（抄）</t>
  </si>
  <si>
    <t>山田重正</t>
  </si>
  <si>
    <t>147-149頁</t>
  </si>
  <si>
    <t>江戸時代の京都における医の倫理の史的考察（抄）</t>
  </si>
  <si>
    <t>150-163頁</t>
  </si>
  <si>
    <t>安芸守定と安芸家（北小路家）について（抄）</t>
  </si>
  <si>
    <t>北小路博央</t>
  </si>
  <si>
    <t>164-166頁</t>
  </si>
  <si>
    <t>日葡辞典から見た安土桃山時代の医学　一　医療用具(抄)</t>
  </si>
  <si>
    <t>亀節子、大槻彰、前川久太郎</t>
  </si>
  <si>
    <t>166-168頁</t>
  </si>
  <si>
    <t>向井元升の家系について(抄)</t>
  </si>
  <si>
    <t>中西啓</t>
  </si>
  <si>
    <t>169-170頁</t>
  </si>
  <si>
    <t>誰が山脇東洋に苛私林牛私「解体原書」を贈ったか(抄)</t>
  </si>
  <si>
    <t>171-173頁</t>
  </si>
  <si>
    <t>いわゆる「ターヘル・アナトミア」と解体新書の比較（その三）(抄)</t>
  </si>
  <si>
    <t>稲村白羽（三伯）の「金匱方註」について(抄)</t>
  </si>
  <si>
    <t>176-178頁</t>
  </si>
  <si>
    <t>179-181頁</t>
  </si>
  <si>
    <t>柚木太淳について(抄)</t>
  </si>
  <si>
    <t>181頁</t>
  </si>
  <si>
    <t>江馬元齢の医学史的漢詩文について(抄)</t>
  </si>
  <si>
    <t>整骨範草稿について(抄)</t>
  </si>
  <si>
    <t>日本における新生児沐浴の変遷(抄)</t>
  </si>
  <si>
    <t>185-187頁</t>
  </si>
  <si>
    <t>サレルノ医学前史(抄)</t>
  </si>
  <si>
    <t>フランスにおける最初の医学新聞を発行したニコラ・ド・ブレニーについて(抄)</t>
  </si>
  <si>
    <t>鼠の自然発生実験の考察―実験中の事故は史論の対象ではない―(抄)</t>
  </si>
  <si>
    <t>安江政一</t>
  </si>
  <si>
    <t>192-194頁</t>
  </si>
  <si>
    <t>Ｆ・グリソンの非刺激性学説とその影響(抄)</t>
  </si>
  <si>
    <t>医史学からみた医化学から生化学への発展とその未来像(抄)</t>
  </si>
  <si>
    <t>196-198頁</t>
  </si>
  <si>
    <t>ディオスクリデス・「ウィーン写本」(抄)</t>
  </si>
  <si>
    <t>英国外交文書中の医師Ｗ・ウィリスの足跡（主にＰ・Ｒ・ＯのＦ・Ｏ46による）（一）(抄)</t>
  </si>
  <si>
    <t>201-203頁</t>
  </si>
  <si>
    <t>Monteverde　作 Edward Jennerの大理石像(抄)</t>
  </si>
  <si>
    <t>中国における「医は仁術」の起源(抄)</t>
  </si>
  <si>
    <t>中国医学と道教（その二　太平経について）(抄)</t>
  </si>
  <si>
    <t>中国古代医学における陰陽について(抄)</t>
  </si>
  <si>
    <t>日本の原始時代における医療と王権(抄)</t>
  </si>
  <si>
    <t>「虜瘡」は麻疹(抄)</t>
  </si>
  <si>
    <t>日本における初期の小児科領域についての一考察(抄)</t>
  </si>
  <si>
    <t>安達原曄子</t>
  </si>
  <si>
    <t>正親町天皇の半井氏に『医心方』を下賜された理由について(抄)</t>
  </si>
  <si>
    <t>『医心方』の伝写について（Ⅱ）(抄)</t>
  </si>
  <si>
    <t>徳島時代の関寛斎（続報）その医学的業績について(抄)</t>
  </si>
  <si>
    <t>本邦放射線事始に尽した人びと(抄)</t>
  </si>
  <si>
    <t>医会設立当時の静岡県医師人名簿(抄)</t>
  </si>
  <si>
    <t>Ｊ・Ｃ・ベリーと柴原宗助(抄)</t>
  </si>
  <si>
    <t>234-236頁</t>
  </si>
  <si>
    <t>「幼きイエズス修道会」京都支部における看護婦養成事業について（明治二五～三七年）(抄)</t>
  </si>
  <si>
    <t>坂本玄子、高橋政子、名原寿子、広瀬房子、山根信子</t>
  </si>
  <si>
    <t>「特命全権大使米欧回覧実記」における米欧の労働衛生事情(抄)</t>
  </si>
  <si>
    <t>240-241頁</t>
  </si>
  <si>
    <t>岡谷蚕糸博物館所蔵資料にみる製糸工女の医療費負担について（第五報　中途退場工女と薬価負担）(抄)</t>
  </si>
  <si>
    <t>241-243頁</t>
  </si>
  <si>
    <t>大正期の諏訪地方における製糸工場の労働環境について(抄)</t>
  </si>
  <si>
    <t>243-245頁</t>
  </si>
  <si>
    <t>水銀中毒の歴史(抄)</t>
  </si>
  <si>
    <t>245-247頁</t>
  </si>
  <si>
    <t>京都における梅毒小史(抄)</t>
  </si>
  <si>
    <t>藤垣亀雄</t>
  </si>
  <si>
    <t>248-251頁</t>
  </si>
  <si>
    <t>中国伝統医学修得学生の漢語素養について(抄)</t>
  </si>
  <si>
    <t>小杉順一</t>
  </si>
  <si>
    <t>森村謙一</t>
  </si>
  <si>
    <t>254頁</t>
  </si>
  <si>
    <t>漢代の粉末製造法「冶」法について(抄)</t>
  </si>
  <si>
    <t>255-257頁</t>
  </si>
  <si>
    <t>有持桂里の墓碑銘および過去帳とその漢方医学について(抄)</t>
  </si>
  <si>
    <t>武相の種痘―平塚宿の場合(抄)</t>
  </si>
  <si>
    <t>259-261頁</t>
  </si>
  <si>
    <t>津藩の種痘(抄)</t>
  </si>
  <si>
    <t>261-262頁</t>
  </si>
  <si>
    <t>新資料「伊藤圭介関係書翰集」について(抄)</t>
  </si>
  <si>
    <t>263-265頁</t>
  </si>
  <si>
    <t>『慾斎覚書』について(抄)</t>
  </si>
  <si>
    <t>遠藤正治</t>
  </si>
  <si>
    <t>265-267頁</t>
  </si>
  <si>
    <t>吉益四峰（今井鉄太郎）の家系について(抄)</t>
  </si>
  <si>
    <t>森納</t>
  </si>
  <si>
    <t>268-269頁</t>
  </si>
  <si>
    <t>八十五年京都産婦人科医界のあゆみ(抄)</t>
  </si>
  <si>
    <t>三木通三、森武史、伴一郎</t>
  </si>
  <si>
    <t>緒方正清と産婦人科学史(抄)</t>
  </si>
  <si>
    <t>明治時代の公立医学校廃止の顛末（その一）(抄)</t>
  </si>
  <si>
    <t>いわゆる「ドイツ医学」について(抄)</t>
  </si>
  <si>
    <t>276-276頁</t>
  </si>
  <si>
    <t>成医会講習所設立の頃(抄)</t>
  </si>
  <si>
    <t>エルウィン・ベルツと温泉医学(抄)</t>
  </si>
  <si>
    <t>278-280頁</t>
  </si>
  <si>
    <t>金沢におけるホルトルマンの外科診療(抄)</t>
  </si>
  <si>
    <t>陸海軍に於ける初期の脚気病対策(抄)</t>
  </si>
  <si>
    <t>土肥慶蔵と呉秀三(抄)</t>
  </si>
  <si>
    <t>呉秀三先生ヨーロッパ留学中の署名録―オーストリー・ドイツ精神神経学の巨匠たちの筆蹟―(抄)</t>
  </si>
  <si>
    <t>京都における歯科医学の先覚者たち(抄)</t>
  </si>
  <si>
    <t>浦田耕作</t>
  </si>
  <si>
    <t>288-290頁</t>
  </si>
  <si>
    <t>伊藤義教、松木明知</t>
  </si>
  <si>
    <t>290-291頁</t>
  </si>
  <si>
    <t>中川五郎治の種痘法の研究―新しく発見された五郎治による被接種者―(抄)</t>
  </si>
  <si>
    <t>世界最初の麻酔関連死を巡って―トーマス・ハーバートの症例―(抄)</t>
  </si>
  <si>
    <t>292頁</t>
  </si>
  <si>
    <t>第84回日本医史学会総会予告</t>
  </si>
  <si>
    <t>佐藤尚中先生百年祭開催</t>
  </si>
  <si>
    <t>日葡辞書から見た安土桃山時代の医学―一、医療用具</t>
  </si>
  <si>
    <t>第28巻第3号</t>
  </si>
  <si>
    <t>297-306頁</t>
  </si>
  <si>
    <t>Ｅ・ベルツと発疹チフス</t>
  </si>
  <si>
    <t>307-316頁</t>
  </si>
  <si>
    <t>御雇解剖学教師ギールケとディッセ（一）</t>
  </si>
  <si>
    <t>317-327頁</t>
  </si>
  <si>
    <t>お雇いオランダ人医師 総論 ボードイン人脈</t>
  </si>
  <si>
    <t>328-337頁</t>
  </si>
  <si>
    <t>日露戦争における切断・義肢と乃木式義手</t>
  </si>
  <si>
    <t>338-351頁</t>
  </si>
  <si>
    <t>「蘇」について</t>
  </si>
  <si>
    <t>白崎昭一郎</t>
  </si>
  <si>
    <t>352-362頁</t>
  </si>
  <si>
    <t>北海道における明治期の帝王切開術の歴史</t>
  </si>
  <si>
    <t>363-372頁</t>
  </si>
  <si>
    <t>古京出土遺物の医史学的研究（その二）人形・人面墨書・土器などについて</t>
  </si>
  <si>
    <t>373-384頁</t>
  </si>
  <si>
    <t>多紀元簡と「蝦夷地異疾考」</t>
  </si>
  <si>
    <t>385-390頁</t>
  </si>
  <si>
    <t>Ａ・Ｆ・ボードインの生年月日についての考察</t>
  </si>
  <si>
    <t>391-394頁</t>
  </si>
  <si>
    <t>Two Legacies of the Later Alexandrian School: The preliminary questions in commentaries; the theory / practice division of medicine</t>
  </si>
  <si>
    <t>Andrew CUNNINGHAM</t>
  </si>
  <si>
    <t>400-424頁</t>
  </si>
  <si>
    <t>記事　追悼</t>
  </si>
  <si>
    <t>呉秀三先生没後満五〇年記念行事</t>
  </si>
  <si>
    <t>第28巻第4号</t>
  </si>
  <si>
    <t>シーボルトと彼の日本文化への影響</t>
  </si>
  <si>
    <t>呉秀三</t>
  </si>
  <si>
    <t>427-443頁</t>
  </si>
  <si>
    <t>呉秀三先生の生涯と業績</t>
  </si>
  <si>
    <t>444-456頁</t>
  </si>
  <si>
    <t>私宅監置調査の現代的意義</t>
  </si>
  <si>
    <t>吉岡真二</t>
  </si>
  <si>
    <t>457-470頁</t>
  </si>
  <si>
    <t>471-478頁</t>
  </si>
  <si>
    <t>シーボルト研究史における呉先生</t>
  </si>
  <si>
    <t>箭内健次</t>
  </si>
  <si>
    <t>479-485頁</t>
  </si>
  <si>
    <t>華岡青洲研究のその後</t>
  </si>
  <si>
    <t>486-488頁</t>
  </si>
  <si>
    <t>洋学史家としての呉秀三先生</t>
  </si>
  <si>
    <t>大久保利謙</t>
  </si>
  <si>
    <t>489-491頁</t>
  </si>
  <si>
    <t>晩年の呉秀三先生と私</t>
  </si>
  <si>
    <t>492-496頁</t>
  </si>
  <si>
    <t>東京大学医学図書館所蔵呉秀三文庫目録</t>
  </si>
  <si>
    <t>497-502頁</t>
  </si>
  <si>
    <t>医学文化館に寄託されている呉秀三先生遺品目録</t>
  </si>
  <si>
    <t>503-508頁</t>
  </si>
  <si>
    <t>医史学関係文献目録（1981年）</t>
  </si>
  <si>
    <t>509-532頁</t>
  </si>
  <si>
    <t>日本柔道整復師会編『日本整骨術全集』</t>
  </si>
  <si>
    <t>533頁</t>
  </si>
  <si>
    <t>534頁</t>
  </si>
  <si>
    <t>大矢全節氏を弔す</t>
  </si>
  <si>
    <t>535-536頁</t>
  </si>
  <si>
    <t>Ph. Fr. v. Siebold und sein Einfluss auf die japanische Zivilisation der neueren Zeit</t>
  </si>
  <si>
    <t>Shuzo KURE</t>
  </si>
  <si>
    <t>562-540頁</t>
  </si>
  <si>
    <t>慶長使節と南蛮医学</t>
  </si>
  <si>
    <t>1983年(昭和58)</t>
  </si>
  <si>
    <t>第29巻第1号</t>
  </si>
  <si>
    <t>鼠の自然発生実験の考察―実験中の事故による結果は史論の対象にはならない―</t>
  </si>
  <si>
    <t>安政年度のコレラ流行の北限について</t>
  </si>
  <si>
    <t>025-34頁</t>
  </si>
  <si>
    <t>中川五郎治の種痘法の研究―新たに発見された被接種者―</t>
  </si>
  <si>
    <t>035-41頁</t>
  </si>
  <si>
    <t>御雇教師エルンスト・チーゲル（二）</t>
  </si>
  <si>
    <t>042-49頁</t>
  </si>
  <si>
    <t>日葡辞書から見た安土桃山時代の医学―二、くすり</t>
  </si>
  <si>
    <t>050-63頁</t>
  </si>
  <si>
    <t>ベルツに関する資料若干</t>
  </si>
  <si>
    <t>064-69頁</t>
  </si>
  <si>
    <t>明治初期の兵庫のローカル英字新聞記事に見る在日外国人医師名</t>
  </si>
  <si>
    <t>070-72頁</t>
  </si>
  <si>
    <t>矢数道明著『近世漢方医学史―曲直瀬道三とその学統』</t>
  </si>
  <si>
    <t>日本医史学会関西支部秋季大会案内</t>
  </si>
  <si>
    <t>改革要綱を可決、新執行部選出―日本学術会議第八十六回総会報告―</t>
  </si>
  <si>
    <t>京都医学史研究会</t>
  </si>
  <si>
    <t>076-78頁</t>
  </si>
  <si>
    <t>Smallpox Mortality in a Mountainous District in Japan Where Neither Variolation nor Vaccination Had Been Performed</t>
  </si>
  <si>
    <t>094-83頁</t>
  </si>
  <si>
    <t>医学史に現われた寸白蟲（抄）</t>
  </si>
  <si>
    <t>第29巻第2号</t>
  </si>
  <si>
    <t>095-98頁</t>
  </si>
  <si>
    <t>中国の歴史における医（抄）</t>
  </si>
  <si>
    <t>099-101頁</t>
  </si>
  <si>
    <t>歴史的にみた神奈川の医療（抄）</t>
  </si>
  <si>
    <t>医学のシンボル「蛇杖」の歴史(抄)</t>
  </si>
  <si>
    <t>105-107頁</t>
  </si>
  <si>
    <t>医学史の歴史(抄)</t>
  </si>
  <si>
    <t>医学教育における医史学資料の評価(抄)</t>
  </si>
  <si>
    <t>108-110頁</t>
  </si>
  <si>
    <t>外科の守護聖人サン・コームについて(抄)</t>
  </si>
  <si>
    <t>110-112頁</t>
  </si>
  <si>
    <t>堺県医学校補遺(抄)</t>
  </si>
  <si>
    <t>113-115頁</t>
  </si>
  <si>
    <t>『医務取調書上』と『医者履歴明細書』―明治初年の医師現状調査について(抄)</t>
  </si>
  <si>
    <t>115-117頁</t>
  </si>
  <si>
    <t>わが国最初の医学雑誌(抄)</t>
  </si>
  <si>
    <t>谷津三雄、鈴木勝</t>
  </si>
  <si>
    <t>大槻玄沢と西賓会話(抄)</t>
  </si>
  <si>
    <t>119-120頁</t>
  </si>
  <si>
    <t>文学に現われたパラケルスス像(抄)</t>
  </si>
  <si>
    <t>大橋博司</t>
  </si>
  <si>
    <t>121-123頁</t>
  </si>
  <si>
    <t>ヘルマン・ブールハーフェの座右の銘「単純は真理のしるしなり」の語源について(抄)</t>
  </si>
  <si>
    <t>イギリスにおける病院の近代化(抄)</t>
  </si>
  <si>
    <t>124頁</t>
  </si>
  <si>
    <t>モーゼス・マイモニデスの『喘息論』について(抄)</t>
  </si>
  <si>
    <t>石渡隆司</t>
  </si>
  <si>
    <t>125-126頁</t>
  </si>
  <si>
    <t>安政年間相模国における長州藩の医療(抄)</t>
  </si>
  <si>
    <t>127-129頁</t>
  </si>
  <si>
    <t>いわゆる「ターヘル・アナトミア」と解体新書の比較（その四）(抄)</t>
  </si>
  <si>
    <t>129-131頁</t>
  </si>
  <si>
    <t>モンテベルデ作エドワード・ジェンナーの青銅像(抄)</t>
  </si>
  <si>
    <t>ウトレヒト陸軍軍医学校テキスト、フレスの解剖書とその日本への伝播(抄)</t>
  </si>
  <si>
    <t>石田純郎、ハルム・ボイケルス</t>
  </si>
  <si>
    <t>133-135頁</t>
  </si>
  <si>
    <t>Ａ・Ｆ・ボードイン帰国時の賞典授与の経緯について(抄)</t>
  </si>
  <si>
    <t>青木大輔編「西洋医家名和訳覚帳」その他について(抄)</t>
  </si>
  <si>
    <t>明治二十年以前の翻訳西洋医学書の出版動向(抄)</t>
  </si>
  <si>
    <t>水間棟彦、酒井シヅ</t>
  </si>
  <si>
    <t>山本亡羊の門人簿について(抄)</t>
  </si>
  <si>
    <t>石川玄常について(抄)</t>
  </si>
  <si>
    <t>143-145頁</t>
  </si>
  <si>
    <t>中津藩と村上玄水(抄)</t>
  </si>
  <si>
    <t>146-148頁</t>
  </si>
  <si>
    <t>アルメイダ没後四百年の足跡を訪ねて(抄)</t>
  </si>
  <si>
    <t>東野利夫</t>
  </si>
  <si>
    <t>藤野厳九郎の蘭学の系譜(抄)</t>
  </si>
  <si>
    <t>泉彪之助</t>
  </si>
  <si>
    <t>目黒道琢の事蹟について(抄)</t>
  </si>
  <si>
    <t>中島康伸</t>
  </si>
  <si>
    <t>村医と著述―河内国坂村三浦蘭阪の場合―(抄）</t>
  </si>
  <si>
    <t>154-155頁</t>
  </si>
  <si>
    <t>医師木戸麟の近代社会への貢献(抄)</t>
  </si>
  <si>
    <t>丸山知良</t>
  </si>
  <si>
    <t>155-157頁</t>
  </si>
  <si>
    <t>『太素』と『素問』『霊枢』の比較的考察(抄)</t>
  </si>
  <si>
    <t>157-159頁</t>
  </si>
  <si>
    <t>宮内庁書陵部所蔵五巻本『和剤局方』について(抄)</t>
  </si>
  <si>
    <t>小曽戸洋</t>
  </si>
  <si>
    <t>160-162頁</t>
  </si>
  <si>
    <t>『医心方』の伝写について（Ⅲ）(抄)</t>
  </si>
  <si>
    <t>162-163頁</t>
  </si>
  <si>
    <t>『万安方』の小児門について(抄)</t>
  </si>
  <si>
    <t>「麻疹」名義考(抄)</t>
  </si>
  <si>
    <t>安芸家（北小路家）「御産所日記」について(抄)</t>
  </si>
  <si>
    <t>169-171頁</t>
  </si>
  <si>
    <t>日葡辞書から見た安土桃山時代の医学―三、身体部位語(抄)</t>
  </si>
  <si>
    <t>『東谷御林人参一巻』と松平君山(抄)</t>
  </si>
  <si>
    <t>我が川島家の医史(抄)</t>
  </si>
  <si>
    <t>江戸時代の家庭看護(抄)</t>
  </si>
  <si>
    <t>178-179頁</t>
  </si>
  <si>
    <t>明治時代の公立医学校廃止の顛末（その二）(抄)</t>
  </si>
  <si>
    <t>一般人を対象とした現役軍医の病院(抄)</t>
  </si>
  <si>
    <t>182-184頁</t>
  </si>
  <si>
    <t>岡谷蚕糸博物館所蔵資料にみる製糸工女の医療費負担について（第六報　福利厚生施設調査）(抄)</t>
  </si>
  <si>
    <t>184-186頁</t>
  </si>
  <si>
    <t>本邦における医学放射線技術教育の史的推移(抄)</t>
  </si>
  <si>
    <t>187頁</t>
  </si>
  <si>
    <t>南洋庁の医事衛生事情(抄)</t>
  </si>
  <si>
    <t>産業報国会関係資料(抄)</t>
  </si>
  <si>
    <t>森博</t>
  </si>
  <si>
    <t>中国古代医学に於ける五行説について(抄)</t>
  </si>
  <si>
    <t>中国古代原始本草体系の推察(抄)</t>
  </si>
  <si>
    <t>中国医学と道教（Ⅲ、薬籤について）(抄)</t>
  </si>
  <si>
    <t>華佗と麻酔(抄)</t>
  </si>
  <si>
    <t>200-202頁</t>
  </si>
  <si>
    <t>中国伝統医学修得学生の漢語素養について（その２）(抄)</t>
  </si>
  <si>
    <t>Ｅ・ベルツの憑依論について(抄)</t>
  </si>
  <si>
    <t>狐憑症研究小史―Ｅ・ベルツ、島村俊一、呉秀三―(抄)</t>
  </si>
  <si>
    <t>207-209頁</t>
  </si>
  <si>
    <t>日本における包帯の歴史に関する研究（一）「繃帯彙編」の原典(抄)</t>
  </si>
  <si>
    <t>昭和前期の労働衛生史(抄)</t>
  </si>
  <si>
    <t>212-214頁</t>
  </si>
  <si>
    <t>日本の高温労働環境の歴史(抄)</t>
  </si>
  <si>
    <t>214-216頁</t>
  </si>
  <si>
    <t>日本における対癌運動史序説―北海道対癌協会について―(抄)</t>
  </si>
  <si>
    <t>「麻酔」の語史学的研究(抄)</t>
  </si>
  <si>
    <t>日本の脊髄麻酔の歴史―とくにヤコビー線に関連して―(抄)</t>
  </si>
  <si>
    <t>横浜山手病院(抄)</t>
  </si>
  <si>
    <t>桑原千代子</t>
  </si>
  <si>
    <t>222-224頁</t>
  </si>
  <si>
    <t>佐藤尚中先生歿後100年祭挨拶</t>
  </si>
  <si>
    <t>有山登</t>
  </si>
  <si>
    <t>第29巻第3号</t>
  </si>
  <si>
    <t>佐倉時代の尚中</t>
  </si>
  <si>
    <t>篠丸頼彦</t>
  </si>
  <si>
    <t>241-254頁</t>
  </si>
  <si>
    <t>長崎時代の尚中先生</t>
  </si>
  <si>
    <t>255-258頁</t>
  </si>
  <si>
    <t>佐藤尚中と大学東校</t>
  </si>
  <si>
    <t>259-262頁</t>
  </si>
  <si>
    <t>尚中の私生活</t>
  </si>
  <si>
    <t>263-269頁</t>
  </si>
  <si>
    <t>佐藤尚中先生略年譜</t>
  </si>
  <si>
    <t>270-273頁</t>
  </si>
  <si>
    <t>佐藤尚中先生歿後百年記念展覧会目録</t>
  </si>
  <si>
    <t>御雇教師ミュルレルとホフマン（一）</t>
  </si>
  <si>
    <t>276-290頁</t>
  </si>
  <si>
    <t>日本における初期の小児科領域についての一考察</t>
  </si>
  <si>
    <t>291-303頁</t>
  </si>
  <si>
    <t>「麻酔」の語史学的研究</t>
  </si>
  <si>
    <t>失勃児督処方録</t>
  </si>
  <si>
    <t>316-339頁</t>
  </si>
  <si>
    <t>例会抄録</t>
  </si>
  <si>
    <t>「一気留滞説」と「万病毒説」について―江戸時代古方派の病因論―</t>
  </si>
  <si>
    <t>340頁</t>
  </si>
  <si>
    <t>Contribution of Shibasaburo Kitasato to the Improvement of Smallpox Vaccine in Japan</t>
  </si>
  <si>
    <t>Masao SOEKAWA</t>
  </si>
  <si>
    <t>352-348頁</t>
  </si>
  <si>
    <t>『万安方』の小児門について</t>
  </si>
  <si>
    <t>第29巻第4号</t>
  </si>
  <si>
    <t>353-367頁</t>
  </si>
  <si>
    <t>狐憑き研究史―明治時代を中心に―</t>
  </si>
  <si>
    <t>368-391頁</t>
  </si>
  <si>
    <t>世界最初のクロロフォルム麻酔死について</t>
  </si>
  <si>
    <t>392-403頁</t>
  </si>
  <si>
    <t>明七雑誌について</t>
  </si>
  <si>
    <t>404-411頁</t>
  </si>
  <si>
    <t>412-427頁</t>
  </si>
  <si>
    <t>池田謙斎（一）―初代東京大学医学部総理―</t>
  </si>
  <si>
    <t>428-434頁</t>
  </si>
  <si>
    <t>藤野厳九郎の蘭学の系譜と生地</t>
  </si>
  <si>
    <t>435-446頁</t>
  </si>
  <si>
    <t>447-454頁</t>
  </si>
  <si>
    <t>在学生の書簡よりみた第一次東京大学医学部の一面</t>
  </si>
  <si>
    <t>不破義信</t>
  </si>
  <si>
    <t>455-461頁</t>
  </si>
  <si>
    <t>明治六、七年度東京大学医学部学科表</t>
  </si>
  <si>
    <t>462-476頁</t>
  </si>
  <si>
    <t>医史学関係文献目録（1982年）</t>
  </si>
  <si>
    <t>477-510頁</t>
  </si>
  <si>
    <t>アンブロアズ・パレの針が曲った</t>
  </si>
  <si>
    <t>511-512頁</t>
  </si>
  <si>
    <t>511頁</t>
  </si>
  <si>
    <t>小石元俊の「経験方録」について</t>
  </si>
  <si>
    <t>512頁</t>
  </si>
  <si>
    <t>新村拓著『古代医療官人制の研究』</t>
  </si>
  <si>
    <t>513-514頁</t>
  </si>
  <si>
    <t>共和政期ローマ軍内の医療従事者について</t>
  </si>
  <si>
    <t>小林雅夫</t>
  </si>
  <si>
    <t>1984年(昭和59)</t>
  </si>
  <si>
    <t>第30巻第1号</t>
  </si>
  <si>
    <t>川崎市蟹ヶ谷にある幕府医官人見氏の塋域</t>
  </si>
  <si>
    <t>014-40頁</t>
  </si>
  <si>
    <t>愛生館の機構について（１）</t>
  </si>
  <si>
    <t>沼倉延幸</t>
  </si>
  <si>
    <t>『東谷御林人参一巻』と松平君山</t>
  </si>
  <si>
    <t>050-55頁</t>
  </si>
  <si>
    <t>フランス人解剖学者オヅー作のキュンストレーキについて</t>
  </si>
  <si>
    <t>石田純郎/ベレム・ヨッブ・ムルダー/ハルム・ボイケルス</t>
  </si>
  <si>
    <t>056-61頁</t>
  </si>
  <si>
    <t>牛痘種痘法奨励の版画について</t>
  </si>
  <si>
    <t>062-84頁</t>
  </si>
  <si>
    <t>ライデン民族博物館所蔵 桂川甫賢『人面瘡図説』について</t>
  </si>
  <si>
    <t>085-89頁</t>
  </si>
  <si>
    <t>津軽の阿片に関する新知見</t>
  </si>
  <si>
    <t>090-93頁</t>
  </si>
  <si>
    <t>オランダで採訪の二、三の史料について(抄）</t>
  </si>
  <si>
    <t>緒方家本「和蘭詞解略説」について(抄)</t>
  </si>
  <si>
    <t>097-98頁</t>
  </si>
  <si>
    <t>跡見玄山と適塾(抄)</t>
  </si>
  <si>
    <t>田崎哲郎</t>
  </si>
  <si>
    <t>098-99頁</t>
  </si>
  <si>
    <t>日本のインターン制度(抄)</t>
  </si>
  <si>
    <t>山本俊一</t>
  </si>
  <si>
    <t>Ｊunji MACHI</t>
  </si>
  <si>
    <t>118-108頁</t>
  </si>
  <si>
    <t>吉田長淑とその学統（抄）</t>
  </si>
  <si>
    <t>第30巻第2号</t>
  </si>
  <si>
    <t>119-121頁</t>
  </si>
  <si>
    <t>Ｅ・ベルツの「憑依とその類似状態について」（抄）</t>
  </si>
  <si>
    <t>122-129頁</t>
  </si>
  <si>
    <t>いわゆるターヘル・アナトミアの脚注について（抄）</t>
  </si>
  <si>
    <t>佐賀藩の『医師免札姓名録』について―（その二）―(抄)</t>
  </si>
  <si>
    <t>幕末における医学研修(抄)</t>
  </si>
  <si>
    <t>139-141頁</t>
  </si>
  <si>
    <t>村上田長について(抄)</t>
  </si>
  <si>
    <t>142-144頁</t>
  </si>
  <si>
    <t>本邦に全身麻酔を伝えた高嶺徳明の事蹟(抄)</t>
  </si>
  <si>
    <t>144-146頁</t>
  </si>
  <si>
    <t>山脇東洋およびその一門の解剖の地(抄)</t>
  </si>
  <si>
    <t>『解屍編』刊行以前の河口信任の解剖(抄)</t>
  </si>
  <si>
    <t>伏屋素狄の『実験記録ノート』について(抄)</t>
  </si>
  <si>
    <t>三宅宏司</t>
  </si>
  <si>
    <t>金沢における明治中期の剖検記録―第四高等中学校医学部―(抄)</t>
  </si>
  <si>
    <t>151-153頁</t>
  </si>
  <si>
    <t>一八六二年（文久二年）麻疹の大流行と長州藩(抄)</t>
  </si>
  <si>
    <t>153-155頁</t>
  </si>
  <si>
    <t>くすりの歴史―その使用価値の考察―(抄)</t>
  </si>
  <si>
    <t>カスガイ膏の伝承について―アンブロアズ・パレとわが国の外科―(抄)</t>
  </si>
  <si>
    <t>日葡辞書から見た安土桃山時代の医学―（四）生理並びに病理現象(抄)</t>
  </si>
  <si>
    <t>亀節子</t>
  </si>
  <si>
    <t>中条帯刀と中条流産科(抄)</t>
  </si>
  <si>
    <t>ボードインの持帰った日本の美術品六〇〇点と日本の写真（一八六二～七〇）一三〇枚(抄)</t>
  </si>
  <si>
    <t>石田純郎/Ｈ・ボイケルス/Ｈ・Ｅ・ヘンケス</t>
  </si>
  <si>
    <t>宮城県蔵王町平沢「だるま堂」について(抄)</t>
  </si>
  <si>
    <t>166頁</t>
  </si>
  <si>
    <t>歯の名称について(抄)</t>
  </si>
  <si>
    <t>ドイツ医学採用（明治三年）前後の別な事情（三）(抄)</t>
  </si>
  <si>
    <t>私立医学校済生学舎のこと(抄)</t>
  </si>
  <si>
    <t>神谷昭典</t>
  </si>
  <si>
    <t>明治時代の公立医学校廃止の顛末（その三）(抄)</t>
  </si>
  <si>
    <t>173-175頁</t>
  </si>
  <si>
    <t>昭和十年改正の算術教育変更方針とその後の初等・中等・数学・理科教育の改革ならびに大学・理科教育改正との関連性について(抄)</t>
  </si>
  <si>
    <t>日本産業の黄燐中毒(抄)</t>
  </si>
  <si>
    <t>佐久間貞一の「八時間労働」(抄)</t>
  </si>
  <si>
    <t>初期の植民地医療における現役軍医の役割―殊に台湾、韓国において―（抄)</t>
  </si>
  <si>
    <t>救急法に関する二、三の成書(抄)</t>
  </si>
  <si>
    <t>新島襄とドイツ(抄)</t>
  </si>
  <si>
    <t>日本医学放射線技術史における梅谷友吉小伝(抄)</t>
  </si>
  <si>
    <t>Liesegang の組織学への貢献(抄)</t>
  </si>
  <si>
    <t>中村三雄</t>
  </si>
  <si>
    <t>藤野厳九郎の学歴(抄)</t>
  </si>
  <si>
    <t>愛知医学校卒業生藤野厳九郎と教科書(抄)</t>
  </si>
  <si>
    <t>近代日本における診療録の歴史(抄)</t>
  </si>
  <si>
    <t>193-195頁</t>
  </si>
  <si>
    <t>江戸医学館の考試弁書『癩癇狂弁』について―当時の精神病学説をみる―(抄)</t>
  </si>
  <si>
    <t>近世、因伯における狐つき、狐持ちの俗信(抄)</t>
  </si>
  <si>
    <t>Acedia　―メランコリーの中性版(抄)</t>
  </si>
  <si>
    <t>資料を通して見た平安時代の医学の社会的側面について(抄)</t>
  </si>
  <si>
    <t>MACE・美枝子</t>
  </si>
  <si>
    <t>『多聞日記』に現われる伝染病の検討(抄)</t>
  </si>
  <si>
    <t>中村昭</t>
  </si>
  <si>
    <t>縄文土器・土偶の産科学的考察(抄)</t>
  </si>
  <si>
    <t>江戸期の子育ての書に現われた乳幼児発達観(抄)</t>
  </si>
  <si>
    <t>小嶋秀夫</t>
  </si>
  <si>
    <t>石坂宗哲の医学について(抄)</t>
  </si>
  <si>
    <t>石原武</t>
  </si>
  <si>
    <t>『医心方』に見える鑑真方について(抄)</t>
  </si>
  <si>
    <t>『医心方』の伝写について（Ⅳ）―愛知県下にある『医心方』写本(抄)</t>
  </si>
  <si>
    <t>中国医学と道教（Ⅳ　善書について）(抄)</t>
  </si>
  <si>
    <t>『外台秘要方』による古医籍輯佚の検討(抄)</t>
  </si>
  <si>
    <t>『金匱要略』の古版本二種についての新知見(抄)</t>
  </si>
  <si>
    <t>真柳誠、小曽戸洋</t>
  </si>
  <si>
    <t>中国伝統医学習得学生の漢語素養について（最終報）(抄)</t>
  </si>
  <si>
    <t>224-226頁</t>
  </si>
  <si>
    <t>素問霊枢に於ける気の研究(抄)</t>
  </si>
  <si>
    <t>228-230頁</t>
  </si>
  <si>
    <t>安土桃山時代に於ける吉田家と曲直瀬家の関係について(抄)</t>
  </si>
  <si>
    <t>231-233頁</t>
  </si>
  <si>
    <t>名古屋玄医の医学思想と『医方問余』について(抄)</t>
  </si>
  <si>
    <t>233-235頁</t>
  </si>
  <si>
    <t>内藤希哲の医説(抄)</t>
  </si>
  <si>
    <t>235-237頁</t>
  </si>
  <si>
    <t>津田玄仙の理想とする漢方医学教育(抄)</t>
  </si>
  <si>
    <t>平馬直樹</t>
  </si>
  <si>
    <t>238-240頁</t>
  </si>
  <si>
    <t>水野皓山と山本読書室(抄)</t>
  </si>
  <si>
    <t>江戸時代後期の小児科学(抄)</t>
  </si>
  <si>
    <t>242-244頁</t>
  </si>
  <si>
    <t>小川鼎三理事長の死を悼む</t>
  </si>
  <si>
    <t>第30巻第3号</t>
  </si>
  <si>
    <t>249-252頁</t>
  </si>
  <si>
    <t>253-267頁</t>
  </si>
  <si>
    <t>日本に牛痘苗の活着したことを報じたJavasche Courant（一八五〇年一月五日付）の記事について</t>
  </si>
  <si>
    <t>258-276頁</t>
  </si>
  <si>
    <t>肉食および菜食と仏教とのかかわりあい―日本とインドとの比較―</t>
  </si>
  <si>
    <t>277-291頁</t>
  </si>
  <si>
    <t>愛生館の機構について（二）</t>
  </si>
  <si>
    <t>292-307頁</t>
  </si>
  <si>
    <t>「オシャラク」狂犬病説に対する疑義</t>
  </si>
  <si>
    <t>308-315頁</t>
  </si>
  <si>
    <t>明治初期の長崎の英字新聞記事に見る在日外国人医師名</t>
  </si>
  <si>
    <t>前野良沢と杉田玄白(抄)</t>
  </si>
  <si>
    <t>319-322頁</t>
  </si>
  <si>
    <t>蘭医ポンペと日本(抄)</t>
  </si>
  <si>
    <t>宮永孝</t>
  </si>
  <si>
    <t>323-324頁</t>
  </si>
  <si>
    <t>324-325頁</t>
  </si>
  <si>
    <t>日本医史学会関西支部春季大会案内</t>
  </si>
  <si>
    <t>326-327頁</t>
  </si>
  <si>
    <t>日本医史学会広島地方部会総会</t>
  </si>
  <si>
    <t>日本医史学会新潟支部例会（第七回）</t>
  </si>
  <si>
    <t>大滝紀雄著『かながわの医療史探訪』</t>
  </si>
  <si>
    <t>328-329頁</t>
  </si>
  <si>
    <t>故小川鼎三先生葬儀告別式記事</t>
  </si>
  <si>
    <t>331-344頁</t>
  </si>
  <si>
    <t>追悼 阿知波五郎先生</t>
  </si>
  <si>
    <t>345頁</t>
  </si>
  <si>
    <t>堀江健也先生を偲んで</t>
  </si>
  <si>
    <t>346頁</t>
  </si>
  <si>
    <t>An English translation of the Latin preface of Bunner's ‘Experimenta nova circa pancreas' (1683)</t>
  </si>
  <si>
    <t>Rikuo NINOMIYA</t>
  </si>
  <si>
    <t>360-351頁</t>
  </si>
  <si>
    <t>第30巻第4号</t>
  </si>
  <si>
    <t>319頁</t>
  </si>
  <si>
    <t>361-373頁</t>
  </si>
  <si>
    <t>望月三英と蘭方・和方</t>
  </si>
  <si>
    <t>石田秀実</t>
  </si>
  <si>
    <t>374-389頁</t>
  </si>
  <si>
    <t>藤野厳九郎の学歴とその時代背景</t>
  </si>
  <si>
    <t>390-402頁</t>
  </si>
  <si>
    <t>渋江抽斎と津軽一粒金丹</t>
  </si>
  <si>
    <t>403-412頁</t>
  </si>
  <si>
    <t>オランダ医官・ポンペが我が国にもたらした頭蓋骨の由来に関する調査</t>
  </si>
  <si>
    <t>神谷敏郎、金沢英作</t>
  </si>
  <si>
    <t>413-424頁</t>
  </si>
  <si>
    <t>司馬江漢の西遊をめぐって</t>
  </si>
  <si>
    <t>425-431頁</t>
  </si>
  <si>
    <t>ポンペが日本で採集した動物標本について</t>
  </si>
  <si>
    <t>金沢英作、神谷敏郎</t>
  </si>
  <si>
    <t>432-442頁</t>
  </si>
  <si>
    <t>ポンペの動物標本に関する書簡について</t>
  </si>
  <si>
    <t>443-449頁</t>
  </si>
  <si>
    <t>薬の歴史―その使用価値の考察―</t>
  </si>
  <si>
    <t>450-455頁</t>
  </si>
  <si>
    <t>456-467頁</t>
  </si>
  <si>
    <t>医史学関係文献目録</t>
  </si>
  <si>
    <t>468-492頁</t>
  </si>
  <si>
    <t>コレラ病因論争―コッホとペッテンコーフェル(抄)</t>
  </si>
  <si>
    <t>493-494頁</t>
  </si>
  <si>
    <t>493頁</t>
  </si>
  <si>
    <t>日本耳鼻咽喉科学会編『日本耳鼻咽喉科史』</t>
  </si>
  <si>
    <t>494頁</t>
  </si>
  <si>
    <t>『江馬家来簡集』江馬文書研究会編、思文閣出版</t>
  </si>
  <si>
    <t>495頁</t>
  </si>
  <si>
    <t>飯沼慾斎生誕二百年記念行事</t>
  </si>
  <si>
    <t>496頁</t>
  </si>
  <si>
    <t>野間科学医学研究資料館について</t>
  </si>
  <si>
    <t>第一八回労働衛生史研究会プログラム</t>
  </si>
  <si>
    <t>第八六回日本医史学会総会ご案内</t>
  </si>
  <si>
    <t>499頁</t>
  </si>
  <si>
    <t>追悼論文</t>
  </si>
  <si>
    <t>馬王堆帛書『五十二病方』中の湯と膏の調整に用いられた操作</t>
  </si>
  <si>
    <t>1985年(昭和60)</t>
  </si>
  <si>
    <t>第31巻第1号</t>
  </si>
  <si>
    <t>道興治疾方</t>
  </si>
  <si>
    <t>016-24頁</t>
  </si>
  <si>
    <t>淡輪本解剖図巻について</t>
  </si>
  <si>
    <t>025-38頁</t>
  </si>
  <si>
    <t>我国最初のリウマチ学単行書『僂麻窒斯新論』の訳編者 八杉利雄（一八四七～一八八三）と原著者フリント（一八一二～一八八六）</t>
  </si>
  <si>
    <t>『老婆心書』の著者羽佐間宗玄と杉本仲温良</t>
  </si>
  <si>
    <t>051-71頁</t>
  </si>
  <si>
    <t>『天王寺屋会記』に登場する医師について</t>
  </si>
  <si>
    <t>072-81頁</t>
  </si>
  <si>
    <t>アンブロアズ・パレ全集 フランス語版からの和訳</t>
  </si>
  <si>
    <t>082-92頁</t>
  </si>
  <si>
    <t>戦前の日本における精神科病院・精神科病床の発達</t>
  </si>
  <si>
    <t>093-107頁</t>
  </si>
  <si>
    <t>総合健診淵源史（上）―ロンドン・カリフォルニア・東京―</t>
  </si>
  <si>
    <t>108-122頁</t>
  </si>
  <si>
    <t>三浦梅園の手紙（上）―麻田剛立宛―</t>
  </si>
  <si>
    <t>123-128頁</t>
  </si>
  <si>
    <t>小川鼎三先生を偲んで</t>
  </si>
  <si>
    <t>131-138頁</t>
  </si>
  <si>
    <t>小川鼎三博士を悼む</t>
  </si>
  <si>
    <t>138-141頁</t>
  </si>
  <si>
    <t>小川鼎三先生とキューバの勲章</t>
  </si>
  <si>
    <t>追憶の小川鼎三先生</t>
  </si>
  <si>
    <t>143-154頁</t>
  </si>
  <si>
    <t>森納著『因伯くすり雑考』（一）（二）</t>
  </si>
  <si>
    <t>中田瑞穂著『癲癇二〇〇〇年』</t>
  </si>
  <si>
    <t>156-156頁</t>
  </si>
  <si>
    <t>西ドイツにおける医史学教育について（抄）</t>
  </si>
  <si>
    <t>第31巻第2号</t>
  </si>
  <si>
    <t>中国医史学の三十五年（抄）</t>
  </si>
  <si>
    <t>李経緯</t>
  </si>
  <si>
    <t>華佗の麻酔薬について（抄）</t>
  </si>
  <si>
    <t>170-173頁</t>
  </si>
  <si>
    <t>「医の倫理」といわゆるBioethics ―医学史的考察（抄）</t>
  </si>
  <si>
    <t>川喜田愛郎</t>
  </si>
  <si>
    <t>日本における「医の倫理」（抄）</t>
  </si>
  <si>
    <t>177-180頁</t>
  </si>
  <si>
    <t>「医の倫理」を考える（抄）</t>
  </si>
  <si>
    <t>品川信良</t>
  </si>
  <si>
    <t>181-183頁</t>
  </si>
  <si>
    <t>「医の倫理」ガイドラインの作成（抄）</t>
  </si>
  <si>
    <t>184-185頁</t>
  </si>
  <si>
    <t>「文政二年村上玄水解臓記」について(抄)</t>
  </si>
  <si>
    <t>クルムス著『解剖学表』一七四五の図について(抄)</t>
  </si>
  <si>
    <t>日本におけるオランダ人による四肢切断術(抄)</t>
  </si>
  <si>
    <t>ウトレヒト陸軍軍医学校の我国への影響(抄)</t>
  </si>
  <si>
    <t>吉田松陰と医学(抄)</t>
  </si>
  <si>
    <t>安藤昌益の精神医学(抄)</t>
  </si>
  <si>
    <t>江戸時代、東北地方鉱山の煙毒（塵肺）(抄)</t>
  </si>
  <si>
    <t>一八五八～一八六八年、箱館ロシア病院の医療活動をめぐって(抄)</t>
  </si>
  <si>
    <t>吉益東洞の死生観と医の倫理について(抄)</t>
  </si>
  <si>
    <t>204-206頁</t>
  </si>
  <si>
    <t>竹田薬師院家について(抄)</t>
  </si>
  <si>
    <t>207-208頁</t>
  </si>
  <si>
    <t>『解体新書』の訳語「意識」をめぐって―東西医学における「意識」概念変遷の一側面―(抄)</t>
  </si>
  <si>
    <t>浜中淑彦</t>
  </si>
  <si>
    <t>薬業史研究―大和売薬とその消長(抄)</t>
  </si>
  <si>
    <t>大槻彰、松下正巳</t>
  </si>
  <si>
    <t>顎関節脱臼の疾病史(抄)</t>
  </si>
  <si>
    <t>バラケルススにおける「自然の光」の概念(抄)</t>
  </si>
  <si>
    <t>外科医による外科史―マルゲーニュの場合―(抄)</t>
  </si>
  <si>
    <t>216-218頁</t>
  </si>
  <si>
    <t>パレ全集の骨折篇・脱臼篇でみるキリスト教思想(抄)</t>
  </si>
  <si>
    <t>我部正彦</t>
  </si>
  <si>
    <t>『ファブリカ』における歯の形態学の記述について(抄)</t>
  </si>
  <si>
    <t>扁鵲 其の一(抄)</t>
  </si>
  <si>
    <t>Ruggero Oddiと同括約筋の今日的意義(抄)</t>
  </si>
  <si>
    <t>小野慶一</t>
  </si>
  <si>
    <t>金・元時代における社会と医家の地位(抄)</t>
  </si>
  <si>
    <t>京阪古方と金元医学(抄)</t>
  </si>
  <si>
    <t>中国医学と道教（Ⅴ　現在のシャーマニズムの見地から）(抄)</t>
  </si>
  <si>
    <t>近世、因伯における堕胎、捨て子の悪習(抄)</t>
  </si>
  <si>
    <t>230-232頁</t>
  </si>
  <si>
    <t>三匝堂の信仰とリクリエイション(抄)</t>
  </si>
  <si>
    <t>『多聞院日記』に現われる皮膚疾患・化膿性疾患の検討(抄)</t>
  </si>
  <si>
    <t>江戸時代随筆集にみる狂気 第一報(抄)</t>
  </si>
  <si>
    <t>237頁</t>
  </si>
  <si>
    <t>太田正雄の愛知医大教授就任について(抄)</t>
  </si>
  <si>
    <t>芳名録（金沢医学専門学校）について(抄)</t>
  </si>
  <si>
    <t>明治期日本医学校の女医養成について(抄)</t>
  </si>
  <si>
    <t>横川弘蔵</t>
  </si>
  <si>
    <t>243-244頁</t>
  </si>
  <si>
    <t>医学校における栄養学教育の始まり（明治六年・大阪）(抄)</t>
  </si>
  <si>
    <t>中室嘉祐</t>
  </si>
  <si>
    <t>245-246頁</t>
  </si>
  <si>
    <t>浅井図南『扁倉伝割解』をめぐって(抄)</t>
  </si>
  <si>
    <t>荒木ひろし</t>
  </si>
  <si>
    <t>246-248頁</t>
  </si>
  <si>
    <t>『傷風約言』について(抄)</t>
  </si>
  <si>
    <t>249-251頁</t>
  </si>
  <si>
    <t>崔知悌『骨蒸病灸法』の伝承について―崔氏四花灸法の由来―(抄)</t>
  </si>
  <si>
    <t>『素問』水熱穴論の研究(抄)</t>
  </si>
  <si>
    <t>遠藤次郎</t>
  </si>
  <si>
    <t>『医心方』に引く『諸病源候論』の条文検討―その取捨選択方針初探(抄)</t>
  </si>
  <si>
    <t>平馬直樹、小曽戸洋</t>
  </si>
  <si>
    <t>『医心方』所引の『神農経』『神農食経』について(抄)</t>
  </si>
  <si>
    <t>真柳誠</t>
  </si>
  <si>
    <t>258-260頁</t>
  </si>
  <si>
    <t>『医心方』の伝写について（Ⅴ）錦小路家と樫田家(抄)</t>
  </si>
  <si>
    <t>『医心方』巻二・四の異本群について(抄)</t>
  </si>
  <si>
    <t>ビスコース人絹製造業における二硫化炭素中毒の対策と人脈(抄)</t>
  </si>
  <si>
    <t>乾修然、藤田幸子</t>
  </si>
  <si>
    <t>主として日本統治時代の韓国における救癩事業と周防正季博士(抄)</t>
  </si>
  <si>
    <t>267-269頁</t>
  </si>
  <si>
    <t>太平洋戦争末期の陸軍衛生事情（第一報　栄養及び体力の状況について）(抄)</t>
  </si>
  <si>
    <t>清水勝嘉、三宅雅史</t>
  </si>
  <si>
    <t>太平洋戦争末期の陸軍衛生事情（第二報　患者発生の状況について）(抄)</t>
  </si>
  <si>
    <t>永井潜と性教育(抄)</t>
  </si>
  <si>
    <t>藤野厳九郎記念館収蔵遺品について(抄)</t>
  </si>
  <si>
    <t>276-278頁</t>
  </si>
  <si>
    <t>森立之の維新後の著書について―『文章軌範講解』―(抄)</t>
  </si>
  <si>
    <t>279-281頁</t>
  </si>
  <si>
    <t>歩兵屯所の医師たち―『医学所御用留』から―(抄)</t>
  </si>
  <si>
    <t>医師マンローの業績(抄)</t>
  </si>
  <si>
    <t>ジェイムズ・ロビンソンと世界最初の麻酔科学の著書(抄)</t>
  </si>
  <si>
    <t>第一九回労働衛生史研究会プログラム</t>
  </si>
  <si>
    <t>日本医史学会新潟支部第8回総会</t>
  </si>
  <si>
    <t>Medical History Instruction in West Germany</t>
  </si>
  <si>
    <t>Eduard Seidler</t>
  </si>
  <si>
    <t>296-293頁</t>
  </si>
  <si>
    <t>日本医学のあゆみ(抄)</t>
  </si>
  <si>
    <t>第31巻第3号</t>
  </si>
  <si>
    <t>297-302頁</t>
  </si>
  <si>
    <t>江戸医学における『医心方』の影写と校刻事業の経緯(抄)</t>
  </si>
  <si>
    <t>303-316頁</t>
  </si>
  <si>
    <t>中国古代医学と医心方(抄)</t>
  </si>
  <si>
    <t>三迫初男</t>
  </si>
  <si>
    <t>317-325頁</t>
  </si>
  <si>
    <t>『医心方』中的古医学文献初探(抄)</t>
  </si>
  <si>
    <t>馬継興</t>
  </si>
  <si>
    <t>326-371頁</t>
  </si>
  <si>
    <t>歩兵屯所の医師たち―『医学所御用留』から―</t>
  </si>
  <si>
    <t>372-291頁</t>
  </si>
  <si>
    <t>津軽一粒金丹の研究（一）―浅越事件について―</t>
  </si>
  <si>
    <t>392-405頁</t>
  </si>
  <si>
    <t>総合健診淵源史（下）―ロンドン・カリフォルニア・東京―</t>
  </si>
  <si>
    <t>406-429頁</t>
  </si>
  <si>
    <t>430-440頁</t>
  </si>
  <si>
    <t>水戸の解体観臓碑について(抄)</t>
  </si>
  <si>
    <t>石島弘</t>
  </si>
  <si>
    <t>442-442頁</t>
  </si>
  <si>
    <t>越後屋と養生(抄)</t>
  </si>
  <si>
    <t>中西淳朗</t>
  </si>
  <si>
    <t>442-444頁</t>
  </si>
  <si>
    <t>『槙日記』について(抄)</t>
  </si>
  <si>
    <t>『エジンバラのバーク事件』―解剖用死体搬入の犯罪―(抄)</t>
  </si>
  <si>
    <t>447-448頁</t>
  </si>
  <si>
    <t>盧復が提唱した「足の三陰経は胸腹に脈なし」の説をめぐって(抄)</t>
  </si>
  <si>
    <t>第六回北陸医史学同好会総会・例会</t>
  </si>
  <si>
    <t>449頁</t>
  </si>
  <si>
    <t>第二十四回医学史研究会、日本医史学会関西支部（昭和五十九年秋季）合同総会</t>
  </si>
  <si>
    <t>450-451頁</t>
  </si>
  <si>
    <t>日本医史学会関西支部昭和六十年春季大会　中野操先生米寿記念の会</t>
  </si>
  <si>
    <t>451-452頁</t>
  </si>
  <si>
    <t>第二十回労働衛生史研究会プログラム</t>
  </si>
  <si>
    <t>452頁</t>
  </si>
  <si>
    <t>日野原重明、仁木久恵訳『平静の心－オスラー博士講演集』</t>
  </si>
  <si>
    <t>453-454頁</t>
  </si>
  <si>
    <t>454-455頁</t>
  </si>
  <si>
    <t>桑原千代子著『わがマンロー伝－ある英人医師・アイヌ研究家の生涯』</t>
  </si>
  <si>
    <t>渡辺左武郎</t>
  </si>
  <si>
    <t>455-456頁</t>
  </si>
  <si>
    <t>飯沼慾斎生誕二百年記念誌編集委員会編『飯沼慾斎』</t>
  </si>
  <si>
    <t>佐藤達策</t>
  </si>
  <si>
    <t>456-457頁</t>
  </si>
  <si>
    <t>新村拓著『日本医療社会史の研究－古代中世の民衆生活と医療』</t>
  </si>
  <si>
    <t>457-458頁</t>
  </si>
  <si>
    <t>高嶺徳明の事蹟について―とくに手術に用いた「薬」の本態について―</t>
  </si>
  <si>
    <t>第31巻第4号</t>
  </si>
  <si>
    <t>463-489頁</t>
  </si>
  <si>
    <t>歩兵屯所医師取締手塚良斎政富</t>
  </si>
  <si>
    <t>490-502頁</t>
  </si>
  <si>
    <t>ウィリアム・スメリーの遺跡と人物像</t>
  </si>
  <si>
    <t>503-519頁</t>
  </si>
  <si>
    <t>新出の『医心方』古写零本巻二十七―現存した国宝仁和寺本の僚本―</t>
  </si>
  <si>
    <t>520-528頁</t>
  </si>
  <si>
    <t>「法医学」なる語はいつ頃から使われたか</t>
  </si>
  <si>
    <t>529-534頁</t>
  </si>
  <si>
    <t>三浦梅園の手紙（下）―麻田剛立宛―</t>
  </si>
  <si>
    <t>535-544頁</t>
  </si>
  <si>
    <t>医史学関係文献目録(1984年）</t>
  </si>
  <si>
    <t>545-576頁</t>
  </si>
  <si>
    <t>久志本常孝</t>
  </si>
  <si>
    <t>577-580頁</t>
  </si>
  <si>
    <t>577頁</t>
  </si>
  <si>
    <t>横川弘</t>
  </si>
  <si>
    <t>580-583頁</t>
  </si>
  <si>
    <t>第7回北陸医史学同好会</t>
  </si>
  <si>
    <t>583-584頁</t>
  </si>
  <si>
    <t>『小品方』序説―現存した古巻子本</t>
  </si>
  <si>
    <t>1986年(昭和61)</t>
  </si>
  <si>
    <t>第32巻第1号</t>
  </si>
  <si>
    <t>わが国の『脚気菌』研究の系譜</t>
  </si>
  <si>
    <t>松村康弘、丸井英二</t>
  </si>
  <si>
    <t>026-42頁</t>
  </si>
  <si>
    <t>日清戦争における野戦病院について</t>
  </si>
  <si>
    <t>043-49頁</t>
  </si>
  <si>
    <t>池田謙斎伝補遺</t>
  </si>
  <si>
    <t>050-67頁</t>
  </si>
  <si>
    <t>中国医史学の三十五年（一九四九～一九八四）</t>
  </si>
  <si>
    <t>068-88頁</t>
  </si>
  <si>
    <t>『医心方』引用文献名索引（一）</t>
  </si>
  <si>
    <t>089-118頁</t>
  </si>
  <si>
    <t>第二十五回医学史研究会、日本医史学会関西支部（昭和六十年秋季）合同総会</t>
  </si>
  <si>
    <t>昭和六十年度日本医史学会新潟支部総会</t>
  </si>
  <si>
    <t>121頁</t>
  </si>
  <si>
    <t>第二十一回労働衛生史研究会プログラム</t>
  </si>
  <si>
    <t>第八十七回日本医史学会総会ご案内</t>
  </si>
  <si>
    <t>122頁</t>
  </si>
  <si>
    <t>The Present Status of Medical History in Medical Education in Germany</t>
  </si>
  <si>
    <t>Eduard SEIDLER</t>
  </si>
  <si>
    <t>144-128頁</t>
  </si>
  <si>
    <t>呉秀三先生にまなぶもの―精神病者慈善救治会のこと、ほか（特別講演）(抄)</t>
  </si>
  <si>
    <t>第32巻第2号</t>
  </si>
  <si>
    <t>145-153頁</t>
  </si>
  <si>
    <t>富士川游と広島（特別講演）(抄)</t>
  </si>
  <si>
    <t>154-157頁</t>
  </si>
  <si>
    <t>イタリア・パビア大学の解剖医たち（スカルパ、コルチ、ゴルジ）（会長講演）(抄)</t>
  </si>
  <si>
    <t>原田康夫</t>
  </si>
  <si>
    <t>ケイ－シャトルワースの『マンチェスターの木綿工業で働く労働階級の道徳的、身体的状態』（一八三二) について(抄)</t>
  </si>
  <si>
    <t>遠藤幸孝</t>
  </si>
  <si>
    <t>伊藤鳳山の医説をめぐって(抄)</t>
  </si>
  <si>
    <t>163-165頁</t>
  </si>
  <si>
    <t>富士川游博士の思い出(抄)</t>
  </si>
  <si>
    <t>本邦ハンセン病史における後藤昌文・昌直先生父子の業績(抄)</t>
  </si>
  <si>
    <t>中井厚沢と土生玄碩(抄)</t>
  </si>
  <si>
    <t>池田謙斎伝補遺（抄）</t>
  </si>
  <si>
    <t>175-176頁</t>
  </si>
  <si>
    <t>Ｅ・ベルツの病理学総論講義について(抄)</t>
  </si>
  <si>
    <t>Remmelinの解剖書とその訳書について(抄)</t>
  </si>
  <si>
    <t>179頁</t>
  </si>
  <si>
    <t>ボードイン書簡について（第１報）(抄)</t>
  </si>
  <si>
    <t>石田純郎、Ｈ・ボイケルス</t>
  </si>
  <si>
    <t>医師トーマスＢ・ダンの経歴(抄)</t>
  </si>
  <si>
    <t>『多聞院日記』に現われる風病の検討(抄)</t>
  </si>
  <si>
    <t>ロールシャッハ・テストの起源とスイス精神医学史(抄)</t>
  </si>
  <si>
    <t>小俣和一郎</t>
  </si>
  <si>
    <t>蒲原宏、清水陽人</t>
  </si>
  <si>
    <t>『医心方』の伝写（Ⅵ）巻廿二について(抄)</t>
  </si>
  <si>
    <t>『医心方』にみられる月経異常の治療(抄)</t>
  </si>
  <si>
    <t>『医心方』における口腔疾患の分類と文献引用について(抄)</t>
  </si>
  <si>
    <t>『小品方』の処方について(抄)</t>
  </si>
  <si>
    <t>広田曄子</t>
  </si>
  <si>
    <t>書籍目録に見られる一七世紀後半の流通医書(抄)</t>
  </si>
  <si>
    <t>197-199頁</t>
  </si>
  <si>
    <t>口蓋裂を人工蓋で閉塞する方法の史的研究(抄)</t>
  </si>
  <si>
    <t>一〇〇年目の女医の卵たち(抄)</t>
  </si>
  <si>
    <t>金沢医学館の図面について(抄)</t>
  </si>
  <si>
    <t>伊勢原市域医療史の若干の問題点―『神奈川県伊勢原市の医療史』（仮題）の調査と執筆をおえて―(抄)</t>
  </si>
  <si>
    <t>第二次世界大戦末期のルソン島における日本陸軍の衛生状況と米軍の人道的行為(抄)</t>
  </si>
  <si>
    <t>208-209頁</t>
  </si>
  <si>
    <t>陸軍戸山学校について(抄)</t>
  </si>
  <si>
    <t>日本衛生学会の沿革（１）(抄)</t>
  </si>
  <si>
    <t>212頁</t>
  </si>
  <si>
    <t>内務省衛生局雑誌の内容(抄)</t>
  </si>
  <si>
    <t>明治時代初期に於ける公立医学校の廃止(抄)</t>
  </si>
  <si>
    <t>明治初年の医師制度(抄)</t>
  </si>
  <si>
    <t>生野鉱山の塵肺の歴史―一八〇〇年代から一九八〇年代まで―(抄)</t>
  </si>
  <si>
    <t>中国医学と道教（Ⅵ　医神）(抄)</t>
  </si>
  <si>
    <t>宋代気功の成就(抄)</t>
  </si>
  <si>
    <t>郎需才</t>
  </si>
  <si>
    <t>224-227頁</t>
  </si>
  <si>
    <t>中国医事制度史における按摩について―隋・唐時代を中心として―(抄)</t>
  </si>
  <si>
    <t>228-228頁</t>
  </si>
  <si>
    <t>扁鵲の画像について(抄)</t>
  </si>
  <si>
    <t>扁鵲 其の二(抄)</t>
  </si>
  <si>
    <t>尊経閣文庫所蔵の『黄帝内経明堂』最善古鈔本―判明した巻首の欠字―(抄)</t>
  </si>
  <si>
    <t>236-238頁</t>
  </si>
  <si>
    <t>『図経本草』所引の「張仲景医書」について(抄)</t>
  </si>
  <si>
    <t>日本における病院給食の始まり（明治六年・大阪）(抄)</t>
  </si>
  <si>
    <t>梅園医学論の立場(抄)</t>
  </si>
  <si>
    <t>深根輔仁『掌中要方』について―尊経閣文庫所蔵の古文書中に残る逸文―（抄)</t>
  </si>
  <si>
    <t>石原武、小曽戸洋</t>
  </si>
  <si>
    <t>呉家の本家筋、豊田家の医師たち(抄)</t>
  </si>
  <si>
    <t>豊田裕治、豊田秀三、石田純郎</t>
  </si>
  <si>
    <t>『呉氏本草』について(抄)</t>
  </si>
  <si>
    <t>日本医史学会と芸備医学会創立に貢献した医人達(抄)</t>
  </si>
  <si>
    <t>252-253頁</t>
  </si>
  <si>
    <t>河内金剛寺新出の鎌倉時代書写『医心方』巻第十三について</t>
  </si>
  <si>
    <t>東野治之</t>
  </si>
  <si>
    <t>第32巻第3号</t>
  </si>
  <si>
    <t>259-267頁</t>
  </si>
  <si>
    <t>流布本『大同類聚方』における麻疹と痘瘡</t>
  </si>
  <si>
    <t>268-280頁</t>
  </si>
  <si>
    <t>津軽一粒金丹の研究（二）</t>
  </si>
  <si>
    <t>281-290頁</t>
  </si>
  <si>
    <t>291-302頁</t>
  </si>
  <si>
    <t>箱館ロシア病院の医師に関する知見補遺</t>
  </si>
  <si>
    <t>303-308頁</t>
  </si>
  <si>
    <t>原老柳門譜</t>
  </si>
  <si>
    <t>309-313頁</t>
  </si>
  <si>
    <t>適塾に関する新史料について（一）</t>
  </si>
  <si>
    <t>314-332頁</t>
  </si>
  <si>
    <t>『医心方』引用文献名索引（二）</t>
  </si>
  <si>
    <t>333-352頁</t>
  </si>
  <si>
    <t>353頁</t>
  </si>
  <si>
    <t>東大医学部紛争史(抄)</t>
  </si>
  <si>
    <t>354-357頁</t>
  </si>
  <si>
    <t>ライシャワ事件・精神衛生法改正をかえりみて(抄)</t>
  </si>
  <si>
    <t>酒井シヅ、深瀬泰旦</t>
  </si>
  <si>
    <t>361-362頁</t>
  </si>
  <si>
    <t>ビクトリア女王と欧州諸王家の血友病(抄)</t>
  </si>
  <si>
    <t>363-364頁</t>
  </si>
  <si>
    <t>日本医史学会関西支部昭和六一年春季大会</t>
  </si>
  <si>
    <t>鈴木明子著『日本における作業療法教育の歴史』</t>
  </si>
  <si>
    <t>青木一郎氏をしのぶ</t>
  </si>
  <si>
    <t>367頁</t>
  </si>
  <si>
    <t>追悼 中野操先生</t>
  </si>
  <si>
    <t>368-369頁</t>
  </si>
  <si>
    <t>追悼　三井駿一先生</t>
  </si>
  <si>
    <t>369-370頁</t>
  </si>
  <si>
    <t>第八十八回日本医史学会総会ご案内</t>
  </si>
  <si>
    <t>370頁</t>
  </si>
  <si>
    <t>384-378頁</t>
  </si>
  <si>
    <t>精神病者慈善救治会のこと―呉秀三先生伝記補遺（その一）―</t>
  </si>
  <si>
    <t>第32巻第4号</t>
  </si>
  <si>
    <t>385-422頁</t>
  </si>
  <si>
    <t>予防衛生研究所の創設と伝染病研究所の改組</t>
  </si>
  <si>
    <t>小高健</t>
  </si>
  <si>
    <t>423-468頁</t>
  </si>
  <si>
    <t>藩主津軽氏一族の死亡年月日について</t>
  </si>
  <si>
    <t>469-480頁</t>
  </si>
  <si>
    <t>広場</t>
  </si>
  <si>
    <t>戦争と医師―広島を回顧して</t>
  </si>
  <si>
    <t>481-502頁</t>
  </si>
  <si>
    <t>医史学関係文献目録（1985年）</t>
  </si>
  <si>
    <t>503-550頁</t>
  </si>
  <si>
    <t>秦佐八郎の生涯と業蹟（特別講演）(抄)</t>
  </si>
  <si>
    <t>秦藤樹</t>
  </si>
  <si>
    <t>1987年(昭和62)</t>
  </si>
  <si>
    <t>第33巻第1号</t>
  </si>
  <si>
    <t>001-03頁</t>
  </si>
  <si>
    <t>ロマン派精神医学の一側面―ユスティヌス・ケルナー生誕二○○年にちなんで（特別講演）―(抄)</t>
  </si>
  <si>
    <t>004-08頁</t>
  </si>
  <si>
    <t>隋唐の医書にみる精神病とその治療（会長講演）(抄)</t>
  </si>
  <si>
    <t>009-15頁</t>
  </si>
  <si>
    <t>日本における初期の耳科書四種(抄)</t>
  </si>
  <si>
    <t>018-20頁</t>
  </si>
  <si>
    <t>馬王堆出土『陰陽脈死候』の研究(抄)</t>
  </si>
  <si>
    <t>020-22頁</t>
  </si>
  <si>
    <t>中国医学と道教（Ⅶ　黄庭経と身神）(抄)</t>
  </si>
  <si>
    <t>『本草和名』所引の古医学文献(抄)</t>
  </si>
  <si>
    <t>025-27頁</t>
  </si>
  <si>
    <t>『医心方』における風歯・齲歯・牙歯痛に関する考察(抄)</t>
  </si>
  <si>
    <t>028-30頁</t>
  </si>
  <si>
    <t>『医心方』の伝写について（Ⅶ）(抄)</t>
  </si>
  <si>
    <t>『福田方』組成文献の解析(抄)</t>
  </si>
  <si>
    <t>031-33頁</t>
  </si>
  <si>
    <t>多聞院日記に現れる消化器疾患の検討(抄)</t>
  </si>
  <si>
    <t>034-36頁</t>
  </si>
  <si>
    <t>新確認の慶長古活字版『黄帝秘要良方』(抄)</t>
  </si>
  <si>
    <t>白石尚基、原中瑠璃子、小曽戸洋</t>
  </si>
  <si>
    <t>036-38頁</t>
  </si>
  <si>
    <t>書籍目録に見られる江戸中期の流通医書(抄)</t>
  </si>
  <si>
    <t>039-41頁</t>
  </si>
  <si>
    <t>『保嬰三方』について(抄)</t>
  </si>
  <si>
    <t>041-43頁</t>
  </si>
  <si>
    <t>黄会友の「神仙秘法」について―高嶺徳明、伊佐敷道与の秘術に関連して―(抄)</t>
  </si>
  <si>
    <t>赤穂義士を支援した元赤穂藩医・寺井玄渓(抄)</t>
  </si>
  <si>
    <t>木下勤</t>
  </si>
  <si>
    <t>045-47頁</t>
  </si>
  <si>
    <t>昌益医学論の位置と「四行論」について(抄)</t>
  </si>
  <si>
    <t>048-50頁</t>
  </si>
  <si>
    <t>荻生徂徠が芳村夭仙へ送った書簡について(抄)</t>
  </si>
  <si>
    <t>050-52頁</t>
  </si>
  <si>
    <t>『医事撥乱解』について(抄)</t>
  </si>
  <si>
    <t>和田耕作</t>
  </si>
  <si>
    <t>「三伯稲荷神社」について(抄)</t>
  </si>
  <si>
    <t>名古屋藩における薬用人参の栽培について(抄)</t>
  </si>
  <si>
    <t>056-58頁</t>
  </si>
  <si>
    <t>ヒポクラテスの木と体験学習(抄)</t>
  </si>
  <si>
    <t>058-60頁</t>
  </si>
  <si>
    <t>パリのヴァル・ド・グラスの医人達(抄)</t>
  </si>
  <si>
    <t>医師トーマス・Ｂ・ダンの経歴　第二報(抄)</t>
  </si>
  <si>
    <t>063-65頁</t>
  </si>
  <si>
    <t>ドイツ第三帝国下における精神分析学の動向について(抄)</t>
  </si>
  <si>
    <t>砒素中毒の歴史(抄)</t>
  </si>
  <si>
    <t>解剖学者河口信任の河口家家譜(抄)</t>
  </si>
  <si>
    <t>069-73頁</t>
  </si>
  <si>
    <t>073-76頁</t>
  </si>
  <si>
    <t>下野国壬生・鳥居藩における解剖図について(抄)</t>
  </si>
  <si>
    <t>石崎達</t>
  </si>
  <si>
    <t>長崎浩斎著『蘭学解嘲』と小石元瑞について(抄)</t>
  </si>
  <si>
    <t>077-79頁</t>
  </si>
  <si>
    <t>本草家の西洋植物学への関心(抄)</t>
  </si>
  <si>
    <t>日本における精神病学用語の変遷(抄)</t>
  </si>
  <si>
    <t>神奈川県における梅毒病院の医師(抄)</t>
  </si>
  <si>
    <t>明治前半期欧州医学留学生について―東大初の医学留学生・新藤二郎氏を中心に―(抄)</t>
  </si>
  <si>
    <t>新実藤昭</t>
  </si>
  <si>
    <t>日本における病院内医薬分業の始まりは大阪府立病院から（明治六年）(抄)</t>
  </si>
  <si>
    <t>明治初期の翻訳育児書(抄)</t>
  </si>
  <si>
    <t>090-92頁</t>
  </si>
  <si>
    <t>Ｅ・ベルツの病理各論講義について(抄)</t>
  </si>
  <si>
    <t>093-95頁</t>
  </si>
  <si>
    <t>アムステルダム植民地博覧会（一八八三）医学部門に参加した日本とその展示品の日本四一病院見取図について(抄)</t>
  </si>
  <si>
    <t>工部省お雇英医パーセル（一八四一―七七）とその業績(抄)</t>
  </si>
  <si>
    <t>098-100頁</t>
  </si>
  <si>
    <t>日本における産科学的聴診法の導入(抄)</t>
  </si>
  <si>
    <t>後藤新平「命価説」の役割(抄)</t>
  </si>
  <si>
    <t>日野秀逸</t>
  </si>
  <si>
    <t>103-105頁</t>
  </si>
  <si>
    <t>医科・歯科器械カタログの変遷(抄)</t>
  </si>
  <si>
    <t>土肥慶蔵『日本皮膚病黴毒図譜』刊行の意義(抄)</t>
  </si>
  <si>
    <t>107-109頁</t>
  </si>
  <si>
    <t>日本医療団について(抄)</t>
  </si>
  <si>
    <t>多聞院日記に現われる精神神経疾患の追加(抄)</t>
  </si>
  <si>
    <t>112-113頁</t>
  </si>
  <si>
    <t>米医Ｄ・Ｂ・シモンズ―とくに十全病院（横浜）に於ける業績並びに福沢諭吉との関係について―</t>
  </si>
  <si>
    <t>荒井保男</t>
  </si>
  <si>
    <t>第33巻第2号</t>
  </si>
  <si>
    <t>121-171頁</t>
  </si>
  <si>
    <t>『明月記』における瘧疾の検討</t>
  </si>
  <si>
    <t>172-185頁</t>
  </si>
  <si>
    <t>アノイリナーゼ菌研究史補遺</t>
  </si>
  <si>
    <t>186-194頁</t>
  </si>
  <si>
    <t>カラホト出土マスペロ文書№四七八について―未宋改元刻『千金方』の存在―</t>
  </si>
  <si>
    <t>195-202頁</t>
  </si>
  <si>
    <t>津軽における最初の全身麻酔―藩医三上道隆の事績―</t>
  </si>
  <si>
    <t>203-217頁</t>
  </si>
  <si>
    <t>『五十二病方』中の「隋」の字に関する考察と解明</t>
  </si>
  <si>
    <t>218-222頁</t>
  </si>
  <si>
    <t>長崎浩斎と新発見の「蘭東事始」について</t>
  </si>
  <si>
    <t>223-234頁</t>
  </si>
  <si>
    <t>古代インドの医療と現代日本の医療(抄)</t>
  </si>
  <si>
    <t>236-236頁</t>
  </si>
  <si>
    <t>長崎浩斎と新発見の「蘭東事始」について(抄)</t>
  </si>
  <si>
    <t>237-237頁</t>
  </si>
  <si>
    <t>スワドリング（Swaddling）について(抄)</t>
  </si>
  <si>
    <t>大野晏且</t>
  </si>
  <si>
    <t>日本の小児科領域にみられるプラグマティズムについて(抄)</t>
  </si>
  <si>
    <t>藤原定家「明月記」における瘧疾(抄)</t>
  </si>
  <si>
    <t>241-242頁</t>
  </si>
  <si>
    <t>ハイステル外科書蘭訳本の扉絵(抄)</t>
  </si>
  <si>
    <t>天文方の蘭学事始(抄)</t>
  </si>
  <si>
    <t>長崎医学伝習の再検討(抄)</t>
  </si>
  <si>
    <t>第26回医学史研究会、日本医史学会関西支部（昭和61年秋季）合同総会</t>
  </si>
  <si>
    <t>日本医史学会広島支部総会ならびに研究発表会</t>
  </si>
  <si>
    <t>248-248頁</t>
  </si>
  <si>
    <t>三木栄編著『朝鮮医事年表』</t>
  </si>
  <si>
    <t>長木大三著『北里柴三郎』</t>
  </si>
  <si>
    <t>神谷敏郎</t>
  </si>
  <si>
    <t>矢数道明先生退職記念『東洋医学論集』</t>
  </si>
  <si>
    <t>長谷川弥人</t>
  </si>
  <si>
    <t>253-254頁</t>
  </si>
  <si>
    <t>奥富敬之著『神奈川県伊勢原市域医療史概観』</t>
  </si>
  <si>
    <t>医学博士　文学博士　矢数道明著『明治117年漢方医学の変遷と将来、漢方略史年表』</t>
  </si>
  <si>
    <t>256頁</t>
  </si>
  <si>
    <t>中村禎里編『遺伝学の歩みと現代生物学』</t>
  </si>
  <si>
    <t>257-258頁</t>
  </si>
  <si>
    <t>古川明著『切手が語る医学のあゆみ』</t>
  </si>
  <si>
    <t>大林敏郎</t>
  </si>
  <si>
    <t>五十嵐金三郎編著『浅田宗伯書簡集』</t>
  </si>
  <si>
    <t>佐藤昌介解題『洋学者稿本集』</t>
  </si>
  <si>
    <t>260頁</t>
  </si>
  <si>
    <t>シンガー・アンダーウッド著　酒井シヅ・深瀬泰旦訳『医学の歴史』</t>
  </si>
  <si>
    <t>クロフォード・Ｆ・サムズ著　竹前栄治編訳『ＤＤＴ革命』</t>
  </si>
  <si>
    <t>262-263頁</t>
  </si>
  <si>
    <t>原三正著『オランダ留学生－若き日の津田真道－』</t>
  </si>
  <si>
    <t>昼田源四郎著『疫病と狐憑き　近世庶民の医療事情』</t>
  </si>
  <si>
    <t>草野冴子・藤田覚校訂『田村藍水・西湖公用日記』</t>
  </si>
  <si>
    <t>添川正夫著『日本痘苗史序説』</t>
  </si>
  <si>
    <t>春日忠善著『日本のペスト流行史』</t>
  </si>
  <si>
    <t>伴忠康著『医学のあゆみ』</t>
  </si>
  <si>
    <t>吉冨兵衛著『和訓　万病回春』</t>
  </si>
  <si>
    <t>馬王堆漢墓帛書整理小組編『馬王堆漢墓帛書［肆］』</t>
  </si>
  <si>
    <t>秦佐八郎の生涯と業績</t>
  </si>
  <si>
    <t>第33巻第3号</t>
  </si>
  <si>
    <t>281-293頁</t>
  </si>
  <si>
    <t>コプリック斑のわが国への受容</t>
  </si>
  <si>
    <t>294-307頁</t>
  </si>
  <si>
    <t>中世の流行病「三日病」についての検討</t>
  </si>
  <si>
    <t>308-316頁</t>
  </si>
  <si>
    <t>明治初期東京大学医学部卒業生動静一覧（一）</t>
  </si>
  <si>
    <t>名古屋藩における薬用人参の栽培</t>
  </si>
  <si>
    <t>328-333頁</t>
  </si>
  <si>
    <t>現代医学の歴史的座標―その明日に向けて―</t>
  </si>
  <si>
    <t>334-353頁</t>
  </si>
  <si>
    <t>古代日本医家伝糾誤三題</t>
  </si>
  <si>
    <t>354-366頁</t>
  </si>
  <si>
    <t>生理学書出版（仮）年表―江戸から明治前期まで―</t>
  </si>
  <si>
    <t>367-380頁</t>
  </si>
  <si>
    <t>『本草和名』引用書名索引</t>
  </si>
  <si>
    <t>381-396頁</t>
  </si>
  <si>
    <t>金剛寺本『医心方』巻第十三（翻印）</t>
  </si>
  <si>
    <t>397-408頁</t>
  </si>
  <si>
    <t>409頁</t>
  </si>
  <si>
    <t>日本医史学会関西支部昭和六二年春季大会</t>
  </si>
  <si>
    <t>410頁</t>
  </si>
  <si>
    <t>阿知波五郎論文集『近代医史学論考』</t>
  </si>
  <si>
    <t>411頁</t>
  </si>
  <si>
    <t>立川昭二著『明治医事往来』</t>
  </si>
  <si>
    <t>412頁</t>
  </si>
  <si>
    <t>森納著『因伯厠考』</t>
  </si>
  <si>
    <t>413-414頁</t>
  </si>
  <si>
    <t>川田洋一著『仏教医学物語』（上）・（下）</t>
  </si>
  <si>
    <t>Ｓ生</t>
  </si>
  <si>
    <t>414-415頁</t>
  </si>
  <si>
    <t>山田慶児編『新発現中国　科学資料の研究』（訳注篇）・（論考篇）</t>
  </si>
  <si>
    <t>415-416頁</t>
  </si>
  <si>
    <t>大鳥蘭三郎著『医学書誌論考』</t>
  </si>
  <si>
    <t>416-417頁</t>
  </si>
  <si>
    <t>小曽戸丈夫著『意釈黄帝内経太素』第一巻～三巻</t>
  </si>
  <si>
    <t>417-418頁</t>
  </si>
  <si>
    <t>杉本つとむ著『解体新書の時代』</t>
  </si>
  <si>
    <t>418-419頁</t>
  </si>
  <si>
    <t>蒲原宏監修『整骨・整形外科典籍大系』全十三巻</t>
  </si>
  <si>
    <t>419-420頁</t>
  </si>
  <si>
    <t>イサベル・Ｒ・プレッセト著　中井久夫・桝矢好弘訳『野口英世』</t>
  </si>
  <si>
    <t>421-422頁</t>
  </si>
  <si>
    <t>加納喜光著『中国医学の誕生』</t>
  </si>
  <si>
    <t>吉岡郁夫著『日本人種論争の幕あけ―モースと大森貝塚―』</t>
  </si>
  <si>
    <t>422頁</t>
  </si>
  <si>
    <t>望月洋子著『ヘボンの生涯と日本語』</t>
  </si>
  <si>
    <t>丸山敏秋著『鍼灸古典入門』</t>
  </si>
  <si>
    <t>島田隆司</t>
  </si>
  <si>
    <t>424-425頁</t>
  </si>
  <si>
    <t>梶原性全著『頓医抄』・『万安万』</t>
  </si>
  <si>
    <t>426頁</t>
  </si>
  <si>
    <t>『北陸英学史研究』第一輯</t>
  </si>
  <si>
    <t>427-428頁</t>
  </si>
  <si>
    <t>日本薬局方百年史編集委員会編『日本薬局方百年史』</t>
  </si>
  <si>
    <t>杉浦守邦著『日本最初の肢体不自由児学校柏学園と柏倉松蔵』</t>
  </si>
  <si>
    <t>428-429頁</t>
  </si>
  <si>
    <t>谷津三雄著『医歯薬史資料図鑑』</t>
  </si>
  <si>
    <t>429-430頁</t>
  </si>
  <si>
    <t>『小品方』に見る疾病背景の分析と服薬指示―治療と養生の接点について―</t>
  </si>
  <si>
    <t>第33巻第4号</t>
  </si>
  <si>
    <t>435-476頁</t>
  </si>
  <si>
    <t>多聞院英俊の病跡―梅毒を中心として―</t>
  </si>
  <si>
    <t>477-492頁</t>
  </si>
  <si>
    <t>明治前半期欧州医学留学生について―東大医学部第一回欧州留学生・新藤二郎の場合―</t>
  </si>
  <si>
    <t>493-506頁</t>
  </si>
  <si>
    <t>随想</t>
  </si>
  <si>
    <t>507-510頁</t>
  </si>
  <si>
    <t>511-517頁</t>
  </si>
  <si>
    <t>518-525頁</t>
  </si>
  <si>
    <t>中国科学史国際会議・一九八七京都シンポジウム</t>
  </si>
  <si>
    <t>526-527頁</t>
  </si>
  <si>
    <t>第七回静岡県医の史跡探訪会</t>
  </si>
  <si>
    <t>舟木茂夫</t>
  </si>
  <si>
    <t>527-528頁</t>
  </si>
  <si>
    <t>日本医史学会北陸支部近況報告</t>
  </si>
  <si>
    <t>加藤豊明</t>
  </si>
  <si>
    <t>528-529頁</t>
  </si>
  <si>
    <t>日本医史学会関西支部近況報告</t>
  </si>
  <si>
    <t>529-530頁</t>
  </si>
  <si>
    <t>静岡県医史学懇話会</t>
  </si>
  <si>
    <t>530-531頁</t>
  </si>
  <si>
    <t>531-533頁</t>
  </si>
  <si>
    <t>鈴木勝先生のご逝去を悼む</t>
  </si>
  <si>
    <t>534-535頁</t>
  </si>
  <si>
    <t>高木圭二郎先生のご逝去を悼む</t>
  </si>
  <si>
    <t>今市正義さんを偲んで</t>
  </si>
  <si>
    <t>536頁</t>
  </si>
  <si>
    <t>弔辞</t>
  </si>
  <si>
    <t>537-538頁</t>
  </si>
  <si>
    <t>瀬戸俊一先生のご逝去を悼む</t>
  </si>
  <si>
    <t>538-539頁</t>
  </si>
  <si>
    <t>鈴木宜民氏を偲ぶ</t>
  </si>
  <si>
    <t>藤平健</t>
  </si>
  <si>
    <t>539-541頁</t>
  </si>
  <si>
    <t>曲直瀬養安院の人々―麻布天真寺に遺存する資料ほかから―(抄)</t>
  </si>
  <si>
    <t>542-544頁</t>
  </si>
  <si>
    <t>542頁</t>
  </si>
  <si>
    <t>日本温泉史資料供覧(抄)</t>
  </si>
  <si>
    <t>544-545頁</t>
  </si>
  <si>
    <t>545頁</t>
  </si>
  <si>
    <t>医史学関係文献目録（1986年）</t>
  </si>
  <si>
    <t>546-587頁</t>
  </si>
  <si>
    <t>Background of Dutch doctors in Japan during the Bakumatsu-Meiji Period(抄)</t>
  </si>
  <si>
    <t>Harm BEUKERS</t>
  </si>
  <si>
    <t>1988年(昭和63)</t>
  </si>
  <si>
    <t>第34巻第1号</t>
  </si>
  <si>
    <t>史料室の効用(抄)</t>
  </si>
  <si>
    <t>中原泉</t>
  </si>
  <si>
    <t>幕末明治期来日外国人医師の著作および論文―とくにその仮目録編集について―(抄)</t>
  </si>
  <si>
    <t>003-05頁</t>
  </si>
  <si>
    <t>幕末明治期来日医学関係者リスト作製について(抄)</t>
  </si>
  <si>
    <t>006-08頁</t>
  </si>
  <si>
    <t>ボードインの来日とその意義(抄)</t>
  </si>
  <si>
    <t>009-13頁</t>
  </si>
  <si>
    <t>わが国の精神病学にたいする来日外人医学教師の貢献(抄)</t>
  </si>
  <si>
    <t>014-16頁</t>
  </si>
  <si>
    <t>明治期来日ドイツ人医師の貢献(抄)</t>
  </si>
  <si>
    <t>鹿子木敏範</t>
  </si>
  <si>
    <t>017-19頁</t>
  </si>
  <si>
    <t>エルメレンス、ローレツ、マンスフェルトの顕微鏡的医学指導(抄)</t>
  </si>
  <si>
    <t>ポンペが日本で行なった医学講義―特に内科と外科の講義内容―(抄)</t>
  </si>
  <si>
    <t>『諸病源候論』における歯病の医説に関する考察(抄)</t>
  </si>
  <si>
    <t>倉公淳于意 その一(抄)</t>
  </si>
  <si>
    <t>別本『仲景全書』の書誌と構成書目(抄)</t>
  </si>
  <si>
    <t>医師赤川玄擽と松岡茂章(抄)</t>
  </si>
  <si>
    <t>030-32頁</t>
  </si>
  <si>
    <t>石綿産業の衛生問題の歴史(抄)</t>
  </si>
  <si>
    <t>033-35頁</t>
  </si>
  <si>
    <t>扁鵲の経絡説―「三陽五会」の検討―(抄)</t>
  </si>
  <si>
    <t>中国医学と道教（Ⅷ　扶鸞）(抄)</t>
  </si>
  <si>
    <t>038-40頁</t>
  </si>
  <si>
    <t>安藤昌益の臨床医学と『万病回春』(抄)</t>
  </si>
  <si>
    <t>040-42頁</t>
  </si>
  <si>
    <t>吉益東洞・南涯・北洲、三代の門人録―「奥田本」について―(抄)</t>
  </si>
  <si>
    <t>042-44頁</t>
  </si>
  <si>
    <t>失われた井上玄徹の墓(抄)</t>
  </si>
  <si>
    <t>北尾春圃伝補遺(抄)</t>
  </si>
  <si>
    <t>『回生録』―近世末期のある医師の診療録―(抄)</t>
  </si>
  <si>
    <t>末田尚</t>
  </si>
  <si>
    <t>朝鮮人参耕作記の歴史(抄)</t>
  </si>
  <si>
    <t>053-55頁</t>
  </si>
  <si>
    <t>『医心方』第二巻　鍼灸篇　孔穴主治法第一に引用された古典について(抄)</t>
  </si>
  <si>
    <t>『医心方』の伝写について（Ⅷ）―半井家本の紙背文書―(抄)</t>
  </si>
  <si>
    <t>曲直瀬（今大路）家系の疑問(抄)</t>
  </si>
  <si>
    <t>維摩経典の中の人間の疾患(抄)</t>
  </si>
  <si>
    <t>日本における西洋医学教育の始まりと医薬分業の始まり(抄)</t>
  </si>
  <si>
    <t>065-67頁</t>
  </si>
  <si>
    <t>西南戦争従軍医師の日記について(抄)</t>
  </si>
  <si>
    <t>明治初期における軍医団と広島医会との関係(抄)</t>
  </si>
  <si>
    <t>篠崎医院小児科坪井芳治医師(抄)</t>
  </si>
  <si>
    <t>地方医学校の設立と廃校―その一、大阪慈恵病院医学校―(抄)</t>
  </si>
  <si>
    <t>074-76頁</t>
  </si>
  <si>
    <t>新潟医学校に関する規則(抄)</t>
  </si>
  <si>
    <t>後藤新平『国家衛生原理』の理論的源泉(抄)</t>
  </si>
  <si>
    <t>079-81頁</t>
  </si>
  <si>
    <t>京都府立医科大学における解剖体について(抄)</t>
  </si>
  <si>
    <t>山田久夫</t>
  </si>
  <si>
    <t>081-83頁</t>
  </si>
  <si>
    <t>高橋瑞と荻野久作(抄)</t>
  </si>
  <si>
    <t>解剖用女性人体模型とＳ・エルドリッジの手紙(抄)</t>
  </si>
  <si>
    <t>Ｗ・アンダーソン（Anderson）の持ち帰った『病草紙』(抄)</t>
  </si>
  <si>
    <t>豊後府内病院の所在位置と規模について(抄)</t>
  </si>
  <si>
    <t>089-90頁</t>
  </si>
  <si>
    <t>『扶氏経験遺訓』初訳本と刊本の異同について(抄)</t>
  </si>
  <si>
    <t>091-93頁</t>
  </si>
  <si>
    <t>三瀬諸淵訳『兪里伊羅安検査書』について(抄)</t>
  </si>
  <si>
    <t>会田恵、寺畑喜朔</t>
  </si>
  <si>
    <t>江戸時代随筆集にみる狂気 ―第二報―(抄)</t>
  </si>
  <si>
    <t>096-97頁</t>
  </si>
  <si>
    <t>金沢藩に禄仕の三宅復一について(抄)</t>
  </si>
  <si>
    <t>十七・八世紀の長崎における中国人医師たちについて(抄)</t>
  </si>
  <si>
    <t>Ｒ・オウエンの歯の硬組織名称の命名補遺(抄)</t>
  </si>
  <si>
    <t>101-102頁</t>
  </si>
  <si>
    <t>入歯師と入眼師(抄)</t>
  </si>
  <si>
    <t>眼科病名の変遷（病名史）(抄)</t>
  </si>
  <si>
    <t>奥沢康正</t>
  </si>
  <si>
    <t>医学教育研究の温故知新(抄)</t>
  </si>
  <si>
    <t>初期医学教育におけるパストゥールの意義(抄)</t>
  </si>
  <si>
    <t>阿片委員会について(抄)</t>
  </si>
  <si>
    <t>第一次大戦前後における野戦病院(抄)</t>
  </si>
  <si>
    <t>日本医療団（第二報）―戦中・戦後の活動と一般体系のモデルケース・新潟県―(抄)</t>
  </si>
  <si>
    <t>113-116頁</t>
  </si>
  <si>
    <t>愛育村医療活動の一事例―神奈川県中郡高部屋村―(抄)</t>
  </si>
  <si>
    <t>116-119頁</t>
  </si>
  <si>
    <t>日本医療思想の源流(抄)</t>
  </si>
  <si>
    <t>長瀬治</t>
  </si>
  <si>
    <t>120-122頁</t>
  </si>
  <si>
    <t>アムステルダム大学附属図書館所蔵の『解剖学表』について(抄)</t>
  </si>
  <si>
    <t>122-123頁</t>
  </si>
  <si>
    <t>スワドリング（Swaddling）と当時の小児科医たち(抄)</t>
  </si>
  <si>
    <t>腹腔動脈の解剖学的研究の歴史（一）―ハラーを中心に―(抄)</t>
  </si>
  <si>
    <t>125-128頁</t>
  </si>
  <si>
    <t>日本歯科医史学会</t>
  </si>
  <si>
    <t>129-130頁</t>
  </si>
  <si>
    <t>日本科学史学会</t>
  </si>
  <si>
    <t>日本獣医史学会</t>
  </si>
  <si>
    <t>曲直瀬玄朔の遺言状</t>
  </si>
  <si>
    <t>第34巻第2号</t>
  </si>
  <si>
    <t>137-147頁</t>
  </si>
  <si>
    <t>友子同盟・労働組合と労働者保護―煙毒・塵肺を中心として―</t>
  </si>
  <si>
    <t>148-165頁</t>
  </si>
  <si>
    <t>和蘭陀外科免状（題簽）―アルマンス流阿蘭陀外科之濫觴―</t>
  </si>
  <si>
    <t>166-170頁</t>
  </si>
  <si>
    <t>Ａ．Ｊ．ボードイン書簡について</t>
  </si>
  <si>
    <t>171-186頁</t>
  </si>
  <si>
    <t>北陸の解剖略史</t>
  </si>
  <si>
    <t>187-201頁</t>
  </si>
  <si>
    <t>稲村三伯と「三伯稲荷神社」その他について</t>
  </si>
  <si>
    <t>202-205頁</t>
  </si>
  <si>
    <t>多紀雲従門人録について</t>
  </si>
  <si>
    <t>206-216頁</t>
  </si>
  <si>
    <t>長崎浩斎著『浩斎医話』について</t>
  </si>
  <si>
    <t>217-231頁</t>
  </si>
  <si>
    <t>Ｅ．ベルツとツツガムシ病</t>
  </si>
  <si>
    <t>232-244頁</t>
  </si>
  <si>
    <t>淀藩に於ける蘭学</t>
  </si>
  <si>
    <t>245-262頁</t>
  </si>
  <si>
    <t>『馬琴日記』にあらわれた病気と医療―滝沢みちを中心に―</t>
  </si>
  <si>
    <t>263-277頁</t>
  </si>
  <si>
    <t>日本における医学のシンボル「アスクレピオスの杖」の受容</t>
  </si>
  <si>
    <t>278-293頁</t>
  </si>
  <si>
    <t>ムラージュをめぐって</t>
  </si>
  <si>
    <t>294-303頁</t>
  </si>
  <si>
    <t>追悼文</t>
  </si>
  <si>
    <t>中野先生の追憶</t>
  </si>
  <si>
    <t>中野操先生を慕う</t>
  </si>
  <si>
    <t>中野操先生をしのぶ</t>
  </si>
  <si>
    <t>307-309頁</t>
  </si>
  <si>
    <t>偉大なる医人としての中野操先生の追憶</t>
  </si>
  <si>
    <t>310-313頁</t>
  </si>
  <si>
    <t>市井の学医中野操先生</t>
  </si>
  <si>
    <t>中野操先生を偲んで</t>
  </si>
  <si>
    <t>中野操先生略歴・著作目録</t>
  </si>
  <si>
    <t>316-322頁</t>
  </si>
  <si>
    <t>随筆</t>
  </si>
  <si>
    <t>323-333頁</t>
  </si>
  <si>
    <t>334-342頁</t>
  </si>
  <si>
    <t>Legal aspects of medicine-Dr. Bonham's case－</t>
  </si>
  <si>
    <t>後藤新平の衛生行政論の一貫性について</t>
  </si>
  <si>
    <t>第34巻第3号</t>
  </si>
  <si>
    <t>357-385頁</t>
  </si>
  <si>
    <t>血清薬院</t>
  </si>
  <si>
    <t>386-413頁</t>
  </si>
  <si>
    <t>『金匱要略』の文献学的研究（第一報）―一元・鄧珍刊『新編金匱方論』―</t>
  </si>
  <si>
    <t>414-430頁</t>
  </si>
  <si>
    <t>『明月記』における瘧疾の検討（続報）</t>
  </si>
  <si>
    <t>431-444頁</t>
  </si>
  <si>
    <t>『素問』陰陽応象大論篇における東風木について</t>
  </si>
  <si>
    <t>445-457頁</t>
  </si>
  <si>
    <t>日露戦争における野戦病院について</t>
  </si>
  <si>
    <t>458-472頁</t>
  </si>
  <si>
    <t>473-483頁</t>
  </si>
  <si>
    <t>484-487頁</t>
  </si>
  <si>
    <t>488-499頁</t>
  </si>
  <si>
    <t>500-505頁</t>
  </si>
  <si>
    <t>総合健診史・拾遺</t>
  </si>
  <si>
    <t>506-514頁</t>
  </si>
  <si>
    <t>515-519頁</t>
  </si>
  <si>
    <t>曲直瀬道三生誕四八〇年祭報告記</t>
  </si>
  <si>
    <t>520-521頁</t>
  </si>
  <si>
    <t>新潟支部報告</t>
  </si>
  <si>
    <t>522頁</t>
  </si>
  <si>
    <t>第二七回医学史研究会、日本医史学会関西支部（昭和六十二年秋季）合同総会</t>
  </si>
  <si>
    <t>523-524頁</t>
  </si>
  <si>
    <t>宮崎県医史懇話会</t>
  </si>
  <si>
    <t>525頁</t>
  </si>
  <si>
    <t>丹波家の医師系図について(抄)</t>
  </si>
  <si>
    <t>高橋教子</t>
  </si>
  <si>
    <t>和気・半井家の医師系図について(抄)</t>
  </si>
  <si>
    <t>高橋教子、小曽戸洋</t>
  </si>
  <si>
    <t>528頁</t>
  </si>
  <si>
    <t>安田健著『江戸諸国産物帳－丹羽正伯の人と仕事－』</t>
  </si>
  <si>
    <t>529頁</t>
  </si>
  <si>
    <t>半谷二郎著『小関三英』</t>
  </si>
  <si>
    <t>Ａ・Ｐ・ウオーターソン、Ｌ・ウィルキンソン共著　川出由己・松山東平・松山雅子共訳『見えざる病原体を追って－ウイルス学史序論―』</t>
  </si>
  <si>
    <t>三輪谷俊夫</t>
  </si>
  <si>
    <t>531-532頁</t>
  </si>
  <si>
    <t>新村拓著『日本医療社会史の研究』</t>
  </si>
  <si>
    <t>532-533頁</t>
  </si>
  <si>
    <t>トスカ・ヘゼキール編著　北村智明・小関恒雄訳『明治初期御雇医師夫妻の生活』</t>
  </si>
  <si>
    <t>533-534頁</t>
  </si>
  <si>
    <t>朝日新聞社編『ボタニカルアートの世界』</t>
  </si>
  <si>
    <t>木村陽二郎著『生物学史論集』</t>
  </si>
  <si>
    <t>大谷雅彦著『北村宗龍』</t>
  </si>
  <si>
    <t>536-537頁</t>
  </si>
  <si>
    <t>Walter Hoffmann-Axthelm著　本間邦則訳『歯科の歴史』</t>
  </si>
  <si>
    <t>Ｄ・ケイリン著『チトクロムと細胞呼吸－電子伝達系確立への道－』（上）・（下）</t>
  </si>
  <si>
    <t>原中瑠璃子</t>
  </si>
  <si>
    <t>養老孟司・布施英利著『解剖の時間－瞬間と永遠の描画史－』</t>
  </si>
  <si>
    <t>540-541頁</t>
  </si>
  <si>
    <t>有坂隆道編『日本洋学史の研究Ⅷ』</t>
  </si>
  <si>
    <t>541-542頁</t>
  </si>
  <si>
    <t>福島義一著『眼科学史の窓』</t>
  </si>
  <si>
    <t>斎藤仁男</t>
  </si>
  <si>
    <t>榊俶先生顕彰会編『榊俶先生顕彰記念誌－東京大学医学部精神医学教室開講百年に因んで－』</t>
  </si>
  <si>
    <t>545-546頁</t>
  </si>
  <si>
    <t>山口県医師会編『防長医家遺墨集』</t>
  </si>
  <si>
    <t>546-547頁</t>
  </si>
  <si>
    <t>ヘンリー・コプリックが百日咳患者から分離した桿菌</t>
  </si>
  <si>
    <t>第34巻第4号</t>
  </si>
  <si>
    <t>553-567頁</t>
  </si>
  <si>
    <t>後藤新平「命価説」に関する研究</t>
  </si>
  <si>
    <t>568-584頁</t>
  </si>
  <si>
    <t>御雇教師ミュルレルとホフマン（二）</t>
  </si>
  <si>
    <t>585-600頁</t>
  </si>
  <si>
    <t>601-606頁</t>
  </si>
  <si>
    <t>607-614頁</t>
  </si>
  <si>
    <t>医史学と私―杉田玄白との「つきあい」―</t>
  </si>
  <si>
    <t>杉靖三郎</t>
  </si>
  <si>
    <t>615-624頁</t>
  </si>
  <si>
    <t>医史学と私―わが日本医史学会の一代記―</t>
  </si>
  <si>
    <t>625-630頁</t>
  </si>
  <si>
    <t>高山坦三先生を偲んで</t>
  </si>
  <si>
    <t>632-633頁</t>
  </si>
  <si>
    <t>日本医史学会関西支部昭和六十三年春季大会－津山洋学資料館開設十周年記念－</t>
  </si>
  <si>
    <t>634-635頁</t>
  </si>
  <si>
    <t>解剖図に関する一考察―『カウパー解剖図』から『解剖存真図』への変容を手掛りにして―(抄)</t>
  </si>
  <si>
    <t>布施英利</t>
  </si>
  <si>
    <t>636-636頁</t>
  </si>
  <si>
    <t>636頁</t>
  </si>
  <si>
    <t>竹内孝一『幕末明治東三河・医学の動静』</t>
  </si>
  <si>
    <t>637-638頁</t>
  </si>
  <si>
    <t>エズモンド・Ｒ・ロング著　難波絋二訳『病理学の歴史』</t>
  </si>
  <si>
    <t>梶田昭</t>
  </si>
  <si>
    <t>638-639頁</t>
  </si>
  <si>
    <t>板倉聖宣『模倣の時代』上・下</t>
  </si>
  <si>
    <t>639-640頁</t>
  </si>
  <si>
    <t>板倉聖宣編『脚気の歴史』―資料・文献年表</t>
  </si>
  <si>
    <t>640頁</t>
  </si>
  <si>
    <t>ウィルヒョウ著・川喜田愛郎解説・梶田昭訳『細胞病理学』</t>
  </si>
  <si>
    <t>641頁</t>
  </si>
  <si>
    <t>根岸謙之助『医の民俗』</t>
  </si>
  <si>
    <t>642頁</t>
  </si>
  <si>
    <t>石田純郎『江戸のオランダ医』</t>
  </si>
  <si>
    <t>643頁</t>
  </si>
  <si>
    <t>杉田暉道『ブッダの医学』</t>
  </si>
  <si>
    <t>644-645頁</t>
  </si>
  <si>
    <t>臨床検査小史編集委員会編『臨床検査小史』</t>
  </si>
  <si>
    <t>645-646頁</t>
  </si>
  <si>
    <t>高木春山『本草図説』－（一）植物－</t>
  </si>
  <si>
    <t>646-647頁</t>
  </si>
  <si>
    <t>カルロ・Ｍ・チポラ著　日野秀逸訳『ペストと都市国家－ルネサンスの公衆衛生と医師－』</t>
  </si>
  <si>
    <t>647-648頁</t>
  </si>
  <si>
    <t>医史学関係文献目録（1987年）</t>
  </si>
  <si>
    <t>649-691頁</t>
  </si>
  <si>
    <t>淫事と精神病―精神病学説史の一断面―</t>
  </si>
  <si>
    <t>1989年(平成01)</t>
  </si>
  <si>
    <t>第35巻第1号</t>
  </si>
  <si>
    <t>明治初期の翻訳育児書</t>
  </si>
  <si>
    <t>026-44頁</t>
  </si>
  <si>
    <t>明治初期遠州における間歇熱</t>
  </si>
  <si>
    <t>045-58頁</t>
  </si>
  <si>
    <t>医師坪井芳治の家系と経歴</t>
  </si>
  <si>
    <t>059-71頁</t>
  </si>
  <si>
    <t>解剖図に関する一考察―『カウパー解剖図』から『解剖存真図』への変容を手掛りにして―</t>
  </si>
  <si>
    <t>「第一大学区東京医学校」なる校名</t>
  </si>
  <si>
    <t>082-84頁</t>
  </si>
  <si>
    <t>第一〇回北陸医史学同好会総会・例会</t>
  </si>
  <si>
    <t>第二八回医学史研究会、日本医史学会関西支部（昭和六十三年秋季）合同総会</t>
  </si>
  <si>
    <t>札幌医史学研究会</t>
  </si>
  <si>
    <t>島田保久</t>
  </si>
  <si>
    <t>『米利堅平本常用方』について(抄)</t>
  </si>
  <si>
    <t>高安伸子、酒井シヅ</t>
  </si>
  <si>
    <t>池田多仲(抄)</t>
  </si>
  <si>
    <t>村尾留器の『三省録』について(抄)</t>
  </si>
  <si>
    <t>大貫恵美子著『日本人の病気観－象徴人類学的考察－』</t>
  </si>
  <si>
    <t>大村敏郎著『聴診器と注射器のふるさと』</t>
  </si>
  <si>
    <t>石田純郎編著『蘭学の背景』</t>
  </si>
  <si>
    <t>095-96頁</t>
  </si>
  <si>
    <t>木村陽二郎監修『図説　草木辞苑』</t>
  </si>
  <si>
    <t>Ｗ・ブロード、Ｎ・ウェード著　牧野賢治訳『背信の科学者たち』</t>
  </si>
  <si>
    <t>梅沢浜夫著『抗生物質を求めて』</t>
  </si>
  <si>
    <t>中原泉著『歯科医学史の顔』</t>
  </si>
  <si>
    <t>札幌医史学研究会編『蝦夷地の医療』</t>
  </si>
  <si>
    <t>岡本喬著『解剖学事始め－山脇東洋の人と思想－』</t>
  </si>
  <si>
    <t>花輪寿彦</t>
  </si>
  <si>
    <t>イヴ＝マリ・ベルセ著　松平誠、小井高志監訳『鍋とランセット―民間信仰と予防医学（一七九八～一八三〇）―』</t>
  </si>
  <si>
    <t>ベルリン大学医学部と日本(抄)</t>
  </si>
  <si>
    <t>ゲオルク・ハーリヒ</t>
  </si>
  <si>
    <t>第35巻第2号</t>
  </si>
  <si>
    <t>111-114頁</t>
  </si>
  <si>
    <t>グレゴル・パウル</t>
  </si>
  <si>
    <t>肥後の医学史(抄)</t>
  </si>
  <si>
    <t>楷の木の木陰に楷を語る(抄)</t>
  </si>
  <si>
    <t>出島蘭館医カスパル・シャムベルゲルについて（記念講演）(抄)</t>
  </si>
  <si>
    <t>ミヒェル・ヴォルフガング</t>
  </si>
  <si>
    <t>中国医学と道教（Ⅸ　薬枕、神枕）(抄)</t>
  </si>
  <si>
    <t>湯爾和と北京医学専門学校(抄)</t>
  </si>
  <si>
    <t>田代三喜の『三帰廻翁医書』小児諸病門について(抄)</t>
  </si>
  <si>
    <t>『小品方』巻十一・本草篇の旧態とその価値(抄)</t>
  </si>
  <si>
    <t>六朝時代の医書に現れる歯病の分類について(抄)</t>
  </si>
  <si>
    <t>佐伯理一郎とその『日誌抜萃』(抄)</t>
  </si>
  <si>
    <t>東博銅人形の製作者および年代について―幕府医官山崎氏の事跡―(抄)</t>
  </si>
  <si>
    <t>140-142頁</t>
  </si>
  <si>
    <t>細川桃庵の事跡(抄)</t>
  </si>
  <si>
    <t>関信之、小曽戸洋</t>
  </si>
  <si>
    <t>呉秀三先生遺稿について―ことに「杏壇訪古」のこと―(抄)</t>
  </si>
  <si>
    <t>145-147頁</t>
  </si>
  <si>
    <t>匂坂浩</t>
  </si>
  <si>
    <t>148-150頁</t>
  </si>
  <si>
    <t>150-152頁</t>
  </si>
  <si>
    <t>西洋と日本の薬局、処方箋の正しい調剤の始まり(抄)</t>
  </si>
  <si>
    <t>自由民権運動にかかわった川崎の医師たち(抄)</t>
  </si>
  <si>
    <t>『紫式部日記』の出産、産養いに見られる医療思想(抄)</t>
  </si>
  <si>
    <t>158-159頁</t>
  </si>
  <si>
    <t>岡利幸</t>
  </si>
  <si>
    <t>160頁</t>
  </si>
  <si>
    <t>初代松本医学専門学校長 竹内松次郎先生創業の苦難とその功績を偲んで(抄)</t>
  </si>
  <si>
    <t>穴田秀男</t>
  </si>
  <si>
    <t>渋江抽斎自筆『津軽一粒金丹』秘伝書について(抄)</t>
  </si>
  <si>
    <t>軍陣歯科の小史(抄)</t>
  </si>
  <si>
    <t>村井琴山先生の事蹟(抄)</t>
  </si>
  <si>
    <t>難波恒雄、浜田善利</t>
  </si>
  <si>
    <t>相良藩の帝王切開術伝承について(抄)</t>
  </si>
  <si>
    <t>鳥越謙一</t>
  </si>
  <si>
    <t>広島地方の藩医たちとその業績(抄)</t>
  </si>
  <si>
    <t>170-171頁</t>
  </si>
  <si>
    <t>江戸後期芸州山県郡の牛痘接種の研究(抄)</t>
  </si>
  <si>
    <t>『黄帝内経太素経』における経穴の主治症について(抄)</t>
  </si>
  <si>
    <t>倉公淳于意 その二　症例の二(抄)</t>
  </si>
  <si>
    <t>『傷寒論文字攷続補』について(抄)</t>
  </si>
  <si>
    <t>中国医療史における小児推拿について(抄)</t>
  </si>
  <si>
    <t>中国国家図書館所蔵の宋刊医籍孤本八種(抄)</t>
  </si>
  <si>
    <t>李志剛</t>
  </si>
  <si>
    <t>十九世紀ヨーロッパの医育の変遷(抄)</t>
  </si>
  <si>
    <t>眼科症候群名に冠した人名辞典の作成(抄)</t>
  </si>
  <si>
    <t>189-190頁</t>
  </si>
  <si>
    <t>John Hunter の歯科医学的業績について(抄)</t>
  </si>
  <si>
    <t>ヒポクラテス「医師の誓い」をめぐっての歴史的考察(抄)</t>
  </si>
  <si>
    <t>今井正浩</t>
  </si>
  <si>
    <t>アンブロアズ・パレの処女出版とその背景(抄)</t>
  </si>
  <si>
    <t>194-196頁</t>
  </si>
  <si>
    <t>A.Vesalii の解剖書の図について(抄)</t>
  </si>
  <si>
    <t>佐賀藩の輸入医学書(抄)</t>
  </si>
  <si>
    <t>海上随鴎の在坂期間再考(抄)</t>
  </si>
  <si>
    <t>『医心方』の伝写について（Ⅸ）―仁和寺本―(抄)</t>
  </si>
  <si>
    <t>高木兼寛とヘボン(抄)</t>
  </si>
  <si>
    <t>ヘボンと交流のあった人々(抄)</t>
  </si>
  <si>
    <t>高安伸子</t>
  </si>
  <si>
    <t>明治戊辰戦争におけるウイリスの診療記録とその評価―日本人医師による越後口戦傷者記録を中心として―(抄)</t>
  </si>
  <si>
    <t>鎌倉幕府の京下官医受容形態の考察(抄)</t>
  </si>
  <si>
    <t>衛生学者坪井次郎(抄)</t>
  </si>
  <si>
    <t>日本医療団（第三報）―戦後の活動と九州地方の医療団施設―(抄)</t>
  </si>
  <si>
    <t>曲直瀬道三の学友・西友鴎について(抄)</t>
  </si>
  <si>
    <t>緒方洪庵『扶氏経験遺訓』翻訳過程の検討</t>
  </si>
  <si>
    <t>第35巻第3号</t>
  </si>
  <si>
    <t>229-260頁</t>
  </si>
  <si>
    <t>幕末の長崎におけるシュミットの医療活動</t>
  </si>
  <si>
    <t>園田健二</t>
  </si>
  <si>
    <t>261-276頁</t>
  </si>
  <si>
    <t>医史学と私―遍歴の跡―</t>
  </si>
  <si>
    <t>277-286頁</t>
  </si>
  <si>
    <t>287-291頁</t>
  </si>
  <si>
    <t>『明治期における脚気の歴史』をめぐる話題</t>
  </si>
  <si>
    <t>山下政三</t>
  </si>
  <si>
    <t>292-300頁</t>
  </si>
  <si>
    <t>江戸幕府の医療制度に関する史料（一）―元禄十三年『待医分限記』―</t>
  </si>
  <si>
    <t>香取俊光</t>
  </si>
  <si>
    <t>301-307頁</t>
  </si>
  <si>
    <t>池田文書の研究（一）</t>
  </si>
  <si>
    <t>池田文書研究会</t>
  </si>
  <si>
    <t>緒方富雄先生を偲んで</t>
  </si>
  <si>
    <t>緒方富雄先生の格言</t>
  </si>
  <si>
    <t>318-322頁</t>
  </si>
  <si>
    <t>西川滇八教授を憶う</t>
  </si>
  <si>
    <t>日本医史学会関西支部平成元年春季大会</t>
  </si>
  <si>
    <t>ソヴェトの医学史書から―『医学の象徴』ほか―(抄)</t>
  </si>
  <si>
    <t>奈良時代の医療の実態(抄)</t>
  </si>
  <si>
    <t>旧約聖書の医学用語について(抄)</t>
  </si>
  <si>
    <t>明治初期静岡県の病理解剖について(抄)</t>
  </si>
  <si>
    <t>谷口克著『免疫の闘い』</t>
  </si>
  <si>
    <t>丁宗鉄</t>
  </si>
  <si>
    <t>湯浅光朝編著『コンサイス科学年表』</t>
  </si>
  <si>
    <t>高島文一著『鍼灸医学序説』</t>
  </si>
  <si>
    <t>335-336頁</t>
  </si>
  <si>
    <t>赤堀昭著『漢方薬』</t>
  </si>
  <si>
    <t>岩浪登</t>
  </si>
  <si>
    <t>336-337頁</t>
  </si>
  <si>
    <t>佐久間温巳著『西尾市民病院物語－市民医療の未来に向けて－』</t>
  </si>
  <si>
    <t>337-338頁</t>
  </si>
  <si>
    <t>復刻版『一四年目の訪問－森永ひ素ミルク中毒追跡調査の記録－』</t>
  </si>
  <si>
    <t>338-339頁</t>
  </si>
  <si>
    <t>青木国雄</t>
  </si>
  <si>
    <t>339-340頁</t>
  </si>
  <si>
    <t>木村陽二郎</t>
  </si>
  <si>
    <t>340-341頁</t>
  </si>
  <si>
    <t>ルイス・バカイ著　古和田正悦訳『開頭術の起源と発展』</t>
  </si>
  <si>
    <t>山本修三</t>
  </si>
  <si>
    <t>341-342頁</t>
  </si>
  <si>
    <t>厚生省五十年史編集委員会編『厚生省五十年史』</t>
  </si>
  <si>
    <t>342-343頁</t>
  </si>
  <si>
    <t>川上武、小坂富美子著『農村医学からメディコ・ポリス構想へ－若月俊一の精神史－』</t>
  </si>
  <si>
    <t>坂本和夫</t>
  </si>
  <si>
    <t>344頁</t>
  </si>
  <si>
    <t>松木明知・花田要一編『津軽医事文化史料集成－続－』</t>
  </si>
  <si>
    <t>山下政三著『明治期における脚気の歴史』</t>
  </si>
  <si>
    <t>347-348頁</t>
  </si>
  <si>
    <t>348-349頁</t>
  </si>
  <si>
    <t>ルネ・スムレーニュ著　影山任佐訳『フィリップ・ピネルの生涯と思想』</t>
  </si>
  <si>
    <t>松下正明</t>
  </si>
  <si>
    <t>349-350頁</t>
  </si>
  <si>
    <t>The sources and Developments of the Japanese Medical Thought</t>
  </si>
  <si>
    <t>372-358頁</t>
  </si>
  <si>
    <t>内務省所管伝染病研究所</t>
  </si>
  <si>
    <t>第35巻第4号</t>
  </si>
  <si>
    <t>373-407頁</t>
  </si>
  <si>
    <t>『金匱要略』の文献学的研究（第二報）―明・無名氏刊『新編金匱要略方論』とその版本系統―</t>
  </si>
  <si>
    <t>真柳誠/小曽戸洋</t>
  </si>
  <si>
    <t>408-429頁</t>
  </si>
  <si>
    <t>前野蘭化の自画自賛について</t>
  </si>
  <si>
    <t>430-438頁</t>
  </si>
  <si>
    <t>池田文書の研究（二）</t>
  </si>
  <si>
    <t>439-443頁</t>
  </si>
  <si>
    <t>「帝王切開術発祥の地」記念碑建立</t>
  </si>
  <si>
    <t>日蘭修好三八〇周年記念医学シンポジウム</t>
  </si>
  <si>
    <t>448-449頁</t>
  </si>
  <si>
    <t>日本医史学会北陸支部第一一回北陸医史学同好会総会例会</t>
  </si>
  <si>
    <t>449-450頁</t>
  </si>
  <si>
    <t>日本医史学会関西支部だより</t>
  </si>
  <si>
    <t>「医の博物館」の開館紹介</t>
  </si>
  <si>
    <t>451頁</t>
  </si>
  <si>
    <t>江戸幕府における鍼科と盲人(抄)</t>
  </si>
  <si>
    <t>452-453頁</t>
  </si>
  <si>
    <t>フランス革命と医学(抄)</t>
  </si>
  <si>
    <t>木村陽二郎著『江戸期のナチュラリスト』</t>
  </si>
  <si>
    <t>酒井シヅ・深瀬泰旦著『検査を築いた人びと』</t>
  </si>
  <si>
    <t>中沢滉</t>
  </si>
  <si>
    <t>Ｈ・Ｓペリー著　中井・今川訳『サリヴァンの生涯』（全二巻）</t>
  </si>
  <si>
    <t>朝日新聞社編『江戸の動植物図－知られざる真写の世界』</t>
  </si>
  <si>
    <t>斎藤祥男著『蘭医家坪井の系譜と芳治』</t>
  </si>
  <si>
    <t>458-459頁</t>
  </si>
  <si>
    <t>篠木弘明著『蘭方医　村上随憲』</t>
  </si>
  <si>
    <t>高野守啓</t>
  </si>
  <si>
    <t>459-460頁</t>
  </si>
  <si>
    <t>飯沼慾斎［草木図説選］木村陽二郎解説『四季草花譜』</t>
  </si>
  <si>
    <t>460-461頁</t>
  </si>
  <si>
    <t>クロード・ダレーヌ著　小林武夫・川村よし子共訳『外科学の歴史』</t>
  </si>
  <si>
    <t>461-462頁</t>
  </si>
  <si>
    <t>アラン・コルバン著　山田登世子・鹿島茂共訳『においの歴史』</t>
  </si>
  <si>
    <t>463-464頁</t>
  </si>
  <si>
    <t>医史学関係文献目録（1988年）</t>
  </si>
  <si>
    <t>465-511頁</t>
  </si>
  <si>
    <t>西洋医書の翻訳用語について（特別講演）(抄)</t>
  </si>
  <si>
    <t>大友信一</t>
  </si>
  <si>
    <t>1990年(平成02)</t>
  </si>
  <si>
    <t>第36巻第1号</t>
  </si>
  <si>
    <t>消化管運動の研究の歴史（会長講演）(抄)</t>
  </si>
  <si>
    <t>先天性梅毒における歯の形態異常の研究史(抄)</t>
  </si>
  <si>
    <t>『聖済総録』における歯牙疾患の分類(抄)</t>
  </si>
  <si>
    <t>010-12頁</t>
  </si>
  <si>
    <t>医師山上兼輔(抄)</t>
  </si>
  <si>
    <t>013-15頁</t>
  </si>
  <si>
    <t>ヴェサリウスのファブリカについて(抄)</t>
  </si>
  <si>
    <t>唐代史における皇帝と医学―太宗の場合―(抄)</t>
  </si>
  <si>
    <t>中国医学と道教（Ⅹ　血湖説）(抄)</t>
  </si>
  <si>
    <t>中国古典における脾病、小腸病、大腸病の概念について(抄)</t>
  </si>
  <si>
    <t>021-23頁</t>
  </si>
  <si>
    <t>国宝宋版『史記』扁鵲倉公列伝における幻雲注の引用医書について(抄)</t>
  </si>
  <si>
    <t>関信之、小曽戸洋、真柳誠</t>
  </si>
  <si>
    <t>類経本『素問』『霊枢』の付訓編刊者について(抄)</t>
  </si>
  <si>
    <t>026-28頁</t>
  </si>
  <si>
    <t>ケシの渡来と津軽一粒金丹(抄)</t>
  </si>
  <si>
    <t>クモを用いる日本の民間療法(抄)</t>
  </si>
  <si>
    <t>学術用語のカタカナ書きに対する一試論(抄)</t>
  </si>
  <si>
    <t>柴田幸雄、太田隆男、中塚正博</t>
  </si>
  <si>
    <t>『医心方』の伝写について（Ⅹ）―関連書目―(抄)</t>
  </si>
  <si>
    <t>『本草色葉抄』所引の医学文献(抄)</t>
  </si>
  <si>
    <t>曲直瀬道三の『遐齢小児方』について(抄)</t>
  </si>
  <si>
    <t>関東船橋氏について(抄)</t>
  </si>
  <si>
    <t>前田慶寧の病状記録について(抄)</t>
  </si>
  <si>
    <t>明治戊辰戦争越後口派遣会津藩従軍医師の記録について(抄)</t>
  </si>
  <si>
    <t>044-46頁</t>
  </si>
  <si>
    <t>本間玄調元旦試筆の詩意について(抄)</t>
  </si>
  <si>
    <t>044頁</t>
  </si>
  <si>
    <t>石黒忠悳の家塾跡と名倉家(抄)</t>
  </si>
  <si>
    <t>明治七年山県郡医師調査について(抄)</t>
  </si>
  <si>
    <t>末田尚/進藤岱、</t>
  </si>
  <si>
    <t>済生学舎廃校の歴史(抄)</t>
  </si>
  <si>
    <t>唐沢信安</t>
  </si>
  <si>
    <t>私立東京医学校（一九〇四～一〇) について(抄)</t>
  </si>
  <si>
    <t>生誕百年を迎えた生理学者加藤元一(抄)</t>
  </si>
  <si>
    <t>精神科看護史の諸問題(抄)</t>
  </si>
  <si>
    <t>帝国大学医学部薬学科の発展(抄)</t>
  </si>
  <si>
    <t>難波抱節旧蔵「温知堂文庫」について(抄)</t>
  </si>
  <si>
    <t>岡山県医学校旧蔵、田口和美著『解剖攬要』について(抄)</t>
  </si>
  <si>
    <t>第三高等中学校医学部の講義（第二報）(抄)</t>
  </si>
  <si>
    <t>筒井八百珠 (一八六三～一九二一) ―その生涯と業績―(抄)</t>
  </si>
  <si>
    <t>トゥキュディデス『戦史』における医学の影響(抄)</t>
  </si>
  <si>
    <t>072-74頁</t>
  </si>
  <si>
    <t>Engelbert Kaempferの日本医学に関する新しい資料(抄)</t>
  </si>
  <si>
    <t>いわゆる『ターヘル　アナトミア』の蘭訳者ディクテンとその学統(抄)</t>
  </si>
  <si>
    <t>フーヘランドの『長生術』について(抄)</t>
  </si>
  <si>
    <t>吉原瑛</t>
  </si>
  <si>
    <t>中年期のアンブロアズ・パレ(抄)</t>
  </si>
  <si>
    <t>ロイアル・コレジズについて(抄)</t>
  </si>
  <si>
    <t>佐賀県立病院（好生館）の御雇外国人医学教師(抄)</t>
  </si>
  <si>
    <t>長崎梅毒病院医師Ｇ・Ｂ・ニュートンの死(抄)</t>
  </si>
  <si>
    <t>ブライト氏病の日本への最初の紹介について(抄)</t>
  </si>
  <si>
    <t>小林義直とその訳書(抄)</t>
  </si>
  <si>
    <t>渋谷鉱、谷津三雄</t>
  </si>
  <si>
    <t>呉建について(抄)</t>
  </si>
  <si>
    <t>094-95頁</t>
  </si>
  <si>
    <t>湖柳生（野口英世）と歯科レントゲン(抄)</t>
  </si>
  <si>
    <t>谷津三雄、渋谷鉱</t>
  </si>
  <si>
    <t>野口英世箕面銅像搬入経路と除幕者(抄)</t>
  </si>
  <si>
    <t>石原理年</t>
  </si>
  <si>
    <t>須藤五百三―魯迅最後の主治医―(抄)</t>
  </si>
  <si>
    <t>近代朝鮮における女子医学生について(抄)</t>
  </si>
  <si>
    <t>三崎裕子</t>
  </si>
  <si>
    <t>幻に終った国際連盟の漢方薬研究（第一報）―国際連盟保健委員会における漢方薬に関する討議―(抄)</t>
  </si>
  <si>
    <t>津谷喜一郎</t>
  </si>
  <si>
    <t>104-106頁</t>
  </si>
  <si>
    <t>大東亜戦争における野戦病院(抄)</t>
  </si>
  <si>
    <t>106-108頁</t>
  </si>
  <si>
    <t>京都における眼科流派と秘伝書(抄)</t>
  </si>
  <si>
    <t>108頁</t>
  </si>
  <si>
    <t>奈良時代の医療の実態</t>
  </si>
  <si>
    <t>第36巻第2号</t>
  </si>
  <si>
    <t>115-131頁</t>
  </si>
  <si>
    <t>吉田長淑の養子関係と宇田川玄真</t>
  </si>
  <si>
    <t>平野満</t>
  </si>
  <si>
    <t>132-138頁</t>
  </si>
  <si>
    <t>139-146頁</t>
  </si>
  <si>
    <t>広場　追悼</t>
  </si>
  <si>
    <t>緒方富雄先生とエスペラント</t>
  </si>
  <si>
    <t>戸田清</t>
  </si>
  <si>
    <t>147-152頁</t>
  </si>
  <si>
    <t>医学史と宛字</t>
  </si>
  <si>
    <t>伊藤貞男</t>
  </si>
  <si>
    <t>153-158頁</t>
  </si>
  <si>
    <t>江戸幕府の医療制度に関する史料（二）―土岐長元家由緒書など―</t>
  </si>
  <si>
    <t>159-162頁</t>
  </si>
  <si>
    <t>池田文書の研究（三）</t>
  </si>
  <si>
    <t>163-168頁</t>
  </si>
  <si>
    <t>第二十九回医学史研究会、日本医史学会関西支部（一九八九年秋季）合同総会</t>
  </si>
  <si>
    <t>ヘボンとシモンズの生き方(抄)</t>
  </si>
  <si>
    <t>171頁</t>
  </si>
  <si>
    <t>ローマ軍の軍医(抄)</t>
  </si>
  <si>
    <t>172頁</t>
  </si>
  <si>
    <t>大橋昭夫・平野日出雄著『明治維新とあるお雇い外国人－フルベッキの生涯－』</t>
  </si>
  <si>
    <t>173頁</t>
  </si>
  <si>
    <t>桜井寛・小清水敏昌・西谷篤彦編集『医薬品発見・命名小辞典』</t>
  </si>
  <si>
    <t>高橋文</t>
  </si>
  <si>
    <t>174頁</t>
  </si>
  <si>
    <t>小曽戸洋・真柳誠解題『明・趙開美本「傷寒論」、清・陳世傑本「金匱玉函経」、元・鄧珍本「金匱要略」』</t>
  </si>
  <si>
    <t>宗田一・蒲原宏・長門谷洋治・石田純郎編著『医学近代化と来日外国人』</t>
  </si>
  <si>
    <t>立川昭二著『見える死、見えない死』</t>
  </si>
  <si>
    <t>吉元昭治著『道教と不老長寿の医学』</t>
  </si>
  <si>
    <t>根本幸夫</t>
  </si>
  <si>
    <t>石原明・杉田暉道・長門谷洋治著『看護史』（系統看護学講座別巻9）</t>
  </si>
  <si>
    <t>宗田一著『図説　日本医療文化史』</t>
  </si>
  <si>
    <t>宮村定男著『恙虫病研究夜話』</t>
  </si>
  <si>
    <t>三木通三著『京の産婦人科近代史』</t>
  </si>
  <si>
    <t>宗田一・池田光穂著『医療と神々－医療人類学のすすめ－』</t>
  </si>
  <si>
    <t>183-184頁</t>
  </si>
  <si>
    <t>レスター・キング著　舘野之男訳・千葉大学医学部山紫会訳『医学思想の源流』</t>
  </si>
  <si>
    <t>ラルフ・Ｗ・モス著　丸山工作訳『朝からキャビアを－科学者セント＝ジェルジの冒険』</t>
  </si>
  <si>
    <t>宮田親平著『ガン特効薬　魔法の弾丸への道』</t>
  </si>
  <si>
    <t>ベネット・サイモン著　石渡隆司、藤原博、酒井明夫訳『ギリシア文明と狂気』</t>
  </si>
  <si>
    <t>岸本良彦</t>
  </si>
  <si>
    <t>柴多泰著『明治前期高梁医療近代化史』</t>
  </si>
  <si>
    <t>清原重巨著　遠藤正治解説『草木性譜・有毒草木図説』</t>
  </si>
  <si>
    <t>長木大三著『北里柴三郎とその一門』</t>
  </si>
  <si>
    <t>秋元亀蔵</t>
  </si>
  <si>
    <t>田辺普編『江戸時代におけるくすり・医・くらし－徳川理財会要の抜粋－』</t>
  </si>
  <si>
    <t>浜田善利</t>
  </si>
  <si>
    <t>速水融、斉藤修、杉山伸也編『徳川社会からの展望－発展・構造・国際関係－』</t>
  </si>
  <si>
    <t>193頁</t>
  </si>
  <si>
    <t>新村拓著『死と病と看護の社会史』</t>
  </si>
  <si>
    <t>出島蘭館医カスパル・シャムベルゲルの生涯について</t>
  </si>
  <si>
    <t>ヴォルフガング・ミヒェル</t>
  </si>
  <si>
    <t>第36巻第3号</t>
  </si>
  <si>
    <t>201-210頁</t>
  </si>
  <si>
    <t>エディンバラ王立救貧院病院とアグネス・ベッチ</t>
  </si>
  <si>
    <t>平尾真智子</t>
  </si>
  <si>
    <t>211-228頁</t>
  </si>
  <si>
    <t>明治初期東京大学医学部卒業生動静一覧（二）</t>
  </si>
  <si>
    <t>229-247頁</t>
  </si>
  <si>
    <t>医史学と私―日本眼科学史研究の回顧―</t>
  </si>
  <si>
    <t>248-253頁</t>
  </si>
  <si>
    <t>254-263頁</t>
  </si>
  <si>
    <t>264-270頁</t>
  </si>
  <si>
    <t>蘭方口伝（シーボルト験方録）</t>
  </si>
  <si>
    <t>271-294頁</t>
  </si>
  <si>
    <t>江戸幕府の医療制度に関する史料（三）―河野平之丞家由緒書など―</t>
  </si>
  <si>
    <t>295-304頁</t>
  </si>
  <si>
    <t>池田文書の研究（四）</t>
  </si>
  <si>
    <t>305-310頁</t>
  </si>
  <si>
    <t>アーユルヴェーダ研究会　第十二回研究総会</t>
  </si>
  <si>
    <t>日本医史学会関西支部一九九〇（平成二）年春季大会</t>
  </si>
  <si>
    <t>中国における欠歯の風習について(抄)</t>
  </si>
  <si>
    <t>317-318頁</t>
  </si>
  <si>
    <t>済生学舎の歴史について(抄)</t>
  </si>
  <si>
    <t>318-319頁</t>
  </si>
  <si>
    <t>日本占領下のフィリピン薬用食物研究(抄)</t>
  </si>
  <si>
    <t>山田憲太郎著『スパイスの歴史』</t>
  </si>
  <si>
    <t>難波恒雄</t>
  </si>
  <si>
    <t>321-323頁</t>
  </si>
  <si>
    <t>上野益三著『博物学の愉しみ』</t>
  </si>
  <si>
    <t>槇佐知子著『日本昔話と古代医術』</t>
  </si>
  <si>
    <t>吉岡信著『近世日本薬業史研究』</t>
  </si>
  <si>
    <t>青木充夫</t>
  </si>
  <si>
    <t>325-326頁</t>
  </si>
  <si>
    <t>阿部克己監修、青木勝嘉著『日本公衆衛生史（昭和前期編）』</t>
  </si>
  <si>
    <t>松田邦夫著『万病回春解説』</t>
  </si>
  <si>
    <t>Ｆ・ジャコブ著、辻由美訳『内なる肖像―一生物学者のオデュッセイア―』</t>
  </si>
  <si>
    <t>沼田次郎著『洋学』</t>
  </si>
  <si>
    <t>佐藤昌介</t>
  </si>
  <si>
    <t>杉本勲編『近代西洋文明との出合い―黎明期の西南雄藩―』</t>
  </si>
  <si>
    <t>吉田厚子</t>
  </si>
  <si>
    <t>科学朝日編『スキャンダルの科学史』</t>
  </si>
  <si>
    <t>長崎市教育委員会編『シーボルト記念館資料目録（1）』　</t>
  </si>
  <si>
    <t>五十嵐一著『東方の医と知―イブン・スｲーナー研究―』</t>
  </si>
  <si>
    <t>岩崎龍郎著『日本の結核―流行の歴史と対策の変遷―』</t>
  </si>
  <si>
    <t>兼松一郎</t>
  </si>
  <si>
    <t>337頁</t>
  </si>
  <si>
    <t>ルイス・ハーパー著、石館三枝子・中野恭子訳『二〇世紀の女性科学者たち―その展開と可能性―』</t>
  </si>
  <si>
    <t>長谷川つとむ著『東京帝大医学部総理　池田謙斎伝』</t>
  </si>
  <si>
    <t>339-341頁</t>
  </si>
  <si>
    <t>王丸勇著『史学と病跡学夜ばなし』</t>
  </si>
  <si>
    <t>339頁</t>
  </si>
  <si>
    <t>高橋理明著『ワクチン今昔物語』</t>
  </si>
  <si>
    <t>山本徳子著『医学史ものがたり』</t>
  </si>
  <si>
    <t>ネストール・ルハン著、酒井シヅ監訳『歴史上の人物―生と死のドラマ』</t>
  </si>
  <si>
    <t>吉岡郁夫著『身体の文化人類学』</t>
  </si>
  <si>
    <t>344-345頁</t>
  </si>
  <si>
    <t>丸山博著作集（一）『死児をして呼ばしめよ』（二）『いま改めて衛生を問う』（三）『食生活の基本を問う』</t>
  </si>
  <si>
    <t>345-346頁</t>
  </si>
  <si>
    <t>364-355頁</t>
  </si>
  <si>
    <t>仏教と病気・医療とのかかわり―とくにインド仏教について―</t>
  </si>
  <si>
    <t>第36巻第4号</t>
  </si>
  <si>
    <t>365-378頁</t>
  </si>
  <si>
    <t>統計的にみた天保期名古屋の医師像</t>
  </si>
  <si>
    <t>山内一信</t>
  </si>
  <si>
    <t>379-400頁</t>
  </si>
  <si>
    <t>灸寺・羽栗病院訪問記</t>
  </si>
  <si>
    <t>401-411頁</t>
  </si>
  <si>
    <t>史料との出会い</t>
  </si>
  <si>
    <t>史料との出合い―歩兵屯所医師取締手塚良仙とその一族―</t>
  </si>
  <si>
    <t>413-433頁</t>
  </si>
  <si>
    <t>435-442頁</t>
  </si>
  <si>
    <t>医史学と私―地域における先哲顕彰事業とのかかわりにふれつつ―</t>
  </si>
  <si>
    <t>443-448頁</t>
  </si>
  <si>
    <t>江戸幕府の医療制度に関する史料（四）―文化八年六月禄『官医分限帳』―</t>
  </si>
  <si>
    <t>449-457頁</t>
  </si>
  <si>
    <t>和刻本漢籍医書出版総合年表</t>
  </si>
  <si>
    <t>459-494頁</t>
  </si>
  <si>
    <t>アンブロアズ・パレ四〇〇年祭を巡って</t>
  </si>
  <si>
    <t>499-500頁</t>
  </si>
  <si>
    <t>三浦豊彦著『労働と健康の歴史　第六巻』</t>
  </si>
  <si>
    <t>501-502頁</t>
  </si>
  <si>
    <t>幕末・明治初期の電気治療(抄)</t>
  </si>
  <si>
    <t>看護史研究会編、加藤文三協力『看護学生のための日本看護史』</t>
  </si>
  <si>
    <t>502-503頁</t>
  </si>
  <si>
    <t>松野良寅著『東北の長崎－米沢洋学の系譜－』</t>
  </si>
  <si>
    <t>小形利彦</t>
  </si>
  <si>
    <t>504頁</t>
  </si>
  <si>
    <t>松田誠著『脚気をなくした男－高木兼寛伝』</t>
  </si>
  <si>
    <t>505-506頁</t>
  </si>
  <si>
    <t>実学資料研究会編『実学史研究Ⅵ』</t>
  </si>
  <si>
    <t>506頁</t>
  </si>
  <si>
    <t>神谷敏郎『人魚の博物誌－海獣学事始－』</t>
  </si>
  <si>
    <t>507頁</t>
  </si>
  <si>
    <t>508頁</t>
  </si>
  <si>
    <t>富士川英郎著『菅茶山　上・下』</t>
  </si>
  <si>
    <t>509-510頁</t>
  </si>
  <si>
    <t>湯浅泰雄著『身体論－東洋的心身論と現代－』</t>
  </si>
  <si>
    <t>坂出祥伸</t>
  </si>
  <si>
    <t>510-511頁</t>
  </si>
  <si>
    <t>鮫島信一篇『星のまたたき』</t>
  </si>
  <si>
    <t>寺師睦宗</t>
  </si>
  <si>
    <t>見市雅俊ほか著『青い恐怖　白い街－コレラ流行と近代ヨーロッパ－』</t>
  </si>
  <si>
    <t>512-513頁</t>
  </si>
  <si>
    <t>アグネス・アーバー著、月川和雄訳『近代植物学の起源』</t>
  </si>
  <si>
    <t>515-516頁</t>
  </si>
  <si>
    <t>松木明知編『北海道医事文化史料集成』上・下</t>
  </si>
  <si>
    <t>516-517頁</t>
  </si>
  <si>
    <t>富士川游博士没後五十年記念会</t>
  </si>
  <si>
    <t>1991年(平成03)</t>
  </si>
  <si>
    <t>第37巻第1号</t>
  </si>
  <si>
    <t>理事長挨拶</t>
  </si>
  <si>
    <t>郷土・広島にみられる富士川游の世界（記念講演）</t>
  </si>
  <si>
    <t>003-15頁</t>
  </si>
  <si>
    <t>論文　追悼</t>
  </si>
  <si>
    <t>富士川游・呉秀三両先生の間―友情と医学史探究―</t>
  </si>
  <si>
    <t>富士川游と土肥慶蔵</t>
  </si>
  <si>
    <t>033-46頁</t>
  </si>
  <si>
    <t>富士川游と雑誌</t>
  </si>
  <si>
    <t>047-56頁</t>
  </si>
  <si>
    <t>富士川游先生没後五十年に寄せて</t>
  </si>
  <si>
    <t>富士川游先生を偲んで</t>
  </si>
  <si>
    <t>富士川游先生との巡り会い</t>
  </si>
  <si>
    <t>富士川游先生、私への教え、思い出</t>
  </si>
  <si>
    <t>富士川游先生を想う</t>
  </si>
  <si>
    <t>年譜</t>
  </si>
  <si>
    <t>富士川游博士年譜</t>
  </si>
  <si>
    <t>著作目録</t>
  </si>
  <si>
    <t>富士川游博士主著作目録</t>
  </si>
  <si>
    <t>展示目録</t>
  </si>
  <si>
    <t>富士川游博士没後五〇年記念会展示目録</t>
  </si>
  <si>
    <t>酒井シヅ、蔵方宏昌</t>
  </si>
  <si>
    <t>068-73頁</t>
  </si>
  <si>
    <t>短報</t>
  </si>
  <si>
    <t>新出の国宝仁和寺本「医心方」零葉―巻十九第五十九葉―</t>
  </si>
  <si>
    <t>小曽戸洋、杉立義一</t>
  </si>
  <si>
    <t>074-78頁</t>
  </si>
  <si>
    <t>第三二回国際医史学会会議の印象</t>
  </si>
  <si>
    <t>079-84頁</t>
  </si>
  <si>
    <t>本間邦則評議員の御逝去を悼む</t>
  </si>
  <si>
    <t>085-88頁</t>
  </si>
  <si>
    <t>浅田宗伯生誕一七五年記念祭についての報告</t>
  </si>
  <si>
    <t>菊谷豊彦</t>
  </si>
  <si>
    <t>蘭学の巨星　杉田玄白・緒方洪庵展</t>
  </si>
  <si>
    <t>緒方春朔種痘成功二〇〇年記念事業報告</t>
  </si>
  <si>
    <t>富田英寿</t>
  </si>
  <si>
    <t>第一五回谷口財団国際シンポジウム</t>
  </si>
  <si>
    <t>第六回国際東洋医学会・医史学シンポジウム</t>
  </si>
  <si>
    <t>「初代曲直瀬道三顕彰碑」建立・除幕式</t>
  </si>
  <si>
    <t>ポンペ顕彰記念会についての報告</t>
  </si>
  <si>
    <t>古河歴史博物館の医史学展示品紹介</t>
  </si>
  <si>
    <t>尾台榕堂百二十年祭―顕彰碑落成</t>
  </si>
  <si>
    <t>第三〇回医学史研究会　日本医史学会関西支部（一九九〇年秋季）合同総会</t>
  </si>
  <si>
    <t>医史学関係文献目録（1989年）</t>
  </si>
  <si>
    <t>108-157頁</t>
  </si>
  <si>
    <t>一隅を照す、医学の輝き(抄)</t>
  </si>
  <si>
    <t>第37巻第2号</t>
  </si>
  <si>
    <t>163-166頁</t>
  </si>
  <si>
    <t>中国医学における経路経穴の変遷(抄)</t>
  </si>
  <si>
    <t>167-172頁</t>
  </si>
  <si>
    <t>『医心方』の伝来から見た日本医学史の一側面(抄)</t>
  </si>
  <si>
    <t>173-180頁</t>
  </si>
  <si>
    <t>「聖済総録」口歯門における口腔軟組織疾患の分類について(抄)</t>
  </si>
  <si>
    <t>『飲膳正要』に関する考察―聚珍意饌を中心として―(抄)</t>
  </si>
  <si>
    <t>加藤伊都子</t>
  </si>
  <si>
    <t>中国医学と道教（ⅩⅠ　金瓶梅から）(抄)</t>
  </si>
  <si>
    <t>療術としての按腹（腹とり）の歴史(抄)</t>
  </si>
  <si>
    <t>一九世紀末から二〇世紀初頭の中国における女子医学教育について(抄)</t>
  </si>
  <si>
    <t>伝記『青木周弼』の補訂(抄)</t>
  </si>
  <si>
    <t>『医心方』所引の『延寿赤書』について(抄)</t>
  </si>
  <si>
    <t>193-196頁</t>
  </si>
  <si>
    <t>松下見林とその師古林見宜(抄)</t>
  </si>
  <si>
    <t>岡田安弘</t>
  </si>
  <si>
    <t>曲直瀬道三の『薬性能毒』について(抄)</t>
  </si>
  <si>
    <t>『本草綱目』の伝来と金陵本(抄)</t>
  </si>
  <si>
    <t>吉田長淑『駒谷吉田方鑑』と蘭館医レッツケとについて(抄)</t>
  </si>
  <si>
    <t>桂川甫筑と御蔵島(抄)</t>
  </si>
  <si>
    <t>原沢文仲『青洲先生聞書』と伊藤震山『春林軒随筆』による華岡青洲乳癌手術記録の再検討(抄)</t>
  </si>
  <si>
    <t>211-214頁</t>
  </si>
  <si>
    <t>『及彼』（豚解剖書）の研究について(抄)</t>
  </si>
  <si>
    <t>藤林普山訳『解屍篇』について―森田千庵署名（印）入り写本より―(抄)</t>
  </si>
  <si>
    <t>『真斎謾筆』の小児門について(抄)</t>
  </si>
  <si>
    <t>『仁助咄』にみられる医学(抄)</t>
  </si>
  <si>
    <t>『福岡藩奥御番医亀鑑』について(抄)</t>
  </si>
  <si>
    <t>広瀬旭荘門人「古谷道庵」(抄)</t>
  </si>
  <si>
    <t>225-227頁</t>
  </si>
  <si>
    <t>『回生録』の研究（１）(抄)</t>
  </si>
  <si>
    <t>昼田源四郎、末田尚</t>
  </si>
  <si>
    <t>坪井芳洲と薩摩藩(抄)</t>
  </si>
  <si>
    <t>米沢藩北条郷における安政２年の種痘実施―『諸事記録』より―(抄)</t>
  </si>
  <si>
    <t>江戸時代（末期）の白内障手術症例報告―『白内翳手術人名実験録』から―(抄)</t>
  </si>
  <si>
    <t>福山藩医学校並びに同仁病院と医人たち(抄)</t>
  </si>
  <si>
    <t>島邨俊一小伝―悲運の精神病学者―(抄)</t>
  </si>
  <si>
    <t>日本とフランスのアンブロアズ・パレ四百年祭を巡って(抄)</t>
  </si>
  <si>
    <t>239-241頁</t>
  </si>
  <si>
    <t>蘭学のルーツについて―オランダ外科医界由来の医学―(抄)</t>
  </si>
  <si>
    <t>シドニ・リンガーと治療学(抄)</t>
  </si>
  <si>
    <t>ヘルマン・ブショフの生涯とその業績(抄)</t>
  </si>
  <si>
    <t>「狂気の石」について―十五～十七世紀オランダ、フランドル地方の絵画に基づく一考察―(抄)</t>
  </si>
  <si>
    <t>酒井明夫、三田俊夫、道又利、石渡隆司</t>
  </si>
  <si>
    <t>『導引口訣鈔』にみる病伝の文献的解釈について(抄)</t>
  </si>
  <si>
    <t>坂本秀治、市川太郎</t>
  </si>
  <si>
    <t>250-252頁</t>
  </si>
  <si>
    <t>『横浜軍陣病院の日記』を再読して(抄)</t>
  </si>
  <si>
    <t>明治天皇の大坂行幸で始まった洋式病院と西洋医学講義録の出版(抄)</t>
  </si>
  <si>
    <t>明治初期の御雇外国人医学教師関係法について(抄)</t>
  </si>
  <si>
    <t>岡山における明治初期の病理解剖(抄)</t>
  </si>
  <si>
    <t>陸軍看病人について(抄)</t>
  </si>
  <si>
    <t>創立時の「済生学舎」の人脈(抄)</t>
  </si>
  <si>
    <t>夏目漱石の胃病とその文学―修善寺の大患を中心として―(抄)</t>
  </si>
  <si>
    <t>野口英世の師、渡辺鼎の業績(抄)</t>
  </si>
  <si>
    <t>273-275頁</t>
  </si>
  <si>
    <t>佐伯理一郎・再論(抄)</t>
  </si>
  <si>
    <t>草壁系諸帝の病迹(抄)</t>
  </si>
  <si>
    <t>尿蛋白定量末吉法について(抄)</t>
  </si>
  <si>
    <t>京都における近代麻酔科学への道程(抄)</t>
  </si>
  <si>
    <t>藤田俊夫</t>
  </si>
  <si>
    <t>282-284頁</t>
  </si>
  <si>
    <t>高比重液による脊椎麻酔の先駆者朴蘭秀の生涯(抄)</t>
  </si>
  <si>
    <t>285頁</t>
  </si>
  <si>
    <t>島村鼎甫―その業績と記録―(抄)</t>
  </si>
  <si>
    <t>津下健哉</t>
  </si>
  <si>
    <t>眼科医 丸尾興堂の家系(抄)</t>
  </si>
  <si>
    <t>丸尾馨、奥沢康正</t>
  </si>
  <si>
    <t>日本の大気汚染の歴史(抄)</t>
  </si>
  <si>
    <t>289-291頁</t>
  </si>
  <si>
    <t>じん肺史の一断面―ウィルヒョウ説を中心に―(抄)</t>
  </si>
  <si>
    <t>人工心肺の発達史(抄)</t>
  </si>
  <si>
    <t>藤倉一郎、藤倉美耶子</t>
  </si>
  <si>
    <t>294-295頁</t>
  </si>
  <si>
    <t>暉峻義等没後二十五年に寄せて(抄)</t>
  </si>
  <si>
    <t>戦中戦後の医学教育史―医学専門学校―(抄)</t>
  </si>
  <si>
    <t>298-299頁</t>
  </si>
  <si>
    <t>占領期における医薬分業論争史（第一報）―ＧＨＱ文書による検証―(抄)</t>
  </si>
  <si>
    <t>杉田聡</t>
  </si>
  <si>
    <t>300-302頁</t>
  </si>
  <si>
    <t>過去四五年間の一精神病院における入院患者の死亡率および死因について(抄)</t>
  </si>
  <si>
    <t>小池清廉</t>
  </si>
  <si>
    <t>精神科看護史の諸問題</t>
  </si>
  <si>
    <t>第37巻第3号</t>
  </si>
  <si>
    <t>321-347頁</t>
  </si>
  <si>
    <t>夏目漱石の胃病とその文学―修善寺の大患を中心として―</t>
  </si>
  <si>
    <t>349-363頁</t>
  </si>
  <si>
    <t>米医Ｄ．Ｂ．シモンズ（Ⅱ）―福沢諭吉の書簡よりみたるアメリカにおけるドクトル・シモンズ―</t>
  </si>
  <si>
    <t>365-390頁</t>
  </si>
  <si>
    <t>絵島・生島事件と御蔵島</t>
  </si>
  <si>
    <t>391-402頁</t>
  </si>
  <si>
    <t>ベルツの明治九年の日本奥地旅行</t>
  </si>
  <si>
    <t>403-406頁</t>
  </si>
  <si>
    <t>和刻本漢籍医書総合年表―書名索引―</t>
  </si>
  <si>
    <t>407-415頁</t>
  </si>
  <si>
    <t>江戸幕府の医療制度に関する史料（五）―文政度『官医分限』―</t>
  </si>
  <si>
    <t>417-430頁</t>
  </si>
  <si>
    <t>池田文書の研究（五）</t>
  </si>
  <si>
    <t>431-443頁</t>
  </si>
  <si>
    <t>日本医史学会関西支部だより　</t>
  </si>
  <si>
    <t>長屋王家跡出土木簡に見る奈良時代貴人の医と食生活への考察(抄)</t>
  </si>
  <si>
    <t>446-448頁</t>
  </si>
  <si>
    <t>446頁</t>
  </si>
  <si>
    <t>横浜医学史細見(抄)</t>
  </si>
  <si>
    <t>448-450頁</t>
  </si>
  <si>
    <t>アレクサンダー・コーン著、酒井シヅ・三浦雅弘訳『科学の罠』</t>
  </si>
  <si>
    <t>中西啓著『シーボルト前後、長崎医学史ノート』</t>
  </si>
  <si>
    <t>関口忠志</t>
  </si>
  <si>
    <t>451-453頁</t>
  </si>
  <si>
    <t>フィリップ・アリエス著、福井憲彦訳『図説・死の文化史―人は死をどのように生きたか―』</t>
  </si>
  <si>
    <t>斉藤仁男</t>
  </si>
  <si>
    <t>454-456頁</t>
  </si>
  <si>
    <t>矢数道明著『漢方治療百話第七集』</t>
  </si>
  <si>
    <t>河瀬正晴著『輸血の歴史－人類と血液のかかわり－』</t>
  </si>
  <si>
    <t>小林佑吉</t>
  </si>
  <si>
    <t>鈴木鑑著『免疫学血清学の歩んできた道』（第三版）</t>
  </si>
  <si>
    <t>458-460頁</t>
  </si>
  <si>
    <t>立川昭二著『最後の手紙』</t>
  </si>
  <si>
    <t>高山直秀訳注『アンブロワズ・パレ　歯科口腔病医学、補整・矯正・義肢論』</t>
  </si>
  <si>
    <t>Sunao Tawara著、須磨幸蔵ほか訳『哺乳動物心臓の刺激伝導系－房室束とPurkinje線維の解剖学的・組織学的研究』</t>
  </si>
  <si>
    <t>462-464頁</t>
  </si>
  <si>
    <t>挨拶</t>
  </si>
  <si>
    <t>地域の医史学特集にあたって</t>
  </si>
  <si>
    <t>第37巻第4号</t>
  </si>
  <si>
    <t>475頁</t>
  </si>
  <si>
    <t>「地域の医学史」研究序説</t>
  </si>
  <si>
    <t>京都における医史学研究史（Ⅰ）</t>
  </si>
  <si>
    <t>493-511頁</t>
  </si>
  <si>
    <t>因伯における牛痘接種の初め</t>
  </si>
  <si>
    <t>513-533頁</t>
  </si>
  <si>
    <t>肥後の医学教育と村井家</t>
  </si>
  <si>
    <t>535-566頁</t>
  </si>
  <si>
    <t>坪井芳洲と薩摩藩</t>
  </si>
  <si>
    <t>567-582頁</t>
  </si>
  <si>
    <t>南遠地域の医の近代化の起点としての玄聖講</t>
  </si>
  <si>
    <t>583-590頁</t>
  </si>
  <si>
    <t>ヨーロッパの医史学の現況について</t>
  </si>
  <si>
    <t>591-609頁</t>
  </si>
  <si>
    <t>吉岡博人先生の御逝去を悼む</t>
  </si>
  <si>
    <t>611-614頁</t>
  </si>
  <si>
    <t>カスパル・シャムベルゲルの「弔辞」について</t>
  </si>
  <si>
    <t>615-623頁</t>
  </si>
  <si>
    <t>池田文書の研究（六）</t>
  </si>
  <si>
    <t>625-647頁</t>
  </si>
  <si>
    <t>第13回北陸医史学同好会総会・例会</t>
  </si>
  <si>
    <t>649-650頁</t>
  </si>
  <si>
    <t>日本医史学会理事長交代のお知らせ</t>
  </si>
  <si>
    <t>649頁</t>
  </si>
  <si>
    <t>関西支部長に藤野恒三郎氏</t>
  </si>
  <si>
    <t>日本医史学会西支部一九九一（平成3）年春季大会</t>
  </si>
  <si>
    <t>木簡にみられる「医史学」的記述について(抄)</t>
  </si>
  <si>
    <t>650-652頁</t>
  </si>
  <si>
    <t>650頁</t>
  </si>
  <si>
    <t>酒井恒監修、ミクス編集部編集『漢字医学用語－難読用語を中心に－』</t>
  </si>
  <si>
    <t>653-654頁</t>
  </si>
  <si>
    <t>坂出祥伸編『中国古代養生思想の総合的研究』</t>
  </si>
  <si>
    <t>654-655頁</t>
  </si>
  <si>
    <t>野中杏一郎編著『医の歳月　野中眼科二百年史』</t>
  </si>
  <si>
    <t>655-656頁</t>
  </si>
  <si>
    <t>656-658頁</t>
  </si>
  <si>
    <t>陸上自衛隊衛生学校修親会編『陸軍衛生制度史［昭和編］』</t>
  </si>
  <si>
    <t>658-659頁</t>
  </si>
  <si>
    <t>森岡恭彦編『近代外科の父　パレ』－日本の外科のルーツを探る－</t>
  </si>
  <si>
    <t>660-661頁</t>
  </si>
  <si>
    <t>茨城県医師会史編纂委員会編『茨城県医師会史』《昭和戦後編》</t>
  </si>
  <si>
    <t>661-662頁</t>
  </si>
  <si>
    <t>理事長就任のご挨拶</t>
  </si>
  <si>
    <t>1992年(平成04)</t>
  </si>
  <si>
    <t>第38巻第1号</t>
  </si>
  <si>
    <t>003-004頁</t>
  </si>
  <si>
    <t>神奈川のコレラ</t>
  </si>
  <si>
    <t>005-24頁</t>
  </si>
  <si>
    <t>江戸時代、静岡県における蘭方医学の普及、特にその学統について</t>
  </si>
  <si>
    <t>025-47頁</t>
  </si>
  <si>
    <t>北陸地域の医学史</t>
  </si>
  <si>
    <t>多留淳文</t>
  </si>
  <si>
    <t>049-83頁</t>
  </si>
  <si>
    <t>京都における医史学研究史〔Ⅱ〕</t>
  </si>
  <si>
    <t>085-104頁</t>
  </si>
  <si>
    <t>備前蘭学の開祖児玉順蔵と漢蘭折衷医難波抱節</t>
  </si>
  <si>
    <t>105-120頁</t>
  </si>
  <si>
    <t>福井県人の誘導した西洋文化の啓蒙書</t>
  </si>
  <si>
    <t>121-132頁</t>
  </si>
  <si>
    <t>『金瓶梅』にみる中国医学</t>
  </si>
  <si>
    <t>133-163頁</t>
  </si>
  <si>
    <t>アンブロアズ・パレ没後四百年祭を顧みて</t>
  </si>
  <si>
    <t>守屋正先生を悼む</t>
  </si>
  <si>
    <t>第三十一回医学史研究会　日本医史学会関西支部（一九九一年秋季）合同総会</t>
  </si>
  <si>
    <t>森川政一著『明治・大正上越医界史』</t>
  </si>
  <si>
    <t>白山晰也著『眼鏡の社会史』</t>
  </si>
  <si>
    <t>三浦豊彦著『暉峻義等－労働科学を創った男－』</t>
  </si>
  <si>
    <t>富士川英郎著『富士川游』</t>
  </si>
  <si>
    <t>中川和夫</t>
  </si>
  <si>
    <t>岩波泰明著『御目医師　竹内新八』</t>
  </si>
  <si>
    <t>韓国歯科医史（韓国歯科医療の開化と発展の過程）(抄)</t>
  </si>
  <si>
    <t>奇昌徳</t>
  </si>
  <si>
    <t>第38巻第2号</t>
  </si>
  <si>
    <t>197-201頁</t>
  </si>
  <si>
    <t>日本歯科医史学会二〇周年の歩み(抄)</t>
  </si>
  <si>
    <t>202-208頁</t>
  </si>
  <si>
    <t>中国医学と道教（ⅩⅡ　韓国医書について）(抄)</t>
  </si>
  <si>
    <t>曲直瀬玄朔『食性能毒』における『本草綱目』の取捨(抄)</t>
  </si>
  <si>
    <t>加藤伊都子、真柳誠</t>
  </si>
  <si>
    <t>中国に保存される日本伝統医学文献の孤本(抄)</t>
  </si>
  <si>
    <t>真柳誠、関信之、肖衍初、森田傅一郎</t>
  </si>
  <si>
    <t>幻に終った国際連盟の漢方薬研究（第二報）―漢方薬研究の決議が日本で引き起こした反響―(抄)</t>
  </si>
  <si>
    <t>抜歯後に応用される漢方薬について(抄)</t>
  </si>
  <si>
    <t>藤井佳朗</t>
  </si>
  <si>
    <t>220-221頁</t>
  </si>
  <si>
    <t>関根家所蔵療治十九方について(抄)</t>
  </si>
  <si>
    <t>西巻明彦、新藤恵久</t>
  </si>
  <si>
    <t>葛根湯と歯痛について(抄)</t>
  </si>
  <si>
    <t>西巻明彦、屋代正幸、小林一日出</t>
  </si>
  <si>
    <t>将軍吉宗をめぐる紀州下りの医薬人(抄)</t>
  </si>
  <si>
    <t>『耳嚢』に記録された民間療法(抄)</t>
  </si>
  <si>
    <t>群馬県沼田市の石仏と民間信仰について(抄)</t>
  </si>
  <si>
    <t>バルベルデ人体構造解剖図説再考(抄)</t>
  </si>
  <si>
    <t>関場不二彦の事蹟（一）―開業初期の病院経営―(抄)</t>
  </si>
  <si>
    <t>吉田信、島田保久、津田晴美、松木明知</t>
  </si>
  <si>
    <t>232-234頁</t>
  </si>
  <si>
    <t>Anaesthesia の命名(抄)</t>
  </si>
  <si>
    <t>華岡青洲の麻酔薬通仙散に関する実験的研究(抄)</t>
  </si>
  <si>
    <t>一井正典とドクトル・ヴァンデンボルグ(抄)</t>
  </si>
  <si>
    <t>日本における芸用解剖学の受容(抄)</t>
  </si>
  <si>
    <t>熱中症予防薬と食塩(抄)</t>
  </si>
  <si>
    <t>わが国における義歯の発達 概要(抄)</t>
  </si>
  <si>
    <t>伊勢松阪の入目・入歯師(抄)</t>
  </si>
  <si>
    <t>新藤恵久、長谷川弥</t>
  </si>
  <si>
    <t>オープンループ並びにダブルループクラスプに就いて(抄)</t>
  </si>
  <si>
    <t>平田幹男</t>
  </si>
  <si>
    <t>東京勧業博覧会の歯科出品物（第二報）歯磨および歯ブラシについて(抄)</t>
  </si>
  <si>
    <t>「杉山三部書」の研究（その1）―成立について―(抄)</t>
  </si>
  <si>
    <t>長岡靖彦、中島史、北村智、長岡栄一</t>
  </si>
  <si>
    <t>「杉山三部書」の研究（その2）―経穴と補瀉―(抄)</t>
  </si>
  <si>
    <t>中島史、北村智、長岡靖彦、長岡栄一</t>
  </si>
  <si>
    <t>『素問研』について(抄)</t>
  </si>
  <si>
    <t>宮川浩也</t>
  </si>
  <si>
    <t>254-256頁</t>
  </si>
  <si>
    <t>鍼灸経穴名考証の試み―穴名同語の出典と用法―(抄)</t>
  </si>
  <si>
    <t>岩井佑泉</t>
  </si>
  <si>
    <t>東京歯科医学専門学校臨床歯科学叢書の書誌学(抄)</t>
  </si>
  <si>
    <t>森山徳長、春日芳彦</t>
  </si>
  <si>
    <t>260-261頁</t>
  </si>
  <si>
    <t>明治大正期歯科保存学書の比較書誌学的研究(抄)</t>
  </si>
  <si>
    <t>森山徳長、長谷川正康</t>
  </si>
  <si>
    <t>幻の東京歯科大学〈市川短期大学〉の構想(抄)</t>
  </si>
  <si>
    <t>戸沢行夫</t>
  </si>
  <si>
    <t>落合俊輔、谷津三雄</t>
  </si>
  <si>
    <t>第三高等学校医学部教授・坂田快太郎の留学通信(抄)</t>
  </si>
  <si>
    <t>267-268頁</t>
  </si>
  <si>
    <t>帝国女子医専創設者額田豊・晋兄弟の医家系譜(抄)</t>
  </si>
  <si>
    <t>練塀町時代の佐藤尚中(抄)</t>
  </si>
  <si>
    <t>竹原地区の先覚者たち―頼春風などについて―(抄)</t>
  </si>
  <si>
    <t>月舟寿桂（幻雲）の医界における交友関係(抄)</t>
  </si>
  <si>
    <t>小曽戸洋、森田傅一郎、水沢利忠</t>
  </si>
  <si>
    <t>275-276頁</t>
  </si>
  <si>
    <t>幾何学、リベラル・アーツと博物学(抄)</t>
  </si>
  <si>
    <t>府立大阪医科大学は大阪帝国大学医学部へ 歯科学弓倉繁家教授、薬化学世良好太教授(抄)</t>
  </si>
  <si>
    <t>明治期御雇外国人医学教師関係法について（第二報）(抄)</t>
  </si>
  <si>
    <t>「自然良能」及び「医ハ自然ノ臣僕ナリ」思想の回帰(抄)</t>
  </si>
  <si>
    <t>『頓医抄』巻第20、口腔疾患に関する考察(抄)</t>
  </si>
  <si>
    <t>『医心方』と病草紙(抄)</t>
  </si>
  <si>
    <t>『口歯類要』質疑(抄)</t>
  </si>
  <si>
    <t>292-294頁</t>
  </si>
  <si>
    <t>295-297頁</t>
  </si>
  <si>
    <t>大高興</t>
  </si>
  <si>
    <t>297-299頁</t>
  </si>
  <si>
    <t>『紅夷外科宗伝』図版成立へのスクルテタス（Scultetus ）の外科書　Armamentarium chirurgicum の影響(抄)</t>
  </si>
  <si>
    <t>十八世紀オランダの医療界の構造と蘭学(抄)</t>
  </si>
  <si>
    <t>ピエール・フォシャール著『歯科外科医』手稿中のフォシャール直筆と推定される部分(抄)</t>
  </si>
  <si>
    <t>高山直秀</t>
  </si>
  <si>
    <t>准看制度の歴史(抄)</t>
  </si>
  <si>
    <t>306-308頁</t>
  </si>
  <si>
    <t>米国長老教会婦人宣教師ミス・リードの日本における活動(抄)</t>
  </si>
  <si>
    <t>外科の守護聖人サン・コームとリュザルシュ村の教会(抄)</t>
  </si>
  <si>
    <t>311-312頁</t>
  </si>
  <si>
    <t>近代中国における宣教師女医の活動について(抄)</t>
  </si>
  <si>
    <t>陸軍看病人の教育について(抄)</t>
  </si>
  <si>
    <t>ウィルヒョウと精神科医たち(抄)</t>
  </si>
  <si>
    <t>断種法問題―その広がりの見取り図―(抄)</t>
  </si>
  <si>
    <t>精神外科の隆盛と衰微(抄)</t>
  </si>
  <si>
    <t>藤倉一郎</t>
  </si>
  <si>
    <t>320-321頁</t>
  </si>
  <si>
    <t>《中国口腔医学史考》簡介（原稿未着）(抄)</t>
  </si>
  <si>
    <t>山本忠孝―北京における魯迅の主治医―(抄)</t>
  </si>
  <si>
    <t>医術開業試験と済生学舎(抄)</t>
  </si>
  <si>
    <t>野口英世の医術開業試験(抄)</t>
  </si>
  <si>
    <t>最初期歯科Ｘ線診断学の文献的研究（その二）―機器、フィルム、露出時間等について―(抄)</t>
  </si>
  <si>
    <t>塩津二郎、森山徳長</t>
  </si>
  <si>
    <t>旧制・新制東京歯科大学の校地・校舎の変遷について(抄)</t>
  </si>
  <si>
    <t>山岸東太郎/石川達、</t>
  </si>
  <si>
    <t>終戦前後の日本医学会(抄)</t>
  </si>
  <si>
    <t>前線診療指針について(抄)</t>
  </si>
  <si>
    <t>石橋肇、谷津三雄</t>
  </si>
  <si>
    <t>明治期におけるブライト氏病の受容について(抄)</t>
  </si>
  <si>
    <t>337-339頁</t>
  </si>
  <si>
    <t>Hirschberg来日に会いし医師達(抄)</t>
  </si>
  <si>
    <t>奥沢康正、ユルゲン・コバチ</t>
  </si>
  <si>
    <t>医史学関係文献目録(1990年)</t>
  </si>
  <si>
    <t>341-389頁</t>
  </si>
  <si>
    <t>衛生学者坪井次郎の経歴と業績</t>
  </si>
  <si>
    <t>第38巻第3号</t>
  </si>
  <si>
    <t>401-431頁</t>
  </si>
  <si>
    <t>433-470頁</t>
  </si>
  <si>
    <t>『仁助咄』にみられる医学にみられる医学</t>
  </si>
  <si>
    <t>471-486頁</t>
  </si>
  <si>
    <t>合田求吾の『紅毛医言』について</t>
  </si>
  <si>
    <t>長与健夫</t>
  </si>
  <si>
    <t>487-499頁</t>
  </si>
  <si>
    <t>「因伯における牛痘接種の初め」補遺―原田永寿備忘録―</t>
  </si>
  <si>
    <t>501-505頁</t>
  </si>
  <si>
    <t>池田文書の研究（七）</t>
  </si>
  <si>
    <t>507-517頁</t>
  </si>
  <si>
    <t>関根正雄先生の逝去を悼む</t>
  </si>
  <si>
    <t>519-521頁</t>
  </si>
  <si>
    <t>522-523頁</t>
  </si>
  <si>
    <t>日本医史学会関西支部一九九二（平成四）年春季大会</t>
  </si>
  <si>
    <t>「長谷川泰の大学東校時代から済生学舎開校迄の経過」（ドイツ医学導入問題・相良知安の建白書・佐藤尚中の済衆舎）(抄)</t>
  </si>
  <si>
    <t>杉立義一著『医心方の伝来』</t>
  </si>
  <si>
    <t>525-526頁</t>
  </si>
  <si>
    <t>森納著『医人奇人－因伯の医師たち・夜話－』</t>
  </si>
  <si>
    <t>岸本頼子</t>
  </si>
  <si>
    <t>日本医学会医学用語管理委員会編『日本医学会・医学用語辞典・英和』</t>
  </si>
  <si>
    <t>谷津三雄・森山徳長・本間邦則共訳　マルヴィン・イ・リング(Malvin E.Ring)原著　『図説　歯科医学の歴史』(Dentistry An Illustrated History)</t>
  </si>
  <si>
    <t>529-531頁</t>
  </si>
  <si>
    <t>奥沢康正著『京の民間医療信仰』</t>
  </si>
  <si>
    <t>藤林普山とその子孫、門人録</t>
  </si>
  <si>
    <t>第38巻第4号</t>
  </si>
  <si>
    <t>541-581頁</t>
  </si>
  <si>
    <t>明治初期医師養成教育と衛生観</t>
  </si>
  <si>
    <t>583-602頁</t>
  </si>
  <si>
    <t>島邨俊一小伝―悲運の精神病学者―</t>
  </si>
  <si>
    <t>603-636頁</t>
  </si>
  <si>
    <t>『素問』・『霊枢』における脾の生理作用―蘭方医学との比較―</t>
  </si>
  <si>
    <t>遠藤次郎、中村輝子</t>
  </si>
  <si>
    <t>637-646頁</t>
  </si>
  <si>
    <t>外国人研究者による日本人顔貌のタイプ</t>
  </si>
  <si>
    <t>吉岡郁夫</t>
  </si>
  <si>
    <t>647-653頁</t>
  </si>
  <si>
    <t>仏典とスシュルタ本集にみられる酒の評価</t>
  </si>
  <si>
    <t>655-661頁</t>
  </si>
  <si>
    <t>藤野恒三郎氏逝く</t>
  </si>
  <si>
    <t>663-665頁</t>
  </si>
  <si>
    <t>池田文書の研究（八）</t>
  </si>
  <si>
    <t>667-689頁</t>
  </si>
  <si>
    <t>第一四回北陸医史学同好会（日本医史学会北陸支部）</t>
  </si>
  <si>
    <t>695-696頁</t>
  </si>
  <si>
    <t>日本医史学会関西支部夏季大会</t>
  </si>
  <si>
    <t>695頁</t>
  </si>
  <si>
    <t>新村拓著『老いと看取りの社会史』</t>
  </si>
  <si>
    <t>696-697頁</t>
  </si>
  <si>
    <t>696頁</t>
  </si>
  <si>
    <t>岩田誠著『パリ医学散歩』</t>
  </si>
  <si>
    <t>清水陽人</t>
  </si>
  <si>
    <t>697-699頁</t>
  </si>
  <si>
    <t>松尾信一編・著『解馬新書の調査研究』</t>
  </si>
  <si>
    <t>699-701頁</t>
  </si>
  <si>
    <t>701-702頁</t>
  </si>
  <si>
    <t>「原野を拓く―関寛　開拓の理想とその背景―」</t>
  </si>
  <si>
    <t>大西泰久</t>
  </si>
  <si>
    <t>702-704頁</t>
  </si>
  <si>
    <t>松下正明編著『精神医学を築いた人びと』（上・下）</t>
  </si>
  <si>
    <t>704-705頁</t>
  </si>
  <si>
    <t>概説・日本における臨床検査機器発達史―人間と機械のはざまで―（抄）</t>
  </si>
  <si>
    <t>1993年(平成05)</t>
  </si>
  <si>
    <t>第39巻第1号</t>
  </si>
  <si>
    <t>001-7頁</t>
  </si>
  <si>
    <t>シンポジウム（一）　蘭医長崎浩斎生誕一九五年を記念して　長崎浩斎－人と業績－（抄）</t>
  </si>
  <si>
    <t>008-10頁</t>
  </si>
  <si>
    <t>シンポジウム（一）蘭医長崎浩斎生誕一九五年を記念して　大槻玄沢と長崎浩斎―蘭学、その江戸と北陸―（抄）－</t>
  </si>
  <si>
    <t>シンポジウム（一）　蘭医長崎浩斎生誕一九五年を記念して　長崎家収蔵の『方意便蒙』について―越中高岡神農講の記録―（抄）</t>
  </si>
  <si>
    <t>正橋剛二</t>
  </si>
  <si>
    <t>シンポジウム（二）　医学教育における医史学のあり方と使命　医学史教育を模索して（抄）</t>
  </si>
  <si>
    <t>シンポジウム（二）　医学教育における医史学のあり方と使命　医学愛好家を育てるために（抄）</t>
  </si>
  <si>
    <t>シンポジウム（二）　医学教育における医史学のあり方と使命　医学教育における医史学の現状と将来のあり方（抄）</t>
  </si>
  <si>
    <t>シンポジウム（二）　医学教育における医史学のあり方と使命　ヨーロッパの医史学教育（抄）</t>
  </si>
  <si>
    <t>中国医学と道教（XII『紅楼夢』から）（抄）</t>
  </si>
  <si>
    <t>中国の古典医書にみられる医者の身分と治療について（抄）</t>
  </si>
  <si>
    <t>三巻本『本草集注』と出土史料（抄）</t>
  </si>
  <si>
    <t>『活幼口議』の著者について（抄）</t>
  </si>
  <si>
    <t>王鉄策、真柳誠、小曽戸洋</t>
  </si>
  <si>
    <t>仏典と『スシュルタ本集』にみられる看護（抄）</t>
  </si>
  <si>
    <t>和丹両流の家格について（抄）</t>
  </si>
  <si>
    <t>032-34頁</t>
  </si>
  <si>
    <t>半井本『医心方』の病名仮名訓（抄）</t>
  </si>
  <si>
    <t>『玉葉』に表れる口歯の医療について（抄）</t>
  </si>
  <si>
    <t>初代曲直瀬道三とらい遺伝説について（抄）</t>
  </si>
  <si>
    <t>横田則子</t>
  </si>
  <si>
    <t>日本における臍風の記載について（抄）</t>
  </si>
  <si>
    <t>南北朝の医家徐氏の系譜（抄）</t>
  </si>
  <si>
    <t>猪飼祥夫</t>
  </si>
  <si>
    <t>江戸時代按摩手技の文献的考察（抄）</t>
  </si>
  <si>
    <t>徳川綱吉の行った医官に対する勤務評定（抄）</t>
  </si>
  <si>
    <t>046-48頁</t>
  </si>
  <si>
    <t>『紅夷流道具集解総図式』成立へのスクルテタスの外科書とパレ外科全集の影響（抄）</t>
  </si>
  <si>
    <t>Nils Rosen von RosensteinとJohann Andreas Murray－一冊の小児科書をめぐって（抄）</t>
  </si>
  <si>
    <t>華岡門難波抱節らの蒙汗薬（麻薬）の使用について（抄）</t>
  </si>
  <si>
    <t>華岡青洲の［春林軒］入門者について－とくに文化二年度の入門者0人の謎－（抄）</t>
  </si>
  <si>
    <t>河口良庵著『（寛文十庚戌歳）阿蘭陀語』本に就いて（抄）</t>
  </si>
  <si>
    <t>『蘭学事始』と『蘭東事始』（抄）</t>
  </si>
  <si>
    <t>適塾に学んだ広島県北出身の先人たち（抄）</t>
  </si>
  <si>
    <t>坪井芳洲筆島津斉彬容体書の史料について（抄）</t>
  </si>
  <si>
    <t>『米利堅平本常用方』中に現れる人物の特定について（抄）</t>
  </si>
  <si>
    <t>我国の眼科文献集－第一報－（抄）</t>
  </si>
  <si>
    <t>ロシア帝国軍医・関余作のロシア通信（抄）</t>
  </si>
  <si>
    <t>本邦最初の西洋助産術教師　マティルダ・エアトン（抄）</t>
  </si>
  <si>
    <t>日本最古の産婦人科専書（抄）</t>
  </si>
  <si>
    <t>小島原泰民とその訳（著）書（抄）</t>
  </si>
  <si>
    <t>関場不二彦の事蹟（二）―愛知医専赴任事件に関する新資料―（抄）</t>
  </si>
  <si>
    <t>吉田信、島田保久、津田晴美、犬山征夫、松木明知</t>
  </si>
  <si>
    <t>維新を生きた村医者の生涯―津下精斉の場合―（抄）</t>
  </si>
  <si>
    <t>長谷川泰と「脚気病院」（抄）</t>
  </si>
  <si>
    <t>083-85頁</t>
  </si>
  <si>
    <t>石川県富山病院・同医学所の医師について（抄）</t>
  </si>
  <si>
    <t>赤祖父一知</t>
  </si>
  <si>
    <t>086-88頁</t>
  </si>
  <si>
    <t>中国古来の「医学保健体操的導引」にみる系統的解釈について（抄）</t>
  </si>
  <si>
    <t>市川太郎、坂本秀</t>
  </si>
  <si>
    <t>呪禁師の実態－律令制下の呪術医療者（抄）</t>
  </si>
  <si>
    <t>稲垣直</t>
  </si>
  <si>
    <t>大阪における薬学校の始まり　大阪大学薬学部・大阪薬学専門学校・大阪薬科大学（抄）</t>
  </si>
  <si>
    <t>第三高等中学校医学部講義（第三報）（抄）</t>
  </si>
  <si>
    <t>下山順一郎訳柴田承桂校補『検尿法』（明治十四年)及び原著について（抄）</t>
  </si>
  <si>
    <t>日清・日露戦役時の恩賜の義肢―松山俘虜収容所を中心に―（抄）</t>
  </si>
  <si>
    <t>大隈重信の義足―その原因と生活―（抄）</t>
  </si>
  <si>
    <t>坪井良子</t>
  </si>
  <si>
    <t>100-102頁</t>
  </si>
  <si>
    <t>遠藤培地の創製者・遠藤滋（抄）</t>
  </si>
  <si>
    <t>新聞に見る昭和25年のシラス中毒事件―腸炎ビブリオ発見の端緒―（抄）</t>
  </si>
  <si>
    <t>長門谷洋治、坂上俊之</t>
  </si>
  <si>
    <t>日本人による最初のＸ線写真について（抄）</t>
  </si>
  <si>
    <t>天野良平</t>
  </si>
  <si>
    <t>工具による振動障害の歴史（抄）</t>
  </si>
  <si>
    <t>近代日本における社会衛生学理論（抄）</t>
  </si>
  <si>
    <t>明石博高にみる「衛生」政策（抄）</t>
  </si>
  <si>
    <t>小野尚香</t>
  </si>
  <si>
    <t>結核外科における肋膜外合成樹脂充填術（抄）</t>
  </si>
  <si>
    <t>藤倉一郎、藤倉知子</t>
  </si>
  <si>
    <t>114-116頁</t>
  </si>
  <si>
    <t>北陸における医学検査技術者教育に関する医史学的考察（抄）</t>
  </si>
  <si>
    <t>116-118頁</t>
  </si>
  <si>
    <t>坪井芳洲筆島津斉彬容体書について</t>
  </si>
  <si>
    <t>第39巻第2号</t>
  </si>
  <si>
    <t>133-156頁</t>
  </si>
  <si>
    <t>漢方医学における大腸と小腸の再検討</t>
  </si>
  <si>
    <t>御雇教師シュルツエの「外科通論」―明治初期教科書使用状況一班―</t>
  </si>
  <si>
    <t>169-178頁</t>
  </si>
  <si>
    <t>『耳嚢』に記録された民間療法</t>
  </si>
  <si>
    <t>179-216頁</t>
  </si>
  <si>
    <t>精神外科の隆盛と衰微</t>
  </si>
  <si>
    <t>217-222頁</t>
  </si>
  <si>
    <t>杉田玄白の絶筆と川口信順</t>
  </si>
  <si>
    <t>223-235頁</t>
  </si>
  <si>
    <t>ハーバード大学イェンチン図書館の和漢移籍</t>
  </si>
  <si>
    <t>三木栄先生をお訪ねして</t>
  </si>
  <si>
    <t>245-250頁</t>
  </si>
  <si>
    <t>名誉会員三木栄先生の御逝去を悼みて</t>
  </si>
  <si>
    <t>251-254頁</t>
  </si>
  <si>
    <t>三木先生を偲ぶ</t>
  </si>
  <si>
    <t>三木栄先生略歴</t>
  </si>
  <si>
    <t>安井広先生の御逝去を悼む</t>
  </si>
  <si>
    <t>「第一回国際中国医学史会議」に出席して</t>
  </si>
  <si>
    <t>日本医史学会神奈川地方会発会総会</t>
  </si>
  <si>
    <t>美濃大垣の名医・北尾春圃顕彰碑除幕式</t>
  </si>
  <si>
    <t>日本医史学会神奈川地方会一九九三年新年大会</t>
  </si>
  <si>
    <t>ヴィデオ「呉秀三―狂気の立ち会い人」（抄）</t>
  </si>
  <si>
    <t>鈴木昶著『江戸の妙薬』</t>
  </si>
  <si>
    <t>269頁</t>
  </si>
  <si>
    <t>リチャードゴードン著，倉俣トーマス旭・小林武夫訳『世界病気博物誌』</t>
  </si>
  <si>
    <t>杉立義一著『京の医史跡探訪　増補版』</t>
  </si>
  <si>
    <t>君塚美恵子編『紀州藩医　泰淵の日記』</t>
  </si>
  <si>
    <t>276-277頁</t>
  </si>
  <si>
    <t>北小路博央著『開業医ブルース　医家二十一代のつぶやき』</t>
  </si>
  <si>
    <t>小関恒雄・北村智明訳編『クニッピングの明治日本回想記』</t>
  </si>
  <si>
    <t>北里研究所附属東洋医学総合研究所刊，医史学文献研究室編『小品方・黄帝内経明堂　古鈔本残巻』</t>
  </si>
  <si>
    <t>コンスタンス・ジョエル著，内村瑠美子訳『医の神の娘たち－語られなかった女医の系譜－』</t>
  </si>
  <si>
    <t>第八師団歩兵第五連隊の雪中行軍の医学的考察―新発見の史料による山口少佐の死因の再検討―</t>
  </si>
  <si>
    <t>第39巻第3号</t>
  </si>
  <si>
    <t>291-313頁</t>
  </si>
  <si>
    <t>幕府医官　細川桃庵の事蹟</t>
  </si>
  <si>
    <t>315-332頁</t>
  </si>
  <si>
    <t>痰の起源（一）―漢訳仏典にみられる痰の検討―</t>
  </si>
  <si>
    <t>遠藤次郎、中村輝子、八巻英彦、宮本浩和</t>
  </si>
  <si>
    <t>333-345頁</t>
  </si>
  <si>
    <t>ドイツ医学の採用に関する三つの疑問をめぐって</t>
  </si>
  <si>
    <t>森川潤</t>
  </si>
  <si>
    <t>347-359頁</t>
  </si>
  <si>
    <t>シーボルトとペッテンコーフェルの墓</t>
  </si>
  <si>
    <t>361-367頁</t>
  </si>
  <si>
    <t>池田文書の研究（九）</t>
  </si>
  <si>
    <t>369-378頁</t>
  </si>
  <si>
    <t>医学資料展（秋田県医師会主催）</t>
  </si>
  <si>
    <t>石田秀一</t>
  </si>
  <si>
    <t>379-387頁</t>
  </si>
  <si>
    <t>「藤林普山とその子孫、門人録」補遺</t>
  </si>
  <si>
    <t>藤浪剛一先生没後五十年祭の報告</t>
  </si>
  <si>
    <t>389-390頁</t>
  </si>
  <si>
    <t>「処士独嘯庵墓」再建について</t>
  </si>
  <si>
    <t>岡村芳樹</t>
  </si>
  <si>
    <t>390-392頁</t>
  </si>
  <si>
    <t>湯島聖堂保存修理工事竣工　湯島聖堂創建三百年事業完成記念会</t>
  </si>
  <si>
    <t>日本医史学会関西支部（平成五）年春季大会</t>
  </si>
  <si>
    <t>長山泰政―戦前に院外治療を提唱した精神科医―（抄）</t>
  </si>
  <si>
    <t>393-394頁</t>
  </si>
  <si>
    <t>金沢貞顕文書の医史学的研究（抄）　</t>
  </si>
  <si>
    <t>394-396頁</t>
  </si>
  <si>
    <t>Takeo Nagayo:History of Japanese Medicine in the Edo Era-Its Social and Cultural Backgrounds</t>
  </si>
  <si>
    <t>古川哲雄</t>
  </si>
  <si>
    <t>399-400頁</t>
  </si>
  <si>
    <t>和田耕作著『安藤昌益と三浦梅園』</t>
  </si>
  <si>
    <t>400-402頁</t>
  </si>
  <si>
    <t>高崎斐子他編『明治天皇の侍医　池田謙斎』</t>
  </si>
  <si>
    <t>402-404頁</t>
  </si>
  <si>
    <t>山本厚子著『野口英世　知られざる軌跡』</t>
  </si>
  <si>
    <t>404-405頁</t>
  </si>
  <si>
    <t>医史学関係文献目録（1991年）</t>
  </si>
  <si>
    <t>406-455頁</t>
  </si>
  <si>
    <t>特別寄稿</t>
  </si>
  <si>
    <t>二〇世紀末におけるヒポクラテス医学と哲学</t>
  </si>
  <si>
    <t>スヒロス・マルケトス、深瀬泰旦（訳）</t>
  </si>
  <si>
    <t>第39巻第4号</t>
  </si>
  <si>
    <t>463-476頁</t>
  </si>
  <si>
    <t>京都府立「癲狂院」の設立とその経緯</t>
  </si>
  <si>
    <t>477-500頁</t>
  </si>
  <si>
    <t>朝倉氏遺跡出土の『湯液本草』</t>
  </si>
  <si>
    <t>501-522頁</t>
  </si>
  <si>
    <t>明治期の陸軍看護システム</t>
  </si>
  <si>
    <t>523-542頁</t>
  </si>
  <si>
    <t>痰の起源（二）―梁以前の医書にみられる「痰」の検討―</t>
  </si>
  <si>
    <t>543-553頁</t>
  </si>
  <si>
    <t>医学史研究の臨床医学への応用―医学史研究のより広い理解と実践を求めて―</t>
  </si>
  <si>
    <t>555-571頁</t>
  </si>
  <si>
    <t>和刻本漢籍医書総合年表―出版者名索引―</t>
  </si>
  <si>
    <t>573-594頁</t>
  </si>
  <si>
    <t>「高松宮記念ハンセン病資料館」の開設</t>
  </si>
  <si>
    <t>成田稔</t>
  </si>
  <si>
    <t>595-596頁</t>
  </si>
  <si>
    <t>北海道医史学研究会設立総会</t>
  </si>
  <si>
    <t>595頁</t>
  </si>
  <si>
    <t>中世ヨーロッパの衛生思想　six non naturalsとナイチンゲールの看護思想について（抄）</t>
  </si>
  <si>
    <t>596-597頁</t>
  </si>
  <si>
    <t>中国伝統医学の蔵府を考える―肝と肝臓　Liver　（抄）</t>
  </si>
  <si>
    <t>597-598頁</t>
  </si>
  <si>
    <t>山崎光夫</t>
  </si>
  <si>
    <t>598-600頁</t>
  </si>
  <si>
    <t>福島義一著『聞き書き・医者のみた阿波史・新阿波医人伝』</t>
  </si>
  <si>
    <t>片岡義雄</t>
  </si>
  <si>
    <t>600-601頁</t>
  </si>
  <si>
    <t>三浦豊彦著『労働と健康の歴史』（第七巻）</t>
  </si>
  <si>
    <t>保坂捷子</t>
  </si>
  <si>
    <t>601-603頁</t>
  </si>
  <si>
    <t>シャーウイン・Ｂ・ヌーランド著、曽田能宗訳『医学をきずいた人びと』上下二巻</t>
  </si>
  <si>
    <t>603-604頁</t>
  </si>
  <si>
    <t>新村拓著『ホスピスと老人介護の歴史』</t>
  </si>
  <si>
    <t>604-605頁</t>
  </si>
  <si>
    <t>石田純郎編著『緒方洪庵の蘭学』</t>
  </si>
  <si>
    <t>606-607頁</t>
  </si>
  <si>
    <t>小高健著『伝染病研究所』</t>
  </si>
  <si>
    <t>高橋勝三</t>
  </si>
  <si>
    <t>607-608頁</t>
  </si>
  <si>
    <t>トーマス・マキューン著、酒井シヅ・田中靖夫訳『病気の起源』</t>
  </si>
  <si>
    <t>網野豊</t>
  </si>
  <si>
    <t>608-609頁</t>
  </si>
  <si>
    <t>吉田直哉著『私伝・吉田富三　癌細胞はこう語った』</t>
  </si>
  <si>
    <t>609-610頁</t>
  </si>
  <si>
    <t>小竹英夫『柏倉忠粛とその周辺』</t>
  </si>
  <si>
    <t>611頁</t>
  </si>
  <si>
    <t>仏教と医療とのかかわり―古代インドから現代日本までの移りかわり―（抄）</t>
  </si>
  <si>
    <t>1994年(平成06)</t>
  </si>
  <si>
    <t>第40巻第1号</t>
  </si>
  <si>
    <t>「横浜軍陣病院」の再検討（抄）</t>
  </si>
  <si>
    <t>005-9頁</t>
  </si>
  <si>
    <t>米医 D.B.シモンズについて〔抄）</t>
  </si>
  <si>
    <t>幕末および明治中期における日本プロテスタント・ミッションの医療伝道について（抄）</t>
  </si>
  <si>
    <t>東京府病院長としての長谷川泰（抄）</t>
  </si>
  <si>
    <t>筒井八百珠と『臨床医典』（抄）</t>
  </si>
  <si>
    <t>鍼灸・治効理論の変遷（抄）</t>
  </si>
  <si>
    <t>十七世紀後半の医学書に見るらい病観（抄）</t>
  </si>
  <si>
    <t>内分泌の概念のおこり（抄）</t>
  </si>
  <si>
    <t>カスパル流外科について（抄）</t>
  </si>
  <si>
    <t>ScultetusのArmamentarium chirurgicum（外科の兵器庫）の書誌学的研究（抄）</t>
  </si>
  <si>
    <t>『撤氏産論』の原著者ゴ－トリ－プ・サロモンについて（抄）</t>
  </si>
  <si>
    <t>医学教育への薬学の協力（抄）</t>
  </si>
  <si>
    <t>明治はじめの京都の薬事政策―調剤資格の施策をめぐって―（抄）</t>
  </si>
  <si>
    <t>小野尚香，多田罹浩三</t>
  </si>
  <si>
    <t>家庭配置薬業の現状と諸問題（抄）</t>
  </si>
  <si>
    <t>松下正巳</t>
  </si>
  <si>
    <t>『万安方』にみられる麻疹の記載（抄）</t>
  </si>
  <si>
    <t>王鉄策，小曽戸洋</t>
  </si>
  <si>
    <t>三浦梅園『贅語』身生帙改稿過程研究序説―各稿本類の起稿・推敲年次の推定―（抄）</t>
  </si>
  <si>
    <t>近藤均</t>
  </si>
  <si>
    <t>日本における食品分析の起源（抄）</t>
  </si>
  <si>
    <t>東大医学部生化学教室創設者隈川宗雄とその一族（抄）</t>
  </si>
  <si>
    <t>モアビットなる市病院（抄）</t>
  </si>
  <si>
    <t>中世ヨ－ロッパの衛生思想　Six non-naturals（抄）</t>
  </si>
  <si>
    <t>平尾真知子</t>
  </si>
  <si>
    <t>クワック（Quack）―一八世紀オランダの巡回医療職について―（抄）</t>
  </si>
  <si>
    <t>アンリ・モンド－ルについて―フランスの外科医そして文学者―（抄）</t>
  </si>
  <si>
    <t>今泉孝</t>
  </si>
  <si>
    <t>『明月記』に表れる藤原定家の歯痛に関する考察（抄）</t>
  </si>
  <si>
    <t>開国と日本の歯科（抄）</t>
  </si>
  <si>
    <t>象牙質神経線維に関する歴史的変遷について（抄）</t>
  </si>
  <si>
    <t>西巻明彦</t>
  </si>
  <si>
    <t>アルブレヒト・フォン・ロ－レツの研究（1）（抄）</t>
  </si>
  <si>
    <t>小形利彦，エリッヒ・ラブル</t>
  </si>
  <si>
    <t>明治初期の軍医学校（抄）</t>
  </si>
  <si>
    <t>海軍大医監　奥山虎炳（抄）</t>
  </si>
  <si>
    <t>芸備　瀬戸内海沿岸　島部の医史概観（抄）</t>
  </si>
  <si>
    <t>日清・日露戦争時の恩賜の義肢の研究―リハビリテ－ション史の視点から―（抄）</t>
  </si>
  <si>
    <t>『空襲救護』について（抄）</t>
  </si>
  <si>
    <t>谷津三雄，渋谷鉱</t>
  </si>
  <si>
    <t>瀉血の歴史（抄）</t>
  </si>
  <si>
    <t>藤倉一郎，藤倉知子</t>
  </si>
  <si>
    <t>友部和弘，真柳誠</t>
  </si>
  <si>
    <t>華岡流の図説書（抄）</t>
  </si>
  <si>
    <t>華岡青洲の麻酔法の普及―福井における橋本左内による二手術例について―（抄）</t>
  </si>
  <si>
    <t>中国医学と道教（ⅩIII・日本古代史から）（抄）</t>
  </si>
  <si>
    <t>古代日本に於ける呪術医療への考察（抄）</t>
  </si>
  <si>
    <t>『史紀』扁鵲倉公伝の幻雲注所引の『難経』について（抄）</t>
  </si>
  <si>
    <t>馬王堆『南方禹臧』図考（抄）</t>
  </si>
  <si>
    <t>野口英世の師　渡辺鼎　そのI―父・思斉―（抄）</t>
  </si>
  <si>
    <t>産婦人科医緒方正清（一八六四ー一九一九）（抄）</t>
  </si>
  <si>
    <t>高岡長崎家収蔵の『寥山翁方集』をめぐって（抄）</t>
  </si>
  <si>
    <t>長崎浩斎『医者物語』と吉田長淑（抄）</t>
  </si>
  <si>
    <t>近代日本における社会衛生学の展開とその特質</t>
  </si>
  <si>
    <t>第40巻第2号</t>
  </si>
  <si>
    <t>111-132頁</t>
  </si>
  <si>
    <t>山脇東門及び荻野元凱とオランダ医学</t>
  </si>
  <si>
    <t>Mace・美枝子</t>
  </si>
  <si>
    <t>133-153頁</t>
  </si>
  <si>
    <t>函館医学校記録（生徒資料より）</t>
  </si>
  <si>
    <t>155-184頁</t>
  </si>
  <si>
    <t>金沢貞顕文書の医史学的研究</t>
  </si>
  <si>
    <t>185-200頁</t>
  </si>
  <si>
    <t>明治期の陸軍看護技術</t>
  </si>
  <si>
    <t>201-209頁</t>
  </si>
  <si>
    <t>結核外科における肋膜外合成樹脂充填術</t>
  </si>
  <si>
    <t>211-216頁</t>
  </si>
  <si>
    <t>池田文書の研究（十）</t>
  </si>
  <si>
    <t>217-226頁</t>
  </si>
  <si>
    <t>『医外史』の研究（抄）</t>
  </si>
  <si>
    <t>小池猪一</t>
  </si>
  <si>
    <t>三浦梅園の生理学体系―とくに臓腑・経脈・筋骨の機能について―〔抄〕</t>
  </si>
  <si>
    <t>J.B.シッド－ルの衛生指導（抄）</t>
  </si>
  <si>
    <t>斉藤信夫著『指の文化誌』</t>
  </si>
  <si>
    <t>大塚恭男著『東西生薬考』</t>
  </si>
  <si>
    <t>森重孝著『鹿児島の医学』</t>
  </si>
  <si>
    <t>田中助一著復刻『能美洞庵略伝』</t>
  </si>
  <si>
    <t>星和夫著『楽しい医学用語ものがたり』</t>
  </si>
  <si>
    <t>三浦豊彦著『快適環境のフォークロア』</t>
  </si>
  <si>
    <t>片桐一男著『蘭学、その江戸と北陸―大槻玄沢と長崎浩斎―』</t>
  </si>
  <si>
    <t>ﾄｰﾏｽ･D・ﾌﾞﾛｯｸ著、長木大三・添川正夫訳『ローベルト・コッホ　医学の原野を切り拓いた忍耐と信念の人』</t>
  </si>
  <si>
    <t>小林健二・宮川浩也編『素問・霊枢　総索引』</t>
  </si>
  <si>
    <t>宗田一著『渡来薬の文化誌』</t>
  </si>
  <si>
    <t>245頁</t>
  </si>
  <si>
    <t>第40巻第3号</t>
  </si>
  <si>
    <t>255-279頁</t>
  </si>
  <si>
    <t>山下御門内仮病院</t>
  </si>
  <si>
    <t>281-292頁</t>
  </si>
  <si>
    <t>済生学舎廃校の歴史</t>
  </si>
  <si>
    <t>293-304頁</t>
  </si>
  <si>
    <t>近代日本鍼術の拠り所</t>
  </si>
  <si>
    <t>305-313頁</t>
  </si>
  <si>
    <t>資料　池田文書の研究（十一）</t>
  </si>
  <si>
    <t>315-322頁</t>
  </si>
  <si>
    <t>日本医史学会関西支部一九九四（平成六）年春季大会</t>
  </si>
  <si>
    <t>上山藩医奥山玄育と荻野元凱（抄）</t>
  </si>
  <si>
    <t>幕末薩摩藩と大円寺（抄）</t>
  </si>
  <si>
    <t>ケガレと臓器移植（抄）</t>
  </si>
  <si>
    <t>横浜・太田陣屋の研究（抄）</t>
  </si>
  <si>
    <t>近世日本の医薬界における神農画賛流行の背景（抄）</t>
  </si>
  <si>
    <t>吉岡郁夫・長谷部学著『ミルンの日本人種論―アイヌとコロポクグルー』</t>
  </si>
  <si>
    <t>334-336頁</t>
  </si>
  <si>
    <t>フォス美弥子編訳『幕末出島未公開文書―ドンケル＝クルチウス覚え書』</t>
  </si>
  <si>
    <t>坂井建雄著『からだの自然誌』</t>
  </si>
  <si>
    <t>永野貞子</t>
  </si>
  <si>
    <t>室賀正信著『沼津・室賀病院―医系家族百年の記録―』</t>
  </si>
  <si>
    <t>山本俊一著『日本らい史』</t>
  </si>
  <si>
    <t>蒲原宏著『新潟県医学史覚書』</t>
  </si>
  <si>
    <t>長谷川正康著『歯の風俗誌』</t>
  </si>
  <si>
    <t>医史学関係文献目録（1992年）</t>
  </si>
  <si>
    <t>348-391頁</t>
  </si>
  <si>
    <t>第40巻第4号</t>
  </si>
  <si>
    <t>399-412頁</t>
  </si>
  <si>
    <t>413-434頁</t>
  </si>
  <si>
    <t>遠藤次郎，中村輝子，八巻英彦，宮本浩和</t>
  </si>
  <si>
    <t>維新期の独逸留学生の光と影－ドイツ大学最初の日本人学籍登録者赤星研造について－</t>
  </si>
  <si>
    <t>447-465頁</t>
  </si>
  <si>
    <t>日中韓古医籍の所蔵目録</t>
  </si>
  <si>
    <t>王鉄策，小曽戸洋，真柳誠</t>
  </si>
  <si>
    <t>467-478頁</t>
  </si>
  <si>
    <t>池田文書の研究（十二）</t>
  </si>
  <si>
    <t>479-488頁</t>
  </si>
  <si>
    <t>山脇東洋墓碑・山脇社中解剖供養碑再建記念事業を終えて</t>
  </si>
  <si>
    <t>第四回国際アジア伝統医学大会（The 4th International Congress on Traditional Asian Medicine）</t>
  </si>
  <si>
    <t>491-492頁</t>
  </si>
  <si>
    <t>金光明最勝王経にみる医学（抄）</t>
  </si>
  <si>
    <t>492-493頁</t>
  </si>
  <si>
    <t>やみの医術－鴆鳥－実在から伝説へ（抄）</t>
  </si>
  <si>
    <t>493-495頁</t>
  </si>
  <si>
    <t>浅野総一郎とコレラ（抄）</t>
  </si>
  <si>
    <t>田崎哲郎編『在村蘭学の展開』</t>
  </si>
  <si>
    <t>497-498頁</t>
  </si>
  <si>
    <t>498-499頁</t>
  </si>
  <si>
    <t>新藤恵久著『木床義歯の文化史―世界に先駆けた日本の職人藝―』</t>
  </si>
  <si>
    <t>榊原悠紀田郎</t>
  </si>
  <si>
    <t>499-501頁</t>
  </si>
  <si>
    <t>エドワード・クック著、中村妙子・友枝久美子訳『ナイチンゲール〔その生涯と思想〕Ⅰ』</t>
  </si>
  <si>
    <t>根本幸夫他著『陰陽五行説・その発生と展開』</t>
  </si>
  <si>
    <t>林克</t>
  </si>
  <si>
    <t>503-504頁</t>
  </si>
  <si>
    <t>中原泉訳『人体構造論抄―ヴェサリウスのthe Epitome―』</t>
  </si>
  <si>
    <t>504-506頁</t>
  </si>
  <si>
    <t>鶴見大学図書館『特定テーマ別蔵書目録集成4―漢方と泰西医学』</t>
  </si>
  <si>
    <t>506-507頁</t>
  </si>
  <si>
    <t>日本におけるカスパル・シャムベルゲルの活動について</t>
  </si>
  <si>
    <t>1995年(平成07)</t>
  </si>
  <si>
    <t>第41巻第1号</t>
  </si>
  <si>
    <t>003-28頁</t>
  </si>
  <si>
    <t>マルシリオ・フィチーノの健康論</t>
  </si>
  <si>
    <t>伊藤和行</t>
  </si>
  <si>
    <t>済生学舎廃校後の各種講習会及び私立東京医学校・私立日本医学校</t>
  </si>
  <si>
    <t>041-73頁</t>
  </si>
  <si>
    <t>シーボルトの臨床医学―『蘭方口伝（シーボルト験方録）』の検討</t>
  </si>
  <si>
    <t>075-111頁</t>
  </si>
  <si>
    <t>長屋王家木簡の醤・味滓請求文書―『葛氏方』との関連から―</t>
  </si>
  <si>
    <t>東野浩之</t>
  </si>
  <si>
    <t>113-119頁</t>
  </si>
  <si>
    <t>池田文書の研究（十三）</t>
  </si>
  <si>
    <t>121-129頁</t>
  </si>
  <si>
    <t>追悼　赤松金芳先生</t>
  </si>
  <si>
    <t>131-133頁</t>
  </si>
  <si>
    <t>第34回医学史研究会　日本医史学会関西支部一九九四年秋季合同総会</t>
  </si>
  <si>
    <t>ハンガリーのゼンメルワイスの遺跡を訪ねて（抄）</t>
  </si>
  <si>
    <t>A. Vesalius: Epitome のラテン語原典および独・蘭・仏・英語版の特色（一）（抄）</t>
  </si>
  <si>
    <t>ヴィデオ供覧「呉家の人びと（野間祐輔先生出演」（抄）</t>
  </si>
  <si>
    <t>医療人類学研究会編『文化現象としての医療』</t>
  </si>
  <si>
    <t>名古屋大学医学部整形外科同門会編集『名倉重雄伝』</t>
  </si>
  <si>
    <t>津山直一</t>
  </si>
  <si>
    <t>千葉県立中央博物館編集『リンネと博物学―自然誌科学の源流』</t>
  </si>
  <si>
    <t>抄録（会長講演）</t>
  </si>
  <si>
    <t>日本における血液学・輸血学史の流れより（抄）</t>
  </si>
  <si>
    <t>日比野進</t>
  </si>
  <si>
    <t>第41巻第2号</t>
  </si>
  <si>
    <t>158-162頁</t>
  </si>
  <si>
    <t>抄録（特別講演）</t>
  </si>
  <si>
    <t>飛騨の庶民・農民の生活史から得られたもの―往還寺過去帳の研究（抄）</t>
  </si>
  <si>
    <t>須田圭三</t>
  </si>
  <si>
    <t>江馬家文書世界を生きた人々（抄）</t>
  </si>
  <si>
    <t>168-174頁</t>
  </si>
  <si>
    <t>尾張藩・名古屋を中心とした江戸時代の医療の流れ（抄）</t>
  </si>
  <si>
    <t>奈倉道治</t>
  </si>
  <si>
    <t>175-181頁</t>
  </si>
  <si>
    <t>『扶氏診断』訳者への疑問―島村鼎甫の可能性－（抄）</t>
  </si>
  <si>
    <t>石阪堅壮（肝吸虫発見者）の著述について（抄）</t>
  </si>
  <si>
    <t>尾張・三河の種痘史　補遺（抄）</t>
  </si>
  <si>
    <t>山田英雄，山内一信，高橋昭</t>
  </si>
  <si>
    <t>『元禄世間咄風聞集』所載の医薬学関連の咄（抄）</t>
  </si>
  <si>
    <t>産科医兼子元隣とその著書『産科成解』（1）（抄）</t>
  </si>
  <si>
    <t>古代における瀉血（抄）</t>
  </si>
  <si>
    <t>江戸前中期の瀉血療法（抄）</t>
  </si>
  <si>
    <t>魯迅医学筆記について(抄)</t>
  </si>
  <si>
    <t>名古屋における太田正雄(抄)</t>
  </si>
  <si>
    <t>富士川游と看護療法(抄)</t>
  </si>
  <si>
    <t>抄録　追悼</t>
  </si>
  <si>
    <t>藤浪鑑先生病症記・葬送記及び追悼文集について(抄)</t>
  </si>
  <si>
    <t>杉立義一，杉山武敏</t>
  </si>
  <si>
    <t>三浦梅園における獣胎解剖の視座(抄)</t>
  </si>
  <si>
    <t>永富独嘯庵（『漫遊雑記』一七六三年）にみる「狂」の用語について(抄)</t>
  </si>
  <si>
    <t>小曽戸明子</t>
  </si>
  <si>
    <t>精神科病医アルブレヒト・フォン・ローレツ（抄）</t>
  </si>
  <si>
    <t>アルブレヒト・フォン・ローレツの研究（2）（抄）</t>
  </si>
  <si>
    <t>小形利彦，エリック・ラブル</t>
  </si>
  <si>
    <t>長崎家収蔵の『折肱録』について（抄）</t>
  </si>
  <si>
    <t>長崎浩斎筆『味噌欺録』と［淋石］（抄）</t>
  </si>
  <si>
    <t>杉田玄白門人高峰幸庵について（抄）</t>
  </si>
  <si>
    <t>向井元升と『紅毛流外科秘伝』について（抄）</t>
  </si>
  <si>
    <t>藍屋佐兵衛の妻と勝股元碩の妻―青洲の乳癌患者について―（抄）</t>
  </si>
  <si>
    <t>不破家華岡流手術図について（抄）</t>
  </si>
  <si>
    <t>山内一信，不破洋</t>
  </si>
  <si>
    <t>明治期ドイツ留学もしくは視察した眼科医達（抄）</t>
  </si>
  <si>
    <t>奥沢康正，ユルゲン・コバチ</t>
  </si>
  <si>
    <t>サロモン氏産科鉗子（抄）</t>
  </si>
  <si>
    <t>済生学舎廃校後の各種講習会及び私立東京医学校・私立日本医学校（抄）</t>
  </si>
  <si>
    <t>『日本聖公会教役者名簿』記載の来日外国人医師について（抄）</t>
  </si>
  <si>
    <t>宇良田唯子とその時代（抄）</t>
  </si>
  <si>
    <t>池田文書と侍医制度（抄）</t>
  </si>
  <si>
    <t>医学系の海外留学生（韓国一八九六ー一九四五）（抄）</t>
  </si>
  <si>
    <t>幕末から明治中期にかけての英米系医学の受容（抄）</t>
  </si>
  <si>
    <t>第二次大戦後の医学教育変革について（抄）</t>
  </si>
  <si>
    <t>暉峻義等の社会衛生学への傾斜（抄）</t>
  </si>
  <si>
    <t>中国医学と道教（XVI・西遊記）（抄）</t>
  </si>
  <si>
    <t>雲夢睡虎地秦墓竹簡にみるらい病の診断と法律（抄）</t>
  </si>
  <si>
    <t>『素問』・『霊枢』における非医籍からの引用（抄）</t>
  </si>
  <si>
    <t>南化本『史記』幻雲附標に引かれる『存真環中図』について（抄）</t>
  </si>
  <si>
    <t>宮川浩也，真柳誠，小曽戸洋</t>
  </si>
  <si>
    <t>蘇頌と『図経本草』（抄）</t>
  </si>
  <si>
    <t>王少麗</t>
  </si>
  <si>
    <t>幻雲が引用した『東垣十書』（抄）</t>
  </si>
  <si>
    <t>真柳誠，宮川浩也，小曽戸洋</t>
  </si>
  <si>
    <t>北尾春甫著『当壮庵医按』について（抄）</t>
  </si>
  <si>
    <t>月舟寿桂から曲直瀬道三へ―『禅本草』をめぐって（抄）</t>
  </si>
  <si>
    <t>小曽戸洋，宮川浩也，真柳誠</t>
  </si>
  <si>
    <t>［銭匕］は［銭上］の訛（抄）</t>
  </si>
  <si>
    <t>郭秀梅，岡田研吉</t>
  </si>
  <si>
    <t>徳川昭武公の［順天堂入院日誌］について（第一報）（抄）</t>
  </si>
  <si>
    <t>本邦最初の血液学書入沢達吉纂訳『血液病理学及図譜』について（抄）</t>
  </si>
  <si>
    <t>266-267頁</t>
  </si>
  <si>
    <t>臨床検査という言葉の発祥と内容の史的推移―特に臨床検査技師の発展との関連について（抄）</t>
  </si>
  <si>
    <t>医療関連資料（史料）の現状と問題点（抄）</t>
  </si>
  <si>
    <t>網野豊，酒井シヅ</t>
  </si>
  <si>
    <t>名古屋市博物館所蔵の木骨について（抄）</t>
  </si>
  <si>
    <t>［みる］ための画像と［みせる］ための画像（抄）</t>
  </si>
  <si>
    <t>高比良英輔</t>
  </si>
  <si>
    <t>西紀町のアスクレピオス像（抄）</t>
  </si>
  <si>
    <t>278-279頁</t>
  </si>
  <si>
    <t>患者の心性および「よい患者」の歴史的考察(抄)</t>
  </si>
  <si>
    <t>古代日本に於ける呪術医療の思想的基盤(抄)</t>
  </si>
  <si>
    <t>「花園天皇宸記」に表われる花園天皇の口腔並に顔面の疾病について(抄)</t>
  </si>
  <si>
    <t>葛原勾当日記にみる歯痛と気象（抄）</t>
  </si>
  <si>
    <t>エナメル質微細構造の歴史（抄）</t>
  </si>
  <si>
    <t>敗戦・陸軍少佐青酸自殺・救命処置・蘇生(抄)</t>
  </si>
  <si>
    <t>軍医療発足のさいにみられた東校と兵部省の確執(抄)</t>
  </si>
  <si>
    <t>陸軍軍医講習生仮規則(抄)</t>
  </si>
  <si>
    <t>史料としてのオランダの「解剖学講義」の画(抄)</t>
  </si>
  <si>
    <t>Ｇ・ビドロ－の楽譜(抄)</t>
  </si>
  <si>
    <t>フランスのムラージュ（蝋製皮膚病模型）について(抄)</t>
  </si>
  <si>
    <t>300-301頁</t>
  </si>
  <si>
    <t>ジョン・ハンター再考(抄)</t>
  </si>
  <si>
    <t>Ｐ・Ｊ・デソーとその処置デプリドマンについて(抄)</t>
  </si>
  <si>
    <t>マルチェﾂロ・マルピーギの医学論(抄)</t>
  </si>
  <si>
    <t>306-307頁</t>
  </si>
  <si>
    <t>Moritz　Heinrich　Romberg　―そのプロフィールと「脊髄癆」・「半側顔面萎縮症」・「群発頭痛」の原著―(抄)</t>
  </si>
  <si>
    <t>高橋昭，伊藤泰広，白水重尚</t>
  </si>
  <si>
    <t>オキュペーショナル・セラピー（OT）の発展―米国と日本の比較―(抄)</t>
  </si>
  <si>
    <t>鈴木明子</t>
  </si>
  <si>
    <t>310-311頁</t>
  </si>
  <si>
    <t>東西医学交流史の一側面―脳研究者ハルトヴィヒ・ケーレンベック（一八九七－一九八四）の意識論の背景(抄)</t>
  </si>
  <si>
    <t>312-313頁</t>
  </si>
  <si>
    <t>海軍大医監　奥山虎炳(一八四〇～一九二六）</t>
  </si>
  <si>
    <t>第41巻第3号</t>
  </si>
  <si>
    <t>321-348頁</t>
  </si>
  <si>
    <t>初代曲直瀬道三の癩医学</t>
  </si>
  <si>
    <t>鈴木則子</t>
  </si>
  <si>
    <t>349-368頁</t>
  </si>
  <si>
    <t>西洋、中国、日本のジフテリア史素描　その一　古代、中世</t>
  </si>
  <si>
    <t>中村　昭</t>
  </si>
  <si>
    <t>369-394頁</t>
  </si>
  <si>
    <t>『紅毛医術聞書』にみる合田大介のカンケル論</t>
  </si>
  <si>
    <t>395-402頁</t>
  </si>
  <si>
    <t>一七世紀の平戸・出島蘭館の医薬関係者について</t>
  </si>
  <si>
    <t>ヴｵルフガング・ミヒェル</t>
  </si>
  <si>
    <t>403-420頁</t>
  </si>
  <si>
    <t>消息</t>
  </si>
  <si>
    <t>海外関連学会との交流</t>
  </si>
  <si>
    <t>真柳　誠</t>
  </si>
  <si>
    <t>近藤均氏《紹介》『ヴェサリウス著：人体構造論抄：中原訳』（本誌四〇巻第四号）に寄せて</t>
  </si>
  <si>
    <t>日本医史学会関西支部一九九五（平成七）年春季大会</t>
  </si>
  <si>
    <t>424頁</t>
  </si>
  <si>
    <t>憑きもの再論(抄)</t>
  </si>
  <si>
    <t>帝国大学医学部歯科の軌跡(抄)</t>
  </si>
  <si>
    <t>426-428頁</t>
  </si>
  <si>
    <t>漢代の解剖学(抄)</t>
  </si>
  <si>
    <t>428-430頁</t>
  </si>
  <si>
    <t>ロンドン病院博物館報告(抄)</t>
  </si>
  <si>
    <t>430-431頁</t>
  </si>
  <si>
    <t>永富独嘯庵（漫遊雑記）にみる神経症概念について(抄)</t>
  </si>
  <si>
    <t>432-433頁</t>
  </si>
  <si>
    <t>箕作阮甫『産科簡明』と原著者及び原著について(抄)</t>
  </si>
  <si>
    <t>石原　力</t>
  </si>
  <si>
    <t>433-435頁</t>
  </si>
  <si>
    <t>三人の玄良と一人の虎章－海軍大軍医奥山虎章(抄)</t>
  </si>
  <si>
    <t>436-437頁</t>
  </si>
  <si>
    <t>我国医学界初のX線実験臨床講義者・丸茂文良(抄)</t>
  </si>
  <si>
    <t>437-438頁</t>
  </si>
  <si>
    <t>439-440頁</t>
  </si>
  <si>
    <t>福田真人著『結核の文化史』</t>
  </si>
  <si>
    <t>440-441頁</t>
  </si>
  <si>
    <t>長谷川正康著『噛む―歯は生命』</t>
  </si>
  <si>
    <t>442-443頁</t>
  </si>
  <si>
    <t>神農五千年刊行委員会編『神農五千年』</t>
  </si>
  <si>
    <t>443-444頁</t>
  </si>
  <si>
    <t>寺師睦宗著『漢方を築いた先哲』</t>
  </si>
  <si>
    <t>444-445頁</t>
  </si>
  <si>
    <t>医史学文献目録　平成五（1992）年</t>
  </si>
  <si>
    <t>医史学文献目録（1992）年</t>
  </si>
  <si>
    <t>順天堂大学医史学研究室</t>
  </si>
  <si>
    <t>449-489頁</t>
  </si>
  <si>
    <t>モアビット病院の受難の背景―ナチス支配下のドイツ医学の一側面―</t>
  </si>
  <si>
    <t>第41巻第4号</t>
  </si>
  <si>
    <t>497-521頁</t>
  </si>
  <si>
    <t>島村鼎甫の業績と記録</t>
  </si>
  <si>
    <t>523-548頁</t>
  </si>
  <si>
    <t>宇和島藩医ストライキの事―御医師中不和一件―</t>
  </si>
  <si>
    <t>林敬</t>
  </si>
  <si>
    <t>549-565頁</t>
  </si>
  <si>
    <t>軍医寮発足のさいにみられた東校と兵部省の確執</t>
  </si>
  <si>
    <t>567-592頁</t>
  </si>
  <si>
    <t>法隆寺蔵「医薬調剤古抄」釈読</t>
  </si>
  <si>
    <t>アンドリュ－・ゴ－ブル</t>
  </si>
  <si>
    <t>593-604頁</t>
  </si>
  <si>
    <t>江戸幕府の医療制度に関する史料（六）―鍼科医員島浦（和田）・島崎・杉枝・栗本家『官医家譜』など―</t>
  </si>
  <si>
    <t>605-615頁</t>
  </si>
  <si>
    <t>王丸勇先生の逝去を悼む</t>
  </si>
  <si>
    <t>中山茂春</t>
  </si>
  <si>
    <t>617-618頁</t>
  </si>
  <si>
    <t>「宮崎医学所之跡」碑建立に就いて</t>
  </si>
  <si>
    <t>619-620頁</t>
  </si>
  <si>
    <t>小坂井昭吾</t>
  </si>
  <si>
    <t>620-623頁</t>
  </si>
  <si>
    <t>日本医史学会九月例会、神奈川地方会第七回学術大会合同会ご案内</t>
  </si>
  <si>
    <t>623頁</t>
  </si>
  <si>
    <t>名古屋医史談話会第一七回例会</t>
  </si>
  <si>
    <t>624-628頁</t>
  </si>
  <si>
    <t>尺次郎</t>
  </si>
  <si>
    <t>628頁</t>
  </si>
  <si>
    <t>『鎮将府日記』について（その一・序説）（抄）</t>
  </si>
  <si>
    <t>629-630頁</t>
  </si>
  <si>
    <t>前近代の受胎調節をめぐって（抄）</t>
  </si>
  <si>
    <t>629頁</t>
  </si>
  <si>
    <t>陰陽―中国古代医学の枠組み概念　其の一―（抄）</t>
  </si>
  <si>
    <t>630-632頁</t>
  </si>
  <si>
    <t>山本亨介著『種痘医小山肆成の生涯』</t>
  </si>
  <si>
    <t>632-634頁</t>
  </si>
  <si>
    <t>大塚恭男著『医学史こぼれ話』</t>
  </si>
  <si>
    <t>岩田誠著『ペールラシェーズの医学者たち』</t>
  </si>
  <si>
    <t>635-636頁</t>
  </si>
  <si>
    <t>S.J.ライザー著・春日倫子訳『診断術の歴史―医療とテクノロジー支配』</t>
  </si>
  <si>
    <t>安井広著『ベルツの生涯―近代医学導入の父―』</t>
  </si>
  <si>
    <t>竹内博編著『日本洋学人名事典』</t>
  </si>
  <si>
    <t>640-641頁</t>
  </si>
  <si>
    <t>641-642頁</t>
  </si>
  <si>
    <t>1996年(平成08)</t>
  </si>
  <si>
    <t>第42巻第1号</t>
  </si>
  <si>
    <t>003-27頁</t>
  </si>
  <si>
    <t>『医語類聚』の著者　海軍大軍医　奥山虎章</t>
  </si>
  <si>
    <t>029-48頁</t>
  </si>
  <si>
    <t>マルピーギの医学論</t>
  </si>
  <si>
    <t>049-59頁</t>
  </si>
  <si>
    <t>不破家華岡流手術記録の検討</t>
  </si>
  <si>
    <t>山内一信、不破洋</t>
  </si>
  <si>
    <t>061-76頁</t>
  </si>
  <si>
    <t>『存真環中図』―『史記』幻雲附標所引文からの検討</t>
  </si>
  <si>
    <t>077-86頁</t>
  </si>
  <si>
    <t>江戸幕府の医療制度に関する史料（七）―鍼科医員上田・吉田・山本・畠山家『宮医家譜』―</t>
  </si>
  <si>
    <t>087-93頁</t>
  </si>
  <si>
    <t>池田文書の研究（十四）</t>
  </si>
  <si>
    <t>095-104頁</t>
  </si>
  <si>
    <t>第三五回医学史研究会、日本医史学会関西支部一九九五年秋季合同総会</t>
  </si>
  <si>
    <t>105頁</t>
  </si>
  <si>
    <t>十九世紀アメリカ非正統医療における癒し・出産・自己形成―植物治療運動と水治療運動―（抄）</t>
  </si>
  <si>
    <t>鈴木七美</t>
  </si>
  <si>
    <t>多紀家関係の諸話題略記（抄）</t>
  </si>
  <si>
    <t>多紀元堅の墨跡（抄）</t>
  </si>
  <si>
    <t>町泉寿郎、小曽戸洋</t>
  </si>
  <si>
    <t>多紀元堅の著述（抄）</t>
  </si>
  <si>
    <t>真柳誠、郭秀梅</t>
  </si>
  <si>
    <t>111-113頁</t>
  </si>
  <si>
    <t>不潔の水を善水にする法―スエーデン法は正しいか―（抄）</t>
  </si>
  <si>
    <t>個人史研究におけるプライヴァシの問題―検討していただくための試論―（抄）</t>
  </si>
  <si>
    <t>小俣和一郎著『ナチスもう一つの大罪、「安楽死」とドイツ精神医学』</t>
  </si>
  <si>
    <t>山下政三著『脚気の歴史―ビタミンの発見』</t>
  </si>
  <si>
    <t>松田誠</t>
  </si>
  <si>
    <t>118-120頁</t>
  </si>
  <si>
    <t>荒井保男著『医の名言』</t>
  </si>
  <si>
    <t>123-124頁</t>
  </si>
  <si>
    <t>124-126頁</t>
  </si>
  <si>
    <t>松下正明編『続・精神医学を築いた人びと』（上・下）</t>
  </si>
  <si>
    <t>日野秀逸著『保健活動の歩み　人間・社会・健康』</t>
  </si>
  <si>
    <t>ステュアート・スピッカー著石渡隆司・酒井明夫・藤原博訳『医学哲学への招待』</t>
  </si>
  <si>
    <t>開拓使時代の医療（抄）</t>
  </si>
  <si>
    <t>吉田信</t>
  </si>
  <si>
    <t>第42巻第2号</t>
  </si>
  <si>
    <t>144-149頁</t>
  </si>
  <si>
    <t>蝦夷地とロシア―北辺医史学の背景としての日露関係―（抄）</t>
  </si>
  <si>
    <t>秋月俊幸</t>
  </si>
  <si>
    <t>150-155頁</t>
  </si>
  <si>
    <t>現代ウイルス学よりみたジェンナーの論文と伝記について（抄）</t>
  </si>
  <si>
    <t>156-159頁</t>
  </si>
  <si>
    <t>原始巫医の世界的普遍性の考察（抄）</t>
  </si>
  <si>
    <t>憑きもの再論（抄）</t>
  </si>
  <si>
    <t>岸田吟香が中国で販売した日本関連の古医書（抄）</t>
  </si>
  <si>
    <t>真柳誠、陳捷</t>
  </si>
  <si>
    <t>淳于意伝記考（抄）</t>
  </si>
  <si>
    <t>『清医胡兆新問答録』―一八〇四年の中国医への問答報告書について―（抄）</t>
  </si>
  <si>
    <t>郭秀梅、真柳誠</t>
  </si>
  <si>
    <t>168-169頁</t>
  </si>
  <si>
    <t>新発見の馬玄台『難経正義』（抄）</t>
  </si>
  <si>
    <t>172-173頁</t>
  </si>
  <si>
    <t>谷野一栢著『難経抄』所引医書について（抄）</t>
  </si>
  <si>
    <t>浅田宗伯と黄遵憲(抄)</t>
  </si>
  <si>
    <t>陳捷</t>
  </si>
  <si>
    <t>『傷寒論』の「煎・熬」に対する、『方言』による解釈(抄)</t>
  </si>
  <si>
    <t>岡田研吉、郭秀梅</t>
  </si>
  <si>
    <t>素問・霊枢に於ける血管及び血管病の記載について(抄)</t>
  </si>
  <si>
    <t>漢代の医療技術について(抄)</t>
  </si>
  <si>
    <t>和田裕一</t>
  </si>
  <si>
    <t>中国十六世紀以前の瀉血療法(抄)</t>
  </si>
  <si>
    <t>友部和弘、真柳誠</t>
  </si>
  <si>
    <t>中世における瀉血(抄)</t>
  </si>
  <si>
    <t>歯髄の歴史(抄)</t>
  </si>
  <si>
    <t>山岸喬</t>
  </si>
  <si>
    <t>津軽における貞亨、元禄年間のケシ栽培の実態(抄)</t>
  </si>
  <si>
    <t>蘭門五哲の書幅(抄)</t>
  </si>
  <si>
    <t>小曽戸洋、町泉寿郎</t>
  </si>
  <si>
    <t>北里柴三郎口述中川愛咲編纂「伝染病研究講義」の内容及びインフルエンザ菌の発見について(抄)</t>
  </si>
  <si>
    <t>会田恵、田口文章</t>
  </si>
  <si>
    <t>卵管の発見者、ガブリエーレ・ファロッピオについて(抄)</t>
  </si>
  <si>
    <t>チンチョン伯爵夫人とキナ渡米伝説(抄)</t>
  </si>
  <si>
    <t>『医語類聚』（奥山虎章）とMedical Lexicon (Robley Dunglison)(抄)</t>
  </si>
  <si>
    <t>北陸における法医学の源流(抄)</t>
  </si>
  <si>
    <t>吉村喜作博士とバビンスキー徴候(抄)</t>
  </si>
  <si>
    <t>田代邦雄</t>
  </si>
  <si>
    <t>日本プロテスタント・ミッション医療伝道の方針転換についての一考察(抄)</t>
  </si>
  <si>
    <t>釈迦とキリストの患者の治療の実態について(抄)</t>
  </si>
  <si>
    <t>広島原爆救護活動補遺(抄)</t>
  </si>
  <si>
    <t>一七二一年、ボストンにおける天然痘流行と人痘法の施行(抄)</t>
  </si>
  <si>
    <t>小田泰子</t>
  </si>
  <si>
    <t>ジェンナーをめぐる二、三の話題(抄)</t>
  </si>
  <si>
    <t>フラカストロの伝染理論(抄)</t>
  </si>
  <si>
    <t>山本致美訳『扶氏診断』と島村鼎甫訳『扶氏診則』(抄)</t>
  </si>
  <si>
    <t>足立長雋の訳書『産科礎』の成立年代(抄)</t>
  </si>
  <si>
    <t>華岡青洲及び春林軒塾に関する岡山県内資料(抄)</t>
  </si>
  <si>
    <t>中山沃、石田純郎</t>
  </si>
  <si>
    <t>高岡長崎家の子弟教育について―四代蓬州、五代浩斎を中心に―(抄)</t>
  </si>
  <si>
    <t>デンマークの師・マッセン博士に宛てた野口英世の書簡(抄)</t>
  </si>
  <si>
    <t>石黒達也</t>
  </si>
  <si>
    <t>児玉信嘉宛野口英世１６書簡(抄)</t>
  </si>
  <si>
    <t>日本消化器病学会発足の頃(抄)</t>
  </si>
  <si>
    <t>初期の皮膚科学における東大と京大(抄)</t>
  </si>
  <si>
    <t>アルブレヒト・フォン・ローレツの「皮膚病論一斑」(抄)</t>
  </si>
  <si>
    <t>明治前期における医師試験制度と奉職履歴医について(抄)</t>
  </si>
  <si>
    <t>樋口輝雄</t>
  </si>
  <si>
    <t>一八八八年の医学校処分について(抄)</t>
  </si>
  <si>
    <t>財団法人・日本医学専門学校の学校騒動と私立東京医学専門学校の独立分離(抄)</t>
  </si>
  <si>
    <t>明治女医史の基礎的研究(抄)</t>
  </si>
  <si>
    <t>三崎祐子</t>
  </si>
  <si>
    <t>明治廿六年医科大学国家医学講習科実録（学生記録）(抄)</t>
  </si>
  <si>
    <t>太田正雄（木下杢太郎）の医学ノートについて(抄)</t>
  </si>
  <si>
    <t>黒川一郎、島田保久、吉田信</t>
  </si>
  <si>
    <t>徳川昭武公の『順天堂入院日誌』について（第二報）(抄)</t>
  </si>
  <si>
    <t>中国伝統医学と道教（XVII）『三国演義』から(抄)</t>
  </si>
  <si>
    <t>民間急救療法(抄)</t>
  </si>
  <si>
    <t>日本における作業療法の歴史(抄)</t>
  </si>
  <si>
    <t>吉見契子、鈴木明子</t>
  </si>
  <si>
    <t>「看護」という言葉の使用のはじめ（第1報）―看護という言葉はいつから使われるようになったか―(抄)</t>
  </si>
  <si>
    <t>我が国の顕微鏡の由来－和田医学史料館所蔵の顕微鏡の歴史－(抄)</t>
  </si>
  <si>
    <t>和田和代史</t>
  </si>
  <si>
    <t>赤城信一について（第一報）(抄)</t>
  </si>
  <si>
    <t>上田智夫、小竹英夫、宮下蕣一</t>
  </si>
  <si>
    <t>札幌黴毒院について(抄)</t>
  </si>
  <si>
    <t>島田保久、横田一郎、黒川一郎、片岡是充、長瀬清、吉田信</t>
  </si>
  <si>
    <t>華岡青洲の麻酔法の普及について―福井藩橋本左内による手術症例の検討―</t>
  </si>
  <si>
    <t>第42巻第3号</t>
  </si>
  <si>
    <t>289-302頁</t>
  </si>
  <si>
    <t>財団法人・日本医学専門学校の学校騒動と私立東京医学専門学校の独立分離（上）</t>
  </si>
  <si>
    <t>303-321頁</t>
  </si>
  <si>
    <t>カスパル・シャムベルケルと「カスパル流外科」（上）</t>
  </si>
  <si>
    <t>323-347頁</t>
  </si>
  <si>
    <t>『医心方』に記述される「経義解」の検討</t>
  </si>
  <si>
    <t>西洋・中国・日本のジフテリア史素描　その二　近世</t>
  </si>
  <si>
    <t>369-387頁</t>
  </si>
  <si>
    <t>マイモニデスの銅像・墓・ヘブライ語表記</t>
  </si>
  <si>
    <t>389-398頁</t>
  </si>
  <si>
    <t>小島宝素著・森立之写『河清寓記』釈読（上）</t>
  </si>
  <si>
    <t>町泉寿郎</t>
  </si>
  <si>
    <t>399-410頁</t>
  </si>
  <si>
    <t>大鳥蘭三郎先生の御経歴</t>
  </si>
  <si>
    <t>411-413頁</t>
  </si>
  <si>
    <t>大鳥蘭三郎先生の御逝去を悼む</t>
  </si>
  <si>
    <t>414-416頁</t>
  </si>
  <si>
    <t>追憶の大鳥蘭三郎先生</t>
  </si>
  <si>
    <t>大鳥蘭三郎先生の思い出</t>
  </si>
  <si>
    <t>恩師を偲んで　大鳥蘭三郎先生の三つの顔</t>
  </si>
  <si>
    <t>421-423頁</t>
  </si>
  <si>
    <t>稲村三伯の「ハルマ和解」完成二〇〇年記念事業</t>
  </si>
  <si>
    <t>蛭田玄仙先生顕彰碑建立及び生誕二百五十年祭の記</t>
  </si>
  <si>
    <t>427-430頁</t>
  </si>
  <si>
    <t>日本医史学会関西支部一九九六（平成八）年春期大会</t>
  </si>
  <si>
    <t>431-432頁</t>
  </si>
  <si>
    <t>五行―中国古代医学の枠組み概念　其の二(抄)</t>
  </si>
  <si>
    <t>三才―中国古代医学の枠組み概念　其の三(抄)</t>
  </si>
  <si>
    <t>434-435頁</t>
  </si>
  <si>
    <t>室町時代より江戸初期までの灸技術について(抄)</t>
  </si>
  <si>
    <t>角谷貞雄</t>
  </si>
  <si>
    <t>435-437頁</t>
  </si>
  <si>
    <t>ハーヴェイ以前の血液循環理論について(抄)</t>
  </si>
  <si>
    <t>オランダ商館長の住友銅吹所見物と饗応・贈答(抄)</t>
  </si>
  <si>
    <t>438-440頁</t>
  </si>
  <si>
    <t>着想としての内視鏡(抄)</t>
  </si>
  <si>
    <t>多賀須幸男</t>
  </si>
  <si>
    <t>440-442頁</t>
  </si>
  <si>
    <t>志田信男</t>
  </si>
  <si>
    <t>クリストファー・ゼクストン著、丸田浩、マーティン・ラムゼイほか訳「バーネット―メルボルンの生んだ天才」</t>
  </si>
  <si>
    <t>石田純郎著『ヨーロッパ医科学史散歩』</t>
  </si>
  <si>
    <t>杉田暉道・長門谷洋治・平尾真智子・石原明著、系統看護学講座別巻9『看護史』</t>
  </si>
  <si>
    <t>新村拓著『出産と生殖観の歴史』</t>
  </si>
  <si>
    <t>医史学関連文献目録（1994年）</t>
  </si>
  <si>
    <t>450-493頁</t>
  </si>
  <si>
    <t>尾張藩薬園の成立と変遷</t>
  </si>
  <si>
    <t>第42巻第4号</t>
  </si>
  <si>
    <t>503-520頁</t>
  </si>
  <si>
    <t>カスパル・シャムベルゲルと「カスパル流外科」（下）</t>
  </si>
  <si>
    <t>521-546頁</t>
  </si>
  <si>
    <t>財団法人・日本医学専門学校の学校騒動と私立東京医学専門学校の独立分離（下）</t>
  </si>
  <si>
    <t>547-562頁</t>
  </si>
  <si>
    <t>『元禄世間咄風聞集』所載の医薬学関連の咄</t>
  </si>
  <si>
    <t>563-580頁</t>
  </si>
  <si>
    <t>キナ伝説の里、チンチョンとチンチョン伯爵夫人</t>
  </si>
  <si>
    <t>581-588頁</t>
  </si>
  <si>
    <t>小島宝素著・森立之写『河清寓記』釈読（下）</t>
  </si>
  <si>
    <t>589-601頁</t>
  </si>
  <si>
    <t>池田文書の研究（十五）</t>
  </si>
  <si>
    <t>603-613頁</t>
  </si>
  <si>
    <t>江戸幕府の医療制度に関する史料（八）―鍼科医員佐田・増田・山崎家『官医家譜』など―</t>
  </si>
  <si>
    <t>615-626頁</t>
  </si>
  <si>
    <t>宗田一先生の略年譜</t>
  </si>
  <si>
    <t>627-629頁</t>
  </si>
  <si>
    <t>宗田一先生の御逝去を悼む</t>
  </si>
  <si>
    <t>宗田一先生を偲ぶ</t>
  </si>
  <si>
    <t>633-634頁</t>
  </si>
  <si>
    <t>思い出の宗田一先生</t>
  </si>
  <si>
    <t>宗田一先生と日本医史学会</t>
  </si>
  <si>
    <t>宗田一先生を悼む</t>
  </si>
  <si>
    <t>639-641頁</t>
  </si>
  <si>
    <t>宗田一先生と京都の医学史研究</t>
  </si>
  <si>
    <t>642-644頁</t>
  </si>
  <si>
    <t>医史学者、そして名プランナー宗田一先生</t>
  </si>
  <si>
    <t>645-647頁</t>
  </si>
  <si>
    <t>大鳥蘭三郎先生を偲ぶ会の報告</t>
  </si>
  <si>
    <t>651-652頁</t>
  </si>
  <si>
    <t>652-656頁</t>
  </si>
  <si>
    <t>横浜軍陣病院の介抱女(抄)</t>
  </si>
  <si>
    <t>656-657頁</t>
  </si>
  <si>
    <t>『大同類聚方』の問題点―同撰―について(抄)</t>
  </si>
  <si>
    <t>後藤志朗</t>
  </si>
  <si>
    <t>657-659頁</t>
  </si>
  <si>
    <t>『医則発揮』の著者河津省庵と門人山川揚庵(抄)</t>
  </si>
  <si>
    <t>石原昴</t>
  </si>
  <si>
    <t>659-660頁</t>
  </si>
  <si>
    <t>疾病史から見た『傷寒論』(抄)</t>
  </si>
  <si>
    <t>660-662頁</t>
  </si>
  <si>
    <t>青柳精一著『診療報酬の歴史』</t>
  </si>
  <si>
    <t>662-664頁</t>
  </si>
  <si>
    <t>第九十七回日本医史学会総会（札幌）記念出版　北海道医史学研究会編『北海道の医療　その歩み』</t>
  </si>
  <si>
    <t>664-665頁</t>
  </si>
  <si>
    <t>北里研究所東洋医学総合研究所医史学研究部編『『扁鵲倉公列伝』幻雲注の翻字と研究』</t>
  </si>
  <si>
    <t>665-667頁</t>
  </si>
  <si>
    <t>現代語訳・注記・解題、松尾信一ほか日本農書全集第六十巻『畜産・獣医』</t>
  </si>
  <si>
    <t>667-668頁</t>
  </si>
  <si>
    <t>R・コールダー著、佐久間昭訳『物語・人間の医学史』</t>
  </si>
  <si>
    <t>668-669頁</t>
  </si>
  <si>
    <t>杉田絹江・杉田勇共訳『フーフェラント自伝　医の倫理』</t>
  </si>
  <si>
    <t>670-671頁</t>
  </si>
  <si>
    <t>藤浪鑑の医史学的検証　附、藤浪肉腫ウイルス・遺伝子の研究</t>
  </si>
  <si>
    <t>1997年(平成09)</t>
  </si>
  <si>
    <t>第43巻第1号</t>
  </si>
  <si>
    <t>003-26頁</t>
  </si>
  <si>
    <t>古記録にみえる室町時代の患者と医療(一)―『看聞御記』嘉吉元年入江殿闘病記録から―</t>
  </si>
  <si>
    <t>水谷惟紗久</t>
  </si>
  <si>
    <t>027-58頁</t>
  </si>
  <si>
    <t>ジロラモ・フラカストロの伝染理論</t>
  </si>
  <si>
    <t>059-68頁</t>
  </si>
  <si>
    <t>幕末の弘前藩における痘瘡流行と牛痘種痘普及の実態―豪商金木矢又三郎日記による研究―</t>
  </si>
  <si>
    <t>069-84頁</t>
  </si>
  <si>
    <t>『勅撰真本大同類聚方』について</t>
  </si>
  <si>
    <t>085-99頁</t>
  </si>
  <si>
    <t>衛生学者坪井次郎業績目録</t>
  </si>
  <si>
    <t>101-111頁</t>
  </si>
  <si>
    <t>丸山博先生を偲ぶ</t>
  </si>
  <si>
    <t>シーボルト生誕二〇〇年記念国際医学シンポジウム</t>
  </si>
  <si>
    <t>長瀧重信</t>
  </si>
  <si>
    <t>例会記録1996年11月～1997年1月</t>
  </si>
  <si>
    <t>第36回医学史研究会日本医史学会関西支部1996年秋季合同総会</t>
  </si>
  <si>
    <t>118頁</t>
  </si>
  <si>
    <t>アメリカと日本におけるヘボン(抄)</t>
  </si>
  <si>
    <t>江馬式蒸気風呂と薬草(抄)</t>
  </si>
  <si>
    <t>122-124頁</t>
  </si>
  <si>
    <t>懸田克躬先生のこと(抄)</t>
  </si>
  <si>
    <t>病原微生物の氾濫</t>
  </si>
  <si>
    <t>江戸参府随行記</t>
  </si>
  <si>
    <t>鳴滝紀要６　シーボルト生誕200周年記念号</t>
  </si>
  <si>
    <t>済生学舎と長谷川泰―野口英世や吉川弥生の学んだ私立医学校</t>
  </si>
  <si>
    <t>広島県山県郡医師会史　上・下</t>
  </si>
  <si>
    <t>中原徳太郎・小此木信六郎・塩田広重・近藤達児の医学校の再建―日本医学専門学校から日本医科大学昇進までの困難な道程―</t>
  </si>
  <si>
    <t>第43巻第2号</t>
  </si>
  <si>
    <t>143-168頁</t>
  </si>
  <si>
    <t>キナ樹皮渡来の伝説をめぐって、チンチョン伯爵夫人説とイエズス会説</t>
  </si>
  <si>
    <t>169-186頁</t>
  </si>
  <si>
    <t>古記録にみえる室町時代の患者と医療(二)―『言継卿記』永禄九年南向闘病記録から―</t>
  </si>
  <si>
    <t>187-209頁</t>
  </si>
  <si>
    <t>西洋、中国、日本のジフテリア史素描　その三　近代</t>
  </si>
  <si>
    <t>211-240頁</t>
  </si>
  <si>
    <t>インターネットにおける医史学</t>
  </si>
  <si>
    <t>241-248頁</t>
  </si>
  <si>
    <t>「健康」という語の創始者について</t>
  </si>
  <si>
    <t>249-254頁</t>
  </si>
  <si>
    <t>人痘法についてのメートランドの報告</t>
  </si>
  <si>
    <t>255-269頁</t>
  </si>
  <si>
    <t>追悼　川喜田愛郎先生</t>
  </si>
  <si>
    <t>宗田一先生合同追悼会</t>
  </si>
  <si>
    <t>273頁</t>
  </si>
  <si>
    <t>日本医学会への加盟申請についての公示</t>
  </si>
  <si>
    <t>274頁</t>
  </si>
  <si>
    <t>山脇東洋の『外台秘要方』版行について(例会抄)</t>
  </si>
  <si>
    <t>歴史を変えた病</t>
  </si>
  <si>
    <t>今泉　孝</t>
  </si>
  <si>
    <t>医者のみた福沢諭吉</t>
  </si>
  <si>
    <t>長山泰政先生著作集</t>
  </si>
  <si>
    <t>日本医学会だより17</t>
  </si>
  <si>
    <t>医史学関係文献目録（1995年）</t>
  </si>
  <si>
    <t>284-327頁</t>
  </si>
  <si>
    <t>特別講演(1)　日中医薬文化交流史 ―博多を窓口として(抄)</t>
  </si>
  <si>
    <t>小曽戸　洋</t>
  </si>
  <si>
    <t>第43巻第3号</t>
  </si>
  <si>
    <t>238-254頁</t>
  </si>
  <si>
    <t>九州大学医学部の誕生と関連医史学資料について(抄)</t>
  </si>
  <si>
    <t>曽田豊二</t>
  </si>
  <si>
    <t>255-263頁</t>
  </si>
  <si>
    <t>福岡地方の2000年の医学の歴史(抄)</t>
  </si>
  <si>
    <t>奥村　武</t>
  </si>
  <si>
    <t>264-277頁</t>
  </si>
  <si>
    <t>中国伝統医学と道教(第18回)『水滸伝』から(抄)</t>
  </si>
  <si>
    <t>『法華経』にみる医療(抄)</t>
  </si>
  <si>
    <t>宋版傷寒論の三陰三陽編の成立について―異本との条文比較による検討―(抄)</t>
  </si>
  <si>
    <t>牧角和宏</t>
  </si>
  <si>
    <t>『内経』「真」字考(抄)</t>
  </si>
  <si>
    <t>北宋官刻医書の民間への流通(抄)</t>
  </si>
  <si>
    <t>陳　捷、小曽戸　洋</t>
  </si>
  <si>
    <t>日本の精神病学における遺伝学的研究の歴史（その一）(抄)</t>
  </si>
  <si>
    <t>高橋　昭</t>
  </si>
  <si>
    <t>「田原結節の発見者　田原淳」補遺(抄)</t>
  </si>
  <si>
    <t>冨田達夫</t>
  </si>
  <si>
    <t>日本における近代外科と麻酔 1―虫垂の解剖学的認識と虫垂炎の病理、早期虫切への過程(抄)</t>
  </si>
  <si>
    <t>医史学教育の現状アンケートから(抄)</t>
  </si>
  <si>
    <t>明治の軍医部出仕官について(抄)</t>
  </si>
  <si>
    <t>日本外科学会の濫觴(抄)</t>
  </si>
  <si>
    <t>佐藤　裕</t>
  </si>
  <si>
    <t>順天堂院長　佐藤進のベルリンからの手紙(抄)</t>
  </si>
  <si>
    <t>中川修亭の「麻薬考」の書誌学的研究(抄)</t>
  </si>
  <si>
    <t>戦時下における医事雑誌の統合廃止(抄)</t>
  </si>
  <si>
    <t>「看護」という言葉の使用のはじめ（第二報）－平野重誠『病家須知』と看護－(抄)</t>
  </si>
  <si>
    <t>眼科医療器械発達史―屈折及び眼底検査器械から―(抄)</t>
  </si>
  <si>
    <t>奥沢康正、野中杏一郎</t>
  </si>
  <si>
    <t>済生学舎の女子医学教育及びその周辺(抄)</t>
  </si>
  <si>
    <t>明治女医史の基礎的研究（二）「女医論」について(抄)</t>
  </si>
  <si>
    <t>初期の九大皮膚科と旭憲吉教授(抄)</t>
  </si>
  <si>
    <t>開拓使および札幌県における医術開業免状について(抄)</t>
  </si>
  <si>
    <t>島田保久、長瀬　清、横田一郎、菊田道彦、福井卓治、吉田　信</t>
  </si>
  <si>
    <t>明治初期における広島県立病院の役割と病院長たち(抄)</t>
  </si>
  <si>
    <t>日本及び中国の脳解剖の先駆者―河口信任と王清任(抄)</t>
  </si>
  <si>
    <t>邵　沛</t>
  </si>
  <si>
    <t>上皮の概念の成立に果たしたヘンレとケリカーの役割(抄)</t>
  </si>
  <si>
    <t>江戸時代の馬の内臓解剖図と解剖記述について(抄)</t>
  </si>
  <si>
    <t>『崎舘箋臆』について―清医・胡兆新の幕府医官との筆談について(抄)</t>
  </si>
  <si>
    <t>郭　秀梅</t>
  </si>
  <si>
    <t>宮内庁書陵部所蔵、中国第一の針灸証治図説『針灸捷径』(抄)</t>
  </si>
  <si>
    <t>王　鉄策</t>
  </si>
  <si>
    <t>「樗雑集」における口腔部門の研究(抄)</t>
  </si>
  <si>
    <t>『寿域神方』の瀉血療法(抄)</t>
  </si>
  <si>
    <t>友部和弘、王　鉄策、小曽戸　洋</t>
  </si>
  <si>
    <t>居延漢簡に見る疾病と傷寒の概念(抄)</t>
  </si>
  <si>
    <t>敦煌文書O.六一三（露）とP.三二八七（仏）の合致(抄)</t>
  </si>
  <si>
    <t>荒尾敏雄</t>
  </si>
  <si>
    <t>浅井貞庵と尾張の本草学(抄)</t>
  </si>
  <si>
    <t>貝原益軒著大和本草記載のミイラの薬効について(抄)</t>
  </si>
  <si>
    <t>江頭啓介・原　敬二郎</t>
  </si>
  <si>
    <t>346-347頁</t>
  </si>
  <si>
    <t>養生訓（貝原益軒著）に示された医師になるために読むべき書について（併せて現代の漢方医学教育について）(抄)</t>
  </si>
  <si>
    <t>原　敬二郎</t>
  </si>
  <si>
    <t>江戸期本草家の北陸への関心（一）山本渓山の能登半島・立山採薬紀行(抄)</t>
  </si>
  <si>
    <t>350-351頁</t>
  </si>
  <si>
    <t>真柳　誠、矢数道明</t>
  </si>
  <si>
    <t>田代三喜の新発見の医書『酬医頓得』の意義(抄)</t>
  </si>
  <si>
    <t>1)遠藤次郎、1)中村輝子、2)奈倉道治</t>
  </si>
  <si>
    <t>354-355頁</t>
  </si>
  <si>
    <t>小島宝素・海保漁村の天保十三年の京都訪書行について(抄)</t>
  </si>
  <si>
    <t>町　泉寿郎</t>
  </si>
  <si>
    <t>356-357頁</t>
  </si>
  <si>
    <t>亀井南冥著『病因備考』について（特に後藤艮山著『病因考』との関連）(抄)</t>
  </si>
  <si>
    <t>木下　勤</t>
  </si>
  <si>
    <t>358-359頁</t>
  </si>
  <si>
    <t>『解体新書』の原著者Ｊ・Ａ・クルムスについて新史料(抄)</t>
  </si>
  <si>
    <t>360-361頁</t>
  </si>
  <si>
    <t>ベレッティーニ解剖図譜における自律神経系(抄)</t>
  </si>
  <si>
    <t>オルリー・レジス、本宮かをる</t>
  </si>
  <si>
    <t>362-363頁</t>
  </si>
  <si>
    <t>福岡・原三信氏家蔵『阿蘭陀外科術式図譜絵巻』についての考察(抄)</t>
  </si>
  <si>
    <t>蒲原　宏</t>
  </si>
  <si>
    <t>「レメリン解剖図」と「原三信解剖図」について(抄)</t>
  </si>
  <si>
    <t>原　三信・原　　寛</t>
  </si>
  <si>
    <t>赤城信一について（第二報）(抄)</t>
  </si>
  <si>
    <t>上田智夫・小竹英夫・宮下舜一・吉田　信</t>
  </si>
  <si>
    <t>江戸幕府御典医関東船橋氏の略史(抄)</t>
  </si>
  <si>
    <t>370-371頁</t>
  </si>
  <si>
    <t>『盲聾記』の記事から―戦国時代の医師の日記(抄)</t>
  </si>
  <si>
    <t>幕末期の院内銀山「お抱え医」の実態－「門屋養安日記」にみる庶民の医療（一）(抄)</t>
  </si>
  <si>
    <t>莇　昭三</t>
  </si>
  <si>
    <t>374-375頁</t>
  </si>
  <si>
    <t>乗附氏家系と乗附流産科(抄)</t>
  </si>
  <si>
    <t>376-377頁</t>
  </si>
  <si>
    <t>モーゼス・マイモニデスの生涯(抄)</t>
  </si>
  <si>
    <t>378-379頁</t>
  </si>
  <si>
    <t>リヨンにおける医学小史（１）―クロード･ベルナール博物館―(抄)</t>
  </si>
  <si>
    <t>小林　晶</t>
  </si>
  <si>
    <t>380-381頁</t>
  </si>
  <si>
    <t>ワードロップ「瀉血について」1835(抄)</t>
  </si>
  <si>
    <t>382-383頁</t>
  </si>
  <si>
    <t>アラブ医学で用いられている蒸露剤の他地域への伝播(抄)</t>
  </si>
  <si>
    <t>中村輝子、遠藤次郎、海保房夫</t>
  </si>
  <si>
    <t>フランス軍陣医学におけるヴァル・ドｳ・グラース病院の役割(抄)</t>
  </si>
  <si>
    <t>386-387頁</t>
  </si>
  <si>
    <t>ウイリアム・ウィリスと写真師 島　霞谷(抄)</t>
  </si>
  <si>
    <t>388-389頁</t>
  </si>
  <si>
    <t>適塾の塾頭松下元芳(筑後久留米藩医)の紹介(抄)</t>
  </si>
  <si>
    <t>1900年以降の日本におけるプロテスタント・ミッションの医療伝道(抄)</t>
  </si>
  <si>
    <t>394-395頁</t>
  </si>
  <si>
    <t>お玉が池種痘所の設立に参加した上山藩医奥山玄仲(抄)</t>
  </si>
  <si>
    <t>398-399頁</t>
  </si>
  <si>
    <t>近代検黴制度の導入と英国「伝染病予防法」―外務省資料・英国国立公文書館資料を中心に―(抄)</t>
  </si>
  <si>
    <t>大川由美</t>
  </si>
  <si>
    <t>400-401頁</t>
  </si>
  <si>
    <t>生体実験による結核予防法の確立(抄)</t>
  </si>
  <si>
    <t>402-403頁</t>
  </si>
  <si>
    <t>明治18年（1885）における本邦の初期の細菌学培養について(抄)</t>
  </si>
  <si>
    <t>会田　恵</t>
  </si>
  <si>
    <t>講御堂過去帳による藍屋家の系譜的研究</t>
  </si>
  <si>
    <t>第43巻第4号</t>
  </si>
  <si>
    <t>415-422頁</t>
  </si>
  <si>
    <t>解剖学書としてのヴェサリウスの『ファブリカ』と『エピトメー』</t>
  </si>
  <si>
    <t>坂井建雄</t>
  </si>
  <si>
    <t>423-457頁</t>
  </si>
  <si>
    <t>吉益東洞の天命説について―中国古代医学思想との連関から―</t>
  </si>
  <si>
    <t>舘野正美</t>
  </si>
  <si>
    <t>459-478頁</t>
  </si>
  <si>
    <t>ロブリー・ダングリソンの『医学事典』―明治初期のわが国英米医学への貢献</t>
  </si>
  <si>
    <t>479-502頁</t>
  </si>
  <si>
    <t>医学教育制度の変革・漢方から洋学へ　浅井国幹と長与専斎の相剋を中心にして</t>
  </si>
  <si>
    <t>長与建夫</t>
  </si>
  <si>
    <t>503-518頁</t>
  </si>
  <si>
    <t>第12回日本医学会第一分科(医史学)講演記録</t>
  </si>
  <si>
    <t>519-524頁</t>
  </si>
  <si>
    <t>小島宝素著・森立之写『河清寓記』　―書名・人名事項索引―</t>
  </si>
  <si>
    <t>525-545頁</t>
  </si>
  <si>
    <t>徳島県人になりきった福島義一先生</t>
  </si>
  <si>
    <t>例会記録1997.2～1997.9</t>
  </si>
  <si>
    <t>548-549頁</t>
  </si>
  <si>
    <t>中天游顕彰行事</t>
  </si>
  <si>
    <t>548頁</t>
  </si>
  <si>
    <t>ドイツ・ロマン主義医学とその遺産(抄)</t>
  </si>
  <si>
    <t>小原正明</t>
  </si>
  <si>
    <t>549-550頁</t>
  </si>
  <si>
    <t>中国で失われ日本に現存する中国医書―内閣文庫所蔵本の分析―(抄)</t>
  </si>
  <si>
    <t>真柳誠、王鉄策</t>
  </si>
  <si>
    <t>551-552頁</t>
  </si>
  <si>
    <t>血液循環論前史(2)(抄)</t>
  </si>
  <si>
    <t>552-555頁</t>
  </si>
  <si>
    <t>アラブ医学者の名前(抄)</t>
  </si>
  <si>
    <t>555-556頁</t>
  </si>
  <si>
    <t>八丈島に流された医師たち―八丈島流人銘々伝より―(抄)</t>
  </si>
  <si>
    <t>556-557頁</t>
  </si>
  <si>
    <t>本間玄調について(抄)</t>
  </si>
  <si>
    <t>558頁</t>
  </si>
  <si>
    <t>『鎮将府日誌』について　その２　太政官日誌との併読(抄)</t>
  </si>
  <si>
    <t>559-560頁</t>
  </si>
  <si>
    <t>ペスト残影シリーズ　その８　ライン川中流域に「ペスト残影」を求めて(抄)</t>
  </si>
  <si>
    <t>滝上正</t>
  </si>
  <si>
    <t>560-561頁</t>
  </si>
  <si>
    <t>荒川保雄：虱に賭けた40年の生涯(抄)</t>
  </si>
  <si>
    <t>佐分利保雄</t>
  </si>
  <si>
    <t>560頁</t>
  </si>
  <si>
    <t>ケガレの思想の歴史的展開(抄)</t>
  </si>
  <si>
    <t>561-562頁</t>
  </si>
  <si>
    <t>歴史の中の病と医学</t>
  </si>
  <si>
    <t>562-564頁</t>
  </si>
  <si>
    <t>占領期の医療改革</t>
  </si>
  <si>
    <t>564-565頁</t>
  </si>
  <si>
    <t>らい予防法廃止の歴史</t>
  </si>
  <si>
    <t>橋本和朋</t>
  </si>
  <si>
    <t>566-567頁</t>
  </si>
  <si>
    <t>567-569頁</t>
  </si>
  <si>
    <t>憑きもの現象論　―その構造分析―(上)</t>
  </si>
  <si>
    <t>1998年(平成10)</t>
  </si>
  <si>
    <t>第44巻第1号</t>
  </si>
  <si>
    <t>003-025頁</t>
  </si>
  <si>
    <t>モーゼス・マイモニデスの生涯</t>
  </si>
  <si>
    <t>027-048頁</t>
  </si>
  <si>
    <t>香川修庵の「儒医一本」の儒について　―『大学叢』を中心として―</t>
  </si>
  <si>
    <t>049-072頁</t>
  </si>
  <si>
    <t>『酬医頓徳』に見られる田代三喜の医説(1)―「牛八」、「三帰」の意義―</t>
  </si>
  <si>
    <t>遠藤次郎、中村輝子、梁永宣、奈倉道治</t>
  </si>
  <si>
    <t>073-090頁</t>
  </si>
  <si>
    <t>手塚良斎『医学書御用留』(1)</t>
  </si>
  <si>
    <t>091-096頁</t>
  </si>
  <si>
    <t>天保十三年、京都滞在中の小島宝素の書簡</t>
  </si>
  <si>
    <t>097-120頁</t>
  </si>
  <si>
    <t>池田文書の研究16　竹内正信の書簡について</t>
  </si>
  <si>
    <t>121-136頁</t>
  </si>
  <si>
    <t>久志本常孝先生を悼む</t>
  </si>
  <si>
    <t>137-139頁</t>
  </si>
  <si>
    <t>中川米造先生　71歳の死</t>
  </si>
  <si>
    <t>山中太木先生を偲ぶ</t>
  </si>
  <si>
    <t>名誉会員加藤豊明先生の遠逝にあたり(抄)</t>
  </si>
  <si>
    <t>岩地勇一</t>
  </si>
  <si>
    <t>「近代の医学と福岡の医家」展報告</t>
  </si>
  <si>
    <t>佐藤裕</t>
  </si>
  <si>
    <t>日野原正</t>
  </si>
  <si>
    <t>147-148頁</t>
  </si>
  <si>
    <t>順天堂大学医史学研究室所蔵、吉益東洞自筆『古書医言』について(例会抄)</t>
  </si>
  <si>
    <t>例会記録1997.11～1998.1</t>
  </si>
  <si>
    <t>149頁</t>
  </si>
  <si>
    <t>土佐藩足軽・岡本兵衛の戦病死をめぐって(例会抄)</t>
  </si>
  <si>
    <t>151-152頁</t>
  </si>
  <si>
    <t>ビタミンの発見に対する漢方医学の貢献(例会抄)</t>
  </si>
  <si>
    <t>水戸藩医学史</t>
  </si>
  <si>
    <t>杏仁　浪漫日本医学外史　古医法より蘭方まで</t>
  </si>
  <si>
    <t>156-158頁</t>
  </si>
  <si>
    <t>日本眼科学会百周年記念誌 全７巻</t>
  </si>
  <si>
    <t>看護婦はどうみられてきたか</t>
  </si>
  <si>
    <t>坂本玄子</t>
  </si>
  <si>
    <t>中国医学古典と日本―書誌と伝承―</t>
  </si>
  <si>
    <t>篠原孝市</t>
  </si>
  <si>
    <t>江戸の身体を開く</t>
  </si>
  <si>
    <t>歴史の中の「癩者」</t>
  </si>
  <si>
    <t>会長講演「牛種痘種痘法の鼻祖中川五郎治に関して過って伝えられていること」(抄)</t>
  </si>
  <si>
    <t>松木，明知</t>
  </si>
  <si>
    <t>第44巻第2号</t>
  </si>
  <si>
    <t>Edward Jenner's Activity in Science(抄)</t>
  </si>
  <si>
    <t>Malcom F. Beeson</t>
  </si>
  <si>
    <t>180-183頁</t>
  </si>
  <si>
    <t>North American Vaccination above the 49th Parallel(抄)</t>
  </si>
  <si>
    <t>John W．R．McIntyre</t>
  </si>
  <si>
    <t>シンポジウム「日本における医史料の蒐集と保存について―その現状と提言」(抄)</t>
  </si>
  <si>
    <t>シンポジウム「若い人たちに医学史を伝えるために」(抄)</t>
  </si>
  <si>
    <t>明治初期の啓蒙医家森鼻宗次(抄)</t>
  </si>
  <si>
    <t>済生学舎出身の生化学者、旧制金沢医科大学学長「須藤憲三」について(抄)</t>
  </si>
  <si>
    <t>医師・加藤時次郎と横浜(抄)</t>
  </si>
  <si>
    <t>最近発見したヒポクラテス画像と賛文について(抄)</t>
  </si>
  <si>
    <t>―坪井信道賛―　川原慶賀のヒポクラテス画像(抄)</t>
  </si>
  <si>
    <t>小島宝素の『医心方』巻二十二の伝鈔について(抄)</t>
  </si>
  <si>
    <t>幕末期の院内銀山の死亡者記録の分析　「門屋養安日記」にみる庶民の医療（二）(抄)</t>
  </si>
  <si>
    <t>莇昭三</t>
  </si>
  <si>
    <t>「看護」という言葉の使用のはじめ（第三報）－鎌倉時代末期の仏教史書『元亨釈書』と看護－(抄)</t>
  </si>
  <si>
    <t>大村藩の古田山と長与俊達、大浦嘯山(抄)</t>
  </si>
  <si>
    <t>足立長雋の祖為春先生と乗附為春海鏡(抄)</t>
  </si>
  <si>
    <t>江戸期本草家の北陸への関心（二）畔田翠山の白山・立山紀行(抄)</t>
  </si>
  <si>
    <t>中国伝統医学と道教(第十九回)「符」(抄)</t>
  </si>
  <si>
    <t>中日両国に於ける古代の疾病流行について(抄)</t>
  </si>
  <si>
    <t>医療技術の視点から見た『三国志』と『三国志演義』の比較(抄)</t>
  </si>
  <si>
    <t>『素問攷注』の用字例(抄)</t>
  </si>
  <si>
    <t>李東垣の瀉血療法(抄)</t>
  </si>
  <si>
    <t>友部和弘</t>
  </si>
  <si>
    <t>元代の三皇廟について(抄)</t>
  </si>
  <si>
    <t>秦玲子</t>
  </si>
  <si>
    <t>『紹興本草』の新知見(抄)</t>
  </si>
  <si>
    <t>『玉機微義』における薬物の使われ方(抄)</t>
  </si>
  <si>
    <t>原田俊介、小曽戸洋、真柳誠</t>
  </si>
  <si>
    <t>宋板傷寒論可不可篇の成立について(抄)</t>
  </si>
  <si>
    <t>『全九集』の編纂者とその意図(抄)</t>
  </si>
  <si>
    <t>清医　趙淞陽について―一七二六～一七二九年の長崎での逸事―(抄)</t>
  </si>
  <si>
    <t>郭秀梅、岡田研吉</t>
  </si>
  <si>
    <t>田中弥性園所蔵の善本古医籍（明版）(抄)</t>
  </si>
  <si>
    <t>小曽戸洋、田中祐尾</t>
  </si>
  <si>
    <t>同仁会の機関誌『同仁』について(抄)</t>
  </si>
  <si>
    <t>丁　蕾</t>
  </si>
  <si>
    <t>ドイツの臨床神経学　Romberg から Erb まで(抄)</t>
  </si>
  <si>
    <t>高橋昭、伊藤泰広</t>
  </si>
  <si>
    <t>ベレッティーニ解剖図譜における自律神経系（第二報）(抄)</t>
  </si>
  <si>
    <t>オランダ・ライデンの外科医ギルドの歴史(抄)</t>
  </si>
  <si>
    <t>リヨンにおける医学小史（二）―オテル・ディウとシャリテ―(抄)</t>
  </si>
  <si>
    <t>小林晶</t>
  </si>
  <si>
    <t>フランスにおける人痘法受け入れ論争(抄)</t>
  </si>
  <si>
    <t>ヴェサリウス解剖学の構成とその起源について(抄)</t>
  </si>
  <si>
    <t>ハックスリの英文・比較骨学図譜（一八六四年）について(抄)</t>
  </si>
  <si>
    <t>十九世紀アメリカ医学における瀉血(抄)</t>
  </si>
  <si>
    <t>アヴィセンナ（イブン・シーナ）の「医学範典」における精神医学（第一回）(抄)</t>
  </si>
  <si>
    <t>ハスダイ・イブン・シャプルートとカイロ・ゲニザ(抄)</t>
  </si>
  <si>
    <t>日本の精神病学における遺伝学的研究の歴史（その二）(抄)</t>
  </si>
  <si>
    <t>鴎外の「甘瞑の説」(抄)</t>
  </si>
  <si>
    <t>解剖用語「膵」の受容、定着の過程について(抄)</t>
  </si>
  <si>
    <t>歯牙硬組織生活力に関する概念の変遷について(抄)</t>
  </si>
  <si>
    <t>梅毒血清診断ワッセルマン反応と日本への紹介について(抄)</t>
  </si>
  <si>
    <t>浅田宗伯と清国駐日公使館の人たち(抄)</t>
  </si>
  <si>
    <t>陳　捷</t>
  </si>
  <si>
    <t>明治一二年から一六年までの東京府における医術開業旧試験について(抄)</t>
  </si>
  <si>
    <t>死体と臓器移植(抄)</t>
  </si>
  <si>
    <t>『芸備医事』の復刻事業について(抄)</t>
  </si>
  <si>
    <t>江川義雄、中川和夫</t>
  </si>
  <si>
    <t>地蔵寺過去帳による華岡青洲の系譜の新知見(抄)</t>
  </si>
  <si>
    <t>日本における脊推麻酔の歴史―昭和二十年以前の研究について（(抄)</t>
  </si>
  <si>
    <t>小谷直樹、松木明知</t>
  </si>
  <si>
    <t>性病予防行政史 ―戦後の激動期を中心に―(抄)</t>
  </si>
  <si>
    <t>クロフォード　Ｆ．サムス大佐の人と業績(抄)</t>
  </si>
  <si>
    <t>松本　順と北海道―特にその来道と足取りを追って(抄)</t>
  </si>
  <si>
    <t>赤城信一について（第三報）(抄)</t>
  </si>
  <si>
    <t>上田智夫、小竹英夫、宮下舜一、吉田信</t>
  </si>
  <si>
    <t>徳川慶喜の奥医師の生誕地とその周辺(抄)</t>
  </si>
  <si>
    <t>一九一〇年以前の在韓宣教医(抄)</t>
  </si>
  <si>
    <t>明治一二年沖縄県のコレラ流行 ―土屋寛信の『琉球紀行』から(抄)</t>
  </si>
  <si>
    <t>深瀬泰旦、真柳誠</t>
  </si>
  <si>
    <t>アメリカにおける人痘接種法―一七二一年からアメリカ独立まで―（その一）</t>
  </si>
  <si>
    <t>第44巻第3号</t>
  </si>
  <si>
    <t>医科大学国家医学講習科記録（生徒資料も含む）</t>
  </si>
  <si>
    <t>317-350頁</t>
  </si>
  <si>
    <t>モーゼス・マイモニデスの生涯（下）</t>
  </si>
  <si>
    <t>351-368頁</t>
  </si>
  <si>
    <t>憑きものの現象論―その構造分析（下）</t>
  </si>
  <si>
    <t>369-354頁</t>
  </si>
  <si>
    <t>松村紀明</t>
  </si>
  <si>
    <t>385-398頁</t>
  </si>
  <si>
    <t>アルコールの語源クフル粉とバラ水―モロッコ・アラブ医学管見―</t>
  </si>
  <si>
    <t>397-407頁</t>
  </si>
  <si>
    <t>適塾の塾頭をした筑後久留米藩医松下元芳</t>
  </si>
  <si>
    <t>409-414頁</t>
  </si>
  <si>
    <t>池田文書の研究（十七）</t>
  </si>
  <si>
    <t>415-418頁</t>
  </si>
  <si>
    <t>手塚良斎『医学所御用留』（二）</t>
  </si>
  <si>
    <t>419-423頁</t>
  </si>
  <si>
    <t>日本医史学会福岡地方会発足報告</t>
  </si>
  <si>
    <t>国際シンポジウム｢21世紀を迎える精神医学史―東西二千年の精神医学」</t>
  </si>
  <si>
    <t>第37回医学史研究会・日本医史学会関西支部合同総会</t>
  </si>
  <si>
    <t>日本医史学会関西支部一九九八年春季大会</t>
  </si>
  <si>
    <t>横浜軍陣病院における土佐・因州両藩の死者をめぐって（例会抄）</t>
  </si>
  <si>
    <t>430-432頁</t>
  </si>
  <si>
    <t>大隈重信の切断手術から健康生活へのセルフケアに関する研究(例会抄)</t>
  </si>
  <si>
    <t>432-434頁</t>
  </si>
  <si>
    <t>眼科医療器機史のCD-ROM化(例会抄)</t>
  </si>
  <si>
    <t>船舶移送をうけた奥羽出張病院患者の転帰(例会抄)</t>
  </si>
  <si>
    <t>江戸の考証医家(例会抄)</t>
  </si>
  <si>
    <t>三杉和章・杉田暉道共編『横浜と医学の歴史』</t>
  </si>
  <si>
    <t>森納著『歯の民俗―民間信仰・俗信・くすり―歯の神様・仏様　あごなし地蔵』</t>
  </si>
  <si>
    <t>鈴木七美著『出産の歴史人類学　産婆世界の解体から自然出産運動へ』</t>
  </si>
  <si>
    <t>441-443頁</t>
  </si>
  <si>
    <t>巻子写本から宋元版へ―中世日本における中国医書受容の様相―</t>
  </si>
  <si>
    <t>第44巻第4号</t>
  </si>
  <si>
    <t>451-480頁</t>
  </si>
  <si>
    <t>「導道・三喜別人説の検討」</t>
  </si>
  <si>
    <t>481-498頁</t>
  </si>
  <si>
    <t>地蔵寺過去帳による華岡青洲の乳癌手術患者三名の死亡年月日</t>
  </si>
  <si>
    <t>499-508頁</t>
  </si>
  <si>
    <t>アメリカにおける人痘接種法―一七二一年からアメリカ独立まで―（その二）</t>
  </si>
  <si>
    <t>509-522頁</t>
  </si>
  <si>
    <t>南化本『史記』扁鵲伝の訓点</t>
  </si>
  <si>
    <t>523-540頁</t>
  </si>
  <si>
    <t>『よしの冊子』医家関連記事（一）</t>
  </si>
  <si>
    <t>541-556頁</t>
  </si>
  <si>
    <t>557-562頁</t>
  </si>
  <si>
    <t>池田文書の研究（十八）</t>
  </si>
  <si>
    <t>563-569頁</t>
  </si>
  <si>
    <t>第三六回国際医学史会議</t>
  </si>
  <si>
    <t>571-573頁</t>
  </si>
  <si>
    <t>「宗田文庫披露式」報告</t>
  </si>
  <si>
    <t>573-574頁</t>
  </si>
  <si>
    <t>荒井保男著『続・医の名言』</t>
  </si>
  <si>
    <t>574-576頁</t>
  </si>
  <si>
    <t>青木歳幸著『在村蘭学の研究』</t>
  </si>
  <si>
    <t>576-577頁</t>
  </si>
  <si>
    <t>岩下哲典著『権力者と江戸のくすり』</t>
  </si>
  <si>
    <t>578-579頁</t>
  </si>
  <si>
    <t>琉球大学医学部附属地域医療センター編『沖縄の歴史と医療史』</t>
  </si>
  <si>
    <t>壱岐裕志</t>
  </si>
  <si>
    <t>579-580頁</t>
  </si>
  <si>
    <t>児玉善仁著『〈病気〉の誕生―近代医療の起源―』</t>
  </si>
  <si>
    <t>泉　彪之助</t>
  </si>
  <si>
    <t>580-582頁</t>
  </si>
  <si>
    <t>北条元一著『米沢藩医私撰』</t>
  </si>
  <si>
    <t>582-583頁</t>
  </si>
  <si>
    <t>日本文学にみる医療思潮の歴史的変遷―疾病観の多重構造―</t>
  </si>
  <si>
    <t>大星光史</t>
  </si>
  <si>
    <t>1999年(平成11)</t>
  </si>
  <si>
    <t>第45巻第1号</t>
  </si>
  <si>
    <t>003-30頁</t>
  </si>
  <si>
    <t>アメリカにおける人痘接種法―一七二一年からアメリカ独立まで―（その三）</t>
  </si>
  <si>
    <t>031-44頁</t>
  </si>
  <si>
    <t>地蔵寺過去帳による華岡青洲の系譜に関する新知見</t>
  </si>
  <si>
    <t>045-76頁</t>
  </si>
  <si>
    <t>人痘接種法に反対したイギリスの牧師マッセイの説教</t>
  </si>
  <si>
    <t>077-84頁</t>
  </si>
  <si>
    <t>085-98頁</t>
  </si>
  <si>
    <t>池田文書の研究（十九）</t>
  </si>
  <si>
    <t>099-109頁</t>
  </si>
  <si>
    <t>『よしの冊子』医家関連記事（二）</t>
  </si>
  <si>
    <t>111-123頁</t>
  </si>
  <si>
    <t>追悼　ユニークな宮崎地方の医療史を編纂した田代逸郎先生</t>
  </si>
  <si>
    <t>木下和夫</t>
  </si>
  <si>
    <t>『桑田立斎先生種痘所之跡』および『桑田立斎アンヌ種痘之碑』の建立</t>
  </si>
  <si>
    <t>二宮陸雄</t>
  </si>
  <si>
    <t>関寛斎の開拓精神に学ぶ「寛斎セミナー」開かる</t>
  </si>
  <si>
    <t>芝木秀哉</t>
  </si>
  <si>
    <t>ウイリアム・ウイリス文書の里帰り</t>
  </si>
  <si>
    <t>第38回医学史研究会・日本医史学会関西支部（一九九八年秋季）合同総会</t>
  </si>
  <si>
    <t>〈医は意なり〉攷―医学思想的観点から―</t>
  </si>
  <si>
    <t>大星光史著『文学にみる日本の医薬史』</t>
  </si>
  <si>
    <t>会長講演　身体感の歴史　人は「からだ」をどうみてきたか</t>
  </si>
  <si>
    <t>第45巻第2号</t>
  </si>
  <si>
    <t>147-154頁</t>
  </si>
  <si>
    <t>特別講演1　茶と日本人</t>
  </si>
  <si>
    <t>熊倉功夫</t>
  </si>
  <si>
    <t>特別講演2　韓医学の歴史</t>
  </si>
  <si>
    <t>新発見「大同類聚方」に関する大同三年五月三日の詔文</t>
  </si>
  <si>
    <t>浅田宗伯の自筆稿本類―国会図書館鶚軒本</t>
  </si>
  <si>
    <t>清医胡桃新の『胡氏方案』について</t>
  </si>
  <si>
    <t>わが国の近世初期の医療についての一考察　一、古写本　鍼灸秘書</t>
  </si>
  <si>
    <t>戸田静男、亀節子</t>
  </si>
  <si>
    <t>「後法興院記」に表れた丹波親康の事跡について</t>
  </si>
  <si>
    <t>「言経卿記」中の医療について</t>
  </si>
  <si>
    <t>神宮医久志本氏とその秘方</t>
  </si>
  <si>
    <t>中西淳朗　</t>
  </si>
  <si>
    <t>異本病草紙に就いて</t>
  </si>
  <si>
    <t>アヴィセンナ（イブン・シーナ）の「医学典範」（ラテン語訳）における精神医学（第二回）</t>
  </si>
  <si>
    <t>系統解剖学の起源としてのヴェサリウス解剖</t>
  </si>
  <si>
    <t>ウイリアム・ハーヴィ『普遍解剖学講義』における心臓の運動の提示</t>
  </si>
  <si>
    <t>Jan Evangelista Purkyneの生涯と業績</t>
  </si>
  <si>
    <t>高橋昭</t>
  </si>
  <si>
    <t>中国伝統医学と道教（第二〇回）籤</t>
  </si>
  <si>
    <t>宋以前の傷寒論について―朝鮮古医書「医方類聚」からの考察</t>
  </si>
  <si>
    <t>田中祐尾</t>
  </si>
  <si>
    <t>『金匱要略』水気病篇の「痂癩」について</t>
  </si>
  <si>
    <t>検黴制度の導入と英国「伝染病予防法」―国権問題と日本人医師の養成―</t>
  </si>
  <si>
    <t>中国における梅毒の病名史</t>
  </si>
  <si>
    <t>梁永宣</t>
  </si>
  <si>
    <t>華岡青洲の系譜に関する新知見―海南市の柳川家と川端家―</t>
  </si>
  <si>
    <t>高橋均</t>
  </si>
  <si>
    <t>ポンペが松本良順に贈ったジッヘル著『眼病図譜』について</t>
  </si>
  <si>
    <t>山之内卯一、千葉弥幸</t>
  </si>
  <si>
    <t>オランダ人医師ファン・デル・ヘーデンと子孫・縁者たち</t>
  </si>
  <si>
    <t>島村鼎甫とウイリス及びボードウインの『日講紀聞』</t>
  </si>
  <si>
    <t>『ウイリアム・ウイリス文書』にみるＷ・ウイリスの医学教育</t>
  </si>
  <si>
    <t>小宮山道夫</t>
  </si>
  <si>
    <t>パリの古い病院</t>
  </si>
  <si>
    <t>パリ大学旧医学部大円形講堂にある壁画について</t>
  </si>
  <si>
    <t>大選帝侯時代のベルリン医事、とくにブランデンブルク医事勅令について</t>
  </si>
  <si>
    <t>英国医史における学と職と―法制的考察</t>
  </si>
  <si>
    <t>ヨハンニティウス（フナイン・イブン・イスハク）の「ガレノスの小治療学入門」におけるnon-naturalsの概念</t>
  </si>
  <si>
    <t>九州における医史学研究の系譜（一）岩熊哲の業績とその医史学観について</t>
  </si>
  <si>
    <t>飯島魁と近代寄生虫学の系譜</t>
  </si>
  <si>
    <t>木村繁</t>
  </si>
  <si>
    <t>九州における近代整形外科学の祖、住田正雄の生涯</t>
  </si>
  <si>
    <t>小林晶、長門谷洋治</t>
  </si>
  <si>
    <t>済生学舎の顕微鏡科実地演習―特に原玄一郎のペスト菌標本について―</t>
  </si>
  <si>
    <t>行われなかった正月儀礼</t>
  </si>
  <si>
    <t>日本における養生論の引用書目の変遷</t>
  </si>
  <si>
    <t>初代山脇道作と門人達の伝記に関する新資料</t>
  </si>
  <si>
    <t>八木淳夫</t>
  </si>
  <si>
    <t>三位法眼糟尾家と録事法眼智玄</t>
  </si>
  <si>
    <t>『阿蘭陀外科指南』の背景について</t>
  </si>
  <si>
    <t>テリアカの再検討</t>
  </si>
  <si>
    <t>中村輝子、遠藤次郎</t>
  </si>
  <si>
    <t>レイディ・メアリの息子が人痘接種を受けた日付と場所について</t>
  </si>
  <si>
    <t>ルイの「肺炎に対する瀉血の効果」について</t>
  </si>
  <si>
    <t>熊倉一郎</t>
  </si>
  <si>
    <t>明治、大正期の埋葬許可証にみる病と死亡年齢</t>
  </si>
  <si>
    <t>陸軍における航空医学の夜明け</t>
  </si>
  <si>
    <t>昭和初期、二私立医専の創始について―大阪高等医専、大阪女史高等医専―</t>
  </si>
  <si>
    <t>九華筆「扁鵲倉公列伝」について</t>
  </si>
  <si>
    <t>『看病用心釥』成立の社会的背景</t>
  </si>
  <si>
    <t>江戸期本草家の北陸への関心（三）―野呂元丈の越中国での足跡―</t>
  </si>
  <si>
    <t>幕末期、院内銀山の医療と近郷の医師達「角屋養安日記」にみる庶民の医療（三）</t>
  </si>
  <si>
    <t>戴天章の温病腹診研究</t>
  </si>
  <si>
    <t>田代三喜が中国から持ち帰ったといわれる『大徳済陰方』の検討</t>
  </si>
  <si>
    <t>暉峻義等と医史学研究―奨進医会にかかわっていた人―</t>
  </si>
  <si>
    <t>足立文太郎のひとと業績について</t>
  </si>
  <si>
    <t>本宮かをる、オルリー・レジス</t>
  </si>
  <si>
    <t>明治八年から一六年までに実施された内務省医術開業試験について</t>
  </si>
  <si>
    <t>日本における医学部生化学（医化学）の歩み</t>
  </si>
  <si>
    <t>日本の病院及びその機能の医学史的研究</t>
  </si>
  <si>
    <t>長谷川敏彦</t>
  </si>
  <si>
    <t>農村医学の発展―佐久病院における臨床疫学的方法の実践―</t>
  </si>
  <si>
    <t>杉山章子</t>
  </si>
  <si>
    <t>国際保健への応用を勘案した日本の乳児死亡の医学史的研究</t>
  </si>
  <si>
    <t>岡村恭子、村山伸子，長谷川敏彦</t>
  </si>
  <si>
    <t>近代日本の医療分野人材開発の政策について（医師と産婆の役割）</t>
  </si>
  <si>
    <t>近藤久禎、長谷川敏彦</t>
  </si>
  <si>
    <t>『正骨範』から見た江戸時代の整骨方法</t>
  </si>
  <si>
    <t>陶恵寧</t>
  </si>
  <si>
    <t>『解馬新書』の骨学用語について</t>
  </si>
  <si>
    <t>男装の英国陸軍女医ジェイムズ・バリ</t>
  </si>
  <si>
    <t>明治女医史の基礎的研究（三）婦人共立育児会病院</t>
  </si>
  <si>
    <t>江戸以前全医学著作のインターネット検索</t>
  </si>
  <si>
    <t>中国古代における一般的医学観について</t>
  </si>
  <si>
    <t>清以前本草図の作風と学術価値</t>
  </si>
  <si>
    <t>鄭金生</t>
  </si>
  <si>
    <t>熊宗立伝―判明した生没年</t>
  </si>
  <si>
    <t>『公文録』にみる土屋寛信の沖縄派遣</t>
  </si>
  <si>
    <t>「中日両国疫病史対照年表」作成にあたって</t>
  </si>
  <si>
    <t>邵沛</t>
  </si>
  <si>
    <t>パオロ・ザッキア「法医問答」にみる性別の判定</t>
  </si>
  <si>
    <t>朝鮮前期の疫病流行に関して</t>
  </si>
  <si>
    <t>朝鮮時代侵襲的外科術の発達</t>
  </si>
  <si>
    <t>中佐燮、奇昌徳</t>
  </si>
  <si>
    <t>韓国における宣教医（第一報）</t>
  </si>
  <si>
    <t>曲直瀬道三の前半期の医学（一）―「当流」の意義―</t>
  </si>
  <si>
    <t>第45巻第3号</t>
  </si>
  <si>
    <t>323-338頁</t>
  </si>
  <si>
    <t>医学館の学問形成（一）医学館成立前後</t>
  </si>
  <si>
    <t>339-372頁</t>
  </si>
  <si>
    <t>明治一二年沖縄県のコレラ流行と土屋寛信</t>
  </si>
  <si>
    <t>373-400頁</t>
  </si>
  <si>
    <t>『魯西亜牛痘全書』安政版の出版の経緯について</t>
  </si>
  <si>
    <t>401-412頁</t>
  </si>
  <si>
    <t>手塚良斎『医学所御用留』（四）</t>
  </si>
  <si>
    <t>413-420頁</t>
  </si>
  <si>
    <t>池田文書の研究（二十）</t>
  </si>
  <si>
    <t>421-433頁</t>
  </si>
  <si>
    <t>『よしの冊子』医家関連記事（三）</t>
  </si>
  <si>
    <t>435-448頁</t>
  </si>
  <si>
    <t>江戸幕府の医療制度に関する史料（九）（その一）―坂四家の『官医家譜』等（一）―</t>
  </si>
  <si>
    <t>449-458頁</t>
  </si>
  <si>
    <t>山形敞一先生追悼</t>
  </si>
  <si>
    <t>石井厚</t>
  </si>
  <si>
    <t>神奈川県北東の医史跡めぐりツアーを終えて</t>
  </si>
  <si>
    <t>463-465頁</t>
  </si>
  <si>
    <t>精神医学史国際シンポジウム印象記</t>
  </si>
  <si>
    <t>酒井明夫</t>
  </si>
  <si>
    <t>465-466頁</t>
  </si>
  <si>
    <t>家紋からみた杉田玄白の遠祖</t>
  </si>
  <si>
    <t>467-468頁</t>
  </si>
  <si>
    <t>金子準二―断種史上の人びと（その二）</t>
  </si>
  <si>
    <t>469-471頁</t>
  </si>
  <si>
    <t>横浜と痘瘡</t>
  </si>
  <si>
    <t>471-472頁</t>
  </si>
  <si>
    <t>児島保編著『島根名医略伝』</t>
  </si>
  <si>
    <t>473-474頁</t>
  </si>
  <si>
    <t>『芸備医事』復刊発刊</t>
  </si>
  <si>
    <t>474-475頁</t>
  </si>
  <si>
    <t>志田信男訳注『アヴィセンナ　医学の歌』</t>
  </si>
  <si>
    <t>475-477頁</t>
  </si>
  <si>
    <t>リチャード・ゴードン著『歴史は患者で作られる』</t>
  </si>
  <si>
    <t>477-478頁</t>
  </si>
  <si>
    <t>吉元昭治著『不老長寿への旅　ニッポン神仙伝』</t>
  </si>
  <si>
    <t>478-479頁</t>
  </si>
  <si>
    <t>安川里香子著『森鴎外「北游日乗」の足跡と漢詩』</t>
  </si>
  <si>
    <t>480-482頁</t>
  </si>
  <si>
    <t>Introduction and Development of Patholgy in Korea</t>
  </si>
  <si>
    <t>Je G.CHI</t>
  </si>
  <si>
    <t>500-489頁</t>
  </si>
  <si>
    <t>田原結節の発見者　田原淳　補遺</t>
  </si>
  <si>
    <t>富田達男</t>
  </si>
  <si>
    <t>第45巻第4号</t>
  </si>
  <si>
    <t>503-514頁</t>
  </si>
  <si>
    <t>医学館の学問形成（二）寛政の改革期の官医たちの動向―『よしの冊子』の記事から―</t>
  </si>
  <si>
    <t>515-542頁</t>
  </si>
  <si>
    <t>近代日本の対中医療・文化活動―同仁会研究（一）―</t>
  </si>
  <si>
    <t>丁蕾</t>
  </si>
  <si>
    <t>543-562頁</t>
  </si>
  <si>
    <t>九州における近代整形外科の祖、住田正雄（一八七八－一九四六）の生涯</t>
  </si>
  <si>
    <t>563-584頁</t>
  </si>
  <si>
    <t>中川修亭の『麻薬考』の書誌学的研究―四種の写本の検討―</t>
  </si>
  <si>
    <t>585-599頁</t>
  </si>
  <si>
    <t>マンドラゴラ異聞</t>
  </si>
  <si>
    <t>601-605頁</t>
  </si>
  <si>
    <t>第二一回北陸医史学同好会例会・総会</t>
  </si>
  <si>
    <t>洋学史一九九九年度研究大会</t>
  </si>
  <si>
    <t>松木英治</t>
  </si>
  <si>
    <t>宇和島市医師会医学史編集委員会（清水英）著『宇和島藩医学史』</t>
  </si>
  <si>
    <t>萩山正治</t>
  </si>
  <si>
    <t>松木明知編著『中川五郎治書誌』</t>
  </si>
  <si>
    <t>609-611頁</t>
  </si>
  <si>
    <t>第45巻特集号</t>
  </si>
  <si>
    <t>第45巻特集号</t>
    <rPh sb="4" eb="6">
      <t>トクシュウ</t>
    </rPh>
    <phoneticPr fontId="1"/>
  </si>
  <si>
    <t>序にかえて</t>
  </si>
  <si>
    <t>5-6頁</t>
    <phoneticPr fontId="1"/>
  </si>
  <si>
    <t>第99回日本医史学会総会シンポジウム</t>
  </si>
  <si>
    <t>7-8頁</t>
    <phoneticPr fontId="1"/>
  </si>
  <si>
    <t>日本における医史料の蒐集と保存についてーその現状と提言ー</t>
  </si>
  <si>
    <t>日本における医史料の蒐集と保存について</t>
  </si>
  <si>
    <t>中山　沃</t>
  </si>
  <si>
    <t>9-10頁</t>
    <phoneticPr fontId="1"/>
  </si>
  <si>
    <t>医療史料の保存と活用</t>
  </si>
  <si>
    <t>11-12頁</t>
    <phoneticPr fontId="1"/>
  </si>
  <si>
    <t>提言</t>
  </si>
  <si>
    <t>我が国における医科学史料の収集について</t>
  </si>
  <si>
    <t>（日本における医史料の蒐集と保存についてーその現状と提言ー）</t>
  </si>
  <si>
    <t>014頁</t>
  </si>
  <si>
    <t>ヨーロッパにおける概況と提言</t>
  </si>
  <si>
    <t>資料集めおよびその保存に関する意見</t>
  </si>
  <si>
    <t>眼科医療器械保存のCD-ROM化</t>
  </si>
  <si>
    <t>裏庭の書庫の管理と蔵書の寄贈</t>
  </si>
  <si>
    <t>023頁</t>
  </si>
  <si>
    <t>古河市にある医学資料と保存</t>
  </si>
  <si>
    <t>史的医学建築物の保存を訴える</t>
  </si>
  <si>
    <t>資料と私と目録</t>
  </si>
  <si>
    <t>佐藤允男</t>
  </si>
  <si>
    <t>医療民俗史料の収集・保存も</t>
  </si>
  <si>
    <t>028頁</t>
  </si>
  <si>
    <t>広島県における医史料の蒐集と保存</t>
  </si>
  <si>
    <t>千田武志</t>
  </si>
  <si>
    <t>北陸地方における医史料の保存、管理の概況について</t>
  </si>
  <si>
    <t>032頁</t>
  </si>
  <si>
    <t>「医学文化館」を援助できないものか</t>
  </si>
  <si>
    <t>医史料の保存とその新生事業の―具体例　『芸備医事』復刻完成について</t>
  </si>
  <si>
    <t>中川和夫・江川義雄</t>
  </si>
  <si>
    <t>035頁</t>
  </si>
  <si>
    <t>037頁</t>
  </si>
  <si>
    <t>医学史研究史料の保存と活用</t>
  </si>
  <si>
    <t>内藤記念くすり博物館の設立と運営よりの雑感</t>
  </si>
  <si>
    <t>三宅康夫・青木允夫</t>
  </si>
  <si>
    <t>医資料としての実体標本および模型の保存と活用について</t>
  </si>
  <si>
    <t>本宮かをる</t>
  </si>
  <si>
    <t>043頁</t>
  </si>
  <si>
    <t>045頁</t>
  </si>
  <si>
    <t>日本の医学部(医科大学)図書館における特殊コレクションや稀＠観本について―アンケート調査の報告</t>
  </si>
  <si>
    <t>ミニ・シンポジウム（日本学術会議医史・医哲学研究連絡委員会共催)</t>
  </si>
  <si>
    <t>医史料の保存</t>
  </si>
  <si>
    <t>ヨコハマに医学資料館を…</t>
  </si>
  <si>
    <t>井出研</t>
  </si>
  <si>
    <t>医史学史料の保存と活用</t>
  </si>
  <si>
    <t>医史学・医療文化博物館構想(医学史医療文化資料の保存と活用のための博物館)</t>
  </si>
  <si>
    <t>057頁</t>
  </si>
  <si>
    <t>医学館の学問形成（三）幕末考証学の位相</t>
  </si>
  <si>
    <t>2000年(平成12)</t>
  </si>
  <si>
    <t>第46巻第1号</t>
  </si>
  <si>
    <t>003-22頁</t>
  </si>
  <si>
    <t>近代日本の対中医療・文化活動―同仁会研究（二）―</t>
  </si>
  <si>
    <t>023-45頁</t>
  </si>
  <si>
    <t>華岡青洲の系譜的研究―和歌山県海南市の川端家、柳川家の調査から</t>
  </si>
  <si>
    <t>暉峻義等と医学史研究―奨進医会および日本医史学会とのかかわりを中軸に</t>
  </si>
  <si>
    <t>057-73頁</t>
  </si>
  <si>
    <t>池田文書の研究（二十一）</t>
  </si>
  <si>
    <t>075-85頁</t>
  </si>
  <si>
    <t>江戸幕府の医療制度に関する史料―（九）坂四家の『官位家譜』など（二）</t>
  </si>
  <si>
    <t>086-98頁</t>
  </si>
  <si>
    <t>名誉会員田中助一先生を悼む</t>
  </si>
  <si>
    <t>黒船来航と蘭医たち</t>
  </si>
  <si>
    <t>望月洋子</t>
  </si>
  <si>
    <t>大塚恭男著『東洋医学の世界』</t>
  </si>
  <si>
    <t>川村純一著『病いの克服―日本痘瘡史』</t>
  </si>
  <si>
    <t>磯貝元著『明治の避病院―駒込病院医局日誌抄』</t>
  </si>
  <si>
    <t>小曽戸洋著『漢方の歴史―中国・日本の伝統医学』</t>
  </si>
  <si>
    <t>108-109頁</t>
  </si>
  <si>
    <t>小曽戸洋著『日本漢方典籍辞典』</t>
  </si>
  <si>
    <t>酒井シヅ編『疾病の時代』</t>
  </si>
  <si>
    <t>寿徳院玄由の閲歴について</t>
  </si>
  <si>
    <t>西村義明</t>
  </si>
  <si>
    <t>第46巻第2号</t>
  </si>
  <si>
    <t>119-153頁</t>
  </si>
  <si>
    <t>亀井南冥の医学思想</t>
  </si>
  <si>
    <t>吉田洋一</t>
  </si>
  <si>
    <t>155-176頁</t>
  </si>
  <si>
    <t>「医範提綱」にみる生理機能―「重訂・解体新書」と比較して</t>
  </si>
  <si>
    <t>177-191頁</t>
  </si>
  <si>
    <t>近代日本の対中医療・文化活動―同仁会研究（三）</t>
  </si>
  <si>
    <t>193-209頁</t>
  </si>
  <si>
    <t>紀州名手市場妹背佐次兵衛家の系譜と塋域―華岡青洲の妻加恵に関連して―</t>
  </si>
  <si>
    <t>211-224頁</t>
  </si>
  <si>
    <t>225-246頁</t>
  </si>
  <si>
    <t>池田文書の研究（二十二）</t>
  </si>
  <si>
    <t>247-254頁</t>
  </si>
  <si>
    <t>江戸幕府の医療制度に関する史料（九）―坂四家の『官医家譜』など（三）</t>
  </si>
  <si>
    <t>255-266頁</t>
  </si>
  <si>
    <t>梅毒の薫薬療法について</t>
  </si>
  <si>
    <t>佐藤方定の発見した『大同聚方（延喜本・寮本』の上表文について</t>
  </si>
  <si>
    <t>記憶のメカニズムの歴史的考察</t>
  </si>
  <si>
    <t>鈴木衛</t>
  </si>
  <si>
    <t>ペスト残影シリーズ十　ケルンに「ペスト残影」を求めて　その二</t>
  </si>
  <si>
    <t>女性の病の社会史</t>
  </si>
  <si>
    <t>野末悦子</t>
  </si>
  <si>
    <t>271-275頁</t>
  </si>
  <si>
    <t>漆浩著・池上正治訳『中国養生術の神秘』</t>
  </si>
  <si>
    <t>古川明著『切手と絵でみる医学の歴史』</t>
  </si>
  <si>
    <t>坂出祥伸著『中国思想研究　医薬養生・科学思想篇』</t>
  </si>
  <si>
    <t>281-284頁</t>
  </si>
  <si>
    <t>坂井建雄著『謎の解剖学者ヴェサリウス』</t>
  </si>
  <si>
    <t>ヴォルフガング・ミヒェル著『ライプツｲヒから日本へ』</t>
  </si>
  <si>
    <t>会長講演　京都における病院の発展史</t>
  </si>
  <si>
    <t>第46巻第3号</t>
  </si>
  <si>
    <t>特別講演Ⅰ　京都と性科学―性科学京都学派の現代史</t>
  </si>
  <si>
    <t>友吉唯夫</t>
  </si>
  <si>
    <t>300-303頁</t>
  </si>
  <si>
    <t>特別講演Ⅱ　看取りの文化とその歴史</t>
  </si>
  <si>
    <t>304-306頁</t>
  </si>
  <si>
    <t>招待講演　台湾解剖学史―森於菟と金関丈夫両先生を中心に</t>
  </si>
  <si>
    <t>魔訶止観の医学</t>
  </si>
  <si>
    <t>半井家起源についての一考察「半井小草紙」に出逢って</t>
  </si>
  <si>
    <t>半井英江</t>
  </si>
  <si>
    <t>『医心方』にみる大豆について</t>
  </si>
  <si>
    <t>槇佐知子</t>
  </si>
  <si>
    <t>田代三喜の新発見の医書『本方加減秘集』の検討</t>
  </si>
  <si>
    <t>司馬凌海　生涯と遺跡についての若干の知見</t>
  </si>
  <si>
    <t>岡山で蘭方を教えた吉雄永清</t>
  </si>
  <si>
    <t>吉益家門人録の考察</t>
  </si>
  <si>
    <t>近代医学黎明期の広島と浅野藩薬草園「日渉園」</t>
  </si>
  <si>
    <t>華岡青洲の「乳巌治験録」の新研究―呉秀三の復刻文に対する疑義</t>
  </si>
  <si>
    <t>華岡青洲自筆序</t>
  </si>
  <si>
    <t>お玉が池種痘所の設立に参加した添田玄春</t>
  </si>
  <si>
    <t>S・アルマン教授著『アヴィセンヌ』</t>
  </si>
  <si>
    <t>中欧のペスト塔について</t>
  </si>
  <si>
    <t>ロンドン・ジェネラル・インスティテューション設立の理念</t>
  </si>
  <si>
    <t>オスカー・フｳルピウス（一八六七－一九三六）と日本の草創期整形外科医達</t>
  </si>
  <si>
    <t>『重訂解体新書』所引の『医学原始』について</t>
  </si>
  <si>
    <t>ブラシウス『動物比較解剖学』（一六八一年）の解剖図について</t>
  </si>
  <si>
    <t>William Cullen にみる Delirium の記載について</t>
  </si>
  <si>
    <t>ウイリアム・ハーヴイの方法論―論推の正当化をめぐって</t>
  </si>
  <si>
    <t>馬王堆三号漢墓出土の胎産書について</t>
  </si>
  <si>
    <t>米倉亮</t>
  </si>
  <si>
    <t>『伝屍病廿五方』の鍼灸</t>
  </si>
  <si>
    <t>篠原孝市、小曽戸洋</t>
  </si>
  <si>
    <t>中国古代における予後診断</t>
  </si>
  <si>
    <t>惟宗時俊の『続添要穴集』</t>
  </si>
  <si>
    <t>小曽戸洋，篠原孝市、石野尚吾</t>
  </si>
  <si>
    <t>中国におけるテリアカの受容</t>
  </si>
  <si>
    <t>上田善信</t>
  </si>
  <si>
    <t>日本で最初の精神病専門医高松彝と全漢文のその著書『精神病学綱要』</t>
  </si>
  <si>
    <t>中国伝統医学と道教（第二十一回）―「鎮宅霊符」</t>
  </si>
  <si>
    <t>大江雲沢と中津医学校について</t>
  </si>
  <si>
    <t>横井寛編「東京府内区郡分医師住所一覧」（明治一八年刊）に掲載された医師人名</t>
  </si>
  <si>
    <t>兵庫梅毒病院建設問題と英国公使館―開港場における検黴制度の導入と密淫売取締り</t>
  </si>
  <si>
    <t>英国医史における学と食と―法制的考察（その二）</t>
  </si>
  <si>
    <t>来日フランス人医師ヴィダールの生涯―フランス側からの報告</t>
  </si>
  <si>
    <t>清水陽人、蒲原宏、ガストン・ティシニェ、オーギュスト・アルマンゴー</t>
  </si>
  <si>
    <t>膝関節に名前を残す二人のフランス人― Gerdky と Segond</t>
  </si>
  <si>
    <t>『史記会注考証』と『扁鵲倉公伝彙攷』の関係</t>
  </si>
  <si>
    <t>『玉機微義』の鍼灸</t>
  </si>
  <si>
    <t>北江龍也</t>
  </si>
  <si>
    <t>中神琴渓の刺絡</t>
  </si>
  <si>
    <t>我が国における瀉血（刺絡）の歴史</t>
  </si>
  <si>
    <t>伊古田純道の帝王切開術学習について</t>
  </si>
  <si>
    <t>橋本病発見者　橋本策（はかる）補遺</t>
  </si>
  <si>
    <t>大分県立病院医学校における眼科診療について</t>
  </si>
  <si>
    <t>山之内卯一</t>
  </si>
  <si>
    <t>済生学舎廃校直前の「学内改革」の資料について</t>
  </si>
  <si>
    <t>〈経絡血管説〉再考</t>
  </si>
  <si>
    <t>松木きか</t>
  </si>
  <si>
    <t>徳川期東日本における駆梅薫薬方について</t>
  </si>
  <si>
    <t>幕末期院内銀山における薬種の仕入れと薬代等のシステム―「門屋養安日記」にみる庶民の医療（六）</t>
  </si>
  <si>
    <t>日韓医学交流史―杉原徳行の業績と評価</t>
  </si>
  <si>
    <t>渡辺晴香、金善珉、丁宗鉄</t>
  </si>
  <si>
    <t>古病理学からみた日本の近世・近代</t>
  </si>
  <si>
    <t>谷畑美帆</t>
  </si>
  <si>
    <t>406-407頁</t>
  </si>
  <si>
    <t>医学・医化学の発展と教育（特にその制度史）</t>
  </si>
  <si>
    <t>柴田幸雄、工藤幸子、田中伸</t>
  </si>
  <si>
    <t>408-409頁</t>
  </si>
  <si>
    <t>医学資料としての彩色図・カラー写真の歴史</t>
  </si>
  <si>
    <t>長門谷洋治、寺畑喜朔、坂上俊之</t>
  </si>
  <si>
    <t>410-411頁</t>
  </si>
  <si>
    <t>明治初期発行の日本医事雑誌について―その保存状況</t>
  </si>
  <si>
    <t>412-413頁</t>
  </si>
  <si>
    <t>各府県で発令された看護婦規則にみる看護婦資格の条件―大正四年以前の二十九府県の看護婦規則から</t>
  </si>
  <si>
    <t>明治期侍医制度と池田文書</t>
  </si>
  <si>
    <t>「三陰交」の歴史</t>
  </si>
  <si>
    <t>木場由衣登</t>
  </si>
  <si>
    <t>「蟲書」についての一考察</t>
  </si>
  <si>
    <t>戸田静夫、亀節子</t>
  </si>
  <si>
    <t>420-421頁</t>
  </si>
  <si>
    <t>宮川隆弘</t>
  </si>
  <si>
    <t>日中戦争時における陸軍の医療体制</t>
  </si>
  <si>
    <t>第一次大戦の航空医学</t>
  </si>
  <si>
    <t>占領期における地方病撲滅への山梨県の歩み（第一報）</t>
  </si>
  <si>
    <t>佐藤公美子</t>
  </si>
  <si>
    <t>「池田錦橋入門制戒禁約書」と京都の痘科医佐井聞庵について</t>
  </si>
  <si>
    <t>日本における核医学の先駆者・森信胤</t>
  </si>
  <si>
    <t>小田皓二</t>
  </si>
  <si>
    <t>我が国における長寿研究の系譜</t>
  </si>
  <si>
    <t>秋坂真央</t>
  </si>
  <si>
    <t>『赤水玄珠』の「方外還丹」について</t>
  </si>
  <si>
    <t>古医書の医学・医師教育用デジタルアーカイブの試行</t>
  </si>
  <si>
    <t>筒井淳治、田中新二、芦原司</t>
  </si>
  <si>
    <t>438-439頁</t>
  </si>
  <si>
    <t>日中疫病史の中の「疫」と「瘟」</t>
  </si>
  <si>
    <t>秋山　半井　澄（一八四七－一八九八）―京都府療病院長・医学校長・医師会創始者</t>
  </si>
  <si>
    <t>藤田俊夫、半井英江</t>
  </si>
  <si>
    <t>郭秀梅、加藤久幸</t>
  </si>
  <si>
    <t>『阿蘭陀経絡筋脈臓腑図解』からみた十七世紀末におけるわが国の身体観</t>
  </si>
  <si>
    <t>計良吉則、酒井シヅ</t>
  </si>
  <si>
    <t>眼科秘伝書の彩色眼病図譜の特長</t>
  </si>
  <si>
    <t>農村医学の形成と発展―佐久病院における地域医療活動の実践から</t>
  </si>
  <si>
    <t>第46巻第4号</t>
  </si>
  <si>
    <t>507-551頁</t>
  </si>
  <si>
    <t>553-563頁</t>
  </si>
  <si>
    <t>『扁鵲倉公列伝割解』の研究―現伝本における書き入れおよび旧蔵者</t>
  </si>
  <si>
    <t>565-586頁</t>
  </si>
  <si>
    <t>吉益東洞『古書医言』と『医事古言』―両書の比較、延いては『古書医言』の文献学的特質について</t>
  </si>
  <si>
    <t>587-611頁</t>
  </si>
  <si>
    <t>近代日本の対中医療・文化活動―同仁会研究（四）</t>
  </si>
  <si>
    <t>613-639頁</t>
  </si>
  <si>
    <t>池田文書の研究（二十三）</t>
  </si>
  <si>
    <t>640-647頁</t>
  </si>
  <si>
    <t>華岡家文書（華岡家宛書翰類）</t>
  </si>
  <si>
    <t>高橋均、児玉重隆</t>
  </si>
  <si>
    <t>648-657頁</t>
  </si>
  <si>
    <t>横浜市大にシモンズ碑建つ</t>
  </si>
  <si>
    <t>中野操文庫について</t>
  </si>
  <si>
    <t>『中川五郎治顕彰碑』について</t>
  </si>
  <si>
    <t>沖縄医生教習所碑再建について</t>
  </si>
  <si>
    <t>新垣敏雄</t>
  </si>
  <si>
    <t>662-669頁</t>
  </si>
  <si>
    <t>669-671頁</t>
  </si>
  <si>
    <t>古写本「長崎吉雄先生秘伝」について</t>
  </si>
  <si>
    <t>671-672頁</t>
  </si>
  <si>
    <t>永井潜―断種法上の人びと（その三）</t>
  </si>
  <si>
    <t>672-675頁</t>
  </si>
  <si>
    <t>医学館の学問の形成について</t>
  </si>
  <si>
    <t>675-677頁</t>
  </si>
  <si>
    <t>二宮陸雄『桑田立斎先生』</t>
  </si>
  <si>
    <t>677-679頁</t>
  </si>
  <si>
    <t>石田純郎著『アジア医科学史散歩』</t>
  </si>
  <si>
    <t>679-681頁</t>
  </si>
  <si>
    <t>中山茂春著『筑後久留米藩医中山家系図』</t>
  </si>
  <si>
    <t>681-682頁</t>
  </si>
  <si>
    <t>二宮陸雄著『医学史探訪　医学を変えた一〇〇人』</t>
  </si>
  <si>
    <t>682-684頁</t>
  </si>
  <si>
    <t>鹿子木敏範著『落葉集』</t>
  </si>
  <si>
    <t>684-685頁</t>
  </si>
  <si>
    <t>小田泰子著『種痘法に見る医の倫理』</t>
  </si>
  <si>
    <t>平尾真智子著『資料に見る日本看護教育史』</t>
  </si>
  <si>
    <t>687-688頁</t>
  </si>
  <si>
    <t>2001年(平成13)</t>
  </si>
  <si>
    <t>第47巻第1号</t>
  </si>
  <si>
    <t>003-32頁</t>
  </si>
  <si>
    <t>W･ハーヴィのアナトミアと方法</t>
  </si>
  <si>
    <t>033-81頁</t>
  </si>
  <si>
    <t>清医胡兆新の来日記録と業績―長崎における一八〇三～一八〇五年の活動（一）</t>
  </si>
  <si>
    <t>郭秀梅</t>
  </si>
  <si>
    <t>083-103頁</t>
  </si>
  <si>
    <t>明治初期の陸軍軍医学校</t>
  </si>
  <si>
    <t>105-118頁</t>
  </si>
  <si>
    <t>明治以降昭和二十年までに熊本で発行された医学医事雑誌</t>
  </si>
  <si>
    <t>岡村良一</t>
  </si>
  <si>
    <t>119-162頁</t>
  </si>
  <si>
    <t>吉益家門人録（一）</t>
  </si>
  <si>
    <t>163-178頁</t>
  </si>
  <si>
    <t>日蘭交流四百年物故者法要</t>
  </si>
  <si>
    <t>日本医史学会関西支部平成十二年秋季大会</t>
  </si>
  <si>
    <t>橋本伯寿『断毒論』の刊行年について</t>
  </si>
  <si>
    <t>火薬の発明と中国伝統医薬学</t>
  </si>
  <si>
    <t>片桐一男『江戸の蘭方医学事始　阿蘭陀通詞　吉雄幸左衛門耕牛』</t>
  </si>
  <si>
    <t>横田敏勝『名画の医学』</t>
  </si>
  <si>
    <t>M・B・A・オールドストーン『ウイルスの脅威』</t>
  </si>
  <si>
    <t>中村桂子『北里柴三郎』</t>
  </si>
  <si>
    <t>226-193頁</t>
  </si>
  <si>
    <t>徐霊胎と吉益東洞―その学術思想における異同点およびその原因の研究</t>
  </si>
  <si>
    <t>黄煌</t>
  </si>
  <si>
    <t>第47巻第2号</t>
  </si>
  <si>
    <t>清医胡兆新の来日記録と業績―長崎における一八〇三～一八〇五年の活動（二）</t>
  </si>
  <si>
    <t>261-281頁</t>
  </si>
  <si>
    <t>モーゼス・マイモニデスの医学的著作概観</t>
  </si>
  <si>
    <t>283-308頁</t>
  </si>
  <si>
    <t>『解体新書』のオランダ人翻訳者ディクテンについての研究</t>
  </si>
  <si>
    <t>309-336頁</t>
  </si>
  <si>
    <t>『医心方』房内篇についての考察</t>
  </si>
  <si>
    <t>337-349頁</t>
  </si>
  <si>
    <t>GHQ看護課の占領直後から約六ヶ月間の活動</t>
  </si>
  <si>
    <t>城丸瑞恵</t>
  </si>
  <si>
    <t>351-365頁</t>
  </si>
  <si>
    <t>文庫めぐり（13）　鹿山文庫</t>
  </si>
  <si>
    <t>明治初期の陸軍軍医学校の卒業生</t>
  </si>
  <si>
    <t>367-381頁</t>
  </si>
  <si>
    <t>高橋均、坂田育弘、児玉重隆</t>
  </si>
  <si>
    <t>382-393頁</t>
  </si>
  <si>
    <t>吉益家門人録（二）</t>
  </si>
  <si>
    <t>394-410頁</t>
  </si>
  <si>
    <t>医方巻石秘録にみられる洋式外用薬について</t>
  </si>
  <si>
    <t>吉益脩夫―断種法をめぐる人びと（その四）―</t>
  </si>
  <si>
    <t>413-415頁</t>
  </si>
  <si>
    <t>小川鼎三先生　生誕百年祭に</t>
  </si>
  <si>
    <t>中井準之助</t>
  </si>
  <si>
    <t>日本医史学会理事長としての小川鼎三先生</t>
  </si>
  <si>
    <t>416-418頁</t>
  </si>
  <si>
    <t>東大脳研時代の小川先生</t>
  </si>
  <si>
    <t>418-420頁</t>
  </si>
  <si>
    <t>解剖学と鯨学と医史学と</t>
  </si>
  <si>
    <t>石渡隆司『医学哲学はなぜ必要なのか』</t>
  </si>
  <si>
    <t>422-424頁</t>
  </si>
  <si>
    <t>小松良夫『結核―日本近代史の裏側』</t>
  </si>
  <si>
    <t>岡田靖雄『歴史から見た日本の精神科医療の問題点』</t>
  </si>
  <si>
    <t>452-432頁</t>
  </si>
  <si>
    <t>ライデン大学医学部の学統（抄）</t>
  </si>
  <si>
    <t>第47巻第3号</t>
  </si>
  <si>
    <t>457-459頁</t>
  </si>
  <si>
    <t>東北大学医学部前史（抄）</t>
  </si>
  <si>
    <t>山本敏行</t>
  </si>
  <si>
    <t>占領期にて山梨県の看護政策に影響を与えたファーラー軍医（抄）</t>
  </si>
  <si>
    <t>462-463頁</t>
  </si>
  <si>
    <t>十五年戦争と日本外科学会総会（抄）</t>
  </si>
  <si>
    <t>464-465頁</t>
  </si>
  <si>
    <t>海軍航空医学（抄）</t>
  </si>
  <si>
    <t>466-467頁</t>
  </si>
  <si>
    <t>看護婦規則下における准看護婦の実態―免状授与・資格要件・看護料金に関して（抄）</t>
  </si>
  <si>
    <t>468-469頁</t>
  </si>
  <si>
    <t>大正三年の東京における発疹チフスの大流行について（抄）</t>
  </si>
  <si>
    <t>渡部幹夫</t>
  </si>
  <si>
    <t>470-471頁</t>
  </si>
  <si>
    <t>本邦における神経心理学用語（「失語」など）の起源（抄）</t>
  </si>
  <si>
    <t>472-473頁</t>
  </si>
  <si>
    <t>橋本明</t>
  </si>
  <si>
    <t>戦前期日本における精神病院収容患者の増加（抄）</t>
  </si>
  <si>
    <t>鈴木晃仁</t>
  </si>
  <si>
    <t>476-477頁</t>
  </si>
  <si>
    <t>弘前藩『御国日記』にみる癲狂について（抄）</t>
  </si>
  <si>
    <t>O・テムキンの『てんかんの歴史』にみる時代区分について（抄）</t>
  </si>
  <si>
    <t>480-481頁</t>
  </si>
  <si>
    <t>晩年の長谷川泰について（抄）</t>
  </si>
  <si>
    <t>482-483頁</t>
  </si>
  <si>
    <t>司馬凌海―その名古屋時代（明治九～十二年）（抄）</t>
  </si>
  <si>
    <t>484-485頁</t>
  </si>
  <si>
    <t>本邦篤志解剖第一号の執刀者と三田村日誌（抄）</t>
  </si>
  <si>
    <t>486-487頁</t>
  </si>
  <si>
    <t>明治一七年から二一年までの医籍登録者について（抄）</t>
  </si>
  <si>
    <t>488-489頁</t>
  </si>
  <si>
    <t>日本における老人医学の源流（抄）</t>
  </si>
  <si>
    <t>490-491頁</t>
  </si>
  <si>
    <t>医の心の歴史的考察（抄）</t>
  </si>
  <si>
    <t>セメント質微細構造の概念の変遷について（抄）</t>
  </si>
  <si>
    <t>494-495頁</t>
  </si>
  <si>
    <t>狩野文庫（東北大学）と蓬左文庫（名古屋市）の古い馬骨図について（抄）</t>
  </si>
  <si>
    <t>496-497頁</t>
  </si>
  <si>
    <t>幕末維新期の蘭方医関島良致の生き方（抄）</t>
  </si>
  <si>
    <t>青木歳幸</t>
  </si>
  <si>
    <t>西洋医学所医師添田玄春の長崎留学（抄）</t>
  </si>
  <si>
    <t>尾張藩「御医師」の基礎的研究―一六〇三～一八三六（抄）</t>
  </si>
  <si>
    <t>岩下哲典</t>
  </si>
  <si>
    <t>504-505頁</t>
  </si>
  <si>
    <t>華岡青洲自筆「丸散便覧序」（抄）</t>
  </si>
  <si>
    <t>『重訂解体新書』所引の『物理小識』について（抄）</t>
  </si>
  <si>
    <t>508-509頁</t>
  </si>
  <si>
    <t>『蔵志』の解剖学的表現について―『阿蘭陀経絡筋脈臓腑図解』との比較（抄）</t>
  </si>
  <si>
    <t>計良吉則</t>
  </si>
  <si>
    <t>日本におけるテリアカの受容（抄）</t>
  </si>
  <si>
    <t>大伴家持が献上した薬方（抄）</t>
  </si>
  <si>
    <t>514-515頁</t>
  </si>
  <si>
    <t>和気広虫について（抄）</t>
  </si>
  <si>
    <t>518-519頁</t>
  </si>
  <si>
    <t>故松原三郎博士遺品中の一文書―イディッシュ語で書かれた医史学史料（抄）</t>
  </si>
  <si>
    <t>泉彪之助、正橋剛二</t>
  </si>
  <si>
    <t>ロイヤル・マーズデン病院の設立と発展（抄）</t>
  </si>
  <si>
    <t>ジョウジ・ワシントンの死について（抄）</t>
  </si>
  <si>
    <t>524-525頁</t>
  </si>
  <si>
    <t>古代インドの病理論書『マーダヴァ・ニダーナ』について（抄）</t>
  </si>
  <si>
    <t>山下勤</t>
  </si>
  <si>
    <t>『脈経』二十四脈状の構造分析―遅数と疎疾の相違点（抄）</t>
  </si>
  <si>
    <t>中川俊之</t>
  </si>
  <si>
    <t>『扁鵲心書』の鍼灸について（抄）</t>
  </si>
  <si>
    <t>鍼灸歌賦の研究―「玉龍歌」（抄）</t>
  </si>
  <si>
    <t>中国伝統医学と道教（第二十二回）「祝由」（抄）</t>
  </si>
  <si>
    <t>日本の鍼灸を輸入した中国民国時代鍼灸医学家―承淡安の業績について（抄）</t>
  </si>
  <si>
    <t>中国医書にみられる糖尿病（抄）</t>
  </si>
  <si>
    <t>魯紅梅</t>
  </si>
  <si>
    <t>『傷寒雑病論』における卓越した考注（抄）</t>
  </si>
  <si>
    <t>542-543頁</t>
  </si>
  <si>
    <t>台湾故宮所蔵の日本関連古医籍（抄）</t>
  </si>
  <si>
    <t>『蔵府和名攷』について（抄）</t>
  </si>
  <si>
    <t>竹内尚</t>
  </si>
  <si>
    <t>梅園資料館所蔵の医学書の紹介（抄）</t>
  </si>
  <si>
    <t>三輪東朔に関する新知見（抄）</t>
  </si>
  <si>
    <t>550-551頁</t>
  </si>
  <si>
    <t>知られざる医史学者・渡辺奎輔（抄）</t>
  </si>
  <si>
    <t>552-553頁</t>
  </si>
  <si>
    <t>足部に名前を残す二人のフランス人―ChopartとLisfranc（抄）</t>
  </si>
  <si>
    <t>554-555頁</t>
  </si>
  <si>
    <t>Colles 骨折の嚆矢―フランス人医師 Claude Pouteau（抄）</t>
  </si>
  <si>
    <t>558-559頁</t>
  </si>
  <si>
    <t>レアルド・コロンボ『解剖学』におけるヒトと動物（抄）</t>
  </si>
  <si>
    <t>藤浪鑑教授とがんの疫学調査（抄）</t>
  </si>
  <si>
    <t>562-563頁</t>
  </si>
  <si>
    <t>網膜色素変性症患者の心理的側面に関する研究史（抄）</t>
  </si>
  <si>
    <t>高林雅子</t>
  </si>
  <si>
    <t>日露戦争時の傷病俘虜者の治療と看護状況（抄）</t>
  </si>
  <si>
    <t>『明治四十三年五月　種痘名簿　吉備郡Ⅹ村役場』について（抄）</t>
  </si>
  <si>
    <t>568-569頁</t>
  </si>
  <si>
    <t>早矢仕有的とメディカルＮＰＯ・両幸社（抄）</t>
  </si>
  <si>
    <t>570-571頁</t>
  </si>
  <si>
    <t>ハーバード大学図書館に残るヘボンの書簡（抄）</t>
  </si>
  <si>
    <t>572-573頁</t>
  </si>
  <si>
    <t>明治期ドイツ留学生の絵葉書（抄）</t>
  </si>
  <si>
    <t>574-575頁</t>
  </si>
  <si>
    <t>スクリバ博士の外科学系譜の疑義の訂正（抄）</t>
  </si>
  <si>
    <t>泉屋家文書の外科資料蘭文断簡、外科問考について（抄）</t>
  </si>
  <si>
    <t>相川忠臣、ハルメン・ボイクルス、中西啓</t>
  </si>
  <si>
    <t>越中高岡見在江戸後期蘭語医事資料について（抄）</t>
  </si>
  <si>
    <t>正岡剛二</t>
  </si>
  <si>
    <t>580-581頁</t>
  </si>
  <si>
    <t>大英図書館で新たに発見された、ケンペルによる灸所鑑の翻訳草稿について（抄）</t>
  </si>
  <si>
    <t>584-585頁</t>
  </si>
  <si>
    <t>公家・寺院日記から見た眼科の動向（抄）</t>
  </si>
  <si>
    <t>586-587頁</t>
  </si>
  <si>
    <t>宗田文庫本『切紙東井御釈談』について（抄）</t>
  </si>
  <si>
    <t>588-589頁</t>
  </si>
  <si>
    <t>導道が曲直瀬道三に授けた印可状（抄）</t>
  </si>
  <si>
    <t>590-591頁</t>
  </si>
  <si>
    <t>『煙蘿子針灸法』について（抄）</t>
  </si>
  <si>
    <t>592-593頁</t>
  </si>
  <si>
    <t>「灸鍼図」の考察（抄）</t>
  </si>
  <si>
    <t>594-595頁</t>
  </si>
  <si>
    <t>『頓医抄』における脈法（抄）</t>
  </si>
  <si>
    <t>吉岡広記</t>
  </si>
  <si>
    <t>金瘡医と『金瘡療治鈔』（抄）</t>
  </si>
  <si>
    <t>アンドリュー・ゴーブル</t>
  </si>
  <si>
    <t>598-599頁</t>
  </si>
  <si>
    <t>三位法眼考（抄）</t>
  </si>
  <si>
    <t>高野長英から大窪綱介宛の書翰（抄）</t>
  </si>
  <si>
    <t>602-603頁</t>
  </si>
  <si>
    <t>中日疫病史における伝染説提唱の先覚者―呉有性と橋本伯寿（抄）</t>
  </si>
  <si>
    <t>1999年医史学関係文献目録</t>
  </si>
  <si>
    <t>606-657頁</t>
  </si>
  <si>
    <t>公衆衛生の確立における日本と英国―長与専斎とE・チャドウィックの果たした役割</t>
  </si>
  <si>
    <t>上林茂暢</t>
  </si>
  <si>
    <t>第47巻第4号</t>
  </si>
  <si>
    <t>665-696頁</t>
  </si>
  <si>
    <t>山形県における近代産婆制度成立過程に関する研究―明治三十二年までの産婆規則類の制定を中心に</t>
  </si>
  <si>
    <t>高橋みや子</t>
  </si>
  <si>
    <t>697-755頁</t>
  </si>
  <si>
    <t>756頁</t>
  </si>
  <si>
    <t>大正四（一九一五）年制定の「看護婦規則」の制定過程と意義に関する研究</t>
  </si>
  <si>
    <t>757-796頁</t>
  </si>
  <si>
    <t>新発見の医書、田代三喜『本方加減秘集』に見られる医説―基本処方と加減方</t>
  </si>
  <si>
    <t>797-818頁</t>
  </si>
  <si>
    <t>永富独嘯庵から小石元俊へ―江戸時代中期の医の先哲</t>
  </si>
  <si>
    <t>819-826頁</t>
  </si>
  <si>
    <t>吉益家門人録（三）</t>
  </si>
  <si>
    <t>827-843頁</t>
  </si>
  <si>
    <t>844-853頁</t>
  </si>
  <si>
    <t>Grace Elizabeth Altによる第二次世界大戦後の看護改革</t>
  </si>
  <si>
    <t>大石杉乃</t>
  </si>
  <si>
    <t>854-855頁</t>
  </si>
  <si>
    <t>854頁</t>
  </si>
  <si>
    <t>吉益東洞と道家・道教思想</t>
  </si>
  <si>
    <t>舘野正美、大山昌道</t>
  </si>
  <si>
    <t>855-857頁</t>
  </si>
  <si>
    <t>お雇い外国人医学教師ヴェルニッヒ（Albrecht Ludwig Agathon Wernich 1843-1896）の生涯と業績</t>
  </si>
  <si>
    <t>857-859頁</t>
  </si>
  <si>
    <t>私の垣間見た近世漢方史の一面</t>
  </si>
  <si>
    <t>859-860頁</t>
  </si>
  <si>
    <t>吉益東洞『古書医言』における儒教経典</t>
  </si>
  <si>
    <t>860-862頁</t>
  </si>
  <si>
    <t>吉良枝郎著『日本の西洋医学の生い立ち』</t>
  </si>
  <si>
    <t>862-863頁</t>
  </si>
  <si>
    <t>863-865頁</t>
  </si>
  <si>
    <t>芝木秀哉著『順天堂経験―嘉永年間に於ける日本の医療の実録』</t>
  </si>
  <si>
    <t>865-866頁</t>
  </si>
  <si>
    <t>浅野弘毅著『精神医療論争史』</t>
  </si>
  <si>
    <t>866-868頁</t>
  </si>
  <si>
    <t>岡田靖雄著『精神科医　斎藤茂吉の生涯』</t>
  </si>
  <si>
    <t>小峯和茂</t>
  </si>
  <si>
    <t>868-869頁</t>
  </si>
  <si>
    <t>山崎光夫著『日本の名薬』</t>
  </si>
  <si>
    <t>869-870頁</t>
  </si>
  <si>
    <t>D・フローリ、V・ラッド著『アーユルヴェーダのハーブ医学』</t>
  </si>
  <si>
    <t>870-871頁</t>
  </si>
  <si>
    <t>森川政一著『昭和前期上越医界史』</t>
  </si>
  <si>
    <t>871-873頁</t>
  </si>
  <si>
    <t>医学館における医学考試について（一）</t>
  </si>
  <si>
    <t>2002年(平成14)</t>
  </si>
  <si>
    <t>第48巻第1号</t>
  </si>
  <si>
    <t>『解体新書』の原著者クルムスについての研究</t>
  </si>
  <si>
    <t>031-51頁</t>
  </si>
  <si>
    <t>053-65頁</t>
  </si>
  <si>
    <t>異本病草紙の伝本に就いて</t>
  </si>
  <si>
    <t>林美朗</t>
  </si>
  <si>
    <t>067-79頁</t>
  </si>
  <si>
    <t>文庫めぐり（17）文教大学越谷図書館池田文庫</t>
  </si>
  <si>
    <t>関寛斎「御容体心覚」</t>
  </si>
  <si>
    <t>081-89頁</t>
  </si>
  <si>
    <t>史料「故 Jo.Ad. クルムス博士の手稿からの抜粋」</t>
  </si>
  <si>
    <t>090-103頁</t>
  </si>
  <si>
    <t>関西大震災と横浜「関西村」の病院について（抄）</t>
  </si>
  <si>
    <t>大英図書館のスタイン医薬文書（抄）</t>
  </si>
  <si>
    <t>黄煌著、柴崎瑛子訳『中国伝統流派の系譜』</t>
  </si>
  <si>
    <t>チャールズ・D.オマリー著、坂井建雄訳『ブリュッセルのアンドレアス・ヴェサリウス　一五一四―一五六四』</t>
  </si>
  <si>
    <t>新村拓著『在宅死の時代―近代日本のターミナルケア』</t>
  </si>
  <si>
    <t>吉田忠・深瀬泰旦編『東と西の医療文化』</t>
  </si>
  <si>
    <t>川原秀城著『毒薬は口に苦し』</t>
  </si>
  <si>
    <t>吉本昭治</t>
  </si>
  <si>
    <t>国際日本文化研究センター編『宗田文庫目録』</t>
  </si>
  <si>
    <t>内藤記念くすり博物館編『大同薬室文庫蔵書目録』</t>
  </si>
  <si>
    <t>神戸十四郎編『宮城県医史懇話会二十二年の歩み』</t>
  </si>
  <si>
    <t>日本医史学雑誌第四十七巻総目次</t>
  </si>
  <si>
    <t>125-129頁</t>
  </si>
  <si>
    <t>Mohnike and Vaccination: Deshima-doctor in the Wake of Von Siebold</t>
  </si>
  <si>
    <t>Harmen Beukers</t>
  </si>
  <si>
    <t>152-131頁</t>
  </si>
  <si>
    <t>『重訂解体新書』所引の中国書籍の研究―『医学原始』と『物理小識』について</t>
  </si>
  <si>
    <t>第48巻第2号</t>
  </si>
  <si>
    <t>155-174頁</t>
  </si>
  <si>
    <t>新に確定された青洲の乳癌患者三名の死亡年月日</t>
  </si>
  <si>
    <t>175-184頁</t>
  </si>
  <si>
    <t>医学館における医学考試について（二）</t>
  </si>
  <si>
    <t>185-204頁</t>
  </si>
  <si>
    <t>多御少女の房中術に関する医学的検証</t>
  </si>
  <si>
    <t>205-217頁</t>
  </si>
  <si>
    <t>日韓生薬学交流史―杉原徳行の業績と評価</t>
  </si>
  <si>
    <t>219-225頁</t>
  </si>
  <si>
    <t>吉益家門人録（四）</t>
  </si>
  <si>
    <t>226-258頁</t>
  </si>
  <si>
    <t>癸亥　春林軒続薬方冊（三）</t>
  </si>
  <si>
    <t>259-266頁</t>
  </si>
  <si>
    <t>「達生園門生録　附醇生庵探頷伝授録」について</t>
  </si>
  <si>
    <t>梶谷光弘</t>
  </si>
  <si>
    <t>267-296頁</t>
  </si>
  <si>
    <t>追悼　吉田信先生</t>
  </si>
  <si>
    <t>大村敏郎先生を悼む</t>
  </si>
  <si>
    <t>長崎学の泰斗　中西啓先生を悼む</t>
  </si>
  <si>
    <t>相川忠臣</t>
  </si>
  <si>
    <t>江戸幕府寄合医師添田玄春の日々の暮し（抄）</t>
  </si>
  <si>
    <t>例会記録（平成14年3月－5月）</t>
  </si>
  <si>
    <t>304頁</t>
  </si>
  <si>
    <t>見市雅俊・斎藤修・脇村孝平・飯島渉編『疾病・開発・帝国医療―アジアにおける病気と医療の歴史学』</t>
  </si>
  <si>
    <t>中西淳朗著『仙花堂医史往来』</t>
  </si>
  <si>
    <t>星和夫</t>
  </si>
  <si>
    <t>加納喜光著『風水と身体―中国古代のエコロジー―』</t>
  </si>
  <si>
    <t>新潟県における医学教育前史（抄）</t>
  </si>
  <si>
    <t>第48巻第3号</t>
  </si>
  <si>
    <t>323-325頁</t>
  </si>
  <si>
    <t>日本医史学会と日本歯科医史学会（抄）</t>
  </si>
  <si>
    <t>飛鳥京庭園跡出土木簡「西州続命湯」の出典について（抄）</t>
  </si>
  <si>
    <t>小曽戸洋、真柳誠</t>
  </si>
  <si>
    <t>『玉葉』における九条兼実の湯治（抄）</t>
  </si>
  <si>
    <t>寺川華奈</t>
  </si>
  <si>
    <t>三位法眼と半井明重（抄）</t>
  </si>
  <si>
    <t>『雲庵抄』について（抄）</t>
  </si>
  <si>
    <t>『維摩経』にみる医の心（抄）</t>
  </si>
  <si>
    <t>明治期発行の医籍録に掲載された新潟県内の医師・歯科医師人名（抄）</t>
  </si>
  <si>
    <t>広瀬秀</t>
  </si>
  <si>
    <t>長岡市出身の医学者・椰野直の筆記ノートについて（抄）</t>
  </si>
  <si>
    <t>陸軍航空医学（抄）</t>
  </si>
  <si>
    <t>十五年戦争と日本民族衛生学会（協会）（抄）</t>
  </si>
  <si>
    <t>藤浪鑑教授とがんの疫学調査（二）林直助教授の協力と戦後の研究への寄与（抄）</t>
  </si>
  <si>
    <t>福岡医科大学創設者・大森治豊（抄）</t>
  </si>
  <si>
    <t>横浜三島堂病院略史（抄）</t>
  </si>
  <si>
    <t>植民地時代朝鮮のハンセン病医療に従事した医師周防正季（抄）</t>
  </si>
  <si>
    <t>血圧測定の創始者ステファン・ヘイルズ（抄）</t>
  </si>
  <si>
    <t>一〇一年前のドイツ留学生の絵葉書―ブレスラウの今昔比較（抄）</t>
  </si>
  <si>
    <t>石田純郎、小田皓二</t>
  </si>
  <si>
    <t>未発表文献（Minachon 文書）によるパリ一般病院の誕生（抄）</t>
  </si>
  <si>
    <t>ナチスの「安楽死」作戦とミュンスター司教フォン・ガーレン（抄）</t>
  </si>
  <si>
    <t>グレイト・オーモンド・ストリート小児病院の設立について（抄）</t>
  </si>
  <si>
    <t>画家トｳールーズ・ロートレック（1864-1901）の疾患について（抄）</t>
  </si>
  <si>
    <t>大正四年看護婦規則制定以前に使用されていた看護婦の名称について（抄）</t>
  </si>
  <si>
    <t>GHQによる戦後の看護教育カリキュラムの成立と経緯（抄）</t>
  </si>
  <si>
    <t>佐藤公美子、坪井良子</t>
  </si>
  <si>
    <t>昭和戦前期の精神医療におけるジェンダーバイアス（抄）</t>
  </si>
  <si>
    <t>製本おそるべし―『神経学雑誌』のばあい（抄）</t>
  </si>
  <si>
    <t>岡田靖雄、小峯和茂</t>
  </si>
  <si>
    <t>日本の敗戦直前後の医事雑誌と発刊事情（抄）</t>
  </si>
  <si>
    <t>ハノイ現存古医籍の特徴（抄）</t>
  </si>
  <si>
    <t>『口歯類要』における歯痛に関する考察（抄）</t>
  </si>
  <si>
    <t>西巻明彦、寺師睦宗</t>
  </si>
  <si>
    <t>古典医書における字から詞へ変化例（抄）</t>
  </si>
  <si>
    <t>疾病史に見る時代区分について（抄）</t>
  </si>
  <si>
    <t>『脈経』二十四脈状解析―『脈経』中における浮脈と他脈状の関係（抄）</t>
  </si>
  <si>
    <t>『甲乙経』における刺入深度・呼数の一考察（抄）</t>
  </si>
  <si>
    <t>鍼灸書における婦人病証―漢代から唐代まで（抄）</t>
  </si>
  <si>
    <t>鬼眼穴の考察（抄）</t>
  </si>
  <si>
    <t>『延寿院切紙』における導道・三喜像（抄）</t>
  </si>
  <si>
    <t>曲直瀬道三と佐野―「足利の三帰」の検討（抄）</t>
  </si>
  <si>
    <t>吉益東洞『医方古言』攷（抄）</t>
  </si>
  <si>
    <t>松平定信の古方派批判（抄）</t>
  </si>
  <si>
    <t>モグサの産地としての伊吹山の歴史（抄）</t>
  </si>
  <si>
    <t>鶴田泰平</t>
  </si>
  <si>
    <t>旧約聖書和訳過程における鳥類名称の取扱について（抄）</t>
  </si>
  <si>
    <t>水谷維紗久</t>
  </si>
  <si>
    <t>『重訂解体新書』所引の中国書籍の研究（医書について）（抄）</t>
  </si>
  <si>
    <t>三輪愿『葉真途異語』と三輪試『大和医語』（抄）</t>
  </si>
  <si>
    <t>友部和弘、小曽戸洋</t>
  </si>
  <si>
    <t>中国伝統医学と道教（第二十三回）「神仙」（抄）</t>
  </si>
  <si>
    <t>『古事記』の中の身体に関わる表現（抄）</t>
  </si>
  <si>
    <t>江戸時代の化粧と医療―『容顔美艶考』と『都風俗化粧伝』分析を中心に（抄）</t>
  </si>
  <si>
    <t>王朝文学時代の歯科医療（抄）</t>
  </si>
  <si>
    <t>東智</t>
  </si>
  <si>
    <t>「『病草子』にあらわれた歯科疾患風俗に関する一考察」第三報（抄）</t>
  </si>
  <si>
    <t>Jack Dresch の補綴学への貢献について（抄）</t>
  </si>
  <si>
    <t>十九世紀中期の日本と西欧の義歯の比較（抄）</t>
  </si>
  <si>
    <t>ガレノスとヴェサリウスの解剖学の比較研究―筋系を例にとって（抄）</t>
  </si>
  <si>
    <t>フォルヘー・コイターの解剖学―研究対象の措定をめぐって（抄）</t>
  </si>
  <si>
    <t>スネイプ『馬体解剖学』（英文）一六八三年について（抄）</t>
  </si>
  <si>
    <t>レオナルド解剖手稿の心臓記述に関する年代的考察（第二報）（抄）</t>
  </si>
  <si>
    <t>解体新書以降の医歯学書に見られる歯科用語の変遷（抄）</t>
  </si>
  <si>
    <t>嶋村昭辰、小林繁、上瀉口武</t>
  </si>
  <si>
    <t>桐村克己著「歯の養生法」の原資料の疑義についての研究（抄）</t>
  </si>
  <si>
    <t>ボードインのもたらした新しい神経生理学（抄）</t>
  </si>
  <si>
    <t>相川忠臣、ハルメン・ボイケルス</t>
  </si>
  <si>
    <t>ケーニヒスベルグ大学と大阪大学（生化学で結ばれる橋）（抄）</t>
  </si>
  <si>
    <t>野口英世著「Serum Diagnosis of Syphilis」（一九一〇初版）の出版とその経緯について（抄）</t>
  </si>
  <si>
    <t>石塚三郎旧蔵・新潟県歯科医師会日誌―草創期の歯科界を探る（抄）</t>
  </si>
  <si>
    <t>佐藤泰彦</t>
  </si>
  <si>
    <t>初代厚生大臣木戸幸一自筆の血脇守之助への書簡（委員委嘱状）（抄）</t>
  </si>
  <si>
    <t>山岸徳太郎、森山徳長、長谷川正康、石川達也</t>
  </si>
  <si>
    <t>日本大学歯学部創設者佐藤運雄先生の医術・歯科医術開業免状について（抄）</t>
  </si>
  <si>
    <t>工藤逸郎、三宅正彦、見崎徹</t>
  </si>
  <si>
    <t>熊本県近代文化功労者として顕彰された一井正典について（抄）</t>
  </si>
  <si>
    <t>岩ヶ崎接種結核事件に関するGHQ文書について（抄）</t>
  </si>
  <si>
    <t>戦後日本の外国人医師導入―導入プロセスと認識を中心に（抄）</t>
  </si>
  <si>
    <t>今野卓美</t>
  </si>
  <si>
    <t>農村医学の発展―「農夫症」をめぐって（抄）</t>
  </si>
  <si>
    <t>戦後の視覚障害原因の推移と医療の対応（抄）</t>
  </si>
  <si>
    <t>最後の高等学校（その二）（抄）</t>
  </si>
  <si>
    <t>水川秀海、嶋村昭辰</t>
  </si>
  <si>
    <t>陸軍で用いられた歯科嚢と歯科機械（抄）</t>
  </si>
  <si>
    <t>歯科医史学と色彩学の関連性の考察（抄）</t>
  </si>
  <si>
    <t>シーボルト記念館蔵の「阿蘭陀草木鏡図」とその背景について（抄）</t>
  </si>
  <si>
    <t>ミヒェル、ヴォルフガング</t>
  </si>
  <si>
    <t>華岡青洲が全身麻酔薬を使って行った乳癌手術を欧米に紹介したのは誰か？（抄）</t>
  </si>
  <si>
    <t>池田文書からみたお玉が池種痘所開設の前夜（抄）</t>
  </si>
  <si>
    <t>医史学関係文献目録（2000年）</t>
  </si>
  <si>
    <t>480-534頁</t>
  </si>
  <si>
    <t>故松原三郎博士遺品中の一文書、イディッシュ語で書かれた医史学史料</t>
  </si>
  <si>
    <t>第48巻第4号</t>
  </si>
  <si>
    <t>541-573頁</t>
  </si>
  <si>
    <t>日本におけるファン・スウｲーテン水の受容</t>
  </si>
  <si>
    <t>575-595頁</t>
  </si>
  <si>
    <t>大正三年、東京における発疹チフスの大流行について―防疫行政面からの一考察</t>
  </si>
  <si>
    <t>597-616頁</t>
  </si>
  <si>
    <t>ひろば</t>
  </si>
  <si>
    <t>田代和生著『江戸時代朝鮮薬材調査の研究』へのコメント―科学史の立場から提出されている史料を読む</t>
  </si>
  <si>
    <t>617-636頁</t>
  </si>
  <si>
    <t>池田文書の研究（二十四）</t>
  </si>
  <si>
    <t>637-647頁</t>
  </si>
  <si>
    <t>手塚良斎「医学所御用留」（五）</t>
  </si>
  <si>
    <t>648-653頁</t>
  </si>
  <si>
    <t>さようなら、古川明先生</t>
  </si>
  <si>
    <t>金山知新</t>
  </si>
  <si>
    <t>654-656頁</t>
  </si>
  <si>
    <t>矢数道明先生を偲ぶ―その足跡</t>
  </si>
  <si>
    <t>657-660頁</t>
  </si>
  <si>
    <t>杉先生のご逝去を悼む</t>
  </si>
  <si>
    <t>661-663頁</t>
  </si>
  <si>
    <t>日本医史学会史資料供覧（抄）</t>
  </si>
  <si>
    <t>664-666頁</t>
  </si>
  <si>
    <t>664頁</t>
  </si>
  <si>
    <t>また江戸幕府寄合医師添田玄春の日々の暮し（抄）</t>
  </si>
  <si>
    <t>666-667頁</t>
  </si>
  <si>
    <t>日本における義肢装着者の生活援護史研究［抄）</t>
  </si>
  <si>
    <t>相州小田原の医史片々（抄）</t>
  </si>
  <si>
    <t>669-670頁</t>
  </si>
  <si>
    <t>杉浦守邦著『カルテ拝見　武将の死因』</t>
  </si>
  <si>
    <t>坪井良子著『日本における義肢装着者の生活援護史研究』</t>
  </si>
  <si>
    <t>671-673頁</t>
  </si>
  <si>
    <t>杉立義一著『お産の歴史』</t>
  </si>
  <si>
    <t>673-675頁</t>
  </si>
  <si>
    <t>杉本つとむ著『江戸の阿蘭陀流医師』</t>
  </si>
  <si>
    <t>野間祐輔著『二宮敬作と彼をめぐるひとびと』</t>
  </si>
  <si>
    <t>677-678頁</t>
  </si>
  <si>
    <t>酒井シヅ著『病が語る日本史』</t>
  </si>
  <si>
    <t>678-679頁</t>
  </si>
  <si>
    <t>外山幹夫著『医療福祉の祖　長与専斎』</t>
  </si>
  <si>
    <t>日本医史学雑誌第四十八巻　総目次</t>
  </si>
  <si>
    <t>683-688頁</t>
  </si>
  <si>
    <t>On the Background of Engelbert Kaempfer's Studies of Japanese Herbs and Drugs</t>
  </si>
  <si>
    <t>692-720頁</t>
  </si>
  <si>
    <t>京都帝国大学福岡医科大学から九州帝国医科大学への道のり（抄）</t>
  </si>
  <si>
    <t>2003年(平成15)</t>
  </si>
  <si>
    <t>第49巻第1号</t>
  </si>
  <si>
    <t>006-10頁</t>
  </si>
  <si>
    <t>伝染病の歴史―疫病から感染症に（抄）</t>
  </si>
  <si>
    <t>011-13頁</t>
  </si>
  <si>
    <t>特定領域研究「我が国の科学技術黎明期資料の体系化に関する調査・研究」（略称「江戸モノづくり」）についての報告（抄）</t>
  </si>
  <si>
    <t>九州大学医学部所蔵キュンストレーキについて（抄）</t>
  </si>
  <si>
    <t>橋本龍雲家伝の古医書類（抄）</t>
  </si>
  <si>
    <t>岡田昌春文庫（一）書籍類（抄）</t>
  </si>
  <si>
    <t>岡田昌春文庫（二）書簡類（抄）</t>
  </si>
  <si>
    <t>室町～江戸時代初期の金瘡書、南蛮流膏薬書、『春林軒膏方便覧』に見られる軟膏の色（抄）</t>
  </si>
  <si>
    <t>江戸時代の金瘡治療における「血」の概念の展開―紅毛流外科と気血水論（抄）</t>
  </si>
  <si>
    <t>ホーデフリート・ハークと一七世紀の日蘭交流における薬草学について（抄）</t>
  </si>
  <si>
    <t>ヴォルフガング　ミヒェル　</t>
  </si>
  <si>
    <t>福岡の蘭学（医学）（抄）</t>
  </si>
  <si>
    <t>中津藩蘭学の系譜（抄）</t>
  </si>
  <si>
    <t>遠隔と近接（抄）</t>
  </si>
  <si>
    <t>一二世紀末ののクメール文化圏の施療院（抄）</t>
  </si>
  <si>
    <t>佐藤剛蔵と近代朝鮮医学教育（抄）</t>
  </si>
  <si>
    <t>魯迅のエッセイ『皇漢医学』について（抄）</t>
  </si>
  <si>
    <t>朝鮮のハンセン病医療に従事した志賀潔（抄）</t>
  </si>
  <si>
    <t>『看病用心抄』の著者について（抄）</t>
  </si>
  <si>
    <t>関根透</t>
  </si>
  <si>
    <t>『風土記』の中の身体に関わる表現（抄）</t>
  </si>
  <si>
    <t>薛立斎の排膿に関する概念の考察（抄）</t>
  </si>
  <si>
    <t>『日本精神科医療史』をかきあげて（抄）</t>
  </si>
  <si>
    <t>第一次世界大戦における陸軍航空医学（抄）</t>
  </si>
  <si>
    <t>第二次世界大戦以前における日本の精神医療の評判（抄）</t>
  </si>
  <si>
    <t>「青洲先生療乳癌図記」について―華岡青洲と広瀬屋利兵衛の妻―（抄）</t>
  </si>
  <si>
    <t>吉益東洞〈親試実験〉の背景としての金瘡―医史学的概観（抄）</t>
  </si>
  <si>
    <t>泉屋家文書の外科資料蘭文断簡からわかった本木正栄の医書（抄）</t>
  </si>
  <si>
    <t>相川忠臣、ハルメン　ボイケルス</t>
  </si>
  <si>
    <t>『黄帝内経明堂類成』と『甲乙経』の比較（抄）</t>
  </si>
  <si>
    <t>傷寒学を研究する先駆―高若訥（抄）</t>
  </si>
  <si>
    <t>江戸期の義眼史（抄）</t>
  </si>
  <si>
    <t>奥沢康正、広瀬秀</t>
  </si>
  <si>
    <t>順天堂大学眼科リハビリテーションクリニックの歴史的意義（抄）</t>
  </si>
  <si>
    <t>江戸時代の温泉と梅毒（抄）</t>
  </si>
  <si>
    <t>中国伝統医学と道教（第二十三回）五石散（抄）</t>
  </si>
  <si>
    <t>『素問攷注』に引用される『解体発蒙』についての一考察（抄）</t>
  </si>
  <si>
    <t>唐以前における妊娠の認識について（抄）</t>
  </si>
  <si>
    <t>『脈経』における版本の比較―『脈経』版本字句異同調査報告（抄）</t>
  </si>
  <si>
    <t>『名家灸選』所収の「試効」の灸法にみる施灸数（抄）</t>
  </si>
  <si>
    <t>近世日本鍼灸史における『阿是要穴』の意義（抄）</t>
  </si>
  <si>
    <t>杉浦雄、篠原孝市</t>
  </si>
  <si>
    <t>『玉葉』の鍼灸（抄）</t>
  </si>
  <si>
    <t>『東医宝鑑』の研究―鍼灸篇について（抄）</t>
  </si>
  <si>
    <t>吉田和裕</t>
  </si>
  <si>
    <t>明石為嗣著「x脚之治験」（明治二二年）について（抄）</t>
  </si>
  <si>
    <t>小林晶、奥村武</t>
  </si>
  <si>
    <t>久保記念館と久保猪之吉先生の思い（抄）</t>
  </si>
  <si>
    <t>貝原益軒（一六三〇～一七一四）の紹介（抄）</t>
  </si>
  <si>
    <t>木村専太郎</t>
  </si>
  <si>
    <t>貝原益軒の最後の著書『慎思録』について（抄）</t>
  </si>
  <si>
    <t>原敬二郎</t>
  </si>
  <si>
    <t>明治時代に発行された碩田医報（抄）</t>
  </si>
  <si>
    <t>中津藩医山辺文伯と産育編について（抄）</t>
  </si>
  <si>
    <t>前野良沢（蘭化）の自画像とオランダ馬具について（抄）</t>
  </si>
  <si>
    <t>緒方洪庵と添田玄春―西洋医学所頭取役宅の新築をめぐって（抄）</t>
  </si>
  <si>
    <t>高野長英の『避疫要法』と看護（抄）</t>
  </si>
  <si>
    <t>安中藩主板倉候の種痘事業（抄）</t>
  </si>
  <si>
    <t>清水英一</t>
  </si>
  <si>
    <t>ガレノスとヴェサリウスの解剖学の比較研究（二）―第三・四対の脳神経を例にとって（抄）</t>
  </si>
  <si>
    <t>コッホのまな弟子、リディア・ラビノウイッチ・ケンプナー教授（抄）</t>
  </si>
  <si>
    <t>Thomas Willis の Cerebri Anatome について―脳神経系を中心に（抄）</t>
  </si>
  <si>
    <t>門田永治</t>
  </si>
  <si>
    <t>ガイ病院の創設について（抄）</t>
  </si>
  <si>
    <t>十九世紀における血圧測定の歴史（抄）</t>
  </si>
  <si>
    <t>京都・島根ジフテリア予防接種禍についての京都府記録とGHQ文書（抄）</t>
  </si>
  <si>
    <t>GHQによる看護改革の流れ―GHQ看護課・課長 G.E.Alt に対する協調と対立の構図（抄）</t>
  </si>
  <si>
    <t>124-125頁</t>
  </si>
  <si>
    <t>なぜ日本では「ドナ」を志望する人が少ないのか（抄）</t>
  </si>
  <si>
    <t>『日本杏林要覧』（明治四二年刊）に掲載された九州八県下の医師・歯科医師人名（抄）</t>
  </si>
  <si>
    <t>先覚的医界ジャーナリスト山谷徳治郎（抄）</t>
  </si>
  <si>
    <t>中山沃、小田晧二</t>
  </si>
  <si>
    <t>ドイツ人外科医ペルテス（一八六九―一九二七）の小伝と北清事変中の業績（抄）</t>
  </si>
  <si>
    <t>最古参学校医　船石保太（抄）</t>
  </si>
  <si>
    <t>神奈川県権令・大江卓の養生布告（抄）</t>
  </si>
  <si>
    <t>済生学舎出身の医師三木保長の生涯と東大整形外科教授三木威勇治について（抄）</t>
  </si>
  <si>
    <t>愛知の結核医療史補遺（抄）</t>
  </si>
  <si>
    <t>統計と医学的な事実―高木兼寛及び脚気論（抄）</t>
  </si>
  <si>
    <t>日本における法定伝染病統計の分析一九〇〇―一九六〇（一）（抄）</t>
  </si>
  <si>
    <t>日本における法定伝染病統計の分析一九〇〇―一九六〇（二）（抄）</t>
  </si>
  <si>
    <t>市川智生</t>
  </si>
  <si>
    <t>日本における法定伝染病統計の分析一九〇〇―一九六〇（三）（抄）</t>
  </si>
  <si>
    <t>永島剛</t>
  </si>
  <si>
    <t>日本における法定伝染病統計の分析一九〇〇―一九六〇（四）（抄）</t>
  </si>
  <si>
    <t>平山勉</t>
  </si>
  <si>
    <t>150-151頁</t>
  </si>
  <si>
    <t>152-200頁</t>
  </si>
  <si>
    <t>多紀元簡失脚の背景―医学館官立化当初の一事情―</t>
  </si>
  <si>
    <t>第49巻第2号</t>
  </si>
  <si>
    <t>205-221頁</t>
  </si>
  <si>
    <t>日本植民地時代における韓国のハンセン病対策の研究―一つの試論―</t>
  </si>
  <si>
    <t>223-261頁</t>
  </si>
  <si>
    <t>近代日本におけるマッサージ医療の導入</t>
  </si>
  <si>
    <t>和久田哲司</t>
  </si>
  <si>
    <t>263-276頁</t>
  </si>
  <si>
    <t>精神疾患患者・遺伝性疾患患者に対するナチスの「安楽死」作戦とミュンスター司教フォン・ガーレン</t>
  </si>
  <si>
    <t>277-319頁</t>
  </si>
  <si>
    <t>解体新書―言語と概念の変容―</t>
  </si>
  <si>
    <t>岡田昌信</t>
  </si>
  <si>
    <t>321-333頁</t>
  </si>
  <si>
    <t>昭和二〇年四月歯科医師への医師免許特例措置</t>
  </si>
  <si>
    <t>335-352頁</t>
  </si>
  <si>
    <t>病原体としての「風」の概念</t>
  </si>
  <si>
    <t>癸亥　春林軒続薬方冊（四）</t>
  </si>
  <si>
    <t>355-368頁</t>
  </si>
  <si>
    <t>富士川英郎先生を悼む</t>
  </si>
  <si>
    <t>大滝　紀雄</t>
  </si>
  <si>
    <t>例会記録（平成14年9月、12月から15年5月）</t>
  </si>
  <si>
    <t>江戸医学館における臨床記録（抄）</t>
  </si>
  <si>
    <t>町泉寿郎、戸出一郎</t>
  </si>
  <si>
    <t>373-375頁</t>
  </si>
  <si>
    <t>横浜港邏卒養生之規則について（抄）</t>
  </si>
  <si>
    <t>375-376頁</t>
  </si>
  <si>
    <t>和漢薬の来歴に関する新史料（抄）</t>
  </si>
  <si>
    <t>377-378頁</t>
  </si>
  <si>
    <t>医学館年表作成をめざして―基礎資料解説―（抄）</t>
  </si>
  <si>
    <t>379-380頁</t>
  </si>
  <si>
    <t>断種法史上の人びと（その六）―成田勝郎・付菊池甚一―</t>
  </si>
  <si>
    <t>381-384頁</t>
  </si>
  <si>
    <t>江戸幕府寄合医師添田玄春の医学と医療活動（抄）</t>
  </si>
  <si>
    <t>鈴木七美著『癒しの歴史人類学　ハーブと水のシンポリズムへ』</t>
  </si>
  <si>
    <t>387-389頁</t>
  </si>
  <si>
    <t>石塚久郎、鈴木晃仁編『身体医文化論―感覚と欲望』</t>
  </si>
  <si>
    <t>岡田靖雄著『日本精神科医療史』</t>
  </si>
  <si>
    <t>新村拓著『痴呆老人の歴史』</t>
  </si>
  <si>
    <t>会田秀介著『医と石仏・庶民の治病信仰』</t>
  </si>
  <si>
    <t>393-395頁</t>
  </si>
  <si>
    <t>深瀬泰旦著『天然痘根絶史―近代医学勃興期の人びと―』</t>
  </si>
  <si>
    <t>日本精神衛生会編『図説　日本の精神保健運動の歩み―精神病者慈善救治会設立一〇〇年記念―』</t>
  </si>
  <si>
    <t>396-398頁</t>
  </si>
  <si>
    <t>ガレノス『神経の解剖について』―ギリシャ語原典からの翻訳と考察―</t>
  </si>
  <si>
    <t>第49巻第3号</t>
  </si>
  <si>
    <t>403-454頁</t>
  </si>
  <si>
    <t>太田黒玄淡の阿蘭陀外科免許状とその背景について</t>
  </si>
  <si>
    <t>ミヒェル・ヴォルフガング、杉立義一</t>
  </si>
  <si>
    <t>昭和二十四年の岩ヶ崎接種結核事件について―GHQ文書と日本の資料</t>
  </si>
  <si>
    <t>479-492頁</t>
  </si>
  <si>
    <t>医史学者・思想家　ペドロ・ライン・エントラルゴ</t>
  </si>
  <si>
    <t>493-500頁</t>
  </si>
  <si>
    <t>フランス人医師が見た明治初期の日本　私立新潟病院初代外国人医学教師ヴィダルの旅行記「新潟から江戸へ（日本）」</t>
  </si>
  <si>
    <t>須長泰一</t>
  </si>
  <si>
    <t>501-558頁</t>
  </si>
  <si>
    <t>鹿子木敏範先生を悼む</t>
  </si>
  <si>
    <t>559-561頁</t>
  </si>
  <si>
    <t>天台大師の医学　とくに十乗観法について（抄）</t>
  </si>
  <si>
    <t>例会記録（平成15年6月）</t>
  </si>
  <si>
    <t>562頁</t>
  </si>
  <si>
    <t>榊原悠紀田郎著『歯科保健医療小史』</t>
  </si>
  <si>
    <t>八木剛平・田辺英著『日本精神病治療史』</t>
  </si>
  <si>
    <t>565-567頁</t>
  </si>
  <si>
    <t>松木明知著『華岡青洲の新研究』</t>
  </si>
  <si>
    <t>567-568頁</t>
  </si>
  <si>
    <t>日和田邦男編『高血圧研究の歴史』</t>
  </si>
  <si>
    <t>江川義雄著『広島県医人伝　第三集』</t>
  </si>
  <si>
    <t>青木正和著『結核の歴史』</t>
  </si>
  <si>
    <t>571-572頁</t>
  </si>
  <si>
    <t>572-574頁</t>
  </si>
  <si>
    <t>古西善麿著『緒方洪庵と大阪の除痘館』</t>
  </si>
  <si>
    <t>村松学佑著『甲斐国医史』</t>
  </si>
  <si>
    <t>荒木幹雄</t>
  </si>
  <si>
    <t>575-577頁</t>
  </si>
  <si>
    <t>眼科リハビリテーションにおける医療と福祉の統合過程―順天堂大学眼科リハビリテーションクリニックの活動から</t>
  </si>
  <si>
    <t>第49巻第4号</t>
  </si>
  <si>
    <t>581-614頁</t>
  </si>
  <si>
    <t>白居易（楽天）疾病攷</t>
  </si>
  <si>
    <t>小高修司</t>
  </si>
  <si>
    <t>615-636頁</t>
  </si>
  <si>
    <t>林洞海・研海　父と子の理念</t>
  </si>
  <si>
    <t>637-660頁</t>
  </si>
  <si>
    <t>原典・古典の再発見「短波治療の基礎」物理―技術―適応症</t>
  </si>
  <si>
    <t>奈良圭之輔、岩井信市、横地章生、小口勝司</t>
  </si>
  <si>
    <t>661-668頁</t>
  </si>
  <si>
    <t>医学館における医学考試について（抄）</t>
  </si>
  <si>
    <t>669-672頁</t>
  </si>
  <si>
    <t>例会記録（2003年9月から11月）</t>
  </si>
  <si>
    <t>669頁</t>
  </si>
  <si>
    <t>西南戦役と神奈川県下の官修墓地（抄）</t>
  </si>
  <si>
    <t>672-673頁</t>
  </si>
  <si>
    <t>漢方製剤の医史学補遺（抄）</t>
  </si>
  <si>
    <t>673-674頁</t>
  </si>
  <si>
    <t>コレラに対する禁忌食品の時代的変遷（抄）</t>
  </si>
  <si>
    <t>674-675頁</t>
  </si>
  <si>
    <t>中神琴渓引書攷　その医学思想についての文献学的外観（抄）</t>
  </si>
  <si>
    <t>675-676頁</t>
  </si>
  <si>
    <t>川上武著『戦後日本病人史』</t>
  </si>
  <si>
    <t>676-678頁</t>
  </si>
  <si>
    <t>立川昭二著『生と死の美術館』</t>
  </si>
  <si>
    <t>須磨幸蔵、島田宗洋、島田達生編著『世界の心臓学を拓いた田原淳の生涯』</t>
  </si>
  <si>
    <t>遠藤正治著『本草学と洋学　小野蘭山学統の研究』</t>
  </si>
  <si>
    <t>野尻佳与子</t>
  </si>
  <si>
    <t>酒井シヅ著『絵で読む江戸の病と養生』</t>
  </si>
  <si>
    <t>682-683頁</t>
  </si>
  <si>
    <t>呼吸器学百年史編集委員会『呼吸器学百年史―二十一世紀へのメッセージ』</t>
  </si>
  <si>
    <t>吉良枝郎</t>
  </si>
  <si>
    <t>2002年医史学関係文献目録</t>
  </si>
  <si>
    <t>686-737頁</t>
  </si>
  <si>
    <t>日本医史学雑誌第四十九巻総目次</t>
  </si>
  <si>
    <t>739-743頁</t>
  </si>
  <si>
    <t>総説</t>
  </si>
  <si>
    <t>Perspectives on the Evolution of Japanese Medicine</t>
  </si>
  <si>
    <t>Shizu Sakai</t>
  </si>
  <si>
    <t>D・B・シモンズ知見補遺（抄）</t>
  </si>
  <si>
    <t>2004年(平成16)</t>
  </si>
  <si>
    <t>第50巻第1号</t>
  </si>
  <si>
    <t>006-009頁</t>
  </si>
  <si>
    <t>漢方製剤の医史学的検討（抄）</t>
  </si>
  <si>
    <t>010-012頁</t>
  </si>
  <si>
    <t>お玉ヶ池種痘所―その設立拠金者八二名誤謬説の起源をさぐる（抄）</t>
  </si>
  <si>
    <t>013-16頁</t>
  </si>
  <si>
    <t>ホワイト・ヘブン・サナトリウムとローレンス・F・フリック医師（抄）</t>
  </si>
  <si>
    <t>フライブルク大学と北海道大学医学部との産婦人科・新生児領域における交流の歴史（抄）</t>
  </si>
  <si>
    <t>鈴木重統、宮下舜一</t>
  </si>
  <si>
    <t>江戸時代の看護書『病家須知』の著者平野重誠の背景―家系を中心に（抄）</t>
  </si>
  <si>
    <t>中村節子、平尾真智子</t>
  </si>
  <si>
    <t>リンダ・リチャーズ来日直後の足跡（一八八六年、横浜から京都へ）（抄）</t>
  </si>
  <si>
    <t>岡山寧子、依田和美</t>
  </si>
  <si>
    <t>GHQによる看護改革の流れ―GHQ看護課 G.E.Alt 課長に対する協調と対立の構図（二）（抄）</t>
  </si>
  <si>
    <t>大石　杉乃</t>
  </si>
  <si>
    <t>日本で最初の看護婦留学生とセント・トマス病院（抄）</t>
  </si>
  <si>
    <t>芳賀佐和子、住吉蝶子、平尾真智子</t>
  </si>
  <si>
    <t>佐伯理一郎とペンシルバニア大学留学―大学便覧（一八八七～八八）から得た若干の知見（抄）</t>
  </si>
  <si>
    <t>渡辺昭彦</t>
  </si>
  <si>
    <t>中津藩医山辺文伯と産育編について（二）（抄）</t>
  </si>
  <si>
    <t>ロイヤル・ブロンプトン・ホスピタルの設立について（抄）</t>
  </si>
  <si>
    <t>『解剖学表』（『解体新書』の原著、いわゆる「ターヘルアナトミア」）異版の研究―第一報（抄）</t>
  </si>
  <si>
    <t>ガレノスとヴェサリウスの解剖学の比較研究（三）―門脈を例にとって（抄）</t>
  </si>
  <si>
    <t>スペイン宮廷のヴェサリウス（抄）</t>
  </si>
  <si>
    <t>Thomas Willis のCerebri Anatome に見る中枢神経・機能発現の機序（抄）</t>
  </si>
  <si>
    <t>コロトコフの聴診による血圧測定の発見（抄）</t>
  </si>
  <si>
    <t>二十世紀初頭のイエルサレムにおけるマラリア（抄）</t>
  </si>
  <si>
    <t>馬場わかな</t>
  </si>
  <si>
    <t>一九世紀アメリカ合衆国におけるヘルス・リフォーム―菜食主義の社会的・文化的地平（抄）</t>
  </si>
  <si>
    <t>内藤記念くすり博物館蔵「浅田宗伯の薬箱」について（抄）</t>
  </si>
  <si>
    <t>中村輝子、遠藤次郎、ヴォルフガング・ミヒェル</t>
  </si>
  <si>
    <t>『衆方規矩』の編纂者の問題（抄）</t>
  </si>
  <si>
    <t>多紀家文書（北里医史研所蔵）の概要（抄）</t>
  </si>
  <si>
    <t>麻疹の周期性と近代日本の疫病伝播の分析（抄）</t>
  </si>
  <si>
    <t>十九世紀後半の神奈川県における天然痘と種痘の状況（抄）</t>
  </si>
  <si>
    <t>川部裕幸</t>
  </si>
  <si>
    <t>GHQ文書による占領期のハンセン病関係史料の研究（抄）</t>
  </si>
  <si>
    <t>杉田聡、丸井英二</t>
  </si>
  <si>
    <t>近代横浜における天然痘・種痘統計の分析（抄）</t>
  </si>
  <si>
    <t>江戸時代の梅毒をめぐる意識について（抄）</t>
  </si>
  <si>
    <t>大正期東京市における腸チフスの地区別分析（抄）</t>
  </si>
  <si>
    <t>戦後期に発生した予防接種後の四つの接種結核事故について（抄）</t>
  </si>
  <si>
    <t>「杉山真伝流」の継承者たち―江戸中期鍼灸術の精粋・杉山真伝流を完成・継承した人々（抄）</t>
  </si>
  <si>
    <t>「中華医鍼様譜」について（抄）</t>
  </si>
  <si>
    <t>隋唐期脈状記載との比較による二十四脈状の検討（抄）</t>
  </si>
  <si>
    <t>『千金方』に見られる唐以前諸家灸法について（抄）</t>
  </si>
  <si>
    <t>『聖済総録』鍼灸門所引の『甲乙経』について（抄）</t>
  </si>
  <si>
    <t>『鍼灸阿是要穴』について（抄）</t>
  </si>
  <si>
    <t>『霊枢』に見える「針」字と「鍼」字（抄）</t>
  </si>
  <si>
    <t>堀江奨</t>
  </si>
  <si>
    <t>精神科作業療法職の専門分化過程の考察（一）―昭和四〇年の資格化に伴う職務への影響（抄）</t>
  </si>
  <si>
    <t>栁田純子</t>
  </si>
  <si>
    <t>旧制高校理科（乙）および旧制医科大学予科における語学教育、リベラルアーツと現在（抄）</t>
  </si>
  <si>
    <t>広島原爆投下時の県並びに市医師会長の活動について（抄）</t>
  </si>
  <si>
    <t>十五年戦争と日本民族衛生学会（協会）（その二）―学会活動と「国民優生法」の制定（抄）</t>
  </si>
  <si>
    <t>電磁波による生体影響の研究・治療の歴史（抄）</t>
  </si>
  <si>
    <t>日本における医学映画の淵源（抄）</t>
  </si>
  <si>
    <t>住民による健康増進活動の形成―長野県八千穂村における実践から（抄）</t>
  </si>
  <si>
    <t>中国における村医の養成と医学教育―はだしの医者の再訓練（抄）</t>
  </si>
  <si>
    <t>三橋かほり</t>
  </si>
  <si>
    <t>済生学舎出身の細菌学者・浅川範彦について―野口英世の伝染病研究所時代の師（抄）</t>
  </si>
  <si>
    <t>唐沢信安、殿崎正明</t>
  </si>
  <si>
    <t>東京養育院医員時代の光田健輔について（抄）</t>
  </si>
  <si>
    <t>平井雄一郎</t>
  </si>
  <si>
    <t>ベルツの北海道訪問と新史料「石狩紀行」（関場）（抄）</t>
  </si>
  <si>
    <t>石黒忠悳と野口英世―石黒不円文庫調査第一報（抄）</t>
  </si>
  <si>
    <t>高松凌雲（一八三六～一九一六）とフランス（抄）</t>
  </si>
  <si>
    <t>長与専斎と「衛生意見」の意義（抄）</t>
  </si>
  <si>
    <t>笠原英彦</t>
  </si>
  <si>
    <t>オットーモーニッケの博物学研究（抄）</t>
  </si>
  <si>
    <t>新潟県西洋医学教育の嚆矢 J.P.I.VIDAL の碑除幕式（抄）</t>
  </si>
  <si>
    <t>A.F.ボードインの大坂病院における診療記録と眼科記録ノート（抄）</t>
  </si>
  <si>
    <t>フランスから来た紙塑人体模型と明治初期日本における人体解剖模型製作の開始（抄）</t>
  </si>
  <si>
    <t>近代上海における岸田吟香の医薬事業について（一八六〇～一八九〇）（抄）</t>
  </si>
  <si>
    <t>杉田五喞と江戸における文化十年の乳癌手術（抄）</t>
  </si>
  <si>
    <t>安中板倉藩の人口問題と対策（抄）</t>
  </si>
  <si>
    <t>後藤志朗、中村輝子、遠藤次郎、ヴォルフガング・ミヒェル</t>
  </si>
  <si>
    <t>中野康章と大同薬室文庫　現在の利用状況と今後のデジタルアーカイブ化について（抄）</t>
  </si>
  <si>
    <t>野尻佳与子、青木允夫</t>
  </si>
  <si>
    <t>『今川義元伝書』における腹診の検討（抄）</t>
  </si>
  <si>
    <t>鈴木達彦、遠藤次郎、中村輝子</t>
  </si>
  <si>
    <t>『解体発蒙』に引用される中国医学古典（抄）</t>
  </si>
  <si>
    <t>馬王堆医書『養生方』の再検討（抄）</t>
  </si>
  <si>
    <t>『范汪方』について（抄）</t>
  </si>
  <si>
    <t>浦山きか</t>
  </si>
  <si>
    <t>道教と中国医学（第24回）『太上感応篇』（抄）</t>
  </si>
  <si>
    <t>薛已の外科治療概念の考察（抄）</t>
  </si>
  <si>
    <t>唐代における『千金方』の形跡（抄）</t>
  </si>
  <si>
    <t>京都大学整形外科学教室初代教授松岡道治先生の業績（抄）</t>
  </si>
  <si>
    <t>近代医学への道を歩んだ西井格太郎の履歴（抄）</t>
  </si>
  <si>
    <t>西井易穂</t>
  </si>
  <si>
    <t>満洲医科大学旧蔵古医籍の行方（抄）</t>
  </si>
  <si>
    <t>台湾国立中央図書館所蔵の医心方鈔本について（抄）</t>
  </si>
  <si>
    <t>『日本書紀』の中の身体に関わる表現（抄）</t>
  </si>
  <si>
    <t>明治一五年施行の旧刑法二五六条「私ニ医業ヲ為ス罪」と大審院での判決事例（抄）</t>
  </si>
  <si>
    <t>私宅監置室の実際―各府県における精神病者監護法取扱手続の比較（抄）</t>
  </si>
  <si>
    <t>正骨家吉原杏蔭斎に関する新資料とその門下生（抄）</t>
  </si>
  <si>
    <t>近代白内障手術の変遷と小院での日帰り手術（抄）</t>
  </si>
  <si>
    <t>鈴木高遠、千種浩司</t>
  </si>
  <si>
    <t>鶴見大学図書館所蔵の紅毛流膏薬集と紅毛流膏方について（抄）</t>
  </si>
  <si>
    <t>吉益東洞『古書医言』引『心卵経』（抄）</t>
  </si>
  <si>
    <t>本間棗軒『内科秘録』にみる癲狂説（抄）</t>
  </si>
  <si>
    <t>Hippocratic Medicine and Philosophy at the End of the 20th Century (1)</t>
  </si>
  <si>
    <t>Spyros Marketos</t>
  </si>
  <si>
    <t>177-183頁</t>
  </si>
  <si>
    <t>日中両国における人痘接種法の比較研究</t>
  </si>
  <si>
    <t>第50巻第2号</t>
  </si>
  <si>
    <t>187-222頁</t>
  </si>
  <si>
    <t>杉山検校遺徳顕彰会所蔵の『杉山真伝流』</t>
  </si>
  <si>
    <t>大浦宏勝、小曽戸洋</t>
  </si>
  <si>
    <t>223-242頁</t>
  </si>
  <si>
    <t>GHQ占領期における医師会の設立・加入体制の構築経緯</t>
  </si>
  <si>
    <t>神里（所）彩子</t>
  </si>
  <si>
    <t>243-274頁</t>
  </si>
  <si>
    <t>電磁波による生体影響の研究・治療の歴史</t>
  </si>
  <si>
    <t>275-289頁</t>
  </si>
  <si>
    <t>寛政申寅考試書類三種―その一</t>
  </si>
  <si>
    <t>戸出一郎、町泉寿郎</t>
  </si>
  <si>
    <t>手塚良斎「医学所御用留」（六）</t>
  </si>
  <si>
    <t>303-309頁</t>
  </si>
  <si>
    <t>例会記録（平成15年12月～16年4月</t>
  </si>
  <si>
    <t>お知らせ　第十一回東アジア科学史国際会議</t>
  </si>
  <si>
    <t>310頁</t>
  </si>
  <si>
    <t>311-313頁</t>
  </si>
  <si>
    <t>本間玄調（棗軒）について（抄）</t>
  </si>
  <si>
    <t>『本草品彙精要』巻二の研究（抄）</t>
  </si>
  <si>
    <t>肖永芝</t>
  </si>
  <si>
    <t>314-316頁</t>
  </si>
  <si>
    <t>316-319頁</t>
  </si>
  <si>
    <t>済生学舎を中心とした野口英世の細菌学への道程―横浜海港検疫所でのペスト菌発見迄―（抄）</t>
  </si>
  <si>
    <t>日本における病院歯科の軌跡（抄）</t>
  </si>
  <si>
    <t>320-322頁</t>
  </si>
  <si>
    <t>相州小田原藩医・市川氏と市河氏（抄）</t>
  </si>
  <si>
    <t>ジョン・ダフィー著、網野豊訳『アメリカ医学の歴史　ヒポクラテスから医科学へ』</t>
  </si>
  <si>
    <t>篠田達明著『モナ・リザは高脂血症だった』</t>
  </si>
  <si>
    <t>日本精神神経学会百年史編集委員会編『日本精神神経学会百年史』</t>
  </si>
  <si>
    <t>327-329頁</t>
  </si>
  <si>
    <t>吉元昭治著『日本全国神話伝説道指南』</t>
  </si>
  <si>
    <t>329-331頁</t>
  </si>
  <si>
    <t>梶田昭著『医学の歴史』</t>
  </si>
  <si>
    <t>小竹英夫著『北海道医学教育史攷』</t>
  </si>
  <si>
    <t>秋葉哲生</t>
  </si>
  <si>
    <t>山崎光夫著『ドンネルの男　北里柴三郎』</t>
  </si>
  <si>
    <t>片桐一男著『平成蘭学事始　江戸・長崎の日蘭交流史話』</t>
  </si>
  <si>
    <t>川村純一著『千葉県伝染病史』</t>
  </si>
  <si>
    <t>343-345頁</t>
  </si>
  <si>
    <t>蘇軾（東坡居士）を通して宋代の医学・養生を考える―古代の気候・疫病史を踏まえて『傷寒論』の校訂を考える</t>
  </si>
  <si>
    <t>第50巻第3号</t>
  </si>
  <si>
    <t>349-370頁</t>
  </si>
  <si>
    <t>明治前期官営産業施設のフランス人医師について―産業医勤務体制の確立</t>
  </si>
  <si>
    <t>371-389頁</t>
  </si>
  <si>
    <t>ニコライ・コロトコフ―聴診による血圧測定の発見</t>
  </si>
  <si>
    <t>391-403頁</t>
  </si>
  <si>
    <t>お玉ヶ池種痘所―その設立拠金者八二名誤謬説の起源をさぐる</t>
  </si>
  <si>
    <t>405-427頁</t>
  </si>
  <si>
    <t>寛政甲寅考試書類三種―その二</t>
  </si>
  <si>
    <t>428-448頁</t>
  </si>
  <si>
    <t>関場不二彦の未発表原稿「西医学東漸史話補遺」について</t>
  </si>
  <si>
    <t>秦温信、島田保久、長瀬清</t>
  </si>
  <si>
    <t>449-451頁</t>
  </si>
  <si>
    <t>産婆が書いた通俗衛生書『産前産後衛生心得』（明治三五年刊）について（抄）</t>
  </si>
  <si>
    <t>例会記録（平成16年6月）</t>
  </si>
  <si>
    <t>杉浦守邦著『カルテ拝見　文人の死因』</t>
  </si>
  <si>
    <t>藤田恒夫・牛木辰男著『カラー版・細胞紳士録』</t>
  </si>
  <si>
    <t>455-457頁</t>
  </si>
  <si>
    <t>片桐一男編『日蘭交流史　その人・物・情報』</t>
  </si>
  <si>
    <t>山崎智著『白き貝殻―日本海軍歯科医科士官の歴史』</t>
  </si>
  <si>
    <t>岩瀬敬司</t>
  </si>
  <si>
    <t>Drop by Drop: The Introduction of Western Distillation Techniques into Seventeenth-Century Japan</t>
  </si>
  <si>
    <t>463-492頁</t>
  </si>
  <si>
    <t>Hippocratic Medicine and Philosophy at the End of the 20th Century (2)</t>
  </si>
  <si>
    <t>493-498頁</t>
  </si>
  <si>
    <t>江戸時代の麻疹と医療―文久二年麻疹騒動の背景を考える</t>
  </si>
  <si>
    <t>第50巻第4号</t>
  </si>
  <si>
    <t>501-546頁</t>
  </si>
  <si>
    <t>曲直瀬玄朔の著作の諸問題―『山居四要抜粋』『済民記』は玄朔の著作か</t>
  </si>
  <si>
    <t>547-568頁</t>
  </si>
  <si>
    <t>中国古代・中世における逐月胎児説の変遷</t>
  </si>
  <si>
    <t>鈴木千春</t>
  </si>
  <si>
    <t>569-589頁</t>
  </si>
  <si>
    <t>590頁</t>
  </si>
  <si>
    <t>スペイン宮廷のヴェサリウス</t>
  </si>
  <si>
    <t>591-616頁</t>
  </si>
  <si>
    <t>寛政甲寅考試書類三種―その三</t>
  </si>
  <si>
    <t>617-627頁</t>
  </si>
  <si>
    <t>池田文書の研究（二十五）入沢達吉の書簡について</t>
  </si>
  <si>
    <t>628-637頁</t>
  </si>
  <si>
    <t>手塚良斎「医学所御用留」（七）</t>
  </si>
  <si>
    <t>638-644頁</t>
  </si>
  <si>
    <t>医の心の歴史的観察と現代の課題（抄）</t>
  </si>
  <si>
    <t>例会記録（平成16年9月～11月）</t>
  </si>
  <si>
    <t>645頁</t>
  </si>
  <si>
    <t>HbAICの発見の歴史（抄）</t>
  </si>
  <si>
    <t>精神医学における障害史の臨床的意義（抄）</t>
  </si>
  <si>
    <t>山田和夫</t>
  </si>
  <si>
    <t>648-649頁</t>
  </si>
  <si>
    <t>「二十一世紀の本居宣長」展</t>
  </si>
  <si>
    <t>松木明知編『日本牛痘種痘史文献目録』</t>
  </si>
  <si>
    <t>大江医家史料館（中津市）完成し公開</t>
  </si>
  <si>
    <t>651頁</t>
  </si>
  <si>
    <t>中村禎里著『近代生物学史論集』</t>
  </si>
  <si>
    <t>652-654頁</t>
  </si>
  <si>
    <t>青木純一著『結核の社会史』</t>
  </si>
  <si>
    <t>高島文一著『鍼の道―内科医の青春』</t>
  </si>
  <si>
    <t>日本医史学雑誌第五十巻総目次</t>
  </si>
  <si>
    <t>660-665頁</t>
  </si>
  <si>
    <t>ラウレンティウスの解剖学書</t>
  </si>
  <si>
    <t>2005年(平成17)</t>
  </si>
  <si>
    <t>第51巻第1号</t>
  </si>
  <si>
    <t>003-24頁</t>
  </si>
  <si>
    <t>岡田篁所と清末の日中医学交流史料</t>
  </si>
  <si>
    <t>梁永宣、真柳誠</t>
  </si>
  <si>
    <t>025-49頁</t>
  </si>
  <si>
    <t>葦原検校の足跡</t>
  </si>
  <si>
    <t>大浦宏勝</t>
  </si>
  <si>
    <t>051-81頁</t>
  </si>
  <si>
    <t>近世地方藩医における文化活動と医師の教養形成　土浦藩医辻元順を例として</t>
  </si>
  <si>
    <t>赤堀昭先生のご逝去を悼む</t>
  </si>
  <si>
    <t>鈴木五郎</t>
  </si>
  <si>
    <t>フランス人医師マイエのコレラ発生報告について―生野・姫路地域における事例</t>
  </si>
  <si>
    <t>107-110頁</t>
  </si>
  <si>
    <t>池田文書の研究（二十六）</t>
  </si>
  <si>
    <t>111-119頁</t>
  </si>
  <si>
    <t>石原保秀・東亜医学協会旧蔵古医書（日漢研本）の概要</t>
  </si>
  <si>
    <t>例会記録（平成16年12月～17年1月）</t>
  </si>
  <si>
    <t>120頁</t>
  </si>
  <si>
    <t>野口英世の初期の事績について</t>
  </si>
  <si>
    <t>史的に見る薬学成立の経過と課題―日本薬史学会創立五十周年に当たって</t>
  </si>
  <si>
    <t>川瀬清</t>
  </si>
  <si>
    <t>125-127頁</t>
  </si>
  <si>
    <t>「山崎佐の錦小路文章」の顛末</t>
  </si>
  <si>
    <t>樫田義彦</t>
  </si>
  <si>
    <t>前田久美江編著『現代医療の原点を探る　百年前の雑誌「医談」から』</t>
  </si>
  <si>
    <t>コンラート・マウラー、ウルリケ・マウラー共著、新井公人監訳、喜多内・オルブリッヒ・ゆみ、羽田・クノーブラオホ真澄共訳『アルツハイマー　その生涯とアルツハイマー病発見の軌跡』</t>
  </si>
  <si>
    <t>荒井保男著『ドクトル・シモンズ―横浜医学の源流を求めて』</t>
  </si>
  <si>
    <t>小田泰子著『医師ヘボンとその時代』</t>
  </si>
  <si>
    <t>133-134頁</t>
  </si>
  <si>
    <t>北里柴三郎と適塾（抄）</t>
  </si>
  <si>
    <t>芝哲夫</t>
  </si>
  <si>
    <t>第51巻第2号</t>
  </si>
  <si>
    <t>三宅秀とその周辺（抄）</t>
  </si>
  <si>
    <t>佐々木恭之助</t>
  </si>
  <si>
    <t>日本漢方の伝統（抄）</t>
  </si>
  <si>
    <t>150-157頁</t>
  </si>
  <si>
    <t>シンポジウムⅠ「江戸のモノづくり」における医史学研究―拡充と越境1-1器物・文献資料総合データベースを用いた医史学研究の試み（抄）</t>
  </si>
  <si>
    <t>1-2岡山県邑久郡中島家史料調査報告（一）（抄）</t>
  </si>
  <si>
    <t>1-3明治期の医療器械商―大阪の白井松之助について（抄）</t>
  </si>
  <si>
    <t>ｳﾞｫﾙﾌｶﾞﾝｸﾞ･ﾐﾋｪﾙ、遠藤次郎、中村輝子</t>
  </si>
  <si>
    <t>遠藤次郎、中村輝子、ｳﾞｫﾙﾌｶﾞﾝｸﾞ･ﾐﾋｪﾙ</t>
  </si>
  <si>
    <t>中村輝子、遠藤次郎、ｳﾞｫﾙﾌｶﾞﾝｸﾞ･ﾐﾋｪﾙ</t>
  </si>
  <si>
    <t>1-6曲直瀬養安院文書の研究（一）―家系と肖像（抄）</t>
  </si>
  <si>
    <t>1-7曲直瀬養安院文書の研究（二）―文書の概要（上）（抄）</t>
  </si>
  <si>
    <t>小曽戸洋、友部和弘、町泉寿郎</t>
  </si>
  <si>
    <t>1-8曲直瀬養安院文書の研究（三）―文書の概要（下）（抄）</t>
  </si>
  <si>
    <t>友部和弘、町泉寿郎、小曽戸洋</t>
  </si>
  <si>
    <t>シンポジウムⅡ人をみる医師を育てる―医学史・医哲学を現代の医学教育に生かす2-1医学教育の流れ（抄）</t>
  </si>
  <si>
    <t>福島統</t>
  </si>
  <si>
    <t>2-2医のこころを先人の足跡と社会に学ぶ（抄）</t>
  </si>
  <si>
    <t>文庫めぐり（29）東京大学薬学図書館内・日本薬史学会文庫</t>
  </si>
  <si>
    <t>山川浩司</t>
  </si>
  <si>
    <t>収蔵楢林外科書とパレ（一六二七）及びスクレテタス（一六五七）との絵図における比較（抄）</t>
  </si>
  <si>
    <t>大江玄仙の栗崎流金瘡外科免許状について（抄）</t>
  </si>
  <si>
    <t>高岡長崎家の『家方抄』について―宝永期からの蘭方外科医の繁用薬方集―（抄）</t>
  </si>
  <si>
    <t>杏蔭斎正骨要訣の校訂者和田謙堂の家系と同書の成立年代（抄）</t>
  </si>
  <si>
    <t>「身幹儀」（星野木骨）の制作過程に関する研究（抄）</t>
  </si>
  <si>
    <t>片岡勝子</t>
  </si>
  <si>
    <t>関宿町桐ヶ作の眼科医　高野敬仲（抄）</t>
  </si>
  <si>
    <t>青木道夫</t>
  </si>
  <si>
    <t>南小柿寧一とその家系（抄）</t>
  </si>
  <si>
    <t>江戸時代の「癩」と梅毒（抄）</t>
  </si>
  <si>
    <t>江戸幕府の法定伝染病―疱瘡・麻疹・水痘―（抄）</t>
  </si>
  <si>
    <t>日本最古のマラソン競争　安政の遠足（抄）</t>
  </si>
  <si>
    <t>ポンペ・ファン・メールデルフォールトの教えた近代臨床検査学（抄）</t>
  </si>
  <si>
    <t>相川忠臣、酒井シヅ</t>
  </si>
  <si>
    <t>済生学舎開校前後の川上元治郎の手紙と報告書及び当時使われた教科書（抄）</t>
  </si>
  <si>
    <t>岩崎一、殿崎正明、唐沢信安</t>
  </si>
  <si>
    <t>明治一二年に東京府病院が実施した医術開業旧試験について（抄）</t>
  </si>
  <si>
    <t>格識順天堂医院手術傍観録（抄）</t>
  </si>
  <si>
    <t>一八八六年におけるリンダ・リチャーズの上海から京都への足跡（抄）</t>
  </si>
  <si>
    <t>小野豊三郎の解剖学ノート（抄）</t>
  </si>
  <si>
    <t>私立日本医学校設立者・山根正次の医学教育の失敗（抄）</t>
  </si>
  <si>
    <t>殿崎正明、唐沢信安、岩崎一</t>
  </si>
  <si>
    <t>「マギー夫人来日」の記事にみられる高木兼寛の看護婦観―明治三七年『成医会月報』より―（抄）</t>
  </si>
  <si>
    <t>近代日本におけるコレラの伝播（一）（抄）</t>
  </si>
  <si>
    <t>近代日本におけるコレラの伝播（二）（抄）</t>
  </si>
  <si>
    <t>近代日本におけるコレラの伝播（三）（抄）</t>
  </si>
  <si>
    <t>コレラ禍と内務省の広報活動（抄）</t>
  </si>
  <si>
    <t>ハンセン病および精神病の比較法制・処遇史（抄）</t>
  </si>
  <si>
    <t>朝敵としての癩病（抄）</t>
  </si>
  <si>
    <t>ベイアレキサンダー</t>
  </si>
  <si>
    <t>細菌グラム染色の本邦における初期の紹介について（抄）</t>
  </si>
  <si>
    <t>高峰譲吉いわく、私は適塾生だった（抄）</t>
  </si>
  <si>
    <t>京都大学整形外科学講座初代教授松岡道治先生の生涯（抄）</t>
  </si>
  <si>
    <t>医学史家・小川政修（抄）</t>
  </si>
  <si>
    <t>『善那余話』からみたジェンナー画像収集の経緯（抄）</t>
  </si>
  <si>
    <t>道教と中国医学（第二十五回）『功過格』（抄）</t>
  </si>
  <si>
    <t>出土医書に見る「痔」の一考察（抄）</t>
  </si>
  <si>
    <t>『明堂』における足三里の主治病証（抄）</t>
  </si>
  <si>
    <t>張文仲の鍼灸について（抄）</t>
  </si>
  <si>
    <t>南宋代の体系的脈状記載について（抄）</t>
  </si>
  <si>
    <t>疔瘡に対する松鍼法（抄）</t>
  </si>
  <si>
    <t>中国のアヘン問題と岸田吟香の対応（抄）</t>
  </si>
  <si>
    <t>『日本霊異記』の中の身体に関わる表現（抄）</t>
  </si>
  <si>
    <t>「大同医式」について（二）（抄）</t>
  </si>
  <si>
    <t>吾妻鏡の鍼灸（抄）</t>
  </si>
  <si>
    <t>「感冒」疾患名の起源について（抄）</t>
  </si>
  <si>
    <t>木村丹</t>
  </si>
  <si>
    <t>安西流馬医伝書（安西流馬医絵巻）寛正五年（一四六四）の補遺（抄）</t>
  </si>
  <si>
    <t>医聖永田徳本―その医術の位置づけとP.A.パラケルススとの対比を中心として（抄）</t>
  </si>
  <si>
    <t>山田英雄、山内一信</t>
  </si>
  <si>
    <t>十五年戦争と日本民族衛生学会（協会）（その三）―学会名等をめぐる戦後の論争―（抄）</t>
  </si>
  <si>
    <t>昭和十五年の監置精神病者（抄）</t>
  </si>
  <si>
    <t>世界初の人を用いたランダム化比較試験は七三一部隊によるか？（抄）</t>
  </si>
  <si>
    <t>GHQ文書による占領期のハンセン病関係資料の研究（第二報：沖縄と大韓民国について）（抄）</t>
  </si>
  <si>
    <t>石川日出鶴丸博士とGHQ旋風　占領下における「鍼灸禁止令」事件が後世に与えた影響（抄）</t>
  </si>
  <si>
    <t>奥津貴子</t>
  </si>
  <si>
    <t>占領期の医療・看護に関する出版物の検閲（一）―プランゲ文庫所蔵『看護学雑誌』について（抄）</t>
  </si>
  <si>
    <t>大石杉乃、喜多加奈子、平尾真智子、芳賀佐和子</t>
  </si>
  <si>
    <t>昭和二六年の結核予防法制定とBCG論争（抄）</t>
  </si>
  <si>
    <t>精神科作業療法職の専門分化過程の考察（二）―昭和四〇年の法制定と旧従事者への影響（抄）</t>
  </si>
  <si>
    <t>住民による健康増進活動の形成（二）―専門職による住民支援の方法（抄）</t>
  </si>
  <si>
    <t>ヴェサリウスの父アンドリエスの、皇帝カール五世による嫡出承認書（抄）</t>
  </si>
  <si>
    <t>近代初期解剖学書における筋の名称について（抄）</t>
  </si>
  <si>
    <t>Thomas Willis の Cerebri Anatome で用いられた神経解剖学的な観察法の追体験（抄）</t>
  </si>
  <si>
    <t>『解剖学表』（『解体新書』の原著、いわゆる「ターヘルアナトミア」）異版の研究―第二報（抄）</t>
  </si>
  <si>
    <t>ムーアフィールズ眼科病院の設立について（抄）</t>
  </si>
  <si>
    <t>孤高の外科医ギョーム・デュピュイトラン男爵（一七七七ー一八三五）（抄）</t>
  </si>
  <si>
    <t>コロトコフ音の発生理論（抄）</t>
  </si>
  <si>
    <t>大江医家史料館の開館について（抄）</t>
  </si>
  <si>
    <t>医史学関係資料の収集・保存・研究―ドキュメンテーション化の観点から事例に基づいて（抄）</t>
  </si>
  <si>
    <t>ヒポクラテスの木：二〇〇五―文献、インターネットによる情報の収集（抄）</t>
  </si>
  <si>
    <t>稲松孝思</t>
  </si>
  <si>
    <t>『長沙走馬楼三国呉簡・竹簡』と『傷寒論』（抄）</t>
  </si>
  <si>
    <t>「分等」から「等分」への変遷（抄）</t>
  </si>
  <si>
    <t>『口歯類要』の治療範囲（抄）</t>
  </si>
  <si>
    <t>甲賀通元「古今方彙」の検討（抄）</t>
  </si>
  <si>
    <t>君臣佐使に関する東洞流の認識（抄）</t>
  </si>
  <si>
    <t>水野洋子</t>
  </si>
  <si>
    <t>葦原検校の遺跡と木像について―『鍼道発秘』を著し、没落した木曽家再興を果たした生涯（抄）</t>
  </si>
  <si>
    <t>『日本医譜』に記された脈診による天災予知（抄）</t>
  </si>
  <si>
    <t>韓国現存古医籍の特徴（抄）</t>
  </si>
  <si>
    <t>近代期の中国における平民教育運動―定県実験区における農民教育と衛生―（抄）</t>
  </si>
  <si>
    <t>緒方洪庵と添田玄春―西洋医学所頭取役宅の新築をめぐって</t>
  </si>
  <si>
    <t>第51巻第3号</t>
  </si>
  <si>
    <t>337-354頁</t>
  </si>
  <si>
    <t>華岡青洲研究史</t>
  </si>
  <si>
    <t>355-384頁</t>
  </si>
  <si>
    <t>京都大学整形外科学教室初代教授　松岡道治の事績、業績―第一報　京都大学整形外科学教室の創立</t>
  </si>
  <si>
    <t>385-408頁</t>
  </si>
  <si>
    <t>三宅秀とその周辺</t>
  </si>
  <si>
    <t>409-430頁</t>
  </si>
  <si>
    <t>池田文書の研究（二十七）</t>
  </si>
  <si>
    <t>431-439頁</t>
  </si>
  <si>
    <t>評議員　津山直一先生の御逝去を悼む</t>
  </si>
  <si>
    <t>矢数道明先生顕彰碑建立</t>
  </si>
  <si>
    <t>例会記録（平成17年3-5月）</t>
  </si>
  <si>
    <t>444頁</t>
  </si>
  <si>
    <t>昭和二十六年のBCG論争―武見太郎と日本学術会議</t>
  </si>
  <si>
    <t>アーチボルド・ガロッドのパラダイム―先天代謝異常症の歴史</t>
  </si>
  <si>
    <t>「バージニア・オルソン物語」執筆で得たGHQ看護改革に関する情報</t>
  </si>
  <si>
    <t>大分県公文書館所蔵『昭和十五年監置精神病者に関する綴』解題</t>
  </si>
  <si>
    <t>奥沢康正著『眼病に効く温泉』</t>
  </si>
  <si>
    <t>日本学校保健会編『日本学校保健会八十年史』</t>
  </si>
  <si>
    <t>壬生町歴史民族資料館『みぶ蘭学人あらわる』</t>
  </si>
  <si>
    <t>454頁</t>
  </si>
  <si>
    <t>篠田達明著『徳川将軍家十五代のカルテ』</t>
  </si>
  <si>
    <t>医史学関係文献目録（平成15年）</t>
  </si>
  <si>
    <t>458-523頁</t>
  </si>
  <si>
    <t>医家合田家の歴史と蔵書</t>
  </si>
  <si>
    <t>第51巻第4号</t>
  </si>
  <si>
    <t>527-548頁</t>
  </si>
  <si>
    <t>香西豊子</t>
  </si>
  <si>
    <t>549-568頁</t>
  </si>
  <si>
    <t>現代中国の農村社会の変遷における郷村医の形成―はだしの医者の形成と「再生」―</t>
  </si>
  <si>
    <t>569-592頁</t>
  </si>
  <si>
    <t>『病草紙』制作と後白河法皇の思想</t>
  </si>
  <si>
    <t>小山聡子</t>
  </si>
  <si>
    <t>593-614頁</t>
  </si>
  <si>
    <t>松岡尚則、山下幸一</t>
  </si>
  <si>
    <t>医史学における複言語主義のすすめ</t>
  </si>
  <si>
    <t>627-640頁</t>
  </si>
  <si>
    <t>名誉会員　日比野進先生のご逝去を悼む</t>
  </si>
  <si>
    <t>641-644頁</t>
  </si>
  <si>
    <t>池田文書の研究（二十八）</t>
  </si>
  <si>
    <t>645-654頁</t>
  </si>
  <si>
    <t>手塚良斎「医学所御用留」（八）</t>
  </si>
  <si>
    <t>655-659頁</t>
  </si>
  <si>
    <t>ウルソデキシコール酸（UDCA）の発見</t>
  </si>
  <si>
    <t>例会記録（平成17年9月例会）</t>
  </si>
  <si>
    <t>660頁</t>
  </si>
  <si>
    <t>明治期の精神病院に於ける看護婦養成について―府立巣鴨病院の実態から</t>
  </si>
  <si>
    <t>矯正給食から窺える庶民日常食の史的観察</t>
  </si>
  <si>
    <t>661頁</t>
  </si>
  <si>
    <t>黒死病はペストか―黒死病の謎</t>
  </si>
  <si>
    <t>662頁</t>
  </si>
  <si>
    <t>第十一回国際東アジア科学史会議</t>
  </si>
  <si>
    <t>Chinese Medicine: A Visual History（中国医学史図像国際会議）</t>
  </si>
  <si>
    <t>アジア医学史学会第参回学術大会および谷口賞の案内</t>
  </si>
  <si>
    <t>高島文一著『続・鍼の道　一内科医の熟年』</t>
  </si>
  <si>
    <t>670-672頁</t>
  </si>
  <si>
    <t>武田科学振興財団杏雨書屋編『宋版　備急総効方』</t>
  </si>
  <si>
    <t>WJビショップ著、川満富裕訳『外科の歴史』</t>
  </si>
  <si>
    <t>酒井シヅ編『女医吉岡弥生の手紙「愛と至誠に生きる」』</t>
  </si>
  <si>
    <t>日本医史学雑誌第五十一巻　総目録</t>
  </si>
  <si>
    <t>680-685頁</t>
  </si>
  <si>
    <t>精神医学の先達・国際人向笠広次(抄)</t>
  </si>
  <si>
    <t>鈴木二郎</t>
  </si>
  <si>
    <t>2006年(平成18)</t>
  </si>
  <si>
    <t>第52巻第1号</t>
  </si>
  <si>
    <t>007-009頁</t>
  </si>
  <si>
    <t>日本整形外科の歴史と田代家（抄）</t>
  </si>
  <si>
    <t>010-019頁</t>
  </si>
  <si>
    <t>中津藩蘭学とパイオニア精神―明治前後の中津医学史を中心にして―（抄）</t>
  </si>
  <si>
    <t>020-023頁</t>
  </si>
  <si>
    <t>「天然の奇士」前野良沢（抄）</t>
  </si>
  <si>
    <t>鳥井裕美子</t>
  </si>
  <si>
    <t>024-025頁</t>
  </si>
  <si>
    <t>シーボルトと奥平昌高（抄）</t>
  </si>
  <si>
    <t>026-027頁</t>
  </si>
  <si>
    <t>中津藩医村上玄水と大江春塘―地方藩学者の条件と可能性について（抄）</t>
  </si>
  <si>
    <t>028-029頁</t>
  </si>
  <si>
    <t>日本の歯科免許第一号者　小幡英之助（抄）</t>
  </si>
  <si>
    <t>030-031頁</t>
  </si>
  <si>
    <t>田原淳と心臓刺激伝導系―原著からみる知られざる事実―（抄）</t>
  </si>
  <si>
    <t>島田達生</t>
  </si>
  <si>
    <t>032-033頁</t>
  </si>
  <si>
    <t>明治十四年出版佐藤英白訳「華氏電気療法」とA.M.Hamilton の原著について（抄）</t>
  </si>
  <si>
    <t>渡部幹夫、筒井淳治</t>
  </si>
  <si>
    <t>034-035頁</t>
  </si>
  <si>
    <t>『傷寒金鏡録』の思想についての考察（抄）</t>
  </si>
  <si>
    <t>036-037頁</t>
  </si>
  <si>
    <t>コロトコフの「血圧測定の問題について」第二報と討議（抄）</t>
  </si>
  <si>
    <t>038-039頁</t>
  </si>
  <si>
    <t>華岡流の麻酔法はなぜ幕末に急速に衰退したのか（抄）</t>
  </si>
  <si>
    <t>040-041頁</t>
  </si>
  <si>
    <t>石原忍と心理学（抄）</t>
  </si>
  <si>
    <t>鈴木聡志</t>
  </si>
  <si>
    <t>042-043頁</t>
  </si>
  <si>
    <t>Sylvius の解剖学書における分類と名指し（抄）</t>
  </si>
  <si>
    <t>044-045頁</t>
  </si>
  <si>
    <t>ガレノスとヴェサリウスの解剖学の比較研究（四）―皮静脈を例にとって（抄）</t>
  </si>
  <si>
    <t>046-047頁</t>
  </si>
  <si>
    <t>模倣の中の創意―九州大学医学部所蔵人体模型の結紮部位表現（抄）</t>
  </si>
  <si>
    <t>048-049頁</t>
  </si>
  <si>
    <t>江戸時代に制作された木骨に関する研究―星野木骨、各務木骨、奥田木骨の比較―（抄）</t>
  </si>
  <si>
    <t>050-051頁</t>
  </si>
  <si>
    <t>『今昔物語集』の中の身体に関わる表現（一）（抄）</t>
  </si>
  <si>
    <t>052-053頁</t>
  </si>
  <si>
    <t>占領期の医療・看護に関する出版物の検閲(二)―九州で発行された保健婦の雑誌―（抄）</t>
  </si>
  <si>
    <t>054-055頁</t>
  </si>
  <si>
    <t>大正時代都市政策として導入された大阪市学校看護婦事業（抄）</t>
  </si>
  <si>
    <t>056-057頁</t>
  </si>
  <si>
    <t>本邦嚆矢の産院設立者　村松志保子の安生堂とその慈善事業（抄）</t>
  </si>
  <si>
    <t>石原力、原島早智子</t>
  </si>
  <si>
    <t>058-059頁</t>
  </si>
  <si>
    <t>明治期の一避病院における看護管理の状況（抄）</t>
  </si>
  <si>
    <t>上坂良子、水田真由美</t>
  </si>
  <si>
    <t>060-061頁</t>
  </si>
  <si>
    <t>高木兼寛の健康教育観に関する研究（第一報）―臨時教育会議での小学校教育改善に関する発言内容から―（抄）</t>
  </si>
  <si>
    <t>062-063頁</t>
  </si>
  <si>
    <t>「陸軍軍医学校防疫研究報告」Ⅱ部―（その一）―その概略について（抄）</t>
  </si>
  <si>
    <t>064-065頁</t>
  </si>
  <si>
    <t>占領期における急性感染症の発生推移（一九四六年―一九四八年）（抄）</t>
  </si>
  <si>
    <t>田中誠二、杉田聡、森山敬子、丸井英二</t>
  </si>
  <si>
    <t>066-067頁</t>
  </si>
  <si>
    <t>衛生技術官の主張とその背景―『日本公衆保健協会雑誌』の記事を中心に（抄）</t>
  </si>
  <si>
    <t>横田陽子</t>
  </si>
  <si>
    <t>068-069頁</t>
  </si>
  <si>
    <t>『大日本私立衛生会雑誌』にみる公衆浴場（抄）</t>
  </si>
  <si>
    <t>川端美季</t>
  </si>
  <si>
    <t>070-071頁</t>
  </si>
  <si>
    <t>『病名彙解』所載の鍼灸（抄）</t>
  </si>
  <si>
    <t>杉浦雄</t>
  </si>
  <si>
    <t>072-073頁</t>
  </si>
  <si>
    <t>明治期における医学図書館の設立（抄）</t>
  </si>
  <si>
    <t>074-075頁</t>
  </si>
  <si>
    <t>日本医科大学の前身済生学舎が突然廃校になった真実の経緯―東京帝国大学教授陣の圧力（抄）</t>
  </si>
  <si>
    <t>076-077頁</t>
  </si>
  <si>
    <t>078-079頁</t>
  </si>
  <si>
    <t>収蔵『刀圭雑誌』創刊号（明治十一年）について（抄）</t>
  </si>
  <si>
    <t>080-081頁</t>
  </si>
  <si>
    <t>「野口英世」と済生学舎で同級であった石川東悦医師の残した写真と試験問題について（抄）</t>
  </si>
  <si>
    <t>志村俊郎、唐沢信安、石川康悦、寺本明</t>
  </si>
  <si>
    <t>082-083頁</t>
  </si>
  <si>
    <t>084-085頁</t>
  </si>
  <si>
    <t>エリザベス・ガレット・アンダーソン病院の設立について（抄）</t>
  </si>
  <si>
    <t>086-087頁</t>
  </si>
  <si>
    <t>住民による健康増進活動の形成（その三）―沖縄県「佐敷町」における実践から―（抄）</t>
  </si>
  <si>
    <t>088-089頁</t>
  </si>
  <si>
    <t>京都岩倉において精神病者家族的看護を可能にしたもの―大岩、阿波井との比較において（抄）</t>
  </si>
  <si>
    <t>中村治</t>
  </si>
  <si>
    <t>090-091頁</t>
  </si>
  <si>
    <t>戦前における精神病者の公立監置室について（抄）</t>
  </si>
  <si>
    <t>092-093頁</t>
  </si>
  <si>
    <t>精神障害者通院医療費公費負担制度の四〇年―活動しながらの歴史について―（抄）</t>
  </si>
  <si>
    <t>094-095頁</t>
  </si>
  <si>
    <t>占領期の婦人雑誌に掲載された灸に関する記事「プランゲ文庫」より見る（抄）</t>
  </si>
  <si>
    <t>096-097頁</t>
  </si>
  <si>
    <t>桑木灸について（抄）</t>
  </si>
  <si>
    <t>098-099頁</t>
  </si>
  <si>
    <t>『名家灸選』所収の救急の灸法（抄）</t>
  </si>
  <si>
    <t>中国における内障に対する外科的治療について（抄）</t>
  </si>
  <si>
    <t>「刺絡」の名称に関する考察（抄）</t>
  </si>
  <si>
    <t>晋代から宋代における「七死脈」の成立（抄）</t>
  </si>
  <si>
    <t>「脈経」中に見える脈状の相関関係（抄）</t>
  </si>
  <si>
    <t>国立公文書館内閣文庫所蔵の脈書『診脈要捷』について（抄）</t>
  </si>
  <si>
    <t>「法闡院病中日記」と島田筑波（抄）</t>
  </si>
  <si>
    <t>杉田玄白と因伯の漢方医師（抄）</t>
  </si>
  <si>
    <t>高橋伸明</t>
  </si>
  <si>
    <t>ドイツ留学中の森鴎外とザクセン軍団―ザクセン州立中央文書館の資料から―（抄）</t>
  </si>
  <si>
    <t>C.Wフーフェランドの長生法と日本の養生書の沿革（抄）</t>
  </si>
  <si>
    <t>山田英雄</t>
  </si>
  <si>
    <t>平野重誠『養性訣』（一八三五）にみる実践的医療者の養生観（抄）</t>
  </si>
  <si>
    <t>生体実験を拒否した生理学者横山正松（抄）</t>
  </si>
  <si>
    <t>末永恵子</t>
  </si>
  <si>
    <t>ヒポクラテスの木・二〇〇六―アンケート、現地踏査による現状の調査―（抄）</t>
  </si>
  <si>
    <t>死生観の歴史的観察（抄）</t>
  </si>
  <si>
    <t>適々斎薬室膠柱方について―村上医家史料館蔵品を中心に―（抄）</t>
  </si>
  <si>
    <t>江戸時代における輸入漢薬の流通について―江戸送り漢薬八品を中心に―（抄）</t>
  </si>
  <si>
    <t>羽生和子</t>
  </si>
  <si>
    <t>田原養伯の往診用薬箱について（抄）</t>
  </si>
  <si>
    <t>中村輝子、遠藤次郎、ミヒェル・ヴォルフガング、奥村武</t>
  </si>
  <si>
    <t>竹川竹斎と軽粉雑記（抄）</t>
  </si>
  <si>
    <t>中国伝統医学と道教（第二十六回）陰隲文（抄）</t>
  </si>
  <si>
    <t>「初学人身窮理」松山棟庵・森下岩楠訳本のオリジナル本について（抄）</t>
  </si>
  <si>
    <t>島田和幸</t>
  </si>
  <si>
    <t>豊後杵築の医学史・補遺（抄）</t>
  </si>
  <si>
    <t>趙開美の『仲景全書』と『宋板傷寒論』（抄）</t>
  </si>
  <si>
    <t>「西医学東漸史話」の仮製本について（抄）</t>
  </si>
  <si>
    <t>秦温信、島田保久</t>
  </si>
  <si>
    <t>菊池東水著『解馬新書』について（抄）</t>
  </si>
  <si>
    <t>『五輪砕』の検討（抄）</t>
  </si>
  <si>
    <t>大浦広勝</t>
  </si>
  <si>
    <t>日本古医書と漢文―大塚文庫資料の文体別・形態別分類（抄）</t>
  </si>
  <si>
    <t>曲直瀬養安院文書の研究（四）―補遺（抄）</t>
  </si>
  <si>
    <t>医学古典における「大指間」の意味について（抄）</t>
  </si>
  <si>
    <t>天野陽介、宮川浩也、小曽戸洋、石野尚吾</t>
  </si>
  <si>
    <t>作業療法士職の職業形成・専門化過程の研究―作業療法士身分法制定以前の精神科領域従事者の取り組み及び理念を中心として―</t>
  </si>
  <si>
    <t>第52巻第2号</t>
  </si>
  <si>
    <t>165-198頁</t>
  </si>
  <si>
    <t>千金方における畳字についての考察</t>
  </si>
  <si>
    <t>松岡尚則、山下幸一、村崎徹</t>
  </si>
  <si>
    <t>199-210頁</t>
  </si>
  <si>
    <t>211-272頁</t>
  </si>
  <si>
    <t>文禄の役(壬辰の乱)における日本、朝鮮、明医学の交わり</t>
  </si>
  <si>
    <t>273-292頁</t>
  </si>
  <si>
    <t>ヴェサリウスの父アンドリエスの、神聖ローマ皇帝カール五世による嫡出承認書</t>
  </si>
  <si>
    <t>古医方から蘭方・蘭学へ―江戸時代中期の医療の動き―</t>
  </si>
  <si>
    <t>305-314頁</t>
  </si>
  <si>
    <t>キナ渡来伝説の戯曲、ホセ・マリア・ペマン「聖なる副王妃」</t>
  </si>
  <si>
    <t>311-314頁</t>
  </si>
  <si>
    <t>手塚良斎「医学所御用留」（九）</t>
  </si>
  <si>
    <t>315-318頁</t>
  </si>
  <si>
    <t>和田和代史先生を偲ぶ</t>
  </si>
  <si>
    <t>杉立義一先生を偲んで</t>
  </si>
  <si>
    <t>松岡尚則</t>
  </si>
  <si>
    <t>324頁</t>
  </si>
  <si>
    <t>大石良英墓所・顕彰碑落成式</t>
  </si>
  <si>
    <t>前山隆太郎</t>
  </si>
  <si>
    <t>例会記録（平成17年10月～平成18年3月）</t>
  </si>
  <si>
    <t>星薬科大学創立者星一の生涯（抄）</t>
  </si>
  <si>
    <t>330-333頁</t>
  </si>
  <si>
    <t>近藤均著『医療人間学のトリニティ－　哲学・史学・文学』</t>
  </si>
  <si>
    <t>安藤優一郎著『江戸の養生所』</t>
  </si>
  <si>
    <t>カイプル編、酒井シヅ監訳『疾患別医学史１・Ⅱ・Ⅲ』</t>
  </si>
  <si>
    <t>安土桃山時代における代用人蔘</t>
  </si>
  <si>
    <t>第52巻第3号</t>
  </si>
  <si>
    <t>349-360頁</t>
  </si>
  <si>
    <t>京都大学整形外科学教室初代教授　松岡道治の事績、業績―第二報　松岡道治の学術論文</t>
  </si>
  <si>
    <t>361-394頁</t>
  </si>
  <si>
    <t>インド伝統医学書『チャラカ・サンヒター』における病理論―『チャラカ・サンヒター』第二篇第一章第一～十五節訳解―</t>
  </si>
  <si>
    <t>395-424頁</t>
  </si>
  <si>
    <t>シンポジウム</t>
  </si>
  <si>
    <t>日本医史学会平成一八年一月例会　シンポジウム「個人情報保護と医学史研究」一、「個人情報保護と医学研究のはじめに」</t>
  </si>
  <si>
    <t>425-434頁</t>
  </si>
  <si>
    <t>日本医史学会平成一八年一月例会　シンポジウム「個人情報保護と医学史研究」二、個人情報保護法と個人史研究</t>
  </si>
  <si>
    <t>森田明</t>
  </si>
  <si>
    <t>日本医史学会平成一八年一月例会　シンポジウム「個人情報保護と医学史研究」三、個人情報保護と学会誌編集</t>
  </si>
  <si>
    <t>443-450頁</t>
  </si>
  <si>
    <t>池田文書の研究（二十九）竹山屯の書簡について(その二)</t>
  </si>
  <si>
    <t>451-460頁</t>
  </si>
  <si>
    <t>手塚良斎「医学所御用留」（一〇・完）</t>
  </si>
  <si>
    <t>461-464頁</t>
  </si>
  <si>
    <t>中村澄夫</t>
  </si>
  <si>
    <t>465-467頁</t>
  </si>
  <si>
    <t>例会記録（平成十八年四月、六月）</t>
  </si>
  <si>
    <t>467頁</t>
  </si>
  <si>
    <t>イエスの治療と釈迦の治療（抄）</t>
  </si>
  <si>
    <t>二宮陸雄著『新編　医学史探訪』</t>
  </si>
  <si>
    <t>池田文書研究会編『東大医学部初代綜理池田謙斎池田文書の研究』（上）</t>
  </si>
  <si>
    <t>473-475頁</t>
  </si>
  <si>
    <t>寺畑喜朔編『絵葉書で辿る日本近代医学史』</t>
  </si>
  <si>
    <t>475-476頁</t>
  </si>
  <si>
    <t>鈴木厚著『世界を感動させた日本の医師　信念を貫いた愛と勇気の記録』</t>
  </si>
  <si>
    <t>476-479頁</t>
  </si>
  <si>
    <t>医史学関係文献目録（2004年）</t>
  </si>
  <si>
    <t>480-537頁</t>
  </si>
  <si>
    <t>中神琴渓『生生堂論語説』について―文献学・書誌学的、更に医学思想の観点から―</t>
  </si>
  <si>
    <t>第52巻第4号</t>
  </si>
  <si>
    <t>541-559頁</t>
  </si>
  <si>
    <t>馬場貞由訳「遁花秘訣」写本一六種の書誌学的検討</t>
  </si>
  <si>
    <t>561-600頁</t>
  </si>
  <si>
    <t>ガスパール・ボアンにおける筋の名称について</t>
  </si>
  <si>
    <t>601-630頁</t>
  </si>
  <si>
    <t>移民の医学史への展望―中野卓・中野進共編『昭和初期一移民の手紙による生活史―ブラジルのヨッチャン』（京都：思文閣出版、二〇〇六）に思うこと</t>
  </si>
  <si>
    <t>631-636頁</t>
  </si>
  <si>
    <t>江川義雄先生を偲んで</t>
  </si>
  <si>
    <t>池田文書の研究（三十）竹山屯の書簡について(その三)</t>
  </si>
  <si>
    <t>639-645頁</t>
  </si>
  <si>
    <t>例会記録（平成十八年九月～十二月）</t>
  </si>
  <si>
    <t>646頁</t>
  </si>
  <si>
    <t>深瀬泰旦著『わが国はじめての牛痘種痘・楢林宗建』（肥前佐賀文庫〇〇二）</t>
  </si>
  <si>
    <t>篠田達明著『歴代天皇のカルテ』</t>
  </si>
  <si>
    <t>鈴木晃仁・石塚久郎編『身体医文化論Ⅳ　食餌の技法』</t>
  </si>
  <si>
    <t>神谷昭典著『日本近代医学の展望　医科大学民主化の課題』</t>
  </si>
  <si>
    <t>652-653頁</t>
  </si>
  <si>
    <t>日本医史学雑誌第五十二巻総目次</t>
  </si>
  <si>
    <t>655-660頁</t>
  </si>
  <si>
    <t>日本医史学会会報42号</t>
  </si>
  <si>
    <t>662-687頁</t>
  </si>
  <si>
    <t>Revisiting Moral Treatment:Psychiatric Therapeutics in England 1750-1850</t>
  </si>
  <si>
    <t>690-704頁</t>
  </si>
  <si>
    <t>近世自家医学遺産の諸分析(抄)</t>
  </si>
  <si>
    <t>2007年(平成19)</t>
  </si>
  <si>
    <t>第53巻第1号</t>
  </si>
  <si>
    <t>007-010頁</t>
  </si>
  <si>
    <t>大坂の蘭学　解剖を中心に（抄）</t>
  </si>
  <si>
    <t>011-015頁</t>
  </si>
  <si>
    <t>大坂の蘭学と適塾（抄）</t>
  </si>
  <si>
    <t>016-017頁</t>
  </si>
  <si>
    <t>大坂蘭学の実験的・実証的性格（抄）</t>
  </si>
  <si>
    <t>浅井允晶</t>
  </si>
  <si>
    <t>018-019頁</t>
  </si>
  <si>
    <t>大坂の蘭学における大坂の除痘館の役割―現地調査をした分苗所を中心に（抄）</t>
  </si>
  <si>
    <t>020-021頁</t>
  </si>
  <si>
    <t>大坂蘭学発祥の背景（抄）</t>
  </si>
  <si>
    <t>小石秀夫</t>
  </si>
  <si>
    <t>022-023頁</t>
  </si>
  <si>
    <t>人・モノ・情報―医学と医療の近代化からみた大阪について（抄）</t>
  </si>
  <si>
    <t>陸軍々医学舎長緒方惟準講述の「陸軍医務沿革史」（抄）</t>
  </si>
  <si>
    <t>奨進医会―『医談』から『刀圭新報』へ―（抄）</t>
  </si>
  <si>
    <t>大阪病院の人体模型―高橋正純訳『紙塑人体解剖譜』と大江伊兵衛の木製人体模型（抄）</t>
  </si>
  <si>
    <t>黎明期の京都市学校医会（抄）</t>
  </si>
  <si>
    <t>八木聖弥</t>
  </si>
  <si>
    <t>大阪宣教師会議から京都看病婦学校へ－「もう一つの近代医療・看護」の細い系譜をたどる（抄）</t>
  </si>
  <si>
    <t>ポンペの病理学総論オランダ語講義ノートの研究（抄）</t>
  </si>
  <si>
    <t>相川忠臣、ハルム・ボイケルス</t>
  </si>
  <si>
    <t>木村丹、松田俊悟</t>
  </si>
  <si>
    <t>有田　浩和</t>
  </si>
  <si>
    <t>適塾の塾頭　松下元芳の系図について－福沢諭吉の一代前の塾頭で親友の筑後久留米藩医－（抄）</t>
  </si>
  <si>
    <t>杉田玄白所蔵のターヘル、アナトミアの所在（抄）</t>
  </si>
  <si>
    <t>病院医療の歴史的始原―わが国の療病院と古代インドの福徳医薬舎（抄）</t>
  </si>
  <si>
    <t>亥口勝彦</t>
  </si>
  <si>
    <t>けがれの思想の歴史的観察（抄）</t>
  </si>
  <si>
    <t>『医籍考』による『四庫全書提要』の考証（抄）</t>
  </si>
  <si>
    <t>小曽戸洋、天野陽介、友部和弘、町泉寿郎、田中祐尾</t>
  </si>
  <si>
    <t>小腹と少腹の位置（抄）</t>
  </si>
  <si>
    <t>『挨穴法』 『挨穴明弁』について（抄）</t>
  </si>
  <si>
    <t>田中利江子、橋本典子、山崎陽子</t>
  </si>
  <si>
    <t>『名家灸選』所収の紐状物を使用した取穴法（抄）</t>
  </si>
  <si>
    <t>垣本鍼源の刺絡（抄）</t>
  </si>
  <si>
    <t>友部和弘、石野尚吾</t>
  </si>
  <si>
    <t>謝観（利恒）と『中国医学大辞典』（抄）</t>
  </si>
  <si>
    <t>明治大正までに創設された東京の私立精神科病院（抄）</t>
  </si>
  <si>
    <t>金川英雄</t>
  </si>
  <si>
    <t>名古屋大学医学部の濫觴（抄）</t>
  </si>
  <si>
    <t>高木兼寛の健康教育観に関する研究（第二報）－臨時教育会議での高等・大学教育改善に関する発言内容から（抄）</t>
  </si>
  <si>
    <t>本邦においてヘボンが用いた教科書『衛生・生理学』書について（抄）</t>
  </si>
  <si>
    <t>公衆浴場法における営業者の役割（抄）</t>
  </si>
  <si>
    <t>大正期学校衛生史の研究（四）石原喜久太郎（抄）</t>
  </si>
  <si>
    <t>日本医薬・博物著述年表の編纂（抄）</t>
  </si>
  <si>
    <t>大坂薬種中買仲間と唐薬の江戸流通（抄）</t>
  </si>
  <si>
    <t>江戸・明治期の貿易・販売資料に見られる西洋式医科器械について（抄）</t>
  </si>
  <si>
    <t>高野六郎－衛生行政の専門性に関する考え方の形成をめぐって－（抄）</t>
  </si>
  <si>
    <t>ベルツ博士の精神とヘルテル（大阪医科大学）教授（抄）</t>
  </si>
  <si>
    <t>山上勝久</t>
  </si>
  <si>
    <t>コロトコフ法による血圧測定の普及（抄）</t>
  </si>
  <si>
    <t>フロレンス・ナイチンゲールは我が国にどのように紹介されてきたか（抄）</t>
  </si>
  <si>
    <t>ハンガリー医学史瞥見―ゼンメルワイス医学史博物館訪問記（抄）</t>
  </si>
  <si>
    <t>「オルトペディ」の造語者、ニコラ・アンドリ（一六五八―一七四二）（その一）（抄）</t>
  </si>
  <si>
    <t>中世の医学者アルナウ・ダ・ビラノバ（抄）</t>
  </si>
  <si>
    <t>占領期の医療・看護に関する出版物の検閲（三）－長野県における保健婦の活動（抄）</t>
  </si>
  <si>
    <t>脊椎麻酔事故予防に対する医史学的対策とその効果（抄）</t>
  </si>
  <si>
    <t>占領期における急性感染症の発生推移（一九四五年―一九五一年）（抄）</t>
  </si>
  <si>
    <t>戦後沖縄の保健・医療行政（その一）―アメリカ統治下の保健・医療システム―（抄）</t>
  </si>
  <si>
    <t>大正・昭和初期における鍼灸医師法制定請願運動（抄）</t>
  </si>
  <si>
    <t>野口英世訳カールデン著『病理学的細菌学的検究術式綱要』の原書について（抄）</t>
  </si>
  <si>
    <t>野口英世の左手の「わが国初の有茎皮弁移植術」（抄）</t>
  </si>
  <si>
    <t>済生学舎の山田良叔講師と山田訳「蘭氏生理学」について（抄）</t>
  </si>
  <si>
    <t>日本の口中科免許第一号　佐治職（さじ・つかさ）（抄）</t>
  </si>
  <si>
    <t>口内炎の病因に関する変遷（抄）</t>
  </si>
  <si>
    <t>グラム医師の研究の経過について（抄）</t>
  </si>
  <si>
    <t>ヴォランタリ・ホスピタルが拓く地平（一）―セント・ジョージ病院の設立と発展―（抄）</t>
  </si>
  <si>
    <t>京都岩倉における精神病者家族的看護の衰退理由―ベルギーのヘールとの比較において（抄）</t>
  </si>
  <si>
    <t>ガレノスとヴェサリウスの解剖学の比較研究（五）―骨を例にとって―（抄）</t>
  </si>
  <si>
    <t>シルヴィウス解剖学書の情報源―ガレノスとの比較から―（抄）</t>
  </si>
  <si>
    <t>『四海同春』について（抄）</t>
  </si>
  <si>
    <t>宋代の脈状分類―七表八裏九道脈の変遷（抄）</t>
  </si>
  <si>
    <t>神灯照法について（抄）</t>
  </si>
  <si>
    <t>『明月記』の鍼灸（抄）</t>
  </si>
  <si>
    <t>『南冥問答』にみる「哺」について（抄）</t>
  </si>
  <si>
    <t>『古今方彙』各種版本の検討（抄）</t>
  </si>
  <si>
    <t>『馬琴日記』にみる病と宗教（抄）</t>
  </si>
  <si>
    <t>井川道子</t>
  </si>
  <si>
    <t>『今昔物語集』の中の身体に関わる表現（二）（抄）</t>
  </si>
  <si>
    <t>平野重誠の『玉の卯槌』（一八三七）にみる凶年後の心得と看護（抄）</t>
  </si>
  <si>
    <t>曲直瀬道三『薬性能毒』の研究（抄）</t>
  </si>
  <si>
    <t>野口大輔、遠藤次郎、中村輝子、真柳誠</t>
  </si>
  <si>
    <t>道三の姓「曲直瀬」と玄朔の号「東井」に関する考察（抄）</t>
  </si>
  <si>
    <t>遠藤次郎、中村輝子、真柳誠</t>
  </si>
  <si>
    <t>町泉寿郎、小曽戸洋、田中祐尾</t>
  </si>
  <si>
    <t>『病論俗解集』について（抄）</t>
  </si>
  <si>
    <t>永嶋泰玄、岩田源太郎、大井康敬</t>
  </si>
  <si>
    <t>谷川士清とその処方集に見られる水銀製剤（抄）</t>
  </si>
  <si>
    <t>私宅監置擁護論の思想的背景―精神医学者ワイガントの日本観を通して―（抄）</t>
  </si>
  <si>
    <t>南小柿寧一とその家系（二）―南小柿宗宅（抄）</t>
  </si>
  <si>
    <t>「癘」についての一考察（抄）</t>
  </si>
  <si>
    <t>佐藤方定と『大同類聚方』（抄）</t>
  </si>
  <si>
    <t>後藤志朗、根本幸夫</t>
  </si>
  <si>
    <t>近世大坂の産科学と堕胎術（抄）</t>
  </si>
  <si>
    <t>内野花</t>
  </si>
  <si>
    <t>愛日文庫蔵「魯西亜漂流之記」は山片蟠桃の著作か（抄）</t>
  </si>
  <si>
    <t>飯塚修三</t>
  </si>
  <si>
    <t>塩見脩也と蘭方膏薬(抄)</t>
  </si>
  <si>
    <t>英国医史、中世の例(抄)</t>
  </si>
  <si>
    <t>出土した中国古代医学文物(展示）(抄)</t>
  </si>
  <si>
    <t>冬虫夏草(広義)渡来の歴史と薬物としての受容(抄)</t>
  </si>
  <si>
    <t>Jeffrey E.HANES</t>
  </si>
  <si>
    <t>183-187頁</t>
  </si>
  <si>
    <t>本邦牛痘種痘法の鼻祖中川五郎次研究の歩み(上)―（1）江戸時代から（5）昭和時代後期まで―</t>
  </si>
  <si>
    <t>第53巻第2号</t>
  </si>
  <si>
    <t>191-228頁</t>
  </si>
  <si>
    <t>占領期における急性感染症の発生推移</t>
  </si>
  <si>
    <t>229-248頁</t>
  </si>
  <si>
    <t>「法闡院病中日記」と島田筑波</t>
  </si>
  <si>
    <t>249-270頁</t>
  </si>
  <si>
    <t>柳川家文書による華岡青洲系譜の検証</t>
  </si>
  <si>
    <t>柳川泰彦、柳川和一郎</t>
  </si>
  <si>
    <t>271-283頁</t>
  </si>
  <si>
    <t>「物のあはれ」攷―舜庵・本居宣長の医学思想との関わりから―</t>
  </si>
  <si>
    <t>285-302頁</t>
  </si>
  <si>
    <t>ヴェサリウスの家計</t>
  </si>
  <si>
    <t>303-310頁</t>
  </si>
  <si>
    <t>池田文書の研究（三十一）竹山屯の書簡について（その四）</t>
  </si>
  <si>
    <t>311-316頁</t>
  </si>
  <si>
    <t>適塾の塾頭松下元芳の系図について―福沢諭吉の一代前の塾頭で親友の久留米藩医―</t>
  </si>
  <si>
    <t>317-321頁</t>
  </si>
  <si>
    <t>三輪卓爾先生を想う</t>
  </si>
  <si>
    <t>322-325頁</t>
  </si>
  <si>
    <t>例会記録（平成十九年一月～五月）</t>
  </si>
  <si>
    <t>江戸時代の家庭医学・看護書『病家須知』の現代語訳に取り組んで（抄）</t>
  </si>
  <si>
    <t>中村節子</t>
  </si>
  <si>
    <t>わが国初の狂犬病人体用ワクチン開発の経緯（抄）</t>
  </si>
  <si>
    <t>唐仁原景昭</t>
  </si>
  <si>
    <t>医学史に見る歯科の歴史―「咬合と全身」の過去と現在―（抄）</t>
  </si>
  <si>
    <t>最近二十年の中国における医学文化史研究の概要（抄）</t>
  </si>
  <si>
    <t>朱建平</t>
  </si>
  <si>
    <t>福田安典編著『伝承文学資料集成第二一輯　医説』</t>
  </si>
  <si>
    <t>335-338頁</t>
  </si>
  <si>
    <t>中村禎里著『中国における妊娠・胎発生論の歴史』</t>
  </si>
  <si>
    <t>三枝純郎著『肛直外科迫害史』</t>
  </si>
  <si>
    <t>川村純一著『文学に見る痘瘡』</t>
  </si>
  <si>
    <t>清水寛編著『日本帝国陸軍と精神障害兵士』</t>
  </si>
  <si>
    <t>溝入茂著『明治日本のごみ対策―汚物掃除法はどのようにして成立したか―』</t>
  </si>
  <si>
    <t>346-348頁</t>
  </si>
  <si>
    <t>ガレノス『骨について初心者のために』―ギリシャ語原典からの翻訳と考察</t>
  </si>
  <si>
    <t>第53巻第3号</t>
  </si>
  <si>
    <t>本邦牛痘種痘法の鼻祖　中川五郎次研究の歩み（下）―（6）平成時代―</t>
  </si>
  <si>
    <t>423-440頁</t>
  </si>
  <si>
    <t>池田文書の研究（三十二）児玉少介・愛二郎の書簡について</t>
  </si>
  <si>
    <t>441-454頁</t>
  </si>
  <si>
    <t>韓国医史学会第九回学術大会</t>
  </si>
  <si>
    <t>455頁</t>
  </si>
  <si>
    <t>例会記録（平成19年6月）</t>
  </si>
  <si>
    <t>「池田文書」の薬について（抄）</t>
  </si>
  <si>
    <t>456-458頁</t>
  </si>
  <si>
    <t>奥沢康正・園田真也共編著『眼科医家人名辞書』</t>
  </si>
  <si>
    <t>医史学関係文献目録（平成17年度）</t>
  </si>
  <si>
    <t>461-523頁</t>
  </si>
  <si>
    <t>近世日本の屍体供養</t>
  </si>
  <si>
    <t>第53巻第4号</t>
  </si>
  <si>
    <t>531-544頁</t>
  </si>
  <si>
    <t>清末刊行の中国文人体解剖学書について</t>
  </si>
  <si>
    <t>松本秀士</t>
  </si>
  <si>
    <t>545-568頁</t>
  </si>
  <si>
    <t>中川五郎次による北方系の種痘法―京都における日野鼎哉の最初の種痘法との接点―</t>
  </si>
  <si>
    <t>569-625頁</t>
  </si>
  <si>
    <t>626頁</t>
  </si>
  <si>
    <t>日本医史学会平成一九年六月例会　シンポジウム「医学史と文学―吉村昭氏を追悼して」　一、「医史学と文学」論序説―司会にあたって―</t>
  </si>
  <si>
    <t>627-634頁</t>
  </si>
  <si>
    <t>日本医史学会平成一九年六月例会　シンポジウム「医史学と文学―吉村昭氏を追悼して」　二、吉村昭作品考　医学史関係</t>
  </si>
  <si>
    <t>635-641頁</t>
  </si>
  <si>
    <t>日本医史学会平成一九年六月例会　シンポジウム「医史学と文学―吉村昭氏を追悼して」　三、医療史に支えられて時代小説・歴史小説をかく</t>
  </si>
  <si>
    <t>642-649頁</t>
  </si>
  <si>
    <t>日本医史学会平成一九年六月例会　シンポジウム「医史学と文学―吉村昭氏を追悼して」　四、森鴎外の脚気問題と遺書</t>
  </si>
  <si>
    <t>650-658頁</t>
  </si>
  <si>
    <t>「蠱」病攷</t>
  </si>
  <si>
    <t>小髙修司</t>
  </si>
  <si>
    <t>659-671頁</t>
  </si>
  <si>
    <t>フランス人医師ムリエの養蚕研究について―帝国動植物環境馴化協会の講演から―</t>
  </si>
  <si>
    <t>672-678頁</t>
  </si>
  <si>
    <t>「相良知安先生記念碑」（東大附属病院構内）移転を慶ぶ</t>
  </si>
  <si>
    <t>相良隆弘</t>
  </si>
  <si>
    <t>例会記録（平成19年9月～12月）</t>
  </si>
  <si>
    <t>681頁</t>
  </si>
  <si>
    <t>石田純郎著『オランダにおける蘭学医書の形成』</t>
  </si>
  <si>
    <t>平野重誠原著・看護史研究会編『病家須知』翻刻訳注篇（上・下）研究資料篇</t>
  </si>
  <si>
    <t>683-684頁</t>
  </si>
  <si>
    <t>秦温信著『北国から、さわやかな風を』</t>
  </si>
  <si>
    <t>684-686頁</t>
  </si>
  <si>
    <t>日本医史学雑誌第五十三巻総目次</t>
  </si>
  <si>
    <t>686-693頁</t>
  </si>
  <si>
    <t>日本医史学会会報四三号</t>
  </si>
  <si>
    <t>693-715頁</t>
  </si>
  <si>
    <t>Transforming Public Health？:A Critical Review of Progress Made Against Enteric Diseases during the American-led Occupation of Japan (1945-52)</t>
  </si>
  <si>
    <t>Chris ALDOUS</t>
  </si>
  <si>
    <t>2008年(平成20)</t>
  </si>
  <si>
    <t>第54巻第1号</t>
  </si>
  <si>
    <t>003-017頁</t>
  </si>
  <si>
    <t>近代イギリス陸軍の衛生改革―実践的ヘルス・ケア知識の導入―</t>
  </si>
  <si>
    <t>秋山ゆり子</t>
  </si>
  <si>
    <t>019-029頁</t>
  </si>
  <si>
    <t>『和剤局方』の増補年代の問題</t>
  </si>
  <si>
    <t>鈴木達彦</t>
  </si>
  <si>
    <t>031-038頁</t>
  </si>
  <si>
    <t>18世紀の下関医界と香月牛山門の三医について</t>
  </si>
  <si>
    <t>亀田一邦</t>
  </si>
  <si>
    <t>039-047頁</t>
  </si>
  <si>
    <t>奨進医会―『医談』から『刀圭新報』へ</t>
  </si>
  <si>
    <t>049-055頁</t>
  </si>
  <si>
    <t>池田文書の研究（三十三）宮家家扶・家従の書簡</t>
  </si>
  <si>
    <t>057-065頁</t>
  </si>
  <si>
    <t>西洋医学教育発祥百五十年・長崎大学医学部創立百五十周年記念事業報告</t>
  </si>
  <si>
    <t>067-074頁</t>
  </si>
  <si>
    <t>江戸時代における鍼灸医学―その思想の沿革―（抄）</t>
  </si>
  <si>
    <t>Vigouroux MATHIAS</t>
  </si>
  <si>
    <t>074-076頁</t>
  </si>
  <si>
    <t>例会記録（平成20年1月－3月）</t>
  </si>
  <si>
    <t>明治28年に翻訳出版されたビルロートの看護書について（抄）</t>
  </si>
  <si>
    <t>猫免疫不全ウイルス感染症（抄）</t>
  </si>
  <si>
    <t>石田卓夫</t>
  </si>
  <si>
    <t>077-078頁</t>
    <phoneticPr fontId="1"/>
  </si>
  <si>
    <t>歯科治療と麻酔の歴史―絵画を中心に―（抄）</t>
  </si>
  <si>
    <t>別部智司</t>
  </si>
  <si>
    <t>079-080頁</t>
  </si>
  <si>
    <t>魯迅が『藤野先生』に書かなかったこと（抄）</t>
  </si>
  <si>
    <t>大隈重信と日本の精神衛生運動（抄）</t>
  </si>
  <si>
    <t>082-084頁</t>
  </si>
  <si>
    <t>池本卯典・小方宗次編『獣医学概論』</t>
  </si>
  <si>
    <t>085-086頁</t>
  </si>
  <si>
    <t>亀田一邦著『幕末防長儒医の研究』</t>
  </si>
  <si>
    <t>陳明著『殊方異薬―出土文書与西域医学』</t>
  </si>
  <si>
    <t>永塚憲治</t>
  </si>
  <si>
    <t>087-088頁</t>
  </si>
  <si>
    <t>江戸時代、鉱物に関する諸問題―田村藍水、平賀源内、シーボルト、ビュルガー、ポンペの事績を中心に―(抄)</t>
  </si>
  <si>
    <t>第54巻第2号</t>
  </si>
  <si>
    <t>097-101頁</t>
  </si>
  <si>
    <t>佐倉と順天堂の人びと(抄)</t>
  </si>
  <si>
    <t>笠間藩医結解庸徳による全身麻酔下の上顎腫瘍摘出術(抄)</t>
  </si>
  <si>
    <t>松本明知、佐藤裕</t>
  </si>
  <si>
    <t>橋本宗吉（曇斎）の西洋医事集成宝鑑とエレキテルについて(抄)</t>
  </si>
  <si>
    <t>兵士が学んでいた包帯法に関する知識と技術－明治7年発行『三角繃帯用法』より－(抄)</t>
  </si>
  <si>
    <t>鈴木紀子</t>
  </si>
  <si>
    <t>明治初頭日本における医療技術の受容過程─順天堂大学所蔵の外科器具を中心に─(抄)</t>
  </si>
  <si>
    <t>109頁</t>
  </si>
  <si>
    <t>松本順の医学関連資料(抄)</t>
  </si>
  <si>
    <t>佐藤泰然一族とヘボン(抄)</t>
  </si>
  <si>
    <t>1私宅監置例の精神鑑定(抄)</t>
  </si>
  <si>
    <t>京都の岩倉において精神障害者家族的看護を可能にした社会的条件(抄)</t>
  </si>
  <si>
    <t>113頁</t>
  </si>
  <si>
    <t>わが国における精神科ソーシャルワーカーの黎明（その1）(抄)</t>
  </si>
  <si>
    <t>勝沼精蔵先生－日本神経学の開拓者(抄)</t>
  </si>
  <si>
    <t>115頁</t>
  </si>
  <si>
    <t>明治初期出版の小学生用に使用された人体構造に関する教科書について(抄)</t>
  </si>
  <si>
    <t>116頁</t>
  </si>
  <si>
    <t>長与専斎と二見海水浴場(抄)</t>
  </si>
  <si>
    <t>内務省衛生局長・窪田静太郎にとっての「癩予防ニ関スル件」(抄）</t>
  </si>
  <si>
    <t>高木兼寛の健康教育観に関する研究（第3報）－臨時教育会議での師範教育・実業教育改善に関する発言内容から－(抄)</t>
  </si>
  <si>
    <t>「陸軍軍医学校防疫研究報告」II部─（その二）─研究に加担した医学者（嘱託）たち(抄)</t>
  </si>
  <si>
    <t>産婆規則公布以降の産婆の管理─神奈川県を事例にして─(抄)</t>
  </si>
  <si>
    <t>小川景子</t>
  </si>
  <si>
    <t>明治期における速成看護婦養成の状況－伝染病予防法公布の前後－(抄)</t>
  </si>
  <si>
    <t>明治34年（1901）の医師・薬剤師調査と工藤鉄男編『日本東京医事通覧』(抄)</t>
  </si>
  <si>
    <t>厚生省看護課設置にみる第二次世界大戦後の看護改革の評価(抄)</t>
  </si>
  <si>
    <t>戦後沖縄の保健・医療行政　その2－初期軍政下の保健・医療システム－(抄)</t>
  </si>
  <si>
    <t>語られない歴史─沖縄の保健婦駐在制に埋もれた助産婦の実践─(抄)</t>
  </si>
  <si>
    <t>東亜紀、丸井英二</t>
  </si>
  <si>
    <t>126頁</t>
  </si>
  <si>
    <t>彦根市のマラリア対策─小林郁と小林弘の役割─(抄)</t>
  </si>
  <si>
    <t>127頁</t>
  </si>
  <si>
    <t>古記録の鍼灸─鎌倉時代・近衛家二代の日記より─(抄)</t>
  </si>
  <si>
    <t>128頁</t>
  </si>
  <si>
    <t>忘れ得ぬ植物・漢方薬の学者－佐藤潤平(抄)</t>
  </si>
  <si>
    <t>岩国市芦山家に伝わる婦人臓図について(抄)</t>
  </si>
  <si>
    <t>131頁</t>
  </si>
  <si>
    <t>雷火鍼法について(抄)</t>
  </si>
  <si>
    <t>『名家灸選』所収の隔物灸(抄)</t>
  </si>
  <si>
    <t>江戸期の経穴学工具書について(抄)</t>
  </si>
  <si>
    <t>『洪氏集験方』の鍼灸について(抄)</t>
  </si>
  <si>
    <t>135頁</t>
  </si>
  <si>
    <t>中国明代までの症状と脈状(抄)</t>
  </si>
  <si>
    <t>国立公文書館内閣文庫所蔵の脈書『紫虚崔真人脈訣秘旨』について(抄)</t>
  </si>
  <si>
    <t>アンドレアス・ヴェサリウスとフィレンツェ公コジモ・ディ・メディチ(抄)</t>
  </si>
  <si>
    <t>ニコラ・アンドリ（1658-1742）の「オルトペディ」について（その二）(抄)</t>
  </si>
  <si>
    <t>16世紀前半の解剖学用語について－脱アラビアの試み－(抄)</t>
  </si>
  <si>
    <t>John Hunter 「補遺」について(抄)</t>
  </si>
  <si>
    <t>アトキンソン・モーリー病院の創設と発展(抄)</t>
  </si>
  <si>
    <t>144頁</t>
  </si>
  <si>
    <t>本邦初の頭部単純レントゲン撮影を行った済生学舎教師の丸茂文良医学士(抄）</t>
  </si>
  <si>
    <t>志村俊郎、唐沢信安、殿﨑正明、岩﨑﨑一</t>
  </si>
  <si>
    <t>田原の原著からみる知られざる業績(抄)</t>
  </si>
  <si>
    <t>魯迅が受けた藤野厳九郎による解剖学史の講義について(抄)</t>
  </si>
  <si>
    <t>済生学舎出身の旧制金沢医科大学学長須藤憲三に関する新事実(抄)</t>
  </si>
  <si>
    <t>殿﨑正明、岩﨑一、志村俊郎、唐沢信安</t>
  </si>
  <si>
    <t>戦前の東京の精神科病院と精神科看護(抄)</t>
  </si>
  <si>
    <t>金川英雄、堀みゆき</t>
  </si>
  <si>
    <t>フーフェランドの「医戒」から引用した校是「克己殉公」を実践した小此木信六郎(抄)</t>
  </si>
  <si>
    <t>岩﨑一、殿﨑正明、志村俊郎、唐沢信安</t>
  </si>
  <si>
    <t>道教と中国伝統医学（第28回黄庭経）(抄)</t>
  </si>
  <si>
    <t>『大同類聚方（寮本・延喜本）』に見える古代の医術(抄)</t>
  </si>
  <si>
    <t>『十訓抄』の中の身体に関わる表現(抄)</t>
  </si>
  <si>
    <t>荻生徂徠の死因(抄)</t>
  </si>
  <si>
    <t>南宋五巻本『和剤局方』の再検討(抄)</t>
  </si>
  <si>
    <t>155頁</t>
  </si>
  <si>
    <t>龍谷大学蔵大谷文書5467号の『本草集注』(抄)</t>
  </si>
  <si>
    <t>『宗板傷寒論』の系諸版の検討(抄)</t>
  </si>
  <si>
    <t>『戴曼公唇舌図訣』の思想について(抄)</t>
  </si>
  <si>
    <t>158頁</t>
  </si>
  <si>
    <t>江島杉山神社の御神像について(抄)</t>
  </si>
  <si>
    <t>大浦宏勝、市川友理</t>
  </si>
  <si>
    <t>医家肖像に関する考察(抄)</t>
  </si>
  <si>
    <t>本居宣長記念館所蔵『挨穴会志』について(抄)</t>
  </si>
  <si>
    <t>山﨑陽子</t>
  </si>
  <si>
    <t>『医説』巻第二・鍼灸の典拠について(抄)</t>
  </si>
  <si>
    <t>田中利江子、橋本典子</t>
  </si>
  <si>
    <t>162頁</t>
  </si>
  <si>
    <t>永嶋泰玄、岩田源太郎、大井康敬、杉浦雄</t>
  </si>
  <si>
    <t>八甲田雪中行軍遭難事件の医学的研究─「歩兵第五聯隊雪中遭難ニ関スル衛生調査報告」に見られる凍死者と生存者─</t>
  </si>
  <si>
    <t>第54巻第3号</t>
  </si>
  <si>
    <t>215-230頁</t>
  </si>
  <si>
    <t>『千金方』─遣唐使将来本の書写について</t>
  </si>
  <si>
    <t>松岡尚則、山下幸一、栗林秀樹、牧角和宏、山口秀敏</t>
  </si>
  <si>
    <t>231-238頁</t>
  </si>
  <si>
    <t>生体実験を拒否した生理学者　横山正松</t>
  </si>
  <si>
    <t>末永恵子　</t>
  </si>
  <si>
    <t>239-248頁</t>
  </si>
  <si>
    <t>中世の医学者アルナウ・ダ・ビラノバ</t>
  </si>
  <si>
    <t>249-258頁</t>
  </si>
  <si>
    <t>続・医史学における複言語主義のすすめ</t>
  </si>
  <si>
    <t>259-263頁</t>
  </si>
  <si>
    <t>医書における「鬼（神）」について―諸子との比較を含めて―</t>
  </si>
  <si>
    <t>265-274頁</t>
  </si>
  <si>
    <t>台湾の医学に影響を与えた日本人―耳鼻咽喉科の場合―</t>
  </si>
  <si>
    <t>王敏東</t>
  </si>
  <si>
    <t>275-280頁</t>
  </si>
  <si>
    <t>明治女医の基礎資料</t>
  </si>
  <si>
    <t>三﨑裕子</t>
  </si>
  <si>
    <t>池田文書の研究（34）公家華族の書簡（その1）</t>
  </si>
  <si>
    <t>293-302頁</t>
  </si>
  <si>
    <t>貝原益軒　未公開『用薬日記』の養生処方（抄）</t>
  </si>
  <si>
    <t>例会記録（平成20年4月～5月）</t>
  </si>
  <si>
    <t>303頁</t>
  </si>
  <si>
    <t>薬事衛生の歴史的変遷と薬学教育6年制改革の開始（抄）</t>
  </si>
  <si>
    <t>宮本法子</t>
  </si>
  <si>
    <t>305-306頁</t>
  </si>
  <si>
    <t>テレビドラマ「ER」に見るアメリカ社会と医療の現代史（抄）</t>
  </si>
  <si>
    <t>307-308頁</t>
  </si>
  <si>
    <t>新刊の医家肖像集（杏雨書屋）（抄）</t>
  </si>
  <si>
    <t>天野陽介、町泉寿郎、小曽戸洋</t>
  </si>
  <si>
    <t>方伎雑誌の訳注研究（抄）</t>
  </si>
  <si>
    <t>新村拓著『健康の社会史―養生、衛生から健康増進へ―』</t>
  </si>
  <si>
    <t>香西豊子著『流通する「人体」―献体・献血・臓器提供の歴史―』</t>
  </si>
  <si>
    <t>トルステン・デッカート著、大森安恵・成田あゆみ訳『ハーゲドン　情熱の生涯―理想のインスリンを求めて―』</t>
  </si>
  <si>
    <t>酒井耕造著『近世会津の村と社会―地域の暮らしと医療―』</t>
  </si>
  <si>
    <t>竹原万雄</t>
  </si>
  <si>
    <t>小石元俊の水軍術伝授とその周辺</t>
  </si>
  <si>
    <t>第54巻第4号</t>
  </si>
  <si>
    <t>325-337頁</t>
  </si>
  <si>
    <t>中川五郎次の弟子と彼らによる北日本における種痘の実施</t>
  </si>
  <si>
    <t>339-358頁</t>
  </si>
  <si>
    <t>魯迅が仙台で受けた解剖学史の講義について</t>
  </si>
  <si>
    <t>359-372頁</t>
  </si>
  <si>
    <t>明治初期における医療の一分野としての看護―医師太田雄寧訳纂『看護心得』の原著解明と比較検討―</t>
  </si>
  <si>
    <t>樋野恵子</t>
  </si>
  <si>
    <t>373-386頁</t>
  </si>
  <si>
    <t>中島宗仙の「筑紫行雑記」について―文政二年一医師の長崎遊学日記―</t>
  </si>
  <si>
    <t>中島洋一、松村紀明</t>
  </si>
  <si>
    <t>387-391頁</t>
  </si>
  <si>
    <t>仙台の医学校において1900年と1901年に講義された解剖学史</t>
  </si>
  <si>
    <t>393-398頁</t>
  </si>
  <si>
    <t>池田文書の研究（35）公家華族の書簡（その2）</t>
  </si>
  <si>
    <t>399-408頁</t>
  </si>
  <si>
    <t>409-411頁</t>
  </si>
  <si>
    <t>医師の装束（抄）</t>
  </si>
  <si>
    <t>411-412頁</t>
  </si>
  <si>
    <t>例会記録（平成20年9月～11月）</t>
  </si>
  <si>
    <t>川越修・友部謙一編著『生命というリスク』</t>
  </si>
  <si>
    <t>岡田研吉、牧角和宏、小髙修司著『宋以前傷寒論考』</t>
  </si>
  <si>
    <t>414頁</t>
  </si>
  <si>
    <t>日本医史学雑誌第54巻　総目次</t>
  </si>
  <si>
    <t>420-424頁</t>
  </si>
  <si>
    <t>日本医史学会会報44号</t>
  </si>
  <si>
    <t>426-450頁</t>
  </si>
  <si>
    <t>2009年(平成21)</t>
  </si>
  <si>
    <t>第55巻第1号</t>
  </si>
  <si>
    <t>003-13頁</t>
  </si>
  <si>
    <t>風土病マラリアはいかに撲滅されたか―第二次大戦後の滋賀県彦根市―</t>
  </si>
  <si>
    <t>田中誠二、杉田聡、安藤敬子、丸井英二</t>
  </si>
  <si>
    <t>015-30頁</t>
  </si>
  <si>
    <t>近世大坂における回生術と産科学</t>
  </si>
  <si>
    <t>031-42頁</t>
  </si>
  <si>
    <t>京都大学整形外科学教室初代教授松岡道治の事蹟、業績―第3報　著書について―</t>
  </si>
  <si>
    <t>043-55頁</t>
  </si>
  <si>
    <t>「関格」名義変遷攷</t>
  </si>
  <si>
    <t>057-75頁</t>
  </si>
  <si>
    <t>仏教文献に見られる呪術的療法の伝統について―概説―</t>
  </si>
  <si>
    <t>山中行雄、山下勤</t>
  </si>
  <si>
    <t>森林太郎の医学大業績―臨時脚気病調査会の創設とその成果―</t>
  </si>
  <si>
    <t>2008日中張仲景学説交流会シンポジウム</t>
  </si>
  <si>
    <t>松岡尚則、別府正志、頼建守、山口秀敏</t>
  </si>
  <si>
    <t>医療倫理教育と『信頼される歯科医師Ⅱ』(抄)</t>
  </si>
  <si>
    <t>亀谷勉</t>
  </si>
  <si>
    <t>マリー・キュリー夫人と放射能研究に殉じた最初の日本人研究者・山田延男―日仏修好150周年に因んで―(抄)</t>
  </si>
  <si>
    <t>山田光男</t>
  </si>
  <si>
    <t>新村拓著『日本医療史』</t>
  </si>
  <si>
    <t>片桐一男著『それでも江戸は鎖国だったのか―オランダ宿日本橋長崎屋―』</t>
  </si>
  <si>
    <t>幕末から明治期佐賀の指導医たち―お雇い学国人医師を含めて―（抄）</t>
  </si>
  <si>
    <t>第55巻第2号</t>
  </si>
  <si>
    <t>佐賀藩医　相良知安とドイツ医学（抄）</t>
  </si>
  <si>
    <t>落語のなかの幕末医療人（抄）</t>
  </si>
  <si>
    <t>三遊亭竜楽</t>
  </si>
  <si>
    <t>先見の人　佐野常民（抄）</t>
  </si>
  <si>
    <t>福岡博</t>
  </si>
  <si>
    <t>全国へ広がった佐賀の種痘（抄）</t>
  </si>
  <si>
    <t>江戸時代、温泉水の化学分析の進展について（抄）</t>
  </si>
  <si>
    <t>上方蘭学者　吉雄元吉の「遠西奇水抜萃」について（抄）</t>
  </si>
  <si>
    <t>ミヒェル　ヴォルフガング</t>
  </si>
  <si>
    <t>佐倉藩の種痘の事跡（抄）</t>
  </si>
  <si>
    <t>種痘医　松本文斎について（抄）</t>
  </si>
  <si>
    <t>小西義麿</t>
  </si>
  <si>
    <t>中島友玄の「種痘諸事留」―岡山県邑久郡における江戸後期～明治初期の種痘の変遷―（抄）</t>
  </si>
  <si>
    <t>中島洋一、木下浩</t>
  </si>
  <si>
    <t>文政7年（1824）佐賀における麻酔手術─華岡門人　井上友庵の事例─（抄）</t>
  </si>
  <si>
    <t>江戸時代の体重管理と養生（抄）</t>
  </si>
  <si>
    <t>宮入慶之助―日本住血吸虫中間宿主の発見（抄）</t>
  </si>
  <si>
    <t>宮入源太郎</t>
  </si>
  <si>
    <t>済生学舎講師　石川清忠と女子医学生の教育（抄）</t>
  </si>
  <si>
    <t>藩閥政治の日本医学校に与えた影響―日本医学校創立者　山根正次校長と苦難の学校経営―（抄）</t>
  </si>
  <si>
    <t>藩閥政治から見た済生学舎廃校の真の原因:山県有朋、池田謙斎、入沢達吉との関係（抄）</t>
  </si>
  <si>
    <t>岩手県金ヶ崎町（城内諏訪小路重要伝統的建造物群保存地区）より輩出せる明治女医2名（抄）</t>
  </si>
  <si>
    <t>「陸軍軍医学校防疫研究報告」Ⅱ部（その三）―鼠と蚤とペスト菌の関連論文の分析―（抄）</t>
  </si>
  <si>
    <t>戦後占領期における感染症報告の方法（抄）</t>
  </si>
  <si>
    <t>戦後沖縄の保健・医療行政―その3　琉球政府の成立過程―（抄）</t>
  </si>
  <si>
    <t>豆腐小僧と天然痘について（抄）</t>
  </si>
  <si>
    <t>竹原直道</t>
  </si>
  <si>
    <t>わが国における精神科ソーシャルワーカーの黎明（その2）（抄）</t>
  </si>
  <si>
    <t>肥前療養所の伊藤正雄―精神科病院全面開放の先駆者―（抄）</t>
  </si>
  <si>
    <t>『ドン・キホーテ』にみる保護の三つの型について（抄）</t>
  </si>
  <si>
    <t>165頁</t>
  </si>
  <si>
    <t>「日本におけるコレラ流行報告」について―明治初期の米国人によるコレラ報告―（抄）</t>
  </si>
  <si>
    <t>［高血圧が脳卒中の最大危険因子］の認識（抄）</t>
  </si>
  <si>
    <t>西村謙一</t>
  </si>
  <si>
    <t>わが国における第二次大戦前のインフルエンザ超過死亡―スペインかぜ以前と以後―（抄）</t>
  </si>
  <si>
    <t>逢見憲一</t>
  </si>
  <si>
    <t>168頁</t>
  </si>
  <si>
    <t>1960年代の日本における人工水晶体の開発経過について（抄）</t>
  </si>
  <si>
    <t>園田真也</t>
  </si>
  <si>
    <t>169頁</t>
  </si>
  <si>
    <t>明治16年（1883）に東京府が行った整骨師、入歯師等の調査について（抄）</t>
  </si>
  <si>
    <t>解剖学書における解剖図の類型と歴史的変遷（抄）</t>
  </si>
  <si>
    <t>明治初頭日本における医療情報の伝達・普及・定着―皮下注射法を中心に―（抄）</t>
  </si>
  <si>
    <t>筋弛緩薬の変遷―発見から臨床応用までの140年を追って―（抄）</t>
  </si>
  <si>
    <t>高田敦子</t>
  </si>
  <si>
    <t>岩国市芦山家に伝わる婦人臓図についてⅡ（抄）</t>
  </si>
  <si>
    <t>顕微解剖学の歴史、三浦梅園が愛用した木製顕微鏡（抄）</t>
  </si>
  <si>
    <t>175頁</t>
  </si>
  <si>
    <t>シルヴィウスによるヴェサリウス批判についての検討（抄）</t>
  </si>
  <si>
    <t>176頁</t>
  </si>
  <si>
    <t>近代整形外科学の先駆者、レオポルド・オリエ（1830ｰ1900）の業績と生涯（抄）</t>
  </si>
  <si>
    <t>『劉涓子鬼遣方』の鍼灸について（抄）</t>
  </si>
  <si>
    <t>178頁</t>
  </si>
  <si>
    <t>『医学天正記』異本類の比較研究（抄）</t>
  </si>
  <si>
    <t>天野陽介、小曽戸洋</t>
  </si>
  <si>
    <t>『医道日用綱目』の版種について（抄）</t>
  </si>
  <si>
    <t>180頁</t>
  </si>
  <si>
    <t>戦前の雑誌『医道』について（抄）</t>
  </si>
  <si>
    <t>「緒方春朔文書」の考察（抄）</t>
  </si>
  <si>
    <t>江戸考証医家の蔵書目録について（抄）</t>
  </si>
  <si>
    <t>183頁</t>
  </si>
  <si>
    <t>『杉山流三部書』の成立経過について（抄）</t>
  </si>
  <si>
    <t>『熙載録』の鍼法（抄）</t>
  </si>
  <si>
    <t>山田図南と千金方―千金方から傷寒論序文を考える―（抄）</t>
  </si>
  <si>
    <t>松岡尚則、山下幸一、栗林秀樹、牧角和宏、岡田研吉、山口秀敏、別府正志</t>
  </si>
  <si>
    <t>『傷寒論』における煎液の量と服用量に関する問題（抄）</t>
  </si>
  <si>
    <t>馬王堆出土『五十二病方』にみられる薬の作り方の意義（抄）</t>
  </si>
  <si>
    <t>遠藤次郎、鈴木達彦</t>
  </si>
  <si>
    <t>188頁</t>
  </si>
  <si>
    <t>古代日本の出産における白色（抄）</t>
  </si>
  <si>
    <t>歯科外科医シュバリエ・ラスピーニのビジネス（抄）</t>
  </si>
  <si>
    <t>N.S. コロトコフの系譜（抄）</t>
  </si>
  <si>
    <t>ロンドン外科学史瞥見―ジョン・ハンターと王立外科医協会―（抄）</t>
  </si>
  <si>
    <t>ロイヤル・ロンドン病院の創設と発展（抄）</t>
  </si>
  <si>
    <t>医科器械に対する橋田邦彦の見解（抄）</t>
  </si>
  <si>
    <t>勝井恵子</t>
  </si>
  <si>
    <t>オランダ大使ヴァン・グーリック博士と解馬新書（抄）</t>
  </si>
  <si>
    <t>石龍子と相学提要―筑後久留米藩で最初に解剖をした医師　酒井義篤が病相を担当執筆―（抄）</t>
  </si>
  <si>
    <t>佐賀出身江戸初期の医傑・向井元升（1609ｰ1677）・貝原益軒の主治医・去来の父（抄）</t>
  </si>
  <si>
    <t>北清事変期の医療と看護―広島陸軍予備病院を例として―（抄）</t>
  </si>
  <si>
    <t>千田武志、坂村八恵、岡本裕子、隅田寛</t>
  </si>
  <si>
    <t>199頁</t>
  </si>
  <si>
    <t>北清事変期の広島陸軍予備病院における外国人傷病者の医療と看護（抄）</t>
  </si>
  <si>
    <t>隅田寛、岡本裕子、坂村八恵、千田武志</t>
  </si>
  <si>
    <t>山本良吉著『看護婦の心得』にみる看護倫理観と明治後期の看護界の状況（抄）</t>
  </si>
  <si>
    <t>プランゲ文庫史料による占領下日本における医療・看護の社会的活動の分析（1）（抄）</t>
  </si>
  <si>
    <t>『大正新脩大蔵経』の仏教教典にみる「看護」の文字の使用―中華電子仏典協会の電子テキストから―（抄）</t>
  </si>
  <si>
    <t>高木兼寛の健康教育観に関する研究（第4報）―臨時教育会議での女子教育改善に関する発言内容から―（抄）</t>
  </si>
  <si>
    <t>204頁</t>
  </si>
  <si>
    <t>ペリー来航後に平野重誠が著した救急書『軍陣備要救急摘方』（1853）（抄）</t>
  </si>
  <si>
    <t>205頁</t>
  </si>
  <si>
    <t>ポンペの眼科とボードウインの眼科（抄）</t>
  </si>
  <si>
    <t>206頁</t>
  </si>
  <si>
    <t>中国伝統医学と道教（第29回　甲骨文）（抄）</t>
  </si>
  <si>
    <t>岡西為人『宋以前医籍考』の校訂出版にあたって（抄）</t>
  </si>
  <si>
    <t>通行本『崔氏脈訣』と原書『玄白子西原正派脈訣』との異同について（抄）</t>
  </si>
  <si>
    <t>小曽戸洋、町泉寿郎、天野陽介</t>
  </si>
  <si>
    <t>210頁</t>
  </si>
  <si>
    <t>『小右記』の鍼灸（抄）</t>
  </si>
  <si>
    <t>211頁</t>
  </si>
  <si>
    <t>『素問玄機原病式』素問玄機原病式例の研究（抄）</t>
  </si>
  <si>
    <t>薛己の用いた隔物灸（抄）</t>
  </si>
  <si>
    <t>天理図書館所蔵の明刊本『素問糾略』について（抄）</t>
  </si>
  <si>
    <t>長野仁</t>
  </si>
  <si>
    <t>韓国国立中央図書館の古医籍（抄）</t>
  </si>
  <si>
    <t>米国カリフォルニア州立大学サンフランシスコ校医学部図書館所蔵の日本古医書の概要（抄）</t>
  </si>
  <si>
    <t>梶谷真司</t>
  </si>
  <si>
    <t>216頁</t>
  </si>
  <si>
    <t>Yale 大学 Cushing 図書館 Fry Collection の漢方刷り物について（抄）</t>
  </si>
  <si>
    <t>217頁</t>
  </si>
  <si>
    <t>北米国立医学図書館に所蔵する日本古医書（善本類を中心に）（抄）</t>
  </si>
  <si>
    <t>『沙石集』の中の身体に関わる表現（抄）</t>
  </si>
  <si>
    <t>江戸中期の鍼灸における腹部診察と施術について（抄）</t>
  </si>
  <si>
    <t>橋本典子</t>
  </si>
  <si>
    <t>医史学関係文献目録　平成19年（2007）年</t>
  </si>
  <si>
    <t>227-283頁</t>
  </si>
  <si>
    <t>『善那余話』からみた東京国立博物館ジェンナー像建立の経緯</t>
  </si>
  <si>
    <t>第55巻第3号</t>
  </si>
  <si>
    <t>291-301頁</t>
  </si>
  <si>
    <t>王念孫『素問新語易林合韻譜』と銭超塵『素問合韻譜』</t>
  </si>
  <si>
    <t>明治初頭日本における医療技術の移入・受容過程―外科器具「イクラセウル」と「燃灼電気器」を中心に―</t>
  </si>
  <si>
    <t>317-328頁</t>
  </si>
  <si>
    <t>和田正長の残した『杉山真伝流』全巻の検証</t>
  </si>
  <si>
    <t>大浦宏勝、市川友里</t>
  </si>
  <si>
    <t>329-345頁</t>
  </si>
  <si>
    <t>共慣義塾の研究―東京検梅史の補遺として―</t>
  </si>
  <si>
    <t>中西淳朗、樋口輝雄</t>
  </si>
  <si>
    <t>347-364頁</t>
  </si>
  <si>
    <t>仏教における内科疾患</t>
  </si>
  <si>
    <t>365-367頁</t>
  </si>
  <si>
    <t>仏教における外科疾患</t>
  </si>
  <si>
    <t>石龍子と相学提要</t>
  </si>
  <si>
    <t>371-376頁</t>
  </si>
  <si>
    <t>池田文書の研究（36）武家華族の書簡(その1)</t>
  </si>
  <si>
    <t>377-386頁</t>
  </si>
  <si>
    <t>ナイチンゲール伝染病論の社会性(抄)</t>
  </si>
  <si>
    <t>友松憲彦</t>
  </si>
  <si>
    <t>387-388頁</t>
  </si>
  <si>
    <t>例会記録（平成21年3月～5月）</t>
  </si>
  <si>
    <t>387頁</t>
  </si>
  <si>
    <t>慢性胃炎の歴史―我われは何故ピロリ菌を発見できなかったのか―(抄)</t>
  </si>
  <si>
    <t>武田科学振興財団杏雨書屋編『杏雨書屋所蔵　医家肖像集』通覧抄</t>
  </si>
  <si>
    <t>カール・ヴィーニンゲル著植木絢子訳『知られざる科学者ペッテンコーフェル―環境医学の創始者―』</t>
  </si>
  <si>
    <t>392-395頁</t>
  </si>
  <si>
    <t>杉田米行編『日米の医療―制度と倫理―』</t>
  </si>
  <si>
    <t>篠田達明著『戦国武将の死生観』</t>
  </si>
  <si>
    <t>吉元昭治著『日本全国神話・伝説の旅』</t>
  </si>
  <si>
    <t>高山真一郎</t>
  </si>
  <si>
    <t>安室芳樹著『切手で綴る医学の歴史』</t>
  </si>
  <si>
    <t>兵頭晶子著『精神病の日本近代―憑く心身から病む心身へ―』</t>
  </si>
  <si>
    <t>高杉晋作の主治医、石田精一について―変革期草医の「雅」と「侠」―</t>
  </si>
  <si>
    <t>第55巻第4号</t>
  </si>
  <si>
    <t>411-425頁</t>
  </si>
  <si>
    <t>東京市養育院「回春病室」設置時期の再検討─「1899年」説は正しいか？─</t>
  </si>
  <si>
    <t>光田健輔と「回春病室」という記憶―設置時期はなぜ明言されえなかったのか？―</t>
  </si>
  <si>
    <t>445-461頁</t>
  </si>
  <si>
    <t>『全体新論』に掲載される解剖図の出典について</t>
  </si>
  <si>
    <t>松本秀士、坂井建雄</t>
  </si>
  <si>
    <t>463-497頁</t>
  </si>
  <si>
    <t>近世後期における「伝染病」学説―「市川橋本伯寿著断毒論一件」の分析を通じて―</t>
  </si>
  <si>
    <t>明治初期の衛生政策構想―『内務省衛生局雑誌』を中心に―</t>
  </si>
  <si>
    <t>509-520頁</t>
  </si>
  <si>
    <t>台湾における近代医学に影響を与えた日本人―産婦人科の場合―</t>
  </si>
  <si>
    <t>521-528頁</t>
  </si>
  <si>
    <t>追悼　小石秀夫先生</t>
  </si>
  <si>
    <t>中西淳朗先生を悼む</t>
  </si>
  <si>
    <t>在ドイツ森林太郎あて書簡にみる帝国大学医科大学事情(抄)</t>
  </si>
  <si>
    <t>533-535頁</t>
  </si>
  <si>
    <t>例会記録(平成21年9月～11月）</t>
  </si>
  <si>
    <t>仏教思想と穢れとの関係(抄)</t>
  </si>
  <si>
    <t>Historical Development of Modern Anatomy Education in Japan</t>
  </si>
  <si>
    <t>Tatsuo SAKAI</t>
  </si>
  <si>
    <t>2010年(平成22)</t>
  </si>
  <si>
    <t>第56巻第1号</t>
  </si>
  <si>
    <t>003-23頁</t>
  </si>
  <si>
    <t>京都大学整形外科学教室初代教授松岡道治の事績，業績―第4報　医師および市民への講演活動―</t>
  </si>
  <si>
    <t>昭和初期解剖学用語の改良と国語運動</t>
  </si>
  <si>
    <t>039-52頁</t>
  </si>
  <si>
    <t>イスラム医学における「非自然要素」</t>
  </si>
  <si>
    <t>矢口直英</t>
  </si>
  <si>
    <t>053-66頁</t>
  </si>
  <si>
    <t>近代ギリシャにおける『ヒポクラテス全集』の継承</t>
  </si>
  <si>
    <t>菅野幸子，本田克也</t>
  </si>
  <si>
    <t>067-76頁</t>
  </si>
  <si>
    <t>医史学の伝統復活薩摩琵琶</t>
  </si>
  <si>
    <t>酒井シヅ，岡田靖雄</t>
  </si>
  <si>
    <t>池田文書の研究（37）</t>
  </si>
  <si>
    <t>079-88頁</t>
  </si>
  <si>
    <t>大塚恭男先生を悼んで　医史学と先生</t>
  </si>
  <si>
    <t>矢部一郎先生を偲んで</t>
  </si>
  <si>
    <t>戦前の日本赤十字社看護人の救護活動(抄)</t>
  </si>
  <si>
    <t>山崎裕二</t>
  </si>
  <si>
    <t>日本のワクチン受容史―ジェンナー博物館にて予防接種法を考える―(抄)</t>
  </si>
  <si>
    <t>日本在来馬と西洋馬　―日欧獣医学交流史と関連して―(抄)</t>
  </si>
  <si>
    <t>小佐々学</t>
  </si>
  <si>
    <t>書籍紹介</t>
  </si>
  <si>
    <t>中田雅博著『緒方洪庵―幕末の医と教え―』</t>
  </si>
  <si>
    <t>石井拓男・渋谷鉱・西巻明彦著『スタンダード歯科医学史』</t>
  </si>
  <si>
    <t>宮武光吉</t>
  </si>
  <si>
    <t>Gabor Lukacs: KAITAI SHINSHO The single most famous Japanese book on medicine &amp; GEKA SODEN An early very important manuscript on surgery</t>
  </si>
  <si>
    <t>防衛ホーム新聞社編纂『彰古館―知られざる軍陣医学の軌跡―』</t>
  </si>
  <si>
    <t>谷中誠</t>
  </si>
  <si>
    <t>アレッサンドロ・ビアンキ，町泉寿郎</t>
  </si>
  <si>
    <t>136-106頁</t>
  </si>
  <si>
    <t>日韓越の医学と中国医書(抄)</t>
  </si>
  <si>
    <t>第56巻第2号</t>
  </si>
  <si>
    <t>水戸藩の医学と医療(抄)</t>
  </si>
  <si>
    <t>鈴木暎一</t>
  </si>
  <si>
    <t>日露戦争期の広島予備病院における活動―日赤救護班の看護活動を中心として―(抄)</t>
  </si>
  <si>
    <t>岡本裕子，坂村八恵，隅田寛，千田武志</t>
  </si>
  <si>
    <t>明治期の医師―近藤常次郎による看護管理体制の示唆―(抄)</t>
  </si>
  <si>
    <t>上坂良子</t>
  </si>
  <si>
    <t>日本赤十字社における支部選出看護婦―京都支部選出看護婦　高木ハルの事例をもとに―(抄)</t>
  </si>
  <si>
    <t>川原由佳里，鷹野朋美，山崎裕二，殿城友紀，高橋朋子，川嶋みどり</t>
  </si>
  <si>
    <t>明治24年濃尾地震における東京慈恵医院の救護・看護活動(抄)</t>
  </si>
  <si>
    <t>日本陸軍における看護卒と磨工卒の関係(抄)</t>
  </si>
  <si>
    <t>満蒙開拓青少年義勇軍訓練生に対する医療と看護(抄)</t>
  </si>
  <si>
    <t>額賀せつ子</t>
  </si>
  <si>
    <t>プランゲ文庫所蔵新聞記事にみられるGHQ看護課長オルトの記者会見の分析(抄)</t>
  </si>
  <si>
    <t>戦後沖縄の保健・医療行政―その4　保健所の活動―(抄)</t>
  </si>
  <si>
    <t>韓国ジャーナルに載せられた補完代替医学関連研究の動向分析(抄)</t>
  </si>
  <si>
    <t>李太亨，金南一</t>
  </si>
  <si>
    <t>近年の政治及び経済政策が我が国の医療に与えた影響(抄)</t>
  </si>
  <si>
    <t>藤岡彰，藤岡和美</t>
  </si>
  <si>
    <t>心臓移植は医療として正しいか(抄)</t>
  </si>
  <si>
    <t>医学研究における被験者保護の流れ(抄)</t>
  </si>
  <si>
    <t>関根透，島田道子</t>
  </si>
  <si>
    <t>逢見憲一，丸井英二</t>
  </si>
  <si>
    <t>日本の結核史における第二次世界大戦とBCG研究について(抄)</t>
  </si>
  <si>
    <t>戦後占領期における性感染症―GHQ/SCAP文書にみる梅毒の流行―(抄)</t>
  </si>
  <si>
    <t>田中誠二，杉田聡，安藤敬子，丸井英二</t>
  </si>
  <si>
    <t>江戸時代の医学書にみる結核観の変遷(抄)</t>
  </si>
  <si>
    <t>王室記録に見られる『東医宝鑑』関連記載の分析―正祖時代までの記録を中心として―(抄)</t>
  </si>
  <si>
    <t>姜棹現，車雄碩，金南一</t>
  </si>
  <si>
    <t>本草効能用語に関する研究(抄)</t>
  </si>
  <si>
    <t>『東医宝鑑』湯液篇の本草分類に対する研究(抄)</t>
  </si>
  <si>
    <t>呉在根，金容辰</t>
  </si>
  <si>
    <t>『郷薬集成方』から『東医宝鑑』にみられる朝鮮半島医学の変遷―本草を中心として―(抄)</t>
  </si>
  <si>
    <t>朴智世</t>
  </si>
  <si>
    <t>『大同類聚方（寮本・延喜本）』に見える古代朝鮮の国名と関係のある薬方(抄)</t>
  </si>
  <si>
    <t>「燕行使」「通信使」と明末清初における東アジア医学知識の連動(抄)</t>
  </si>
  <si>
    <t>陳明</t>
  </si>
  <si>
    <t>近代中国における西洋解剖学の初期的伝播について(抄)</t>
  </si>
  <si>
    <t>松本秀士，坂井建雄</t>
  </si>
  <si>
    <t>宋大仁が三木栄にあてた1通の手紙で得た励まし(抄)</t>
  </si>
  <si>
    <t>『脾胃論』に記載された述語の分類に関する研究(抄)</t>
  </si>
  <si>
    <t>李丙旭，金明姫，金恩瑕</t>
  </si>
  <si>
    <t>李東垣の陰火論に対する研究(抄)</t>
  </si>
  <si>
    <t>方正均</t>
  </si>
  <si>
    <t>王清任の補気観―李東垣との比較から―(抄)</t>
  </si>
  <si>
    <t>越智秀一</t>
  </si>
  <si>
    <t>江戸時代の考証学と折衷派に対する考察(抄)</t>
  </si>
  <si>
    <t>ベトナム近現代史における「伝統医学」(抄)</t>
  </si>
  <si>
    <t>小田なら</t>
  </si>
  <si>
    <t>釈迦時代における出家僧の健康管理について(抄)</t>
  </si>
  <si>
    <t>治癒神としてのカナヤマサマ―八丈島での事例から―(抄)</t>
  </si>
  <si>
    <t>土屋久</t>
  </si>
  <si>
    <t>中山城山の『黄庭内景経略註』について(抄)</t>
  </si>
  <si>
    <t>常陸の郷医・山田甫庵の事蹟―《百腹図説》の成立と伝播に関する考察―(抄)</t>
  </si>
  <si>
    <t>清代医案における外感病と内傷病の舌象特徴の研究(抄)</t>
  </si>
  <si>
    <t>梁嶸，王盛花，李燕，王召平，侯楊方，官君達，李方玲</t>
  </si>
  <si>
    <t>日本における舌診思想の一考察（その1）(抄)</t>
  </si>
  <si>
    <t>20世紀初期韓医学の診療録に見る傷寒診療例の考察(抄)</t>
  </si>
  <si>
    <t>車雄碩</t>
  </si>
  <si>
    <t>江戸期在村医の製売薬―岡山県邑久郡中島家の関連文書の分析から―(抄)</t>
  </si>
  <si>
    <t>安藤昌益学派の『真斎漫筆』にみる乱神病(抄)</t>
  </si>
  <si>
    <t>奄美諸島の私宅監置と医介輔問題(抄)</t>
  </si>
  <si>
    <t>金川英雄，堀みゆき</t>
  </si>
  <si>
    <t>小林靖彦の資料研究―ミクロの視点から見た日本の精神医療の歴史―(抄)</t>
  </si>
  <si>
    <t>小林ひとみ</t>
  </si>
  <si>
    <t>日本の近代外科黎明期における胃癌手術(抄)</t>
  </si>
  <si>
    <t>県立福岡病院外科部における3年間（明治23年～25年）の手術について(抄)</t>
  </si>
  <si>
    <t>近代日本の「防疫の制度化」においてコレラ流行は「決定実験」となりえたか?(抄)</t>
  </si>
  <si>
    <t>大山卓昭</t>
  </si>
  <si>
    <t>中島友玄の閑谷并医学館入学諸事留―明治初年の医家継承事情―(抄)</t>
  </si>
  <si>
    <t>中島洋一</t>
  </si>
  <si>
    <t>浅田宗伯門人，藤田謙造の学統(抄)</t>
  </si>
  <si>
    <t>「医業」とは別のいとなみで―橋田邦彦の「医行」論―(抄)</t>
  </si>
  <si>
    <t>ハンセン病医学者・菅井竹吉の履歴，特に東京市養育院時代の事績について(抄)</t>
  </si>
  <si>
    <t>中国伝統医学と道教（第30回　「医道」と「医家」）(抄)</t>
  </si>
  <si>
    <t>茶と『神農本草経』について(抄)</t>
  </si>
  <si>
    <t>五味説新考(抄)</t>
  </si>
  <si>
    <t>傷寒論における「堅」と「鞭」と「卯」(抄)</t>
  </si>
  <si>
    <t>毒―中日の医家で解釈が異なる病因術語(抄)</t>
  </si>
  <si>
    <t>耳聾について(抄)</t>
  </si>
  <si>
    <t>肝臓にたいする認識の変遷―江戸から明治期にかけて―(抄)</t>
  </si>
  <si>
    <t>大道寺慶子</t>
  </si>
  <si>
    <t>綴合する4組の敦煌医薬巻子断簡について(抄)</t>
  </si>
  <si>
    <t>「千金方」の名称をめぐって(抄)</t>
  </si>
  <si>
    <t>矢数芳英，小曽戸洋</t>
  </si>
  <si>
    <t>『難経集注』について(抄)</t>
  </si>
  <si>
    <t>柳宗元疾病攷(抄)</t>
  </si>
  <si>
    <t>損至について(抄)</t>
  </si>
  <si>
    <t>田中利江子</t>
  </si>
  <si>
    <t>『外科理例』の鍼灸(抄)</t>
  </si>
  <si>
    <t>『素問』『霊枢』における三焦概念の変遷(抄)</t>
  </si>
  <si>
    <t>林孝信</t>
  </si>
  <si>
    <t>『僧深方』―『医心方』『外台秘要方』からの輯佚(抄)</t>
  </si>
  <si>
    <t>多田伊織</t>
  </si>
  <si>
    <t>『医心方』に記載されている九虫に関する考究(抄)</t>
  </si>
  <si>
    <t>牧純</t>
  </si>
  <si>
    <t>『殿暦』の鍼灸(抄)</t>
  </si>
  <si>
    <t>『文正草子』の中の身体に関わる表現(抄)</t>
  </si>
  <si>
    <t>『鍼灸要法』について(抄)</t>
  </si>
  <si>
    <t>231頁</t>
  </si>
  <si>
    <t>『一原三岐』について(抄)</t>
  </si>
  <si>
    <t>『鍼灸施治姓名禄』について―幕末の岡山県邑久郡周辺における鍼灸記録―(抄)</t>
  </si>
  <si>
    <t>松村紀明，中島洋一</t>
  </si>
  <si>
    <t>京都府立盲学校資料室所蔵の『杉山真伝流』関連写本類について(抄)</t>
  </si>
  <si>
    <t>大浦宏勝，市川友理</t>
  </si>
  <si>
    <t>『家伝預薬集』の研究(抄)</t>
  </si>
  <si>
    <t>鈴木達彦，砥上京子，森田まゆ</t>
  </si>
  <si>
    <t>青山道醇の『鍼灸備要』について(抄)</t>
  </si>
  <si>
    <t>236頁</t>
  </si>
  <si>
    <t>木内政章（原南陽・小野蘭山門人）の事蹟と学績(抄)</t>
  </si>
  <si>
    <t>『体雅』諸本10種の関係について(抄)</t>
  </si>
  <si>
    <t>国立国会図書館所蔵『体雅』について(抄)</t>
  </si>
  <si>
    <t>240頁</t>
  </si>
  <si>
    <t>東博所蔵の江戸医学館旧蔵書に関する検討(抄)</t>
  </si>
  <si>
    <t>天野陽介，小曽戸洋，町泉寿郎，星野卓之</t>
  </si>
  <si>
    <t>241頁</t>
  </si>
  <si>
    <t>江戸医学館蔵書集散の顛末(抄)</t>
  </si>
  <si>
    <t>小曽戸洋，天野陽介，町泉寿郎，星野卓之</t>
  </si>
  <si>
    <t>242頁</t>
  </si>
  <si>
    <t>解剖学の脱動物化―ガレノス解剖学の伝承と解剖学の変化―(抄)</t>
  </si>
  <si>
    <t>243頁</t>
  </si>
  <si>
    <t>クイーン・スクエア・ホスピタルの創設と発展(抄)</t>
  </si>
  <si>
    <t>244頁</t>
  </si>
  <si>
    <t>『百科全書医学篇』（明治7年文部省刊）とChambersの原本（1857年）について(抄)</t>
  </si>
  <si>
    <t>眼科顕微鏡開発史―カールツアイス社の開発経過について―(抄)</t>
  </si>
  <si>
    <t>246頁</t>
  </si>
  <si>
    <t>緒方洪庵と種痘―その人脈を探る―(抄)</t>
  </si>
  <si>
    <t>247頁</t>
  </si>
  <si>
    <t>森永正文</t>
  </si>
  <si>
    <t>ポンペ・ファン・メールデルフォールトの日本における西洋医学教育についての報告(抄)</t>
  </si>
  <si>
    <t>ポンペ・ファン・メールデルフォールトと牛痘種痘（第1報）(抄)</t>
  </si>
  <si>
    <t>250頁</t>
  </si>
  <si>
    <t>司馬凌海―日本人執刀最初の病理解剖(抄)</t>
  </si>
  <si>
    <t>髙橋昭</t>
  </si>
  <si>
    <t>251頁</t>
  </si>
  <si>
    <t>本木良意訳『阿蘭陀経路筋脈臓腑図解』をめぐる考察(抄)</t>
  </si>
  <si>
    <t>成瀬勝俊，片山昇，片山誠二郎</t>
  </si>
  <si>
    <t>253頁</t>
  </si>
  <si>
    <t>医術開業後期試験問題と済生学舎の臨床技能教育(抄)</t>
  </si>
  <si>
    <t>255頁</t>
  </si>
  <si>
    <t>塩田広重学長と「磯部検三日記」(抄)</t>
  </si>
  <si>
    <t>257頁</t>
  </si>
  <si>
    <t>医学校数推移の基礎資料としての文部省年報の統計について(抄)</t>
  </si>
  <si>
    <t>宋代の漢籍に見える『内経』経文(抄)</t>
  </si>
  <si>
    <t>岩田源太郎</t>
  </si>
  <si>
    <t>饗庭東庵『首書十四経』の鼇頭について(抄)</t>
  </si>
  <si>
    <t>261頁</t>
  </si>
  <si>
    <t>近年の北海道に於ける明治女医史研究と新知見(抄)</t>
  </si>
  <si>
    <t>医史学関係文献目録（平成20年，2008年）</t>
  </si>
  <si>
    <t>順天堂大学医史学研究室編</t>
  </si>
  <si>
    <t>Janice MATSUMURA</t>
  </si>
  <si>
    <t>第56巻第3号</t>
  </si>
  <si>
    <t>329-350頁</t>
  </si>
  <si>
    <t>京都大学整形外科学教室初代教授　松岡道治の事績，業績―第5報　松岡教授の教室員と受け入れ内地留学生―</t>
  </si>
  <si>
    <t>351-366頁</t>
  </si>
  <si>
    <t>初期紅毛流外科と儒医向井元升について</t>
  </si>
  <si>
    <t>367-385頁</t>
  </si>
  <si>
    <t>小児鍼の起源について―小児鍼師の誕生とその歴史的背景―</t>
  </si>
  <si>
    <t>長野仁，髙岡裕</t>
  </si>
  <si>
    <t>387-414頁</t>
  </si>
  <si>
    <t>岩手県金ヶ崎町(城内諏訪小路重要伝統的建造物群保存地区）より輩出せる明治女医2名</t>
  </si>
  <si>
    <t>415-426頁</t>
  </si>
  <si>
    <t>新出の平沢屏山のアイヌ種痘図に関する一考察―オムスク造形美術館所蔵の「種痘図」を巡って―</t>
  </si>
  <si>
    <t>427-436頁</t>
  </si>
  <si>
    <t>戦後の日本漢方医学界の展望―日本東洋医学会及び東亜医学協会を中心として―</t>
  </si>
  <si>
    <t>437-440頁</t>
  </si>
  <si>
    <t>大塚恭男先生の人と仕事</t>
  </si>
  <si>
    <t>441-448頁</t>
  </si>
  <si>
    <t>大塚恭男先生の思い出</t>
  </si>
  <si>
    <t>449-453頁</t>
  </si>
  <si>
    <t>日本医史学会月例会について</t>
  </si>
  <si>
    <t>母乳をめぐる自然概念の歴史的変遷(抄)</t>
  </si>
  <si>
    <t>456頁</t>
  </si>
  <si>
    <t>日本における金瘡治療の展開―白朝散を中心に―(抄)</t>
  </si>
  <si>
    <t>森田まゆ，鈴木達彦</t>
  </si>
  <si>
    <t>『資料集　日本の精神障害者（戦前篇）』編集にむけて(抄)</t>
  </si>
  <si>
    <t>459-461頁</t>
  </si>
  <si>
    <t>篠田達明著『日本史有名人の臨終図鑑』</t>
  </si>
  <si>
    <t>海原亮著『近世医療の社会史　知識・技術・情報』</t>
  </si>
  <si>
    <t>泉孝英著『外地の医学校』</t>
  </si>
  <si>
    <t>橋田邦彦における「医」の三要素</t>
  </si>
  <si>
    <t>第56巻第4号</t>
  </si>
  <si>
    <t>下関開業時代における岡研介の事績及び寄寓背景に関する考察―本州西端の海港に見る文政末蘭学医の展開―</t>
  </si>
  <si>
    <t>485-500頁</t>
  </si>
  <si>
    <t>渋江抽斉著『霊枢講義』所引「古抄本」について</t>
  </si>
  <si>
    <t>501-511頁</t>
  </si>
  <si>
    <t>『千金方』傷寒門所引の華佗方にみられる原始的な傷寒の治方</t>
  </si>
  <si>
    <t>遠藤次郎，鈴木達彦</t>
  </si>
  <si>
    <t>513-526頁</t>
  </si>
  <si>
    <t>橋田邦彦研究―ある「葬られた思想家」の生涯と思想―</t>
  </si>
  <si>
    <t>527-538頁</t>
  </si>
  <si>
    <t>池田文書の研究（38）</t>
  </si>
  <si>
    <t>539-548頁</t>
  </si>
  <si>
    <t>『断毒論』と『国字断毒論』，『翻訳断毒論』の比較―漢方医学の立場から―(抄)</t>
  </si>
  <si>
    <t>549-551頁</t>
  </si>
  <si>
    <t>549頁</t>
  </si>
  <si>
    <t>水谷惟紗久著『18世紀イギリスのデンティスト』</t>
  </si>
  <si>
    <t>篠田達明著『日本史有名人の臨終図鑑 2』</t>
  </si>
  <si>
    <t>小川浩司著『近代医学を切り拓いた人々』上巻・下巻</t>
  </si>
  <si>
    <t>梶谷光弘著『松江藩校の変遷と役割』</t>
  </si>
  <si>
    <t>吉良枝郎著『明治期におけるドイツ医学の受容と普及―東京大学医学部外史―』</t>
  </si>
  <si>
    <t>557-558頁</t>
  </si>
  <si>
    <t>ルース・リチャードソン著，矢野真千子訳『グレイ解剖学の誕生―二人のヘンリーの1858年―』</t>
  </si>
  <si>
    <t>日本医史学会会報46号</t>
  </si>
  <si>
    <t>572-600頁</t>
  </si>
  <si>
    <t>京都大学整形外科学教室初代教授　松岡道治の事績，業績―第6報　松岡の留学と教室の公開，診療および研究―</t>
  </si>
  <si>
    <t>2011年(平成23)</t>
  </si>
  <si>
    <t>第57巻第1号</t>
  </si>
  <si>
    <t>003-17頁</t>
  </si>
  <si>
    <t>19世紀における臨床医学書の進化</t>
  </si>
  <si>
    <t>019-37頁</t>
  </si>
  <si>
    <t>「脳為元神之府」をめぐって―李時珍から張錫純へ―</t>
  </si>
  <si>
    <t>奥野繁生</t>
  </si>
  <si>
    <t>『傷寒論』傷寒例に見られる四時正気の病と変成病の意義</t>
  </si>
  <si>
    <t>鈴木達彦，遠藤次郎</t>
  </si>
  <si>
    <t>051-61頁</t>
  </si>
  <si>
    <t>医学研究における被験者保護―倫理規程の歴史的展開を視点として―</t>
  </si>
  <si>
    <t>池田文書の研究（39）</t>
  </si>
  <si>
    <t>群馬メディカルセンター　地域医療資料館</t>
  </si>
  <si>
    <t>ライデンのシーボルト旧蔵の鍼灸関係資料について（抄）</t>
  </si>
  <si>
    <t>ヴィグル・マティアス</t>
  </si>
  <si>
    <t>日本独自の本草学の誕生について―17世紀後半の再考―（抄）</t>
  </si>
  <si>
    <t>085-86頁</t>
  </si>
  <si>
    <t>歯科医史学（歯科医学史）教育カリキュラム・プランニングの試み（抄）</t>
  </si>
  <si>
    <t>石井拓男，渋谷　鉱，西巻明彦</t>
  </si>
  <si>
    <t>大阪・道修町の製薬産業史の一端―イノベーション・セレンディピィティの視点から―（抄）</t>
  </si>
  <si>
    <t>松本和男</t>
  </si>
  <si>
    <t>牛海綿状脳症（BSE）の発生の経緯と対策（抄）</t>
  </si>
  <si>
    <t>小野寺節</t>
  </si>
  <si>
    <t>看護歴史研究におけるプランゲ文庫の意義（抄）</t>
  </si>
  <si>
    <t>小野蘭山没後二百年記念誌編集委員会編『小野蘭山』</t>
  </si>
  <si>
    <t>家本誠一著『黄帝内経素問訳注』・『黄帝内経霊枢訳注』</t>
  </si>
  <si>
    <t>橋本明編著『治療の場所と精神医療史』</t>
  </si>
  <si>
    <t>油井富雄著『現代に蘇る漢方医学界の巨星　浅田宗伯』</t>
  </si>
  <si>
    <t>松岡尚則，別府正志，中田英之，栗林秀樹</t>
  </si>
  <si>
    <t>096頁</t>
  </si>
  <si>
    <t>我が国の近代医学教育の源流―明治初期の公立医学校―（抄）</t>
  </si>
  <si>
    <t>第57巻第2号</t>
  </si>
  <si>
    <t>109-112頁</t>
  </si>
  <si>
    <t>大学令と大正昭和期の医師養成（抄）</t>
  </si>
  <si>
    <t>天野郁夫</t>
  </si>
  <si>
    <t>113-118頁</t>
  </si>
  <si>
    <t>江戸時代の医学教育（抄）</t>
  </si>
  <si>
    <t>海原亮</t>
  </si>
  <si>
    <t>明治期における私立医学校の医学教育（抄）</t>
  </si>
  <si>
    <t>志村俊郎</t>
  </si>
  <si>
    <t>戦時下における外地の医学教育（抄）</t>
  </si>
  <si>
    <t>泉孝英</t>
  </si>
  <si>
    <t>戦後における医学教育制度改革（抄）</t>
  </si>
  <si>
    <t>岩国市芦山家に所蔵される「婦人臓図」―東京大学本，千葉大学本との比較―（抄）</t>
  </si>
  <si>
    <t>本多錦吉郎による美術教育の為の解剖学書について（抄）</t>
  </si>
  <si>
    <t>辛亥革命までに刊行された中国語解剖学書・生理学書について（抄）</t>
  </si>
  <si>
    <t>渡辺純成</t>
  </si>
  <si>
    <t>近代日本の海外展開における第一歩としての日本人ペスト調査団海外派遣（抄）</t>
  </si>
  <si>
    <t>野口英世の横浜海港検疫所赴任の時期について（抄）</t>
  </si>
  <si>
    <t>井口乗海著「痘瘡及種痘論」による20世紀初頭の各国と日本の種痘法規について（抄）</t>
  </si>
  <si>
    <t>近代朝鮮における宣教医療と植民地医学―その類似点と相違点について―（抄）</t>
  </si>
  <si>
    <t>小田敏花</t>
  </si>
  <si>
    <t>衛生展覧会と中心感染説（抄）</t>
  </si>
  <si>
    <t>戦後占領期における性感染症―GHQ/SCAP文書にみる軟性下疳の流行―（抄）</t>
  </si>
  <si>
    <t>田中誠二，杉田　聡，丸井英二</t>
  </si>
  <si>
    <t>戦後沖縄の保健・医療行政　その5―本土復帰にともなう制度の「一体化」―（抄）</t>
  </si>
  <si>
    <t>江戸時代の婚姻と「癩」（抄）</t>
  </si>
  <si>
    <t>優生保護法における優生審査の実際にふれて（抄）</t>
  </si>
  <si>
    <t>戦前の「行旅病者救護所」（抄）</t>
  </si>
  <si>
    <t>戦後精神医療史の再検討（1）ライシャワー事件の読み方（抄）</t>
  </si>
  <si>
    <t>心臓刺激伝導系発見者・田原淳の顕彰（抄）</t>
  </si>
  <si>
    <t>須磨幸蔵，島田宗洋，島田達生</t>
  </si>
  <si>
    <t>長谷川泰論―済生学舎廃校宣言前後を中心に―（抄）</t>
  </si>
  <si>
    <t>殿﨑正明，唐沢信安，山本鼎，幸野健，志村俊郎</t>
  </si>
  <si>
    <t>長谷川泰の晩年の生活及び人生の苦悩と悟りについての手紙と詩文（抄）</t>
  </si>
  <si>
    <t>唐沢信安，志村俊郎，殿﨑正明，山本鼎，幸野健</t>
  </si>
  <si>
    <t>眼科手術における消毒法の変遷（抄）</t>
  </si>
  <si>
    <t>旧鈔本『難経集注』にみえる「持」の訓について（抄）</t>
  </si>
  <si>
    <t>宮川浩也，矢吹杏子，天野陽介</t>
  </si>
  <si>
    <t>『医心方提要』について（抄）</t>
  </si>
  <si>
    <t>小曽戸洋，天野陽介</t>
  </si>
  <si>
    <t>浅田宗伯門人の研究（抄）</t>
  </si>
  <si>
    <t>渡辺浩二</t>
  </si>
  <si>
    <t>『医学天正記』異本類の比較研究（第2報）（抄）</t>
  </si>
  <si>
    <t>天野陽介，小曽戸洋，町泉寿郎</t>
  </si>
  <si>
    <t>『素問』の早期版本について（抄）</t>
  </si>
  <si>
    <t>唐代『張仲景傷寒論』の検討（抄）</t>
  </si>
  <si>
    <t>楊歓</t>
  </si>
  <si>
    <t>唐代の散逸医書『古今録験方』から見た六朝期の散逸医書『僧深方』（抄）</t>
  </si>
  <si>
    <t>新発見の医書『江春記抜書』と田代三喜（抄）</t>
  </si>
  <si>
    <t>曹炳章著『中国医学大成総目提要』について（抄）</t>
  </si>
  <si>
    <t>聿修堂の蔵書目録について（抄）</t>
  </si>
  <si>
    <t>中泉行正博士と研医会図書館（抄）</t>
  </si>
  <si>
    <t>安部郁子</t>
  </si>
  <si>
    <t>UCSF図書館所蔵の福井済生館文書（抄）</t>
  </si>
  <si>
    <t>北里研究所に所蔵される三木栄作成の研究資料（抄）</t>
  </si>
  <si>
    <t>板野俊文</t>
  </si>
  <si>
    <t>18-19世紀ベトナム産肉桂の流通からみた東アジアの生薬交易（抄）</t>
  </si>
  <si>
    <t>岡田雅志，内野　花</t>
  </si>
  <si>
    <t>18，19世紀のフランスにおける鍼灸医学の受容について（抄）</t>
  </si>
  <si>
    <t>明治期における「杉山真伝流百法鍼術」の成立と変遷について（抄）</t>
  </si>
  <si>
    <t>秦伯未批校『医学見能』について（抄）</t>
  </si>
  <si>
    <t>和田東郭の腹診における表現について（抄）</t>
  </si>
  <si>
    <t>医学，数学，物理学におけるパラダイム転換―特に医学へのその概念の使用の問題について―（抄）</t>
  </si>
  <si>
    <t>イブン・ナフィス（Ibn Nafis）による肺循環の発見（抄）</t>
  </si>
  <si>
    <t>セント・バーソロミュー病院の創設と発展（抄）</t>
  </si>
  <si>
    <t>近世イギリスにおける偽医者の文化と演劇（抄）</t>
  </si>
  <si>
    <t>遠藤花子</t>
  </si>
  <si>
    <t>ブルックリンにおける医学教育（抄）</t>
  </si>
  <si>
    <t>GHQ/SCAP文書にみる戦後日本の歯科医学教育改革（抄）</t>
  </si>
  <si>
    <t>小川鼎三『医学の歴史』を教科書とする「薬学史」講義の試み（抄）</t>
  </si>
  <si>
    <t>松本良順と近代教育―『養生法』の開明性と近代教育への意義―（抄）</t>
  </si>
  <si>
    <t>田口喜久恵</t>
  </si>
  <si>
    <t>西南戦争と大阪陸軍臨時病院（抄）</t>
  </si>
  <si>
    <t>『高く尊き看護婦の使命』（昭和8年刊）にみる医師二木謙三の看護観（抄）</t>
  </si>
  <si>
    <t>私立東京看護婦学校の設立とその動向（抄）</t>
  </si>
  <si>
    <t>上坂良子，水田真由美，黒田裕子</t>
  </si>
  <si>
    <t>香月牛山『老人必用養草』（1716）にみる老人の保養観（抄）</t>
  </si>
  <si>
    <t>中村節子，平尾真智子</t>
  </si>
  <si>
    <t>ジャン・マルタン・シャルコーと神経障害性関節症（抄）</t>
  </si>
  <si>
    <t>新島襄の持病「リウマチズム」について（抄）</t>
  </si>
  <si>
    <t>布施田哲也</t>
  </si>
  <si>
    <t>橋本病の歴史―その始まりと冠名病名「橋本病」の定着過程―（抄）</t>
  </si>
  <si>
    <t>日本における静脈内注入療法の始まりから定着までの流れ（抄）</t>
  </si>
  <si>
    <t>岩原良晴</t>
  </si>
  <si>
    <t>日本最初のベルリン大学医学部卒業生・佐藤進について（抄）</t>
  </si>
  <si>
    <t>酒井シヅ，ヴォルフガング・ミヒェル</t>
  </si>
  <si>
    <t>ポンペ・ファン・メールデルフォールトと牛痘種痘（第2報）（抄）</t>
  </si>
  <si>
    <t>ポンペのオランダ語解剖学講義ノートの原典はボックの人体解剖学書と解剖図譜である（抄）</t>
  </si>
  <si>
    <t>相川忠臣，ハルメン ボイケルス，酒井シヅ</t>
  </si>
  <si>
    <t>フーフェラントの「医戒」と済生学舎の建学の精神について（抄）</t>
  </si>
  <si>
    <t>幸野健，唐沢信安，山本鼎，志村俊郎，殿﨑正明</t>
  </si>
  <si>
    <t>中国伝統医学と道教（第31回　道蔵）（抄）</t>
  </si>
  <si>
    <t>成瀬勝俊</t>
  </si>
  <si>
    <t>本居宣長記念館所蔵『諸疾目録回春病門次第』―本居宣長の医学への味岡三伯の影響―（抄）</t>
  </si>
  <si>
    <t>吉川澄美</t>
  </si>
  <si>
    <t>逆子の灸―至陰と張文仲―（抄）</t>
  </si>
  <si>
    <t>『啓廸集』の脈法（抄）</t>
  </si>
  <si>
    <t>『啓廸集』の鍼法と灸法（抄）</t>
  </si>
  <si>
    <t>『古今医統大全』の鍼灸について（抄）</t>
  </si>
  <si>
    <t>『灸譜』について（抄）</t>
  </si>
  <si>
    <t>『瘡瘍経験全書』の鍼灸（抄）</t>
  </si>
  <si>
    <t>研医会図書館所蔵の脈学書『切脈小言』について（抄）</t>
  </si>
  <si>
    <t>『医談抄』の鍼灸（抄）</t>
  </si>
  <si>
    <t>『牛山活套』の婦人部について（抄）</t>
  </si>
  <si>
    <t>山田恵美</t>
  </si>
  <si>
    <t>『新修本草』の薬名（項目名）について（抄）</t>
  </si>
  <si>
    <t>目付海防掛（蕃書調書総裁）大久保忠寛の「病幼院創立意見」安政4年（1857）について（抄）</t>
  </si>
  <si>
    <t>濃州郡上藩に於ける藩医事情（抄）</t>
  </si>
  <si>
    <t>中島友玄の患者の通院圏（抄）</t>
  </si>
  <si>
    <t>木下浩，中島洋一</t>
  </si>
  <si>
    <t>中島宗仙の阿蘭陀取油法について―文政2年宗仙長崎遊学時の写本―（抄）</t>
  </si>
  <si>
    <t>中島洋一，松村紀明</t>
  </si>
  <si>
    <t>明治17年の女子の医術開業試験受験許可について（抄）</t>
  </si>
  <si>
    <t>『浮世物語』の中の身体に関わる表現（抄）</t>
  </si>
  <si>
    <t>ジョン・ハンターとホーム家の人々〈3世代〉（抄）</t>
  </si>
  <si>
    <t>橋田邦彦における「格医」（抄）</t>
  </si>
  <si>
    <t>『史記』扁鵲倉公列伝の張守節注に見える引用経文（抄）</t>
  </si>
  <si>
    <t>『経絡正統』『引経口訣』について（抄）</t>
  </si>
  <si>
    <t>『灸法口訣指南』について（抄）</t>
  </si>
  <si>
    <t>橋本史代</t>
  </si>
  <si>
    <t>『（獅子流秘本）西村鍼灸秘録』について（抄）</t>
  </si>
  <si>
    <t>プランゲ文庫所蔵新聞にみられる「看護」に関する広告記事の分析―九州の場合―（抄）</t>
  </si>
  <si>
    <t>大阪の『人体問答』―明治8～12年刊行初等教育教科書における人体像―（抄）</t>
  </si>
  <si>
    <t>医史学関係文献目録（平成21年，2009年）</t>
  </si>
  <si>
    <t>219-263頁</t>
  </si>
  <si>
    <t>Was Citrulline First a Laxative Substance?: The Truth about Modern Citrulline and Its Isolation</t>
  </si>
  <si>
    <t>Konstantinos C. FRAGKOS，Alastair FORBES</t>
  </si>
  <si>
    <t>第57巻第3号</t>
  </si>
  <si>
    <t>275-292頁</t>
  </si>
  <si>
    <t>仏教文献『療痔病経』とその関連文献について</t>
  </si>
  <si>
    <t>山中行雄，山下勤，赤羽律，室屋安孝</t>
  </si>
  <si>
    <t>ニュージーランドの保健制度改革と日本の「つながり」―フレデリック・T・キングの1904年日本訪問とその影響―</t>
  </si>
  <si>
    <t>ジェームズ・ビーティー（James Beattie），及川　敬貴</t>
  </si>
  <si>
    <t>305-323頁</t>
  </si>
  <si>
    <t>19世紀ヨーロッパの鍼灸の受容におけるシーボルトと石坂宗哲の貢献について―シーボルト旧蔵の鍼灸関係資料の比較調査を中心に―</t>
  </si>
  <si>
    <t>ヴィグル・マティアス，町泉寿郎</t>
  </si>
  <si>
    <t>325-342頁</t>
  </si>
  <si>
    <t>弘前藩『御国日記』にみる乱心および自害</t>
  </si>
  <si>
    <t>343-350頁</t>
  </si>
  <si>
    <t>第54回医家先哲追薦会について</t>
  </si>
  <si>
    <t>351頁</t>
  </si>
  <si>
    <t>13世紀，イブン・ナフィス（Ibn Nafis）による肺循環の発見</t>
  </si>
  <si>
    <t>353-356頁</t>
  </si>
  <si>
    <t>池田文書の研究（40）</t>
  </si>
  <si>
    <t>357-366頁</t>
  </si>
  <si>
    <t>戦争のなかの精神障害者（抄）</t>
  </si>
  <si>
    <t>367-368頁</t>
  </si>
  <si>
    <t>元海軍軍医・野上八十八の「経歯的結核感染の研究」―加賀乙彦の自伝的小説『永遠の都』をテキストに―（抄）</t>
  </si>
  <si>
    <t>結核実態調査の戦後史における検討（抄）</t>
  </si>
  <si>
    <t>光明皇后の施薬院・悲田院と施浴伝説―看護史の視点からの考察―（抄）</t>
  </si>
  <si>
    <t>371-372頁</t>
  </si>
  <si>
    <t>黒羽根洋司著『病者の心を心として―庄内の医人たち―』</t>
  </si>
  <si>
    <t>373-374頁</t>
  </si>
  <si>
    <t>深瀬泰旦著『小児科学の史的変遷』</t>
  </si>
  <si>
    <t>七木田文彦</t>
  </si>
  <si>
    <t>七木田文彦著『健康教育教科「保健科」成立の政策形成―均質的健康空間の生成―』</t>
  </si>
  <si>
    <t>鈴木七美・藤原久仁子・岩佐光広編著『高齢者のウェルビーイングとライフデザインの協働』</t>
  </si>
  <si>
    <t>小田泰子著『スペイン風邪流行とその時代―東北地方と第二師団での流行を中心に―』</t>
  </si>
  <si>
    <t>汪正仁著『東洋医学の真髄』</t>
  </si>
  <si>
    <t>天野陽介</t>
  </si>
  <si>
    <t>Gabor Lukacs: Extensive Marginalia in Old Japanese Medical Books</t>
  </si>
  <si>
    <t>381-382頁</t>
  </si>
  <si>
    <t>秦温信著『北辰の如く』</t>
  </si>
  <si>
    <t>382-384頁</t>
  </si>
  <si>
    <t>荒井保男著『日本近代医学の黎明(あけぼの)―横浜医療事始め―』</t>
  </si>
  <si>
    <t>麻布大学（編）『獣医資料館寄贈選定図書目録』</t>
  </si>
  <si>
    <t>385頁</t>
  </si>
  <si>
    <t>阪上正信著『蘭学者 川本幸民の「化学新書」解読・実験の手引き』</t>
  </si>
  <si>
    <t>東日本大震災で被災した文化財資料救済にご協力を</t>
  </si>
  <si>
    <t>一般社団法人日本医史学会の登記完了のお知らせ</t>
  </si>
  <si>
    <t>一般社団法人日本医史学会　定款</t>
  </si>
  <si>
    <t>391-399頁</t>
  </si>
  <si>
    <t>京都大学整形外科学教室初代教授　松岡道治の事績，業績―第7報　松岡道治の学歴：小学校から大学院まで―</t>
  </si>
  <si>
    <t>第57巻第4号</t>
  </si>
  <si>
    <t>403-418頁</t>
  </si>
  <si>
    <t>1850～70年代における医療情報の伝達・普及―欧米と日本の皮下注射法に関する情報を中心に―</t>
  </si>
  <si>
    <t>419-431頁</t>
  </si>
  <si>
    <t>マルチン・ルターの病歴</t>
  </si>
  <si>
    <t>433-449頁</t>
  </si>
  <si>
    <t>近代ギリシャの学術誌『ヘルメス・オ・ロギオス』に見られる医学研究</t>
  </si>
  <si>
    <t>451-454頁</t>
  </si>
  <si>
    <t>ガレノス『身体諸部分の用途について』第1巻の解題と翻訳</t>
  </si>
  <si>
    <t>455-481頁</t>
  </si>
  <si>
    <t>池田文書の研究（41）</t>
  </si>
  <si>
    <t>483-492頁</t>
  </si>
  <si>
    <t>精神科医・小林靖彦（1919-2007）が遺した精神医療史資料の意義を考える（抄）</t>
  </si>
  <si>
    <t>森本武利編著，酒井謙一訳『京都療病院お雇い医師ショイベ―滞日書簡から―』</t>
  </si>
  <si>
    <t>495-496頁</t>
  </si>
  <si>
    <t>青柳精一著『近代医療のあけぼの―幕末・明治の医事制度―』</t>
  </si>
  <si>
    <t>497-499頁</t>
  </si>
  <si>
    <t>吉元昭治著『老荘とその周辺古代―中国医学の源流および道家・道教との関り―』</t>
  </si>
  <si>
    <t>岡田靖雄著『吹き来る風に―精神科の臨床・社会・歴史―』</t>
  </si>
  <si>
    <t>計良吉則，酒井シヅ</t>
  </si>
  <si>
    <t>2012年(平成24)</t>
  </si>
  <si>
    <t>第58巻第1号</t>
  </si>
  <si>
    <t>003-14頁</t>
  </si>
  <si>
    <t>015-28頁</t>
  </si>
  <si>
    <t>辰巳洋，丸井英二</t>
  </si>
  <si>
    <t>仏教文献『療痔病経』の背景について</t>
  </si>
  <si>
    <t>039-51頁</t>
  </si>
  <si>
    <t>保坂義雄</t>
  </si>
  <si>
    <t>059-65頁</t>
  </si>
  <si>
    <t>文献にみる砥石―医療器械の研磨に使用された砥石―</t>
  </si>
  <si>
    <t>髙岡真美</t>
  </si>
  <si>
    <t>067-74頁</t>
  </si>
  <si>
    <t>華岡鹿城末裔所蔵の「華岡門人録」について（1）</t>
  </si>
  <si>
    <t>075-84頁</t>
  </si>
  <si>
    <t>フランス人医師ヴィダルの報告「日本の温泉」</t>
  </si>
  <si>
    <t>池田文書の研究（42）</t>
  </si>
  <si>
    <t>093-102頁</t>
  </si>
  <si>
    <t>お玉ヶ池種痘所あれこれ（抄）</t>
  </si>
  <si>
    <t>103頁</t>
  </si>
  <si>
    <t>切手で辿る薬学の歴史（抄）</t>
  </si>
  <si>
    <t>平林敏彦</t>
  </si>
  <si>
    <t>田中幸子</t>
  </si>
  <si>
    <t>『口歯類要』における口歯の意味的考察（抄）</t>
  </si>
  <si>
    <t>新たに判明した忠犬ハチ公の死因について（抄）</t>
  </si>
  <si>
    <t>中山裕之</t>
  </si>
  <si>
    <t>横田陽子著『技術からみた日本衛生行政史』</t>
  </si>
  <si>
    <t>青木歳幸編『小城の医学と地域医療―病をいやす―』</t>
  </si>
  <si>
    <t>宝月理恵著『近代日本における衛生の展開と受容』</t>
  </si>
  <si>
    <t>田口喜久恵著『近代教育黎明期における健康教育の研究』</t>
  </si>
  <si>
    <t>小高健著『日本近代医学史』</t>
  </si>
  <si>
    <t>寺野彰</t>
  </si>
  <si>
    <t>第58巻第2号</t>
  </si>
  <si>
    <t>「転機」を超え，今に生きる医史を（抄）</t>
  </si>
  <si>
    <t>小出五郎</t>
  </si>
  <si>
    <t>看護のあゆみ―トレインドナース 大関和―（抄）</t>
  </si>
  <si>
    <t>石﨑家の医療史（抄）</t>
  </si>
  <si>
    <t>石﨑道治</t>
  </si>
  <si>
    <t>中野正人</t>
  </si>
  <si>
    <t>感染症と闘った医師たち―塩谷地区の例から―（抄）</t>
  </si>
  <si>
    <t>岡一雄</t>
  </si>
  <si>
    <t>女性看護師の初穂―壬生養生局からトレインドナース大関和―（抄）</t>
  </si>
  <si>
    <t>栃木県歯科事情―栃木県歯科医師会創立まで―（抄）</t>
  </si>
  <si>
    <t>牟田紀一</t>
  </si>
  <si>
    <t>145-146頁</t>
  </si>
  <si>
    <t>江戸幕府と日光の医療（抄）</t>
  </si>
  <si>
    <t>江戸後期の岡山県邑久郡周辺における地域医療研究―中島家文書をもとに―（抄）</t>
  </si>
  <si>
    <t>松村紀明，木下浩，梶谷真司，鈴木則子</t>
  </si>
  <si>
    <t>中島友玄の京遊備忘　其の一―京都での文人・儒者との交流―（抄）</t>
  </si>
  <si>
    <t>中島家蔵書資料について（抄）</t>
  </si>
  <si>
    <t>清水信子</t>
  </si>
  <si>
    <t>アブー・バクル・アッ＝ラージー（ラーゼス）のガレノス批判（抄）</t>
  </si>
  <si>
    <t>Ibn Nafisは人体解剖をしたか?（抄）</t>
  </si>
  <si>
    <t>ガスパール・ボアンの人体構造の記述における命名法と分類法（抄）</t>
  </si>
  <si>
    <t>17世紀における筋運動の原理の探求―ニコラウス・ステノによる筋の幾何学的記述―（抄）</t>
  </si>
  <si>
    <t>ブールハーフェ（1668～1738）の『箴言』における疾患概念について（抄）</t>
  </si>
  <si>
    <t>チアジド系利尿剤の副作用の歴史―配合利尿剤の副作用の経験から―（抄）</t>
  </si>
  <si>
    <t>ミドルセクス病院・医学校の軌跡（抄）</t>
  </si>
  <si>
    <t>ボツリヌス治療の原点―ドイツ人医師J・ケルナーによる190年前の予見―（抄）</t>
  </si>
  <si>
    <t>満洲語西欧薬品使用マニュアル『西洋薬書』について（抄）</t>
  </si>
  <si>
    <t>シェイクスピアの時代の薬剤師と『ロミオとジュリエット』（抄）</t>
  </si>
  <si>
    <t>緒方洪庵と適塾に宿るフーフェラントの精神―日独交流150周年をふりかえって―（抄）</t>
  </si>
  <si>
    <t>鈴木重統</t>
  </si>
  <si>
    <t>南蛮渡来のポルトガル医療が，江戸時代の医学に与えた影響について（抄）</t>
  </si>
  <si>
    <t>葉山美知子</t>
  </si>
  <si>
    <t>緒方惟準による解剖学講義ノートについて（抄）</t>
  </si>
  <si>
    <t>済生学舎廃校宣言に到るまでの長谷川泰に対する山県有朋の政治的圧力（抄）</t>
  </si>
  <si>
    <t>小金井良精と長谷川泰（抄）</t>
  </si>
  <si>
    <t>幸野健，唐沢信安，殿﨑正明，山本鼎，志村俊郎</t>
  </si>
  <si>
    <t>廃校寸前となった日本医学専門学校の学校騒動への山県有朋・入沢達吉等の圧力（抄）</t>
  </si>
  <si>
    <t>山本鼎，唐沢信安，殿﨑正明，幸野健，志村俊郎</t>
  </si>
  <si>
    <t>女医丸茂むねの一生と明治期の女子医学生達の教育（抄）</t>
  </si>
  <si>
    <t>佐藤精一郎と東京医学院（抄）</t>
  </si>
  <si>
    <t>妙鍼流からの影響を色濃く示す新資料『杉山流伝法地巻』（抄）</t>
  </si>
  <si>
    <t>『橘窓書影続編』の所在と『橘窓書影』編纂過程について（抄）</t>
  </si>
  <si>
    <t>後世方派の刊行著作数について（抄）</t>
  </si>
  <si>
    <t>『福田方』の鍼灸（抄）</t>
  </si>
  <si>
    <t>曲直瀬道三の‘運気論’研究（抄）</t>
  </si>
  <si>
    <t>曲直瀬玄朔自筆処方集の研究（抄）</t>
  </si>
  <si>
    <t>曲直瀬玄朔の医書出版―『医学正伝』について―（抄）</t>
  </si>
  <si>
    <t>天野陽介，小曽戸洋</t>
  </si>
  <si>
    <t>曲直瀬道三の『鍼灸集要』について（抄）</t>
  </si>
  <si>
    <t>中国伝統医学と道教（第32回　道教医学の歴史）（抄）</t>
  </si>
  <si>
    <t>江戸時代の「被膜胎」をめぐる社会文化（抄）</t>
  </si>
  <si>
    <t>『留真譜』の医部について（抄）</t>
  </si>
  <si>
    <t>本居宣長『送藤文輿還肥序』における『黄帝内経』関連用語の分析（抄）</t>
  </si>
  <si>
    <t>中国鍼灸歌賦について（抄）</t>
  </si>
  <si>
    <t>『万病回春病因指南』の成立過程と構成（抄）</t>
  </si>
  <si>
    <t>渡部栄輝</t>
  </si>
  <si>
    <t>近世後期の秋田院内銀山における医療環境―『門屋養安日記』を手がかりとして―（抄）</t>
  </si>
  <si>
    <t>藤本大士</t>
  </si>
  <si>
    <t>『家庭衛生及び治病』（大正4年刊）にみる高木兼寛の医療観（抄）</t>
  </si>
  <si>
    <t>『看病手引歌』（文政10年刊）にみる仏教思想に基づく看護（抄）</t>
  </si>
  <si>
    <t>平尾真智子，中村節子</t>
  </si>
  <si>
    <t>日本初の女性看病人誕生の背景―戊辰戦争時壬生の看病人―（抄）</t>
  </si>
  <si>
    <t>日下修一</t>
  </si>
  <si>
    <t>欧米諸国の看護婦の紹介記録の歴史を辿る―幕末から明治初年―（抄）</t>
  </si>
  <si>
    <t>第二次世界大戦における日本赤十字社救護看護婦の活動―ビルマ派遣の救護班に焦点を当てて―（抄）</t>
  </si>
  <si>
    <t>川原由佳里</t>
  </si>
  <si>
    <t>近代看護婦は終末期看護をどうとらえていたか（第1報）―8人が著した看護書から―（抄）</t>
  </si>
  <si>
    <t>上坂良子，水田真由美，松本知子</t>
  </si>
  <si>
    <t>昭和22年刊「公衆衛生叢書全7輯」について（抄）</t>
  </si>
  <si>
    <t>占領期の日本におけるGHQ/SCAP/PHWの組織と職員の変遷に関する考察（抄）</t>
  </si>
  <si>
    <t>杉田聡，田中誠二，丸井英二</t>
  </si>
  <si>
    <t>戦後精神医療史の再検討（2）　精神障害者家族会の盛衰（抄）</t>
  </si>
  <si>
    <t>戦後占領期における天然痘の流行と対策（抄）</t>
  </si>
  <si>
    <t>田中誠二，杉田聡，丸井英二</t>
  </si>
  <si>
    <t>「東京府下死亡一週表」等の新資料にみる明治中期東京の週（月）・年齢・地区別死亡（抄）</t>
  </si>
  <si>
    <t>信濃衛生会発行による月刊『信濃衛生』について（抄）</t>
  </si>
  <si>
    <t>湯本敦子</t>
  </si>
  <si>
    <t>日露戦争期の広島予備病院の患者を取り巻く環境―本院と分院の比較―（抄）</t>
  </si>
  <si>
    <t>坂村八恵，岡本裕子，隅田寛，千田武志</t>
  </si>
  <si>
    <t>渡辺清絵日記に見る明治期の農村の医療衛生事情（抄）</t>
  </si>
  <si>
    <t>岡一雄，戸村光宏</t>
  </si>
  <si>
    <t>新出の写本「遁花秘訣」（山岸本）について―白鳥雄蔵，板垣利斎，そして津軽との接点―（抄）</t>
  </si>
  <si>
    <t>野田光蔵と『満洲植物誌』（抄）</t>
  </si>
  <si>
    <t>眼科手術器具の変遷について（抄）</t>
  </si>
  <si>
    <t>明治初期日本における医療情報の移入と伝達―西南戦争と皮下注射法の普及―（抄）</t>
  </si>
  <si>
    <t>高松凌雲（1836～1916）が創立した「同愛社」について（抄）</t>
  </si>
  <si>
    <t>大久保忠寛の「病幼院創立意見」（安政4年）と東京府病院（明治6～14年）について（抄）</t>
  </si>
  <si>
    <t>稲松孝思，松下正明</t>
  </si>
  <si>
    <t>福島甲種医学校助教諭 村地研三『裁判医学』講義中の精神病学（抄）</t>
  </si>
  <si>
    <t>釜山済生医院（抄）</t>
  </si>
  <si>
    <t>鶴見三三教授と国際聯盟保健委員会報告（抄）</t>
  </si>
  <si>
    <t>黄疸出血性レプトスピラの発見により，ノーベル賞候補に推薦された井戸　泰（1881～1919）（抄）</t>
  </si>
  <si>
    <t>郡上の植疱瘡（抄）</t>
  </si>
  <si>
    <t>「解体新書」扉絵を画かせた人物をめぐって（抄）</t>
  </si>
  <si>
    <t>オットー・モーニッケの教えた最新の西洋医学（抄）</t>
  </si>
  <si>
    <t>幕末在村医と天然痘―栃木県塩谷町道下村青木家文書から―（抄）</t>
  </si>
  <si>
    <t>戸村光宏，岡一雄</t>
  </si>
  <si>
    <t>奥田謙蔵の家譜の調査（抄）</t>
  </si>
  <si>
    <t>松岡尚則，栗林秀樹，別府正志，山口秀敏，中田英之，岩井祐泉， 並木隆雄，秋葉哲生，牧角和宏，三浦於菟</t>
  </si>
  <si>
    <t>華岡青洲14種の膏薬と李靖十二辰陣（抄）</t>
  </si>
  <si>
    <t>鈴木達彦，足立理絵子</t>
  </si>
  <si>
    <t>麻沸湯論―世界で最初の臨床麻酔の教科書は日本で著された！（抄）</t>
  </si>
  <si>
    <t>土手健太郎，長櫓巧</t>
  </si>
  <si>
    <t>『金匱要略』大黄黄連瀉心湯条における「心気不足」に関する考証（抄）</t>
  </si>
  <si>
    <t>荘明仁</t>
  </si>
  <si>
    <t>「温疫論」と伝染概念（抄）</t>
  </si>
  <si>
    <t>陽虚としての盗汗について（抄）</t>
  </si>
  <si>
    <t>紹興本『素問』と王継先（抄）</t>
  </si>
  <si>
    <t>研医会図書館所蔵の森立之稿本『千金方疏証』（抄）</t>
  </si>
  <si>
    <t>幻の宋版『孫真人玉函方』―金沢文庫旧蔵本（抄）</t>
  </si>
  <si>
    <t>小曽戸洋，長野仁，星野卓之，天野陽介</t>
  </si>
  <si>
    <t>熊慶笏の著作について（抄）</t>
  </si>
  <si>
    <t>劉完素と『西山記』（抄）</t>
  </si>
  <si>
    <t>『診脈口伝集』の脈法（抄）</t>
  </si>
  <si>
    <t>『古今医統大全』の鍼灸について（第2報）（抄）</t>
  </si>
  <si>
    <t>『鍼灸資生経』の引用文献について（抄）</t>
  </si>
  <si>
    <t>足立美穂</t>
  </si>
  <si>
    <t>『骨度正誤図説』について（抄）</t>
  </si>
  <si>
    <t>『かなめいし』の中の身体に関する語（抄）</t>
  </si>
  <si>
    <t>神農伝説成立の経緯の考察（抄）</t>
  </si>
  <si>
    <t>『経穴密語集』について（抄）</t>
  </si>
  <si>
    <t>『意心流百病指南』について（抄）</t>
  </si>
  <si>
    <t>『天中記』に見える医経の引用について（抄）</t>
  </si>
  <si>
    <t>『隧穴啓蒙』について（抄）</t>
  </si>
  <si>
    <t>『外科百効全書』の鍼灸（抄）</t>
  </si>
  <si>
    <t>医史学関係文献目録（平成22年，2010年）</t>
  </si>
  <si>
    <t>245-293頁</t>
  </si>
  <si>
    <t>お玉ヶ池種痘所の設立に参加した上山藩医奥山玄仲</t>
  </si>
  <si>
    <t>第58巻第3号</t>
  </si>
  <si>
    <t>301-308頁</t>
  </si>
  <si>
    <t>イブン・ナフィースの血液理論再考</t>
  </si>
  <si>
    <t>エフェドリンの歴史―歴史遺産と現代社会への影響―</t>
  </si>
  <si>
    <t>321-329頁</t>
  </si>
  <si>
    <t>「哺乳瓶の子」それとも「おっぱいの子」?―20世紀ドイツにおける乳児保護，乳児の栄養状態と乳児死亡―</t>
  </si>
  <si>
    <t>イェルク・フェーゲレ，訳：梅原秀元</t>
  </si>
  <si>
    <t>『史記』倉公伝における医学理論の検討</t>
  </si>
  <si>
    <t>345-356頁</t>
  </si>
  <si>
    <t>ブールハーフェ（1668～1738）の『医学教程』</t>
  </si>
  <si>
    <t>357-372頁</t>
  </si>
  <si>
    <t>晩年の存覚と『看病用心鈔』の書写</t>
  </si>
  <si>
    <t>373-383頁</t>
  </si>
  <si>
    <t>ガレノスと古代ギリシア・ローマ医学史研究の現在―ガレノス『解剖学論集』の刊行によせて―</t>
  </si>
  <si>
    <t>385-388頁</t>
  </si>
  <si>
    <t>適塾記念会緒方洪庵全集編集委員会編『緒方洪庵全集』第一巻・第二巻（『扶氏経験遺訓』上下）―刊行によせて―</t>
  </si>
  <si>
    <t>389-392頁</t>
  </si>
  <si>
    <t>京都大学整形外科学教室初代教授松岡道治の生い立ち</t>
  </si>
  <si>
    <t>393-400頁</t>
  </si>
  <si>
    <t>華岡鹿城末裔所蔵の「華岡門人録」について（2）</t>
  </si>
  <si>
    <t>401-409頁</t>
  </si>
  <si>
    <t>池田文書の研究（43）</t>
  </si>
  <si>
    <t>411-420頁</t>
  </si>
  <si>
    <t>東京・青山霊園ハルツホルン（Henry Hartshorne：華爾都保崙；乞治呵倫）の墓</t>
  </si>
  <si>
    <t>421頁</t>
  </si>
  <si>
    <t>先輩たちの筆跡</t>
  </si>
  <si>
    <t>新村拓著『国民皆保険の時代―一九六〇，七〇年代の生活と医療―』</t>
  </si>
  <si>
    <t>香月牛山原著，中村節子翻刻・訳注『老人必用養草―老いを楽しむ江戸の知恵―』</t>
  </si>
  <si>
    <t>坂井建雄編『日本医学教育史』</t>
  </si>
  <si>
    <t>神津忠彦</t>
  </si>
  <si>
    <t>桑原正彦</t>
  </si>
  <si>
    <t>489-490頁</t>
  </si>
  <si>
    <t>第58巻第4号</t>
  </si>
  <si>
    <t>日本における食塩水皮下注入から静脈内持続点滴注入法の定着までの歩み</t>
  </si>
  <si>
    <t>437-455頁</t>
  </si>
  <si>
    <t>明治初期日本における医療情報の伝達―西南戦争・コレラと皮下注射法の普及―</t>
  </si>
  <si>
    <t>上山藩医 奥山玄育と荻野元凱</t>
  </si>
  <si>
    <t>471-484頁</t>
  </si>
  <si>
    <t>富士川游先生のこと（抄）</t>
  </si>
  <si>
    <t>485-486頁</t>
  </si>
  <si>
    <t>富士川英郎と日本医史学</t>
  </si>
  <si>
    <t>富士川義之</t>
  </si>
  <si>
    <t>487-488頁</t>
  </si>
  <si>
    <t>京都大学附属図書館「富士川文庫」と安藤昌益研究</t>
  </si>
  <si>
    <t>石渡博明</t>
  </si>
  <si>
    <t>華岡鹿城末裔所蔵の「華岡門人録」について（3）</t>
  </si>
  <si>
    <t>493-501頁</t>
  </si>
  <si>
    <t>池田文書の研究（44）</t>
  </si>
  <si>
    <t>503-512頁</t>
  </si>
  <si>
    <t>第20回日韓東洋医学シンポジウム</t>
  </si>
  <si>
    <t>松岡尚則，頼建守，山口秀敏，笛木司，並木隆雄</t>
  </si>
  <si>
    <t>太田由佳著『松岡恕庵本草学の研究』</t>
  </si>
  <si>
    <t>517頁</t>
  </si>
  <si>
    <t>橋本明著『精神病者と私宅監置―近代日本精神医療史の基礎的研究―』</t>
  </si>
  <si>
    <t>518頁</t>
  </si>
  <si>
    <t>521頁</t>
  </si>
  <si>
    <t>Psychiatry in the Land of Suicide:Medicalization of Self-killing in Early Twentieth-Century Japan</t>
  </si>
  <si>
    <t>Akihito SUZUKI</t>
  </si>
  <si>
    <t>2013年(平成25)</t>
  </si>
  <si>
    <t>第59巻第1号</t>
  </si>
  <si>
    <t>003-15頁</t>
    <phoneticPr fontId="1"/>
  </si>
  <si>
    <t>江戸医学館における臨床教育</t>
  </si>
  <si>
    <t>017-33頁</t>
  </si>
  <si>
    <t>明治期健康思想と社会・国家意識</t>
  </si>
  <si>
    <t>035-55頁</t>
  </si>
  <si>
    <t>戦後日本の医療映画・ドラマに見られる医者像の概観</t>
  </si>
  <si>
    <t>台中の「宮原眼科医院」から「宮原眼科アイスクリーム」への歩み</t>
  </si>
  <si>
    <t>075-82頁</t>
  </si>
  <si>
    <t>Ibn al-Nafis は解剖をしたか?</t>
  </si>
  <si>
    <t>083-86頁</t>
  </si>
  <si>
    <t>京都大学整形外科学教室初代教授松岡道治の人間関係</t>
  </si>
  <si>
    <t>087-95頁</t>
  </si>
  <si>
    <t>華岡鹿城末裔所蔵の「華岡門人録」について（4）</t>
  </si>
  <si>
    <t>097-104頁</t>
  </si>
  <si>
    <t>池田文書の研究（45）</t>
  </si>
  <si>
    <t>105-114頁</t>
  </si>
  <si>
    <t>ガレノス『身体諸部分の用途について』第2巻の翻訳</t>
  </si>
  <si>
    <t>115-136頁</t>
  </si>
  <si>
    <t>MRの歴史―日本最初のプロパー誕生から百年―（抄）</t>
  </si>
  <si>
    <t>西川隆</t>
  </si>
  <si>
    <t>口蹄疫の歴史―その流行と防疫の変遷，現在の課題―（抄）</t>
  </si>
  <si>
    <t>杉浦勝明</t>
  </si>
  <si>
    <t>第二次世界大戦におけるビルマの兵站病院と日本赤十字社救護班（抄）</t>
  </si>
  <si>
    <t>C.J.S.トンプソン著（川満富裕 訳）『手術器械の歴史』</t>
  </si>
  <si>
    <t>藤倉一郎著『瀉血の話』</t>
  </si>
  <si>
    <t>末永恵子編『新聞にみる福島の医療』</t>
  </si>
  <si>
    <t>19世紀初頭の日本における痘瘡対策（抄）</t>
  </si>
  <si>
    <t>第59巻第2号</t>
  </si>
  <si>
    <t>外的表象としての史料―医史学における批判地図学の応用可能性について―（抄）</t>
  </si>
  <si>
    <t>鈴木晃志郎</t>
  </si>
  <si>
    <t>164-170頁</t>
  </si>
  <si>
    <t>漢方医学の特質（抄）</t>
  </si>
  <si>
    <t>171-174頁</t>
  </si>
  <si>
    <t>19世紀の武士社会と医学・歯科医学をめぐって―『武士の家計簿』からみた医薬消費―（抄）</t>
  </si>
  <si>
    <t>磯田道史</t>
  </si>
  <si>
    <t>江戸時代の病い（抄）</t>
  </si>
  <si>
    <t>近代医学・薬学発祥史（抄）</t>
  </si>
  <si>
    <t>辰野美紀</t>
  </si>
  <si>
    <t>明治期の日本における入浴に対する認識の変容（抄）</t>
  </si>
  <si>
    <t>フランス領インドシナのベトナム北部における「産婆」の活用（抄）</t>
  </si>
  <si>
    <t>江戸時代の産科手術―回生術の展開と受容をめぐって―（抄）</t>
  </si>
  <si>
    <t>過去33年間（1980～2012）に報道機関紙（誌）が取り上げた歯科医療事故について（抄）</t>
  </si>
  <si>
    <t>華岡直道の外科の師岩永氏と華岡青洲の外科の師岩永氏について（抄）</t>
  </si>
  <si>
    <t>乃木希典大将の総義歯と上顎石膏模型（抄）</t>
  </si>
  <si>
    <t>ジョージ・ワシントンと曲亭馬琴の義歯の比較（抄）</t>
  </si>
  <si>
    <t>ピエール・フォシャール著『歯科外科医』第2版に見られる歯肉疾患，その2（抄）</t>
  </si>
  <si>
    <t>髙山直秀</t>
  </si>
  <si>
    <t>富士川游と昭和前期の思潮―1930年代後半を中心に―（抄）</t>
  </si>
  <si>
    <t>大川周明と進行麻痺（抄）</t>
  </si>
  <si>
    <t>精神衛生法制定以前に廃院となった私立精神病院―鵜森と鷺の湯のケース・スタディ―（抄）</t>
  </si>
  <si>
    <t>ウィッティントン病院の設立（抄）</t>
  </si>
  <si>
    <t>岡山県邑久郡中島家資料にみる蘭学関係書について（抄）</t>
  </si>
  <si>
    <t>酒井シヅ、中島洋一</t>
  </si>
  <si>
    <t>『胎産新書』諸本について―中島家所蔵本を中心に―（抄）</t>
  </si>
  <si>
    <t>中島家にある「解体新書」とその書き込みからわかること（抄）</t>
  </si>
  <si>
    <t>板野俊文、中島洋一</t>
  </si>
  <si>
    <t>公害・労働災害・医害の精神医学的側面―戦後精神科医療史覚え書き（その1）―（抄）</t>
  </si>
  <si>
    <t>本邦において正統の整形外科学を確立した神中正一（1890-1953）（その一）（抄）</t>
  </si>
  <si>
    <t>九州大学医学部・日本甲状腺学会共催「橋本病百周年記念事業」報告（抄）</t>
  </si>
  <si>
    <t>外科起廃図譜―世界で最初の全身麻酔の図譜は日本で著された！―（抄）</t>
  </si>
  <si>
    <t>土手健太郎、長櫓巧</t>
  </si>
  <si>
    <t>眼科手術用メスの開発経過について（抄）</t>
  </si>
  <si>
    <t>トマス・シデナム（1624-1689）の『処方集約Processus integri』（抄）</t>
  </si>
  <si>
    <t>レオナルド・ダ・ヴィンチの解剖手稿KP162rの制作プロセス（抄）</t>
  </si>
  <si>
    <t>16世紀におけるガレノス解剖学の受容の多様性（抄）</t>
  </si>
  <si>
    <t>Leiden大学に所蔵されるレメリン解剖書2書と『和蘭全躯内外分合図』について（抄）</t>
  </si>
  <si>
    <t>ポンぺの講義録，外科手術篇の原典はディーフェンバッハの『外科手術学』である（抄）</t>
  </si>
  <si>
    <t>近代中国におけるpancreasの受容について（抄）</t>
  </si>
  <si>
    <t>営衛と両焦―三焦概念の変遷についての考察―（抄）</t>
  </si>
  <si>
    <t>『診切枢要』の脈法（抄）</t>
  </si>
  <si>
    <t>「下竄」について（抄）</t>
  </si>
  <si>
    <t>「口乾」と「口渇」について（抄）</t>
  </si>
  <si>
    <t>江戸時代における毒の言説と病：『養生訓』の事例をもとに（抄）</t>
  </si>
  <si>
    <t>天応穴について（抄）</t>
  </si>
  <si>
    <t>「三人図」について（抄）</t>
  </si>
  <si>
    <t>杉山流鍼治御用学問所の由来を記した『杉山先生御伝記』の調査研究（抄）</t>
  </si>
  <si>
    <t>『高等鍼灸学講義』の「鍼治学・灸治学」について（抄）</t>
  </si>
  <si>
    <t>歯科充填材料の発展（抄）</t>
  </si>
  <si>
    <t>日本大学歯学会機関誌の発行と変遷について（抄）</t>
  </si>
  <si>
    <t>工藤逸郎、三宅正彦、見崎徹、小室歳信、若松佳子、下山哲夫、会田卓久、松江高光、小田泰之、関根光治、和田雅彦、武田秋生、岩成進吉</t>
  </si>
  <si>
    <t>日本歯科口腔科学会創立総会議事録について―学会名称に関する議事を中心に―（抄）</t>
  </si>
  <si>
    <t>北宋の医官教育と医書出版（抄）</t>
  </si>
  <si>
    <t>『幼幼新書』宋版巻38と明抄本巻38との比較（抄）</t>
  </si>
  <si>
    <t>川端かおり</t>
  </si>
  <si>
    <t>『御製本草品彙精要』編纂の序幕―『孝宗実録』弘治16年8月9日の条をめぐって―（抄）</t>
  </si>
  <si>
    <t>土屋悠子</t>
  </si>
  <si>
    <t>新出の『素女妙論』写本二種について（抄）</t>
  </si>
  <si>
    <t>『医心方』巻三における引用書の配列についての考察（抄）</t>
  </si>
  <si>
    <t>島山奈緒子</t>
  </si>
  <si>
    <t>『万安方』所引の『可用方』について（抄）</t>
  </si>
  <si>
    <t>『内経抜書』（内閣文庫所蔵）と『内経病機撮要』（森嶋玄勝訓釈）の比較（抄）</t>
  </si>
  <si>
    <t>『病名纂』について（抄）</t>
  </si>
  <si>
    <t>『体雅』の編纂と諸本の関連（抄）</t>
  </si>
  <si>
    <t>研医会図書館所蔵の林用之稿本『辛酉漫録』（抄）</t>
  </si>
  <si>
    <t>中国本草の中心地について（抄）</t>
  </si>
  <si>
    <t>田代三喜の察証弁治における刻と牛八の意義（抄）</t>
  </si>
  <si>
    <t>『医学天正記』に記された人物たちの治験録とその時代背景（抄）</t>
  </si>
  <si>
    <t>脈学における曲直瀬道三の業績（抄）</t>
  </si>
  <si>
    <t>秦宗巴（1550-1607）に関する新知見（抄）</t>
  </si>
  <si>
    <t>曲直瀬玄朔の門人について（抄）</t>
  </si>
  <si>
    <t>古方派黎明期における張仲景関連書の扱い（抄）</t>
  </si>
  <si>
    <t>松岡尚則、別府正志、並木隆雄、山口秀敏、中田英之、頼建守、笛木司、安部郁子、岩井祐泉、牧角和宏、秋葉哲生</t>
  </si>
  <si>
    <t>防長の医家四熊家および浅山家の旧蔵書資料について（抄）</t>
  </si>
  <si>
    <t>下張り文書から垣間みた今泉元甫（抄）</t>
  </si>
  <si>
    <t>鈴木友和</t>
  </si>
  <si>
    <t>高松凌雲訳“保嬰新書　舌帯之説の章"について（抄）</t>
  </si>
  <si>
    <t>福本雅文、池田貴裕、田中晃伸</t>
  </si>
  <si>
    <t>『回回薬方』の鍼灸門について（抄）</t>
  </si>
  <si>
    <t>『古今医統大全』の鍼灸について（第3報）（抄）</t>
  </si>
  <si>
    <t>小林繁、倉沢良典、上瀉口武</t>
  </si>
  <si>
    <t>日本医科大学初代学長中原徳太郎について（抄）</t>
  </si>
  <si>
    <t>殿﨑正明、唐沢信安、山本鼎、幸野健、志村俊郎</t>
  </si>
  <si>
    <t>学生騒動で存亡のかかった日本医学専門学校における評議委員会の果たした役割（抄）</t>
  </si>
  <si>
    <t>山本鼎、唐沢信安、志村俊郎、幸野健、殿﨑正明</t>
  </si>
  <si>
    <t>占領期の特設旧制高校，東洋高等学校（理科乙類）（2）（抄）</t>
  </si>
  <si>
    <t>永藤欣久</t>
  </si>
  <si>
    <t>東京医科歯科大学歯学部解剖学教室が収蔵するゾウの頭蓋骨について（抄）</t>
  </si>
  <si>
    <t>秋本和宏、阿部達彦</t>
  </si>
  <si>
    <t>一井正典・生誕150周年―維新の若きサムライ―（抄）</t>
  </si>
  <si>
    <t>阿部達彦、秋本和宏</t>
  </si>
  <si>
    <t>王朝文学時代の歯科医療～その2（抄）</t>
  </si>
  <si>
    <t>サメの歯と天狗（抄）</t>
  </si>
  <si>
    <t>松山知明</t>
  </si>
  <si>
    <t>明治18年に東京府が実施した郡区医採用試験について（抄）</t>
  </si>
  <si>
    <t>公益法人改革の結果（1）―戦前からの法人の消長―（抄）</t>
  </si>
  <si>
    <t>医療宣教師“John C. Berry"がめざした医学校設立運動について（抄）</t>
  </si>
  <si>
    <t>佐藤ゆかり</t>
  </si>
  <si>
    <t>稲松孝思、松下正明</t>
  </si>
  <si>
    <t>パリにおける医学史関連史跡・博物館の現況（抄）</t>
  </si>
  <si>
    <t>牧野洋</t>
  </si>
  <si>
    <t>歯科医院があった街角―近代都市景観の構成要素としての歯科医院の変遷を追って―（抄）</t>
  </si>
  <si>
    <t>本学の学生・教職員を対象とした「歯科医学歴史散歩」について（抄）</t>
  </si>
  <si>
    <t>石橋肇、那須郁夫、渋谷鉱</t>
  </si>
  <si>
    <t>道教と中国伝統医学（第33回 道教医学の歴史─2）（抄）</t>
  </si>
  <si>
    <t>古代中国における名医伝の系譜（抄）</t>
  </si>
  <si>
    <t>近世後期の秋田藩による医療政策の展開（抄）</t>
  </si>
  <si>
    <t>濃州郡上城下『医師成願之事』（抄）</t>
  </si>
  <si>
    <t>270頁</t>
  </si>
  <si>
    <t>江戸後期における病気見舞と医療情報交換について（抄）</t>
  </si>
  <si>
    <t>ウィリアム・エヴァン・ヤング</t>
  </si>
  <si>
    <t>271頁</t>
  </si>
  <si>
    <t>『八丈島年代記』からみた疫病・疱瘡の歴史（抄）</t>
  </si>
  <si>
    <t>幕末の佐賀藩が所有していたオランダ語の医学書（抄）</t>
  </si>
  <si>
    <t>華岡青洲に宛てた杉田玄白書簡　続報（抄）</t>
  </si>
  <si>
    <t>長谷川弥</t>
  </si>
  <si>
    <t>服部宗賢（1752～1820）文書の研究（抄）</t>
  </si>
  <si>
    <t>明治・大正期の『家政学』出版書にみる終末期の看取り観（抄）</t>
  </si>
  <si>
    <t>上坂良子、水田真由美、窪島領子</t>
  </si>
  <si>
    <t>緒方洪庵『虎狼痢治準』（安政5年）にみるコレラの看護法（抄）</t>
  </si>
  <si>
    <t>アトピー性皮膚炎の「ア」と阿弥陀仏の「阿」は同じ意味である（抄）</t>
  </si>
  <si>
    <t>藤岡彰、藤岡和美</t>
  </si>
  <si>
    <t>戦前・占領期を含む沖縄の平均寿命の年齢構造―水島生命表，琉球政府生命表を用いて―（抄）</t>
  </si>
  <si>
    <t>279頁</t>
  </si>
  <si>
    <t>ペスト菌（PX）撒布による「細菌戦」戦果の実相―「陸軍軍医学校防疫研究報告」掲載の高橋正彦論文から―（抄）</t>
  </si>
  <si>
    <t>占領期の日本脳炎対策に関するGHQ/SCAP/PHWの活動についての考察（抄）</t>
  </si>
  <si>
    <t>杉田聡、田中誠二、丸井英二</t>
  </si>
  <si>
    <t>冠動脈；Ibn NafisからJennerまで（抄）</t>
  </si>
  <si>
    <t>東京市における明治女医の臨床研修病院（抄）</t>
  </si>
  <si>
    <t>出雲岩崎家所蔵の古医書（抄）</t>
  </si>
  <si>
    <t>284頁</t>
  </si>
  <si>
    <t>『針別伝奥義之次第』について（抄）</t>
  </si>
  <si>
    <t>歴代漢方処方集の比較検討（第1報）（抄）</t>
  </si>
  <si>
    <t>286頁</t>
  </si>
  <si>
    <t>西鶴作品にみる身体に関する語（一）（抄）</t>
  </si>
  <si>
    <t>287頁</t>
  </si>
  <si>
    <t>金沢文庫旧蔵の医薬書（抄）</t>
  </si>
  <si>
    <t>『類証弁異全九集』の鍼灸条文（抄）</t>
  </si>
  <si>
    <t>橋田邦彦の音楽論（抄）</t>
  </si>
  <si>
    <t>佐々木（勝井）恵子</t>
  </si>
  <si>
    <t>医業類似行為者について（抄）</t>
  </si>
  <si>
    <t>清野充典</t>
  </si>
  <si>
    <t>『骨度正穴考図』について（抄）</t>
  </si>
  <si>
    <t>足利学校遺蹟図書館所蔵の医薬書（抄）</t>
  </si>
  <si>
    <t>『類説』に見える医経の引用について（抄）</t>
  </si>
  <si>
    <t>慶長古活字版『重編医経小学』の鍼灸歌賦について（抄）</t>
  </si>
  <si>
    <t>『医心方』における当帰の応用（抄）</t>
  </si>
  <si>
    <t>296頁</t>
  </si>
  <si>
    <t>『鍼法秘伝鈔』について（抄）</t>
  </si>
  <si>
    <t>297頁</t>
  </si>
  <si>
    <t>服部甫庵編『医官要編』と浅田宗伯（抄）</t>
  </si>
  <si>
    <t>298頁</t>
  </si>
  <si>
    <t>華佗の治療にみる夾脊穴の運用（抄）</t>
  </si>
  <si>
    <t>周防一平、小曽戸洋、天野陽介</t>
  </si>
  <si>
    <t>299頁</t>
  </si>
  <si>
    <t>医史学関係文献目録（平成23年，2011年）</t>
  </si>
  <si>
    <t>306-358頁</t>
  </si>
  <si>
    <t>近代日本における精神科作業療法の歴史的考察―榊俶を中心に―</t>
  </si>
  <si>
    <t>日下部修</t>
  </si>
  <si>
    <t>第59巻第3号</t>
  </si>
  <si>
    <t>365-377頁</t>
  </si>
  <si>
    <t>マラリア予防教育映画「翼もつ熱病」とその変遷―第二次世界大戦後の彦根市におけるマラリア対策―</t>
  </si>
  <si>
    <t>田中誠二、杉田聡、丸井英二</t>
  </si>
  <si>
    <t>379-389頁</t>
  </si>
  <si>
    <t>明治最初の翻訳看護書の原著解明と看護史上の意義―田代基徳閲・岡田宗訳『看病心得草』（明治7年）―</t>
  </si>
  <si>
    <t>391-405頁</t>
  </si>
  <si>
    <t>聞き取りあれこれ（抄）</t>
  </si>
  <si>
    <t>407-410頁</t>
  </si>
  <si>
    <t>方法としての聞き取り（抄）</t>
  </si>
  <si>
    <t>411-414頁</t>
  </si>
  <si>
    <t>聞き取りの効用（抄）</t>
  </si>
  <si>
    <t>法医学と検死の歴史</t>
  </si>
  <si>
    <t>石原憲治</t>
  </si>
  <si>
    <t>419-424頁</t>
  </si>
  <si>
    <t>華岡青洲（3代随賢）末裔（本家）所蔵の国別門人録について（1）</t>
  </si>
  <si>
    <t>425-440頁</t>
  </si>
  <si>
    <t>池田文書の研究（46）</t>
  </si>
  <si>
    <t>441-450頁</t>
  </si>
  <si>
    <t>大正11年制定，昭和2年施行の健康保険法についての一考察―関東大震災と医療体制史を含めて―</t>
  </si>
  <si>
    <t>日本における精神科医療・医学史研究の歩み（その1）―戦前</t>
  </si>
  <si>
    <t>八丈島の疱瘡史</t>
  </si>
  <si>
    <t>陶烈と日本医学界</t>
  </si>
  <si>
    <t>藤田梨那</t>
  </si>
  <si>
    <t>多賀須幸男著『医者たちの跫音―日本医家の苦労話―』</t>
  </si>
  <si>
    <t>財団法人日本国際医学協会編『黎明期の日本近代医学・薬学：日独交流150周年記念出版』</t>
  </si>
  <si>
    <t>459頁</t>
  </si>
  <si>
    <t>田中智子著『近代日本高等教育体制の黎明：交錯する地域と国とキリスト教界』</t>
  </si>
  <si>
    <t>460頁</t>
  </si>
  <si>
    <t>長谷川泰と慶応義塾―福沢諭吉との接点を中心に―</t>
  </si>
  <si>
    <t>志村俊郎、都倉武之</t>
  </si>
  <si>
    <t>第59巻第4号</t>
  </si>
  <si>
    <t>469-485頁</t>
  </si>
  <si>
    <t>ゼンネルト（1572-1637）の生涯と業績</t>
  </si>
  <si>
    <t>487-502頁</t>
  </si>
  <si>
    <t>Patents as a Source for the History of Medicine: The Example of the Japanese Medical Instrument Industry, 1885-1937</t>
  </si>
  <si>
    <t>Pierre-Yves DONZE</t>
  </si>
  <si>
    <t>503-515頁</t>
  </si>
  <si>
    <t>華岡青洲の春林軒膏薬と李靖十二辰陣</t>
  </si>
  <si>
    <t>517-532頁</t>
  </si>
  <si>
    <t>明治初期日本における西洋解剖学的人体像の民衆への普及―1875～7（明治8-10）年刊行「人体問答」書掲載の内臓図―</t>
  </si>
  <si>
    <t>533-546頁</t>
  </si>
  <si>
    <t>「治療と絶滅」から「過去との対話と改革」へ―20世紀ドイツ精神医療史―</t>
  </si>
  <si>
    <t>梅原秀元、ハンス-ヴァルター・シュムール</t>
  </si>
  <si>
    <t>547-563頁</t>
  </si>
  <si>
    <t>イギリス・マンチェスターで開催された第24回国際科学史・技術史・医学史会議（iCHSTM: International Congress of the History of Science, Technology and Medicine in Manchester）参加報告</t>
  </si>
  <si>
    <t>565-569頁</t>
  </si>
  <si>
    <t>華岡青洲（3代随賢）末裔（本家）所蔵の国別門人録について（2）</t>
  </si>
  <si>
    <t>571-585頁</t>
  </si>
  <si>
    <t>ゼンネルト（1572-1637）の書誌</t>
  </si>
  <si>
    <t>587-610頁</t>
  </si>
  <si>
    <t>池田文書の研究（47）</t>
  </si>
  <si>
    <t>611-620頁</t>
  </si>
  <si>
    <t>小堀桂一郎著『森鷗外　日本はまだ普請中だ』</t>
  </si>
  <si>
    <t>621-623頁</t>
  </si>
  <si>
    <t>621頁</t>
  </si>
  <si>
    <t>佐藤雅浩著『精神疾患言説の歴史社会学―「心の病」はなぜ流行するのか―』</t>
  </si>
  <si>
    <t>623-625頁</t>
  </si>
  <si>
    <t>京都橘大学女性歴史文化研究所編『医療の社会史―生・老・病・死』</t>
  </si>
  <si>
    <t>625-626頁</t>
  </si>
  <si>
    <t>Bay, Alexander R.:“Beriberi in Modern Japan: The Making of a National Disease"（ベイ『近代日本における脚気：国民病の形成』）</t>
  </si>
  <si>
    <t>625頁</t>
  </si>
  <si>
    <t>片桐一男著『蘭学家老　鷹見泉石の来翰を読む　―蘭学篇―』</t>
  </si>
  <si>
    <t>http://jsmh.umin.jp/index.html</t>
    <phoneticPr fontId="1"/>
  </si>
  <si>
    <t>一般社団法人 日本医史学会</t>
  </si>
  <si>
    <t>J A P A N E S E     S O C I E T Y    F O R    T H E    H I S T O R Y    O F    M E D I C I N E</t>
  </si>
  <si>
    <t>(社) 日本医史学会</t>
  </si>
  <si>
    <t>〒113-8421　東京都文京区本郷2-1-1、順天堂大学医学部医史学研究室内</t>
  </si>
  <si>
    <t>TEL: (03) 5802-1052           TEL/FAX: (03) 3813-1592</t>
  </si>
  <si>
    <t>jsmh@juntendo.ac.jp</t>
  </si>
  <si>
    <t>NIHON ISHIGAKU ZASSHI, Current Issue:</t>
  </si>
  <si>
    <t>Webリンク　＊緑色はファイルを開くまで多少の時間あり</t>
    <rPh sb="8" eb="10">
      <t>ミドリイロ</t>
    </rPh>
    <rPh sb="16" eb="17">
      <t>ヒラ</t>
    </rPh>
    <rPh sb="20" eb="22">
      <t>タショウ</t>
    </rPh>
    <rPh sb="23" eb="25">
      <t>ジカン</t>
    </rPh>
    <phoneticPr fontId="1"/>
  </si>
  <si>
    <t>注意：　ファイルを開く時に、以下のような注意が出ますが、ＯＫを押して下さい</t>
    <rPh sb="0" eb="2">
      <t>チュウイ</t>
    </rPh>
    <rPh sb="9" eb="10">
      <t>ヒラ</t>
    </rPh>
    <rPh sb="11" eb="12">
      <t>トキ</t>
    </rPh>
    <rPh sb="14" eb="16">
      <t>イカ</t>
    </rPh>
    <rPh sb="20" eb="22">
      <t>チュウイ</t>
    </rPh>
    <rPh sb="23" eb="24">
      <t>デ</t>
    </rPh>
    <rPh sb="31" eb="32">
      <t>オ</t>
    </rPh>
    <rPh sb="34" eb="35">
      <t>クダ</t>
    </rPh>
    <phoneticPr fontId="1"/>
  </si>
  <si>
    <t>『素問』『霊枢』中の「滑」「濇」について（抄）</t>
  </si>
  <si>
    <t>【検索】は、CTRL　＋　F</t>
    <rPh sb="1" eb="3">
      <t>ケンサク</t>
    </rPh>
    <phoneticPr fontId="1"/>
  </si>
  <si>
    <t>または</t>
    <phoneticPr fontId="1"/>
  </si>
  <si>
    <t>【オートフィルター機能】でデータを抽出</t>
    <rPh sb="9" eb="11">
      <t>キノウ</t>
    </rPh>
    <rPh sb="17" eb="19">
      <t>チュウシュツ</t>
    </rPh>
    <phoneticPr fontId="1"/>
  </si>
  <si>
    <t>医史学会役員・総会予告</t>
  </si>
  <si>
    <t>奇楼（ゲール）管考</t>
  </si>
  <si>
    <t>例会記事・明治前日本医学史刊行の計画</t>
  </si>
  <si>
    <t>堺県医学校と校長森鼻宗次</t>
  </si>
  <si>
    <t>関西支部近況</t>
  </si>
  <si>
    <t>明治初期の日本の医学（第13回日本医学会課題報告要旨）</t>
  </si>
  <si>
    <t>第１４回国際医医史学会会議開催・新指定の医史学関係文化財・「江戸期前日本医事法制の研究」出版</t>
  </si>
  <si>
    <t>和蘭医話の研究（1）</t>
  </si>
  <si>
    <t>医史学講座設置校一覧</t>
  </si>
  <si>
    <t>日本医学総会予告（1）</t>
  </si>
  <si>
    <t>長浜善夫</t>
  </si>
  <si>
    <t>雑報　１</t>
  </si>
  <si>
    <t>山崎博士出版祝賀会・小川教授壮行会・国宝「太秦経」現状変更決定・日本医学会総会準備打合せ・東大に医史学講座開講</t>
  </si>
  <si>
    <t>古代印度の僧団生活に於ける個人衛生について</t>
  </si>
  <si>
    <t>雑報　２</t>
  </si>
  <si>
    <t>第５６回日本医史学会総会</t>
  </si>
  <si>
    <t>第56回日本医史学会総会講演要旨</t>
  </si>
  <si>
    <t>和蘭医話の研究（2）</t>
  </si>
  <si>
    <t>敦煌本食療本草に対する文献学的研究（1）</t>
  </si>
  <si>
    <t>北宗の５蔵模型発見・幕府旧蔵の蘭書出現（12）</t>
  </si>
  <si>
    <t>永富独嘯庵の師蘭陵禅師</t>
  </si>
  <si>
    <t>和蘭医話の研究（3）</t>
  </si>
  <si>
    <t>日本中世古版医書年表（1）</t>
  </si>
  <si>
    <t>わが国における医学教育の歴史</t>
  </si>
  <si>
    <t>朝鮮医育史</t>
  </si>
  <si>
    <t>清涼寺釈迦像に収められた五蔵の研究</t>
  </si>
  <si>
    <t>中神琴渓の精神病の治療</t>
  </si>
  <si>
    <t>日本中世古版医書年表（二）</t>
  </si>
  <si>
    <t>敦煌本食療本草に対する文献学的研究（二）</t>
  </si>
  <si>
    <t>第十四回国際医史学大会に列して</t>
  </si>
  <si>
    <t>医学史料展観二つ、医学に関する美術資料展、富士川本の展観</t>
  </si>
  <si>
    <t>総会議事・役員推挙.ソ連医史学者来朝</t>
  </si>
  <si>
    <t>中神琴渓の精神病の治療に就て</t>
  </si>
  <si>
    <t>偽書「薬経太素」と和気広世</t>
  </si>
  <si>
    <t>日本における膵臓の認識（予報）</t>
  </si>
  <si>
    <t>禹余糧小考</t>
  </si>
  <si>
    <t>イルザ・ヴェース女史の近況</t>
  </si>
  <si>
    <t>「童子経」と「救療小児疾病経」にみられる鬼神について</t>
  </si>
  <si>
    <t>「臓画」</t>
  </si>
  <si>
    <t>大槻玄沢著「西賓対晤」に関する研究</t>
  </si>
  <si>
    <t>『童子経』と『救療経』にみられる鬼神について</t>
  </si>
  <si>
    <t>初代曲直瀬道三の書翰及び九世道三自筆方函について</t>
  </si>
  <si>
    <t>「砂虱療治方」と「恙毒治方考」について</t>
  </si>
  <si>
    <t>谷津三雄　佐藤巌</t>
  </si>
  <si>
    <t>湊長安の「丹【せい】堂随口任筆」について</t>
  </si>
  <si>
    <t>陸軍衛生材料廠で行った民間医科器械の委託検査制度について</t>
  </si>
  <si>
    <t>鴎外の史伝「渋江抽斎」の校勘記（完）</t>
  </si>
  <si>
    <t>瑞方面山の「経行軌聞解」</t>
  </si>
  <si>
    <t>戸塚柳渓と静甫（静海より兄柳斎への手紙）</t>
  </si>
  <si>
    <t>戸塚静海より兄柳斎宛の書簡の紹介　二</t>
  </si>
  <si>
    <t>宇田川榕庵の植学独語</t>
  </si>
  <si>
    <t>宇田川榕庵と遠西医方名物考</t>
  </si>
  <si>
    <t>徳島県における漢方医存続運動について</t>
  </si>
  <si>
    <t>「植学独語」から見た宇田川榕庵</t>
  </si>
  <si>
    <t>吉益東洞と賀川玄悦－鎮帯産椅の禁をぐって－</t>
  </si>
  <si>
    <t>堕胎と産児調節の歴史</t>
  </si>
  <si>
    <t>マラッカ海峡地方における最初の麻酔(抄)</t>
  </si>
  <si>
    <t>森鴎外の北遊記に見える軍医八木沢正雄</t>
  </si>
  <si>
    <t>吉益東洞顕彰碑除墓式が行われる</t>
  </si>
  <si>
    <t>宇田川榛斎の「遠西医范」と「医范提綱」</t>
  </si>
  <si>
    <t>呪禁師及び按摩師について（上）</t>
  </si>
  <si>
    <t>呪禁師及び按摩師について（下）－日本古代医療史の研究（２）</t>
  </si>
  <si>
    <t>藤野恒三郎著「日本近代医学の歩み」</t>
  </si>
  <si>
    <t>地蔵三部経と民衆の治病希求</t>
  </si>
  <si>
    <t>宇田川榛斎著「内外要論」について</t>
  </si>
  <si>
    <t>シーボルトの「江戸参府紀行」について</t>
  </si>
  <si>
    <t>古経「治禅病秘要法」とそれが我国の精神医療に及ぼした影響について</t>
  </si>
  <si>
    <t>宇田川榕庵の著者に見られる呼吸及び酸素に関する記載</t>
  </si>
  <si>
    <t>鎮守府医師と大宰府医師について－日本古代医療史の研究（４）</t>
  </si>
  <si>
    <t>明治２９年の東京医学専門学校済生学舎規則</t>
  </si>
  <si>
    <t>吉岡弥生について、映画゛道ひとすじに゛</t>
  </si>
  <si>
    <t>江戸時代の鉱山病にかんする一資料『済生卑言』について</t>
  </si>
  <si>
    <t>日本細菌学史の中の長与専斎</t>
  </si>
  <si>
    <t>神農本経が神農本草経か―『本草経集注』復元への一つの寄与―</t>
  </si>
  <si>
    <t>黄檗僧了翁禅師と錦袋円</t>
  </si>
  <si>
    <t>熊谷謙斎『生々堂実験稿』から</t>
  </si>
  <si>
    <t>賀川玄悦先生没後２００年記念事業について</t>
  </si>
  <si>
    <t>瘍科秘録にみられる痔瘻手術の復元</t>
  </si>
  <si>
    <t>医療保障史における済生会の役割</t>
  </si>
  <si>
    <t>宇田川榕庵の著書に見られるガス代謝の記載</t>
  </si>
  <si>
    <t>御薗意斎の系譜</t>
  </si>
  <si>
    <t>宇田川榕庵の著書に見られるガス代謝の記載（Ⅱ）</t>
  </si>
  <si>
    <t>桑田立斎の蝦夷人種痘事業</t>
  </si>
  <si>
    <t>華岡青州門人中村逸斎肖像画―高橋由一・明治１５年作―紹介</t>
  </si>
  <si>
    <t>「静海上府懐日記」について</t>
  </si>
  <si>
    <t>静海上府懐日記（一）</t>
  </si>
  <si>
    <t>松本寛吾（海上随鷗門人）について(抄)</t>
  </si>
  <si>
    <t>The Professonalisation of Medicine in England and Europe:the state,the market and industrial society</t>
  </si>
  <si>
    <t xml:space="preserve">論文抄録　Rabaut-Pommier, a Neglected Precursor of Jenner, by Jean Theodorides: Medical History 23:479, 1979 </t>
  </si>
  <si>
    <t>『千金方』と其の作者孫思邈に関する史的考察</t>
  </si>
  <si>
    <t>弘前藩医桐山正哲と天明元年の第一回躋寿館薬品会</t>
  </si>
  <si>
    <t>羽田回</t>
  </si>
  <si>
    <t>湯本求真先生顕彰碑建立趣意書</t>
  </si>
  <si>
    <t>馬王堆出土の帛書『足臂十一脈灸経』札記（一）</t>
  </si>
  <si>
    <t>馬王堆出土の帛書『足臂十一脈灸経』説書礼記（二）</t>
  </si>
  <si>
    <t>“Psychiatry" of Paracelsus</t>
  </si>
  <si>
    <t>鷗外の友人・賀古鶴所について(抄)</t>
  </si>
  <si>
    <t>沢井清</t>
  </si>
  <si>
    <t>ドイツ医学採用前後の別な事情（二）―主にPublic Record Office, Londonの資料よりの引例―(抄)</t>
  </si>
  <si>
    <t>丁若鏞の医学思想について(抄)</t>
  </si>
  <si>
    <t>The History of Acupuncture in the West: Exoticism, Esoterism and Opposition to Cartesian Rationalism, Complementarity to the Occidental Medical System</t>
  </si>
  <si>
    <t>本居宣長の医学と国学(抄)</t>
  </si>
  <si>
    <t>“延喜式巻第三十七典薬寮"解釈の一試み(抄)</t>
  </si>
  <si>
    <t>嵆康『養生論』の一考察(抄)</t>
  </si>
  <si>
    <t>金沢豊治</t>
  </si>
  <si>
    <t>欽明朝に来日したイラン系の医師王有㥄陀について(抄)</t>
  </si>
  <si>
    <t>抄録　ペニシリンの歴史の新しい展開 New Light on the History of Penicillin Roland Hare): Medical History 26:1-24, 1982</t>
  </si>
  <si>
    <t>呉秀三・森鷗外の統計研究に寄せて</t>
  </si>
  <si>
    <t>Keizo SUDA, Masao SOEKAWA</t>
  </si>
  <si>
    <t>川島真人、村上玄児、今永正樹</t>
  </si>
  <si>
    <t>日本に於ける朱丹渓学説の受容について(抄)</t>
  </si>
  <si>
    <t>安井広廸</t>
  </si>
  <si>
    <t>森納・安藤文雄著『因伯杏林碑誌集釈』</t>
  </si>
  <si>
    <t>欽明朝に来日した百済の医師王有㥄陀について</t>
  </si>
  <si>
    <t>“John Hunter" The Founder of Pathological Anatomy and Experimental Surgery</t>
  </si>
  <si>
    <t>川島真人、今永正樹、武吉攻、村上玄児</t>
  </si>
  <si>
    <t>中国における“医は仁術"の思想と史的変遷(抄)</t>
  </si>
  <si>
    <t>中条帯刀と中条流産科</t>
  </si>
  <si>
    <t>尾本涼海について(抄)</t>
  </si>
  <si>
    <t>江戸医学館の考試弁書『癩癇狂弁』について（第一報）―当時の精神病学説をみる―</t>
  </si>
  <si>
    <t>明治初年の東京大学医学部「方函」（一）</t>
  </si>
  <si>
    <t>島田保久、谷沢尚一</t>
  </si>
  <si>
    <t>梶原性全と中条流の膣坐薬、その独創性について(抄)</t>
  </si>
  <si>
    <t>明治初年の東京大学医学部「方函」（二）</t>
  </si>
  <si>
    <t>“Dutch Medical Biography; A Biographical Dictionary of Dutch Physicians and Surgeons"1475-1975</t>
  </si>
  <si>
    <t>『神宮医方史』こぼれ話(抄)</t>
  </si>
  <si>
    <t>日本医学校と女性医師の先駆者たち―日之出会の人びと(抄)</t>
  </si>
  <si>
    <t>黒沢嘉幸</t>
  </si>
  <si>
    <t>五十嵐汶水編の民間産科指導書『安産仙翕邦言教喩』について総括(抄)</t>
  </si>
  <si>
    <t>ビダール（沕多児・Jean Paul Isidore Vidal 1830～1896）の生涯と業績(抄)</t>
  </si>
  <si>
    <t>第一次大戦土岐の英米“ショック委員会"とその周辺(抄)</t>
  </si>
  <si>
    <t>ジョン・スノーとその麻酔科学の業績―とくにその著書 “On the inhalation of the vapour of ether in surgical operations"について(抄)</t>
  </si>
  <si>
    <t>関於『医心方』所引古文献条数的核実―答薮内清教授―</t>
  </si>
  <si>
    <t>“A Short History of Medicine" の著者Charles SingerとAshworth Underwood(抄)</t>
  </si>
  <si>
    <t>岩崎鉄志</t>
  </si>
  <si>
    <t>Melancholie, Acedia und Studenten-Apathie―einige geschichtliche Aspekte der Melancholie―</t>
  </si>
  <si>
    <t>前野良沢と『解体新書』(抄)</t>
  </si>
  <si>
    <t>大槻玄沢『蘭畹摘芳』について(抄)</t>
  </si>
  <si>
    <t>酒井恒訳編『ターヘル・アナトミア解体新書』</t>
  </si>
  <si>
    <t>桧木田辰彦</t>
  </si>
  <si>
    <t>『福田方』の小児諸病証論について(抄)</t>
  </si>
  <si>
    <t>沢野啓一</t>
  </si>
  <si>
    <t>岩崎潅園のシーボルト関係手稿</t>
  </si>
  <si>
    <t>広島支部報告</t>
  </si>
  <si>
    <t>永井広</t>
  </si>
  <si>
    <t>渡辺幸三著『本草書の研究』</t>
  </si>
  <si>
    <t>ヨーロッパにおける“遊び"の概念と、医史学への影響(抄)</t>
  </si>
  <si>
    <t>山本太木、藤本十四秋、淵上順三</t>
  </si>
  <si>
    <t>軍医落合泰蔵(抄)</t>
  </si>
  <si>
    <t>「肥後藩主 細川重賢公による腊葉帖」供覧(抄)</t>
  </si>
  <si>
    <t>『蘭方口伝（朱勃児杜験方録）』について(抄)</t>
  </si>
  <si>
    <t>吉益蠃斎について(抄)</t>
  </si>
  <si>
    <t>宋応星の『天工開物』（一六三七年刊）と労働衛生(抄)</t>
  </si>
  <si>
    <t>Ｊ・リュフィエ、Ｊ＝Ｃ・スールニア著　仲沢紀雄訳『ペストからエイズまで－人間史における疫病－』</t>
  </si>
  <si>
    <t>瀧川義一、佐藤卓弥『木村蒹葭堂資料集－校訂と解説－』</t>
  </si>
  <si>
    <t>松木明知編『森鷗外「渋江抽斎」基礎資料』</t>
  </si>
  <si>
    <t>Ｈ・シッパーゲス著　大橋博司・浜中淑彦・波多野和夫・山岸洋訳『中世の医学－治療と養生の文化史』</t>
  </si>
  <si>
    <t>浜田善利、吉倉真</t>
  </si>
  <si>
    <t>『窊篤児（ワートル）薬性論』の異版(抄)</t>
  </si>
  <si>
    <t>杵淵彰</t>
  </si>
  <si>
    <t>柳沢桂子著『「いのち」とはなにか―生命科学への招待―』</t>
  </si>
  <si>
    <t>孫思邈著『「千金方」四種、附研究資料集』</t>
  </si>
  <si>
    <t>Zum Einfluss philosophischer Begriffe menschlicher Natur auf Medizin, Hygiene und Psychotherapie</t>
  </si>
  <si>
    <t>PAUL, Gregor</t>
  </si>
  <si>
    <t>小曽戸洋、関信之、栗原万理子</t>
  </si>
  <si>
    <t>青木国雄著『医外な物語』</t>
  </si>
  <si>
    <t>山田慶児著『夜鳴く鳥－医学・呪術・伝説ー』</t>
  </si>
  <si>
    <t>現存する『啓廸集』の古鈔本について(抄)</t>
  </si>
  <si>
    <t>小野蘭山・蕙畝と幕府医学館薬園(抄)</t>
  </si>
  <si>
    <t>船山道隆</t>
  </si>
  <si>
    <t>「京都看病婦学校設立趣旨」について(抄)</t>
  </si>
  <si>
    <t>「京都看病婦学校設立の演説」について(抄)</t>
  </si>
  <si>
    <t>千葉保次著、沢本吉則編『回春堂　永吉の眼科病院』</t>
  </si>
  <si>
    <t>石山昱夫・張維東・庬文喜訳『洗冤集録・洗冤録詳義』</t>
  </si>
  <si>
    <t>Edited by Y.Kawakita, Shizu Sakai and Y.Otsuka "History of Hygiene-Proceedings of 12th International Symposium on the Comparative History of Medicine-East and West"</t>
  </si>
  <si>
    <t>小野蘭山・蕙畝の日記にみる医学館の本草講書と薬品会(抄)</t>
  </si>
  <si>
    <t>西大条文一</t>
  </si>
  <si>
    <t>渋谷敦、松本晋一</t>
  </si>
  <si>
    <t>大橋正敬、西山実</t>
  </si>
  <si>
    <t>古典にみる砭鍼の臨床的意義について(抄)</t>
  </si>
  <si>
    <t>大日本私立衛生会雑誌の歯科的記載(抄)</t>
  </si>
  <si>
    <t>日本における“変蒸"の変遷について(抄)</t>
  </si>
  <si>
    <t>囉嚩拏説救療小児疾病経の紹介(抄)</t>
  </si>
  <si>
    <t>函館医学校生徒記録(抄)</t>
  </si>
  <si>
    <t>清水耕一小伝―とくにその著『新撰看護学 附精神病看護学』の位置づけ―</t>
  </si>
  <si>
    <t>瀧沢利行</t>
  </si>
  <si>
    <t>富士川英郎著『読書閒適』</t>
  </si>
  <si>
    <t>鈴木英征、青木隆明、戸野吉浩、原田和江、広門靖正、浜田淳、長尾栄一</t>
  </si>
  <si>
    <t>戦前合衆国に留学した精神病学者－松原三郎、斎藤玉男、石田昇ほか―（抄）</t>
  </si>
  <si>
    <t>山下門内兵隊仮病院について（抄）</t>
  </si>
  <si>
    <t>神農祭（第40回）挙行</t>
  </si>
  <si>
    <t>諌早医師会編『諌早医史　一九九〇年』</t>
  </si>
  <si>
    <t>小曽戸洋・真柳誠編・解説『和刻漢籍医書集成』</t>
  </si>
  <si>
    <t>明治初年の私立医学校「済生学舎・慶応義塾医学所・成医会講習所」について（抄)</t>
  </si>
  <si>
    <t>万年甫・岩田誠編訳『神経学の源流3　ブロカ』</t>
  </si>
  <si>
    <t>森鷗外と医学留学生たち（記事）</t>
  </si>
  <si>
    <t>日本における早発痴呆―精神分裂病概念の受容―（抄）</t>
  </si>
  <si>
    <t>『啓廸集』所引文献の検討（抄）</t>
  </si>
  <si>
    <t>R.ブライト医師の"Reports of Medical Cases"(1827)(Vol.1)の内容について（抄）</t>
  </si>
  <si>
    <t>『啓廸集』の瀉血療法（抄）</t>
  </si>
  <si>
    <t>『癲癇狂経験編』の著者土田献による下気円引き札（抄）</t>
  </si>
  <si>
    <t>梅渓昇著『洪庵・適塾の研究』</t>
  </si>
  <si>
    <t>戦前合州国に留学した精神病学者たち（上）－松原三郎，斎藤玉男，石田昇ほか－</t>
  </si>
  <si>
    <t>浜田淳，長尾栄一</t>
  </si>
  <si>
    <t>堀内泠著『兵庫医史散歩』</t>
  </si>
  <si>
    <t>小池猪一著『図説・日本の"医"の歴史』</t>
  </si>
  <si>
    <t>鷗外の『独逸日記』にあるモアビット病院とその歴史</t>
  </si>
  <si>
    <t>戦前合州国に留学した精神病学者たち（下）－松原三郎，斎藤玉男，石田昇ほか－</t>
  </si>
  <si>
    <t>［飲］の病の起源－仏教医学の「癊」の病とのかかわり－</t>
  </si>
  <si>
    <t>宮沢正順著『素問・霊枢』</t>
  </si>
  <si>
    <t>芸南の先人たち　特に『迨孫疫痢考』をめぐって（抄）</t>
  </si>
  <si>
    <t>新幹線の発音は〔 ʃinkənsenk 〕か－学術語のカタカナ書きについて－（抄）</t>
  </si>
  <si>
    <t>永富独嘯庵二三〇回忌追善祭（報告）</t>
  </si>
  <si>
    <t>酒井忠夫・今井宇三郎・吉元昭治編『中国の霊籤・薬籤集成』を読んで</t>
  </si>
  <si>
    <t>入沢記念庭園の整備事業を終えて</t>
  </si>
  <si>
    <t>田辺一雄と複十字会活動（抄）</t>
  </si>
  <si>
    <t>田辺正忠</t>
  </si>
  <si>
    <t>熱海噏汽館〔きゅうきかん〕（抄）</t>
  </si>
  <si>
    <t>石山昱夫訳『メンデ法医学小史（一八一九）』</t>
  </si>
  <si>
    <t>日本における早発痴呆―「（精神）分裂病」概念の受容</t>
  </si>
  <si>
    <t>山田慶児編『東アジアの本草と博物学の世界』（上・下）</t>
  </si>
  <si>
    <t>西山茂夫監修『皮膚科の病名由来ア・ラ・カルト』I,II</t>
  </si>
  <si>
    <t>滝沢利行</t>
  </si>
  <si>
    <t>渋江長伯が蝦夷地で採集した植物標本について(抄)</t>
  </si>
  <si>
    <t>森枳園宛の書簡類－伊沢柏軒、小島宝素、喜多村直寛・多紀元琰・元佶等(抄)</t>
  </si>
  <si>
    <t>『裁判医学提綱』にみる「狂」の用語について(抄)</t>
  </si>
  <si>
    <t>高坂駒三郎と旧蔵書簡―森鷗外書簡など(抄)</t>
  </si>
  <si>
    <t>森鷗外のライプチッヒにおける衛生学研修(抄)</t>
  </si>
  <si>
    <t>永坂石埭（周二）の小伝と日本整形外科への功績(抄)</t>
  </si>
  <si>
    <t>真柳誠、沈㴻農</t>
  </si>
  <si>
    <t>森鷗外作「なかじきり」解釈の試み―「医」に関する言及をめぐって(抄)</t>
  </si>
  <si>
    <t>川島真人</t>
  </si>
  <si>
    <t>川原汎とその著『内科彙講―神経係統篇』―刊行百年を記念して―(抄)</t>
  </si>
  <si>
    <t>明治三十七・八年戦役「熊本予備病院外科治験記事」に就いて(抄)</t>
  </si>
  <si>
    <t>新資料“美人解剖図"と“刑死者解体図"(抄)</t>
  </si>
  <si>
    <t>新発見の『啓廸集』古鈔本(抄)</t>
  </si>
  <si>
    <t>緒方洪庵訳『扶氏経験遺訓』での疑問(抄)</t>
  </si>
  <si>
    <t>緒方春朔『種痘必順弁』の書名について(抄)</t>
  </si>
  <si>
    <t>富田英寿、手島　仁、熊本煕史、久賀興亜、田中泰博、久賀征哉、武井一剛</t>
  </si>
  <si>
    <t>美馬聡昭、国中るみ子</t>
  </si>
  <si>
    <t>種痘医北条諒斎　天然痘に挑む</t>
  </si>
  <si>
    <t>「種痘医　北城諒斎斎顕彰碑」除幕式</t>
  </si>
  <si>
    <t>斎藤玉男―断種法史上の人びと(その1)―(例会抄)</t>
  </si>
  <si>
    <t>"解体新書"以前の「神経」概念の受容について</t>
  </si>
  <si>
    <t>杉田暉道著『やさしい仏教医学　わが国最初のターミナル・ケア学』</t>
  </si>
  <si>
    <t>手塚良斉『医学所御用留』（三）</t>
  </si>
  <si>
    <t>桑田立斉『立斎年表』</t>
  </si>
  <si>
    <t>二宮陸雄、秋葉宝</t>
  </si>
  <si>
    <t>十九世紀末ドイツのベルリン学派によるプルギー（Hypurgie,看護療法）について</t>
  </si>
  <si>
    <t>寺沢捷年</t>
  </si>
  <si>
    <t>林美朗、野㟢理</t>
  </si>
  <si>
    <t>月沢美代子</t>
  </si>
  <si>
    <t>田中弥性園蔵傷寒論の考証</t>
  </si>
  <si>
    <t>渡辺賢治、花輪寿彦</t>
  </si>
  <si>
    <t>華岡青洲自筆万病一毒之説</t>
  </si>
  <si>
    <t>郡医と鷗外の父、森静男について</t>
  </si>
  <si>
    <t>プレンク（J.J.E.von Plenck,1739-1807）について</t>
  </si>
  <si>
    <t>梁嶸</t>
  </si>
  <si>
    <t>『痧脹玉衝』所蔵治験例の分析</t>
  </si>
  <si>
    <t>『灸焫塩土伝』の意義</t>
  </si>
  <si>
    <t>柳沢波香</t>
  </si>
  <si>
    <t>権卜撥、黄尚翼</t>
  </si>
  <si>
    <t>山田慶児著『中国医学はいかにつくられたか』</t>
  </si>
  <si>
    <t>医史料の収集、保存管理についての提言　とくに日本医学図書館協会に期待するもの</t>
  </si>
  <si>
    <t>会員の提言</t>
  </si>
  <si>
    <t>ナイチンゲール「看護覚え書」の草稿と思われるクロウド・モリス社刊 "The Art of Nursing" （一九四六）</t>
  </si>
  <si>
    <t>山田慶児著『中国医学の起源』</t>
  </si>
  <si>
    <t>中橋弥光</t>
  </si>
  <si>
    <t>哈鴻潜</t>
  </si>
  <si>
    <t>江戸期本草家の北陸への関心（四）―藤沢光周と『奇草小図』について</t>
  </si>
  <si>
    <t>沢井直</t>
  </si>
  <si>
    <t>蜞鍼について</t>
  </si>
  <si>
    <t>田中弥性園蔵・オランダ外科三訳書の知見</t>
  </si>
  <si>
    <t>カスパール・ボーアン "Theatrum Anatomicum" について（Ⅰ）―初版（1605）と第二版（1621）の序文の比較検討</t>
  </si>
  <si>
    <t>『外台秘要方』の鍼灸―巻三十九「明堂」以外の掲載内容について</t>
  </si>
  <si>
    <t>㕮咀の源を探る</t>
  </si>
  <si>
    <t>森鷗外「甘瞑の説」―「生命の質」への一視座</t>
  </si>
  <si>
    <t>検梅医・松山不苦庵の足跡</t>
  </si>
  <si>
    <t>文庫めぐり（10）　京都府立医科大学附属図書館</t>
  </si>
  <si>
    <t>Medicine and New Knowledge in Medieval Japan: Kajiwara Shozen(1266-1337) and the "Man'anpo"(1)</t>
  </si>
  <si>
    <t>GOBLE, Andrew Edmund</t>
  </si>
  <si>
    <t>厳善炤</t>
  </si>
  <si>
    <t>癸亥　春林軒続薬方冊（一）</t>
  </si>
  <si>
    <t>万年甫</t>
  </si>
  <si>
    <t>浅見一羊</t>
  </si>
  <si>
    <t>米本昌平、松原洋子、橳島次郎、市野川容孝『優生学と人間社会　生命科学の世紀はどこへ向かうのか』</t>
  </si>
  <si>
    <t>Medicine and New Knowledge in Medieval Japan: Kajiwara Shozen(1266-1337) and the "Man'anpo"(2)</t>
  </si>
  <si>
    <t>二十世紀前半における京都・岩倉の"国際化"について（その一）（抄）</t>
  </si>
  <si>
    <t>「乳巌姓名録」に現れた乳癌手術患者の予後（抄）</t>
  </si>
  <si>
    <t>近世初期の病理学・治療法―『古写本　鍼灸秘書』による考察（抄）</t>
  </si>
  <si>
    <t>三陰交の明堂関係医書の主治病証と経脈病証（抄）</t>
  </si>
  <si>
    <t>ガスパール・ボーアン "Theatrum anatomicum" について（2）―"Anatomica corporis virilis et mvliebris historia" （1597）との比較検討（抄）</t>
  </si>
  <si>
    <t>シーボルトと眼科医伊東昇廸（抄）</t>
  </si>
  <si>
    <t>癸亥　春林軒続薬方冊（二）</t>
  </si>
  <si>
    <t>瀧沢利行著『健康文化論』</t>
  </si>
  <si>
    <t>華岡青洲の「乳巌姓名録」の研究　個別の症例記録との比較検討</t>
  </si>
  <si>
    <t>正木繁著『消印は知っていた―幕末から明治・大正・昭和の"たより"が綴る庶民医療史』</t>
  </si>
  <si>
    <t>瀧沢利行著『養生の楽しみ』</t>
  </si>
  <si>
    <t>断種法史上の人びど（その五）―三宅鉱一―</t>
  </si>
  <si>
    <t>沢田祐介著『蘇る医神アスクレピオスの物語』</t>
  </si>
  <si>
    <t>近藤家文書について―大森寿庵と越後の眼科医近藤文泰（抄寿</t>
  </si>
  <si>
    <t>"American Journal of Nursing"の記事にみる二〇世紀の日本の看護（抄）</t>
  </si>
  <si>
    <t>二十世紀前半における京都・岩倉の"国際化"について（その二）（抄）</t>
  </si>
  <si>
    <t>町泉寿郎、花輪寿彦、寺沢捷年</t>
  </si>
  <si>
    <t>ガスパール・ボーアン "Theatrum Anatomicum" について（三）―De Corporis Humani Fabrica Libri IIII（1590）の分析（抄）</t>
  </si>
  <si>
    <t>松本晋一、渋谷敦</t>
  </si>
  <si>
    <t>陶粟嫺、西巻明彦</t>
  </si>
  <si>
    <t>新たに確定した「乳巌姓名録」中の患者二三名の歿年月日について（抄）</t>
  </si>
  <si>
    <t>弥性園蔵　幕末期の診療録（抄）</t>
  </si>
  <si>
    <t>山田慶児</t>
  </si>
  <si>
    <t>七木田文彦、瀧沢利行</t>
  </si>
  <si>
    <t>Michel, Wolfgang</t>
  </si>
  <si>
    <t>月沢美代子、酒井シヅ、ヴォルフガング　ミヒェル</t>
  </si>
  <si>
    <t>小曽戸洋、町泉寿郎、花輪寿彦</t>
  </si>
  <si>
    <t>友部和弘、町泉寿郎、小曽戸洋、花輪寿彦</t>
  </si>
  <si>
    <t>町泉寿郎、小曽戸洋、花輪寿彦</t>
  </si>
  <si>
    <t>山田英雄、山内一信、青木国雄</t>
  </si>
  <si>
    <t>アレキサンダー　ベイ、花輪寿彦</t>
  </si>
  <si>
    <t>小高健編『長与又郎日記　近代化を推進した医学者の記録』</t>
  </si>
  <si>
    <t>坂井建雄、池田黎太郎、月沢美代子</t>
  </si>
  <si>
    <t>山田慶児著『気の自然像』</t>
  </si>
  <si>
    <t>大浦宏勝・花輪寿彦、石野尚吾</t>
  </si>
  <si>
    <t>宮川浩也、石野尚吾、花輪寿彦</t>
  </si>
  <si>
    <t>『外台秘要方』巻三十九に引用される『明堂』条文について（抄）</t>
  </si>
  <si>
    <t>友部和弘、石野尚吾、花輪寿彦</t>
  </si>
  <si>
    <t>天野陽介、宮川浩也、花輪寿彦</t>
  </si>
  <si>
    <t>広谷速人</t>
  </si>
  <si>
    <t>蒲原宏、川島真人</t>
  </si>
  <si>
    <t>呉秀三・樫田五郎「精神病者私宅監置ノ実況及ビ其統計的観察」精読（抄）</t>
  </si>
  <si>
    <t>斎藤茂吉・ほか―断種法史上の人びと（その七）（抄）</t>
  </si>
  <si>
    <t>太田安雄著『太田雄寧伝』</t>
  </si>
  <si>
    <t>瀧沢利行著『養生論の思想』</t>
  </si>
  <si>
    <t>館沢貢次（文）加古里子（絵）『ドイツ人に敬愛された医師　肥沼信次』</t>
  </si>
  <si>
    <t>舘野正美著『吉益東洞『古書医言』の研究』</t>
  </si>
  <si>
    <t>松木明知著『華岡青洲と「乳巌治験録」』</t>
  </si>
  <si>
    <t>MICHEL, Wolfgang, WERGER-KLEIN, Elke</t>
  </si>
  <si>
    <t>MARKETOS, Spyros</t>
  </si>
  <si>
    <t>高良斉と日高涼台の用薬倫理をめぐって（抄）</t>
  </si>
  <si>
    <t>沢井直、坂井建雄</t>
  </si>
  <si>
    <t>小曽戸洋、天野陽介、野沢隆幸、小林健二</t>
  </si>
  <si>
    <t>斎藤茂吉における性</t>
  </si>
  <si>
    <t>中山学、黒沢学、酒井シヅ</t>
  </si>
  <si>
    <t>1-4北条家（佐渡市）の薬箱の検討（抄）</t>
  </si>
  <si>
    <t>1-5新宮涼庭の薬箱の検討（抄）</t>
  </si>
  <si>
    <t>川島真人、カタリーナシバタ</t>
  </si>
  <si>
    <t>「乳巌治験録」をだれが書いたか（抄）</t>
  </si>
  <si>
    <t>芳賀佐和子、平尾真智子、蝦名総子</t>
  </si>
  <si>
    <t>医僧・大日方大乗の略伝（抄）</t>
  </si>
  <si>
    <t>日本医師協会と小川剣三郎（抄）</t>
  </si>
  <si>
    <t>カトリーナ　シバタ、川島真人</t>
  </si>
  <si>
    <t>天野陽介、宮川浩也、小林健二、野沢隆幸</t>
  </si>
  <si>
    <t>浦上国義編『日露戦争従軍記―軍医の陣中日記』</t>
  </si>
  <si>
    <t>町泉寿郎、小曽戸洋、天野陽介、花輪寿彦</t>
  </si>
  <si>
    <t>近代解剖制度史補遺―『明治四十四年九月　屍体ニ関スル記事　東京医科大学解剖学教室』の分析から</t>
  </si>
  <si>
    <t>郷土史家　寺石正路の燈火与児談における明治期の漢洋治療</t>
  </si>
  <si>
    <t>沢田恵子</t>
  </si>
  <si>
    <t>栗山茂久・北沢一利編著『近代日本の身体感覚』</t>
  </si>
  <si>
    <t>蝦名総子、平尾真智子、芳賀佐和子</t>
  </si>
  <si>
    <t>済生学舎から日本医科大学への懸橋となった第三代学長　塩田広重（抄）</t>
  </si>
  <si>
    <t>関東大震災における仏蘭西寄贈病院（抄）</t>
  </si>
  <si>
    <t>新宮涼庭訳述の「続内科則」について（抄）</t>
  </si>
  <si>
    <t>ガレノス『静脈と動脈の解剖について』―ギリシャ語原典からの翻訳と考察</t>
  </si>
  <si>
    <t>坂井建雄、池田黎太郎、沢井直</t>
  </si>
  <si>
    <t>第五回韓日東洋医学シンポシウム</t>
  </si>
  <si>
    <t>三沢美和</t>
  </si>
  <si>
    <t>斎藤茂吉におｋる病いと老いと（抄）</t>
  </si>
  <si>
    <t>野口英世の横浜海港検疫所赴任の時期を特定―"ペスト騒動"の前日だった―</t>
  </si>
  <si>
    <t>川島真人著『水滴は岩をも穿つ』</t>
  </si>
  <si>
    <t>月沢　美代子</t>
  </si>
  <si>
    <t>適塾門下生「備中窪屋郡中島　別府真敬悴　別府琴松」について（抄）</t>
  </si>
  <si>
    <t>緒方章公裁訳稿「舎密便蒙」について（抄）</t>
  </si>
  <si>
    <t>中国伝統医学と道教（第二十七回覚世真経）（抄）</t>
  </si>
  <si>
    <t>田中弥性園の古医書（抄）</t>
  </si>
  <si>
    <t>天野陽介、小曽戸洋、石野尚吾、花輪寿彦</t>
  </si>
  <si>
    <t>江戸時代の電気療法－伊藤慎蔵訳本『改正磁石霊震気療説』について（抄）</t>
  </si>
  <si>
    <t>殿﨑正明、唐沢信安、岩﨑　一</t>
  </si>
  <si>
    <t>志村俊郎、唐沢信安、殿﨑正明、岩﨑一、寺本明</t>
  </si>
  <si>
    <t>岩﨑一　、殿﨑正明、唐沢信安</t>
  </si>
  <si>
    <t>大江雲沢と合水堂（抄）</t>
  </si>
  <si>
    <t>田中弥性園の古文書・書画（抄）</t>
  </si>
  <si>
    <t>From the Capital of Smoke (Kemuri no Miyako) to the Livable City (Sumigokochiyoki Toshi): "Doctoring" to the Industrial Metropolis of Osaka</t>
  </si>
  <si>
    <t>"シーボルトの足跡を辿る旅"ドイツ各地で歓迎を受ける</t>
  </si>
  <si>
    <t>Akimitsu Naruyama 編 "Dr. Ikkaku Ochi Collection"</t>
  </si>
  <si>
    <t>大沢真澄　</t>
  </si>
  <si>
    <t>家伝本「紅夷外科宗伝」（1706）ほか二部についての考察(抄)</t>
  </si>
  <si>
    <t>〔馬＋扇＝せん〕(抄)</t>
  </si>
  <si>
    <t>平尾真智子、芳賀佐和子、蝦名総子</t>
  </si>
  <si>
    <t>幕末の頃、利根川流域に広凡に販売されていた秘伝のめぐすり「家伝開明散」、「家伝青眼膏」(抄)</t>
  </si>
  <si>
    <t>天野陽介、小林健二、石野尚吾、花輪寿彦</t>
  </si>
  <si>
    <t>『決脈精要』の考察(抄)</t>
  </si>
  <si>
    <t>"ヒポクラテスの木"2007─コス島の"ヒポクラテスの木"の来歴と現状─(抄)</t>
  </si>
  <si>
    <t>小曽戸洋、天野陽介、町泉寿郎、花輪寿彦</t>
  </si>
  <si>
    <t>江戸前期の医学辞典における収録病証の変遷(抄)</t>
  </si>
  <si>
    <t>梅渓昇著『続　洪庵・適塾の研究』</t>
  </si>
  <si>
    <t>オレゴン大学におけるワークショップ"曲直瀬道三―古医書の漢文を読む"の開催</t>
  </si>
  <si>
    <t>ジェイムス・ライリー著、門司和彦・金田英子・松山章子、駒沢大佐訳『健康転換と寿命延長の世界誌』</t>
  </si>
  <si>
    <t>Cookery, Diet and District Nursing in Late Nineteenth-Century London</t>
  </si>
  <si>
    <t>AKIYAMA, Yuriko</t>
  </si>
  <si>
    <t>"統計論争"をとおしてみた森林太郎―シンポジウムへの導入をかねて―</t>
  </si>
  <si>
    <t>森鷗外と「北游日乗」、「北遊記」―函館、青森を中心として―</t>
  </si>
  <si>
    <t>森鷗外と医学留学生たちの交流</t>
  </si>
  <si>
    <t>馬医の祖"伯楽"と"伯楽鍼経"の展開(抄)</t>
  </si>
  <si>
    <t>大沢真澄</t>
  </si>
  <si>
    <t>帆足万里の顕彰記念会について（抄）</t>
  </si>
  <si>
    <t>渋江家所蔵の史料と鷗外の「渋江抽斎」（抄）</t>
  </si>
  <si>
    <t>「千住の鷗外碑」建立される（抄）</t>
  </si>
  <si>
    <t>岩﨑一、唐沢信安、殿﨑正明、志村俊郎</t>
  </si>
  <si>
    <t>殿﨑正明、唐沢信安、岩﨑一、志村俊郎</t>
  </si>
  <si>
    <t>若狭小浜の霊場小沢寺における滝治療（抄）</t>
  </si>
  <si>
    <t>対馬秀子</t>
  </si>
  <si>
    <t>野沢隆幸、天野陽介、小曽戸洋</t>
  </si>
  <si>
    <t>渡辺浩二、小曽戸洋、星野卓之、天野陽介、花輪寿彦</t>
  </si>
  <si>
    <t>石珏、鈴木達彦、遠藤次郎</t>
  </si>
  <si>
    <t>陸軍衛生隊編制に向けた"担架卒"の成立過程（抄）</t>
  </si>
  <si>
    <t>『啓廸集』の書誌研究（抄）</t>
  </si>
  <si>
    <t>淵上恭子著『バイオ・コリアと女性の体―ヒトクローンES細胞研究『卵子提供」の内幕―』</t>
  </si>
  <si>
    <t>森鷗外と原田直次郎(抄)</t>
  </si>
  <si>
    <t>沢井直，坂井建雄</t>
  </si>
  <si>
    <t>長沢道寿『薮医問答』の解題と翻刻</t>
  </si>
  <si>
    <t>平尾真智子，芳賀佐和子，蝦名総子</t>
  </si>
  <si>
    <t>超過死亡にみる戦前期日本（旧植民地を含む）における“スペインかぜ"世界流行の影響(抄)</t>
  </si>
  <si>
    <t>金恩瑕，呉龍沢，李丙旭</t>
  </si>
  <si>
    <t>殷晳玟</t>
  </si>
  <si>
    <t>“養育院"成立における第5代東京府知事・大久保一翁の役割(抄)</t>
  </si>
  <si>
    <t>渡部浩二，小曽戸洋，花輪寿彦</t>
  </si>
  <si>
    <t>岩間真知子</t>
  </si>
  <si>
    <t>松岡尚則，栗林秀樹，別府正志，山口秀俊，中田英之，岩井祐泉，牧甬和宏</t>
  </si>
  <si>
    <t>龔延賢方の清代医学文献における引用―日中医学の相違―(抄)</t>
  </si>
  <si>
    <t>星野卓之，天野陽介，小曽戸洋，花輪寿彦</t>
  </si>
  <si>
    <t>沈㴻農</t>
  </si>
  <si>
    <t>宮川浩也，天野陽介，小曽戸洋，花輪寿彦</t>
  </si>
  <si>
    <t>『女科証治準縄』における鍼灸条文の典拠について(抄)</t>
  </si>
  <si>
    <t>田中弥性園収蔵小野蘭山書簡およびその学統について(抄)</t>
  </si>
  <si>
    <t>郡上藩医学校と種痘・施療事業(抄)</t>
  </si>
  <si>
    <t>相川忠臣，ハルメン・ボイケルス，酒井シヅ，山之内卯一</t>
  </si>
  <si>
    <t>森林太郎（森鷗外）と解剖学講義について(抄)</t>
  </si>
  <si>
    <t>金沢大学所蔵キンストレーキの解組と新たに確認されたオランダ語・日本語ラベル(抄)</t>
  </si>
  <si>
    <t>志村俊郎，唐沢信安，殿﨑正明，寺本明</t>
  </si>
  <si>
    <t>磯部検三と加藤時次郎について(抄)</t>
  </si>
  <si>
    <t>唐沢信安，志村俊郎，殿﨑正明</t>
  </si>
  <si>
    <t>殿﨑正明，唐沢信安，志村俊郎</t>
  </si>
  <si>
    <t>『鍼法秘粋』について(抄)</t>
  </si>
  <si>
    <t>Eugenics, Environment, and Acclimatizing to Manchukuo: Psychiatric Studies of Japanese Colonists</t>
  </si>
  <si>
    <t>ミュリエル・ラアリー著，浜中淑彦監訳『中世の狂気　十一～十三世紀』</t>
  </si>
  <si>
    <t>W・ミヒェル，鳥井裕美子，川島真人共編『九州の蘭学―越境と交流―』</t>
  </si>
  <si>
    <t>明治期におけるドイツ医学の受容と普及（抄）</t>
  </si>
  <si>
    <t>満州語西欧解剖学書『欽定格体全録』について（抄）</t>
  </si>
  <si>
    <t>“A"レポート及び“G"レポート（「ダグウェイ文書」）について（抄）</t>
  </si>
  <si>
    <t>「紅毛医言」の“あとがき"について（抄）</t>
  </si>
  <si>
    <t>温庭筠，李商隠疾病攷（抄）</t>
  </si>
  <si>
    <t>万病万毒論と万病一毒論（抄）</t>
  </si>
  <si>
    <t>橘南渓をめぐる考察（抄）</t>
  </si>
  <si>
    <t>脾肝薬王円と『小児養育金礎』―京都の薬屋石田家の売薬業と育児書の頒布―（抄）</t>
  </si>
  <si>
    <t>弥性園第十二代当主田中太一良（1873～1932）の医績について（抄）</t>
  </si>
  <si>
    <t>坂井建雄，池田黎太郎，沢井直，安西なつめ</t>
  </si>
  <si>
    <t>広川和花著『近代日本のハンセン病問題と地域社会』</t>
  </si>
  <si>
    <t xml:space="preserve">『阿蘭陀経絡筋脈臓腑図解』の翻訳書としての不完全さ―訳出されなかった語の視点から― </t>
  </si>
  <si>
    <t xml:space="preserve">厥の原義とその病理観―扁鵲による虢の太子の治療の意義― </t>
  </si>
  <si>
    <t xml:space="preserve">蕎麦に関する日中両国の認識の差異 ―古典医書を中心に― </t>
  </si>
  <si>
    <t>台湾の医学史の本で見られる“日本"</t>
  </si>
  <si>
    <t xml:space="preserve">《特別寄稿》日本泌尿器科学会100周年を迎えて 日本泌尿器科学会創設者 朝倉文三先生の足跡と学生名簿の謎 </t>
  </si>
  <si>
    <t xml:space="preserve">占領期における日本の看護改革―保健婦助産婦看護婦法改正をめぐって―（抄） </t>
  </si>
  <si>
    <t xml:space="preserve">佐賀大学・佐賀学創成プロジェクト編『佐賀学　佐賀の歴史・文化・環境』 </t>
  </si>
  <si>
    <t>G.ペルトナー著，桝形公也監訳『医療倫理学の基礎』</t>
  </si>
  <si>
    <t>独協医科大学の「温故知新」（抄）</t>
  </si>
  <si>
    <t>独逸学協会学校の転換―法律学校から医学予備門へ―（抄）</t>
  </si>
  <si>
    <t>新宮譲治</t>
  </si>
  <si>
    <t>加藤光宝</t>
  </si>
  <si>
    <t>『報徳全書』にみる斎藤玄昌について―二宮尊行の二児に早期種痘―（抄）</t>
  </si>
  <si>
    <t>栃木（県）医学校の推移（抄）</t>
  </si>
  <si>
    <t>本田幹彦，中西公司，本田雅巳，石川美知子，緑川由紀夫，原沢寛，中元隆明</t>
  </si>
  <si>
    <t>安西なつめ，沢井直，坂井建雄</t>
  </si>
  <si>
    <t>沢田麻衣子</t>
  </si>
  <si>
    <t>志村俊郎，唐沢信安，殿﨑正明，山本鼎，幸野健，寺本明</t>
  </si>
  <si>
    <t>森鷗外『小嶋宝素』と小島尚絅『日新録』（抄）</t>
  </si>
  <si>
    <t>蝦名総子，平尾真智子，芳賀佐和子</t>
  </si>
  <si>
    <t>九州大学耳鼻咽喉科学教室初代教授 久保猪之吉の業績―第1報　“同門の語り"にみられる久保像―（抄）</t>
  </si>
  <si>
    <t>丸山マサ美，小宗静男，吉田真一，下川元継，副島忠弘，末松孝文</t>
  </si>
  <si>
    <t>九州大学耳鼻咽喉科学教室初代教授 久保猪之吉―第2報　同門の語りにみられる“医の倫理"―（抄）</t>
  </si>
  <si>
    <t>丸山マサ美，小宗静男，吉田真一，副島忠弘，末松孝文，下川元継</t>
  </si>
  <si>
    <t>いわゆる『儒医』についての考察―初探（抄）</t>
  </si>
  <si>
    <t>『皇漢医学』における「欝」の用法（抄）</t>
  </si>
  <si>
    <t>斎藤繁</t>
  </si>
  <si>
    <t>鈴木達彦，遠藤次郎，花輪寿彦</t>
  </si>
  <si>
    <t>坂井建雄，沢井直</t>
  </si>
  <si>
    <t>富士川游“医箴"“医五不可"の心を現代医療に役立てる</t>
  </si>
  <si>
    <t>寺沢捷年著『吉益東洞の研究―日本漢方創造の思想―』</t>
  </si>
  <si>
    <t>神谷昭典著『植民地医育論―台湾，朝鮮，“満蒙地域"を中心として―』</t>
  </si>
  <si>
    <t>坂井建雄、池田黎太郎、沢井直、安西なつめ</t>
  </si>
  <si>
    <t>中島友玄の京遊備忘　其の二―京遊厨費録より見た遊学生活―（抄）</t>
  </si>
  <si>
    <t>伊沢信平と歯科医術―ハーバード大学に留学した蘭軒の孫―（抄）</t>
  </si>
  <si>
    <t>江戸時代の労癆瘵（結核）～病にみるジェンダー（抄）</t>
  </si>
  <si>
    <t>石田真著『秋田医学史散歩』</t>
  </si>
  <si>
    <t>加来洋子、山口秀紀、卯田昭夫、石橋肇、渋谷鉱</t>
  </si>
  <si>
    <t>大野粛英、羽坂勇司、斎藤真且、高橋滋樹、安藤嘉明</t>
  </si>
  <si>
    <t>『布列私解剖図・完』（全二巻）とその原著であるFlesの解剖学書について（抄）</t>
  </si>
  <si>
    <t>明治初期日本における西洋解剖学的人体イメージの普及過程―上田文斎の内臓図―（抄）</t>
  </si>
  <si>
    <t>山口秀紀、加来洋子、下坂典立、鈴木正敏、渋谷鉱</t>
  </si>
  <si>
    <t>中沢淳、亀田一邦</t>
  </si>
  <si>
    <t>小島宝素堂の終焉―小島尚絅と森鷗外『小嶋宝素』―（抄）</t>
  </si>
  <si>
    <t>『瘍医証治準縄』の鍼灸（抄）</t>
  </si>
  <si>
    <t>福岡県立医学歯学専門学校の短い歴史（抄）</t>
  </si>
  <si>
    <t>『福岡医科大学医院耳鼻咽喉科　手術候補簿』明治40（1907）年-明治44（1911）年（抄）</t>
  </si>
  <si>
    <t>丸山マサ美、小宗静男、吉田真一</t>
  </si>
  <si>
    <t>慶応義塾出身名流列伝に見られた済生学舎長谷川泰と泰に纏わる幾らかの書簡（抄）</t>
  </si>
  <si>
    <t>志村俊郎、都倉武之、西沢直子、唐沢信安、山本鼎、殿﨑正明</t>
  </si>
  <si>
    <t>川島ミツヱと東洋女子歯科医学専門学校（抄）</t>
  </si>
  <si>
    <t>松本晋一、井手祐二</t>
  </si>
  <si>
    <t>新島廸夫著「口腔組織学　口腔編」について（抄）</t>
  </si>
  <si>
    <t>男産婆と見做された産科医山本玄斉（抄）</t>
  </si>
  <si>
    <t>渋沢栄一の第三回パリ万博参加体験と明治前期の福祉・医療事業への関与について（抄）</t>
  </si>
  <si>
    <t>いわゆる『儒医』についての考察―Ⅱ　儒葬（抄）</t>
  </si>
  <si>
    <t>小沢健志</t>
  </si>
  <si>
    <t>大津幸恵、小曽戸洋、渡辺浩二、野沢隆幸、星野卓之、花輪寿彦</t>
  </si>
  <si>
    <t>小曽戸洋、花輪寿彦</t>
  </si>
  <si>
    <t>野沢隆幸、小曽戸洋、花輪寿彦</t>
  </si>
  <si>
    <t>星野卓之、小曽戸洋、花輪寿彦</t>
  </si>
  <si>
    <t>対馬秀子、土屋久、酒井シヅ</t>
  </si>
  <si>
    <t>坂井建雄、沢井直</t>
  </si>
  <si>
    <t>鈴木達彦、足立理絵子、並木隆雄、平崎能郎、花輪寿彦</t>
  </si>
  <si>
    <t>オートフィルター機能を使う方法</t>
    <rPh sb="8" eb="10">
      <t>キノウ</t>
    </rPh>
    <rPh sb="11" eb="12">
      <t>ツカ</t>
    </rPh>
    <rPh sb="13" eb="15">
      <t>ホウホウ</t>
    </rPh>
    <phoneticPr fontId="1"/>
  </si>
  <si>
    <t>例：　「著者」で検索し抽出</t>
    <rPh sb="0" eb="1">
      <t>レイ</t>
    </rPh>
    <rPh sb="4" eb="6">
      <t>チョシャ</t>
    </rPh>
    <rPh sb="8" eb="10">
      <t>ケンサク</t>
    </rPh>
    <rPh sb="11" eb="13">
      <t>チュウシュツ</t>
    </rPh>
    <phoneticPr fontId="1"/>
  </si>
  <si>
    <r>
      <t>1、「</t>
    </r>
    <r>
      <rPr>
        <sz val="11"/>
        <color rgb="FFFF0000"/>
        <rFont val="ＭＳ Ｐゴシック"/>
        <family val="3"/>
        <charset val="128"/>
        <scheme val="minor"/>
      </rPr>
      <t>著者</t>
    </r>
    <r>
      <rPr>
        <sz val="11"/>
        <color theme="1"/>
        <rFont val="ＭＳ Ｐゴシック"/>
        <family val="2"/>
        <charset val="128"/>
        <scheme val="minor"/>
      </rPr>
      <t>」とあるセル右下の逆三角印をクリック</t>
    </r>
    <rPh sb="3" eb="5">
      <t>チョシャ</t>
    </rPh>
    <rPh sb="11" eb="13">
      <t>ミギシタ</t>
    </rPh>
    <rPh sb="14" eb="17">
      <t>ギャクサンカク</t>
    </rPh>
    <rPh sb="17" eb="18">
      <t>シルシ</t>
    </rPh>
    <phoneticPr fontId="1"/>
  </si>
  <si>
    <t>■オートフィルター　オプションの画面</t>
    <rPh sb="16" eb="18">
      <t>ガメン</t>
    </rPh>
    <phoneticPr fontId="1"/>
  </si>
  <si>
    <t>4、ここで、例えば「三木栄」と入力し、</t>
    <rPh sb="6" eb="7">
      <t>タト</t>
    </rPh>
    <rPh sb="10" eb="12">
      <t>ミキ</t>
    </rPh>
    <rPh sb="12" eb="13">
      <t>サカエ</t>
    </rPh>
    <rPh sb="15" eb="17">
      <t>ニュウリョク</t>
    </rPh>
    <phoneticPr fontId="1"/>
  </si>
  <si>
    <r>
      <t>右の「</t>
    </r>
    <r>
      <rPr>
        <sz val="11"/>
        <color rgb="FFFF0000"/>
        <rFont val="ＭＳ Ｐゴシック"/>
        <family val="3"/>
        <charset val="128"/>
        <scheme val="minor"/>
      </rPr>
      <t>を含む</t>
    </r>
    <r>
      <rPr>
        <sz val="11"/>
        <color theme="1"/>
        <rFont val="ＭＳ Ｐゴシック"/>
        <family val="2"/>
        <charset val="128"/>
        <scheme val="minor"/>
      </rPr>
      <t>」を選択</t>
    </r>
    <rPh sb="0" eb="1">
      <t>ミギ</t>
    </rPh>
    <rPh sb="4" eb="5">
      <t>フク</t>
    </rPh>
    <rPh sb="8" eb="10">
      <t>センタク</t>
    </rPh>
    <phoneticPr fontId="1"/>
  </si>
  <si>
    <t>データが抽出される</t>
    <rPh sb="4" eb="6">
      <t>チュウシュツ</t>
    </rPh>
    <phoneticPr fontId="1"/>
  </si>
  <si>
    <t>■データが抽出された画面</t>
    <rPh sb="5" eb="7">
      <t>チュウシュツ</t>
    </rPh>
    <rPh sb="10" eb="12">
      <t>ガメン</t>
    </rPh>
    <phoneticPr fontId="1"/>
  </si>
  <si>
    <t>5、元に戻りたい時は、フィルターをクリアーします</t>
    <rPh sb="2" eb="3">
      <t>モト</t>
    </rPh>
    <rPh sb="4" eb="5">
      <t>モド</t>
    </rPh>
    <rPh sb="8" eb="9">
      <t>トキ</t>
    </rPh>
    <phoneticPr fontId="1"/>
  </si>
  <si>
    <t>■フィルターをクリアーする画面</t>
    <rPh sb="13" eb="15">
      <t>ガメン</t>
    </rPh>
    <phoneticPr fontId="1"/>
  </si>
  <si>
    <t>はじめに戻ります</t>
    <rPh sb="4" eb="5">
      <t>モド</t>
    </rPh>
    <phoneticPr fontId="1"/>
  </si>
  <si>
    <t>補足：</t>
    <rPh sb="0" eb="2">
      <t>ホソク</t>
    </rPh>
    <phoneticPr fontId="1"/>
  </si>
  <si>
    <t>2、テキスト　フィルター（F)　→　指定の値を含む（A）</t>
    <phoneticPr fontId="1"/>
  </si>
  <si>
    <t>3、オートフィルター　オプション</t>
    <phoneticPr fontId="1"/>
  </si>
  <si>
    <t>「OK」　ボタンを押す</t>
    <phoneticPr fontId="1"/>
  </si>
  <si>
    <t>「Webリンク」をクリックするだけで、Webデータを開くことができる</t>
    <rPh sb="26" eb="27">
      <t>ヒラ</t>
    </rPh>
    <phoneticPr fontId="1"/>
  </si>
  <si>
    <t>↓の画面がでますが、問題ありません。「ＯＫ」を押す</t>
    <rPh sb="2" eb="4">
      <t>ガメン</t>
    </rPh>
    <rPh sb="10" eb="12">
      <t>モンダイ</t>
    </rPh>
    <rPh sb="23" eb="24">
      <t>オ</t>
    </rPh>
    <phoneticPr fontId="1"/>
  </si>
  <si>
    <r>
      <t>「</t>
    </r>
    <r>
      <rPr>
        <sz val="11"/>
        <color rgb="FFFF0000"/>
        <rFont val="ＭＳ Ｐゴシック"/>
        <family val="3"/>
        <charset val="128"/>
        <scheme val="minor"/>
      </rPr>
      <t>著者</t>
    </r>
    <r>
      <rPr>
        <sz val="11"/>
        <color theme="1"/>
        <rFont val="ＭＳ Ｐゴシック"/>
        <family val="2"/>
        <charset val="128"/>
        <scheme val="minor"/>
      </rPr>
      <t>」セルの右下の</t>
    </r>
    <r>
      <rPr>
        <sz val="11"/>
        <color rgb="FFFF0000"/>
        <rFont val="ＭＳ Ｐゴシック"/>
        <family val="3"/>
        <charset val="128"/>
        <scheme val="minor"/>
      </rPr>
      <t>逆三角のような印</t>
    </r>
    <r>
      <rPr>
        <sz val="11"/>
        <color theme="1"/>
        <rFont val="ＭＳ Ｐゴシック"/>
        <family val="2"/>
        <charset val="128"/>
        <scheme val="minor"/>
      </rPr>
      <t>で、「フィルターをクリアー」</t>
    </r>
    <rPh sb="1" eb="3">
      <t>チョシャ</t>
    </rPh>
    <rPh sb="7" eb="9">
      <t>ミギシタ</t>
    </rPh>
    <rPh sb="10" eb="13">
      <t>ギャクサンカク</t>
    </rPh>
    <rPh sb="17" eb="18">
      <t>シルシ</t>
    </rPh>
    <phoneticPr fontId="1"/>
  </si>
  <si>
    <r>
      <t>「</t>
    </r>
    <r>
      <rPr>
        <sz val="11"/>
        <color rgb="FFFF0000"/>
        <rFont val="ＭＳ Ｐゴシック"/>
        <family val="3"/>
        <charset val="128"/>
        <scheme val="minor"/>
      </rPr>
      <t>論文</t>
    </r>
    <r>
      <rPr>
        <sz val="11"/>
        <color theme="1"/>
        <rFont val="ＭＳ Ｐゴシック"/>
        <family val="2"/>
        <charset val="128"/>
        <scheme val="minor"/>
      </rPr>
      <t>」のタイトルから特定のキーワードで検索・抽出も同じ操作です</t>
    </r>
    <rPh sb="1" eb="3">
      <t>ロンブン</t>
    </rPh>
    <rPh sb="11" eb="13">
      <t>トクテイ</t>
    </rPh>
    <rPh sb="20" eb="22">
      <t>ケンサク</t>
    </rPh>
    <rPh sb="23" eb="25">
      <t>チュウシュツ</t>
    </rPh>
    <rPh sb="26" eb="27">
      <t>オナ</t>
    </rPh>
    <rPh sb="28" eb="30">
      <t>ソウサ</t>
    </rPh>
    <phoneticPr fontId="1"/>
  </si>
  <si>
    <t>1954年(昭和29)第05巻第1号～1981年(昭和56)第27巻第4号までのＰＤＦファイルは各巻1冊にデータとしてまとめられていますので、開くのに時間が掛かります。</t>
    <rPh sb="48" eb="50">
      <t>カクカン</t>
    </rPh>
    <rPh sb="51" eb="52">
      <t>サツ</t>
    </rPh>
    <rPh sb="71" eb="72">
      <t>ヒラ</t>
    </rPh>
    <rPh sb="75" eb="77">
      <t>ジカン</t>
    </rPh>
    <rPh sb="78" eb="79">
      <t>カ</t>
    </rPh>
    <phoneticPr fontId="1"/>
  </si>
  <si>
    <t>緑色のセルの補足説明：</t>
    <rPh sb="0" eb="2">
      <t>ミドリイロ</t>
    </rPh>
    <rPh sb="6" eb="8">
      <t>ホソク</t>
    </rPh>
    <rPh sb="8" eb="10">
      <t>セツメイ</t>
    </rPh>
    <phoneticPr fontId="1"/>
  </si>
  <si>
    <t>ここまで全ページのダウンロード方式</t>
    <rPh sb="4" eb="5">
      <t>ゼン</t>
    </rPh>
    <rPh sb="15" eb="17">
      <t>ホウシキ</t>
    </rPh>
    <phoneticPr fontId="1"/>
  </si>
  <si>
    <t>245-245頁</t>
    <phoneticPr fontId="1"/>
  </si>
  <si>
    <t>103頁</t>
    <phoneticPr fontId="1"/>
  </si>
  <si>
    <t>350-356頁</t>
    <phoneticPr fontId="1"/>
  </si>
  <si>
    <t>矢数医史学賞について</t>
    <rPh sb="0" eb="2">
      <t>ヤカズ</t>
    </rPh>
    <rPh sb="2" eb="5">
      <t>イシガク</t>
    </rPh>
    <rPh sb="5" eb="6">
      <t>ショウ</t>
    </rPh>
    <phoneticPr fontId="1"/>
  </si>
  <si>
    <t>631頁</t>
    <phoneticPr fontId="1"/>
  </si>
  <si>
    <t>001-25頁</t>
    <phoneticPr fontId="1"/>
  </si>
  <si>
    <t>ここからアンダーバー使用</t>
    <rPh sb="10" eb="12">
      <t>シヨウ</t>
    </rPh>
    <phoneticPr fontId="1"/>
  </si>
  <si>
    <t>無し？</t>
    <rPh sb="0" eb="1">
      <t>ナ</t>
    </rPh>
    <phoneticPr fontId="1"/>
  </si>
  <si>
    <t>502-503頁</t>
    <phoneticPr fontId="1"/>
  </si>
  <si>
    <t>321頁</t>
    <phoneticPr fontId="1"/>
  </si>
  <si>
    <t>428頁</t>
    <phoneticPr fontId="1"/>
  </si>
  <si>
    <t>429頁</t>
    <phoneticPr fontId="1"/>
  </si>
  <si>
    <t>430頁</t>
    <phoneticPr fontId="1"/>
  </si>
  <si>
    <t>607頁</t>
    <phoneticPr fontId="1"/>
  </si>
  <si>
    <t>606頁</t>
    <phoneticPr fontId="1"/>
  </si>
  <si>
    <t>例会記録</t>
    <rPh sb="0" eb="2">
      <t>レイカイ</t>
    </rPh>
    <rPh sb="2" eb="4">
      <t>キロク</t>
    </rPh>
    <phoneticPr fontId="1"/>
  </si>
  <si>
    <t>608頁</t>
    <phoneticPr fontId="1"/>
  </si>
  <si>
    <t>046頁</t>
    <phoneticPr fontId="1"/>
  </si>
  <si>
    <t>056頁</t>
    <phoneticPr fontId="1"/>
  </si>
  <si>
    <t>074頁</t>
    <phoneticPr fontId="1"/>
  </si>
  <si>
    <t>154頁</t>
    <phoneticPr fontId="1"/>
  </si>
  <si>
    <t>192頁</t>
    <phoneticPr fontId="1"/>
  </si>
  <si>
    <t>299頁</t>
    <phoneticPr fontId="1"/>
  </si>
  <si>
    <t>686頁</t>
    <phoneticPr fontId="1"/>
  </si>
  <si>
    <t>082頁</t>
    <phoneticPr fontId="1"/>
  </si>
  <si>
    <t>104頁</t>
    <phoneticPr fontId="1"/>
  </si>
  <si>
    <t>350頁</t>
    <phoneticPr fontId="1"/>
  </si>
  <si>
    <t>366頁</t>
    <phoneticPr fontId="1"/>
  </si>
  <si>
    <t>747-756頁</t>
    <phoneticPr fontId="1"/>
  </si>
  <si>
    <t>文庫めぐり（26）　静嘉堂文庫</t>
    <rPh sb="10" eb="13">
      <t>セイカドウ</t>
    </rPh>
    <rPh sb="13" eb="15">
      <t>ブンコ</t>
    </rPh>
    <phoneticPr fontId="1"/>
  </si>
  <si>
    <t>『診病奇侅』中の「無名氏」は島浦和田一である（抄）</t>
    <phoneticPr fontId="1"/>
  </si>
  <si>
    <t>353-421頁</t>
    <phoneticPr fontId="1"/>
  </si>
  <si>
    <t>北宋以前の漢籍に見える『内経』経文（抄）</t>
    <rPh sb="13" eb="14">
      <t>ケイ</t>
    </rPh>
    <phoneticPr fontId="1"/>
  </si>
  <si>
    <t>例会記録</t>
    <rPh sb="0" eb="4">
      <t>レイカイキロク</t>
    </rPh>
    <phoneticPr fontId="1"/>
  </si>
  <si>
    <t>367頁</t>
    <phoneticPr fontId="1"/>
  </si>
  <si>
    <r>
      <t>北京・中医研究院所蔵の『西陲古方技書残巻</t>
    </r>
    <r>
      <rPr>
        <sz val="9"/>
        <rFont val="ＭＳ Ｐゴシック"/>
        <family val="3"/>
        <charset val="134"/>
        <scheme val="minor"/>
      </rPr>
      <t>汇</t>
    </r>
    <r>
      <rPr>
        <sz val="9"/>
        <rFont val="ＭＳ Ｐゴシック"/>
        <family val="3"/>
        <charset val="128"/>
        <scheme val="minor"/>
      </rPr>
      <t>編』について(抄)</t>
    </r>
  </si>
  <si>
    <r>
      <t>大槻玄沢と「西</t>
    </r>
    <r>
      <rPr>
        <sz val="9"/>
        <rFont val="ＭＳ Ｐゴシック"/>
        <family val="3"/>
        <charset val="134"/>
        <scheme val="minor"/>
      </rPr>
      <t>賔</t>
    </r>
    <r>
      <rPr>
        <sz val="9"/>
        <rFont val="ＭＳ Ｐゴシック"/>
        <family val="3"/>
        <charset val="128"/>
        <scheme val="minor"/>
      </rPr>
      <t>対晤」</t>
    </r>
  </si>
  <si>
    <r>
      <t>湯浅高行、藤野</t>
    </r>
    <r>
      <rPr>
        <sz val="9"/>
        <rFont val="ＭＳ Ｐゴシック"/>
        <family val="3"/>
        <charset val="136"/>
        <scheme val="minor"/>
      </rPr>
      <t>珇</t>
    </r>
    <r>
      <rPr>
        <sz val="9"/>
        <rFont val="ＭＳ Ｐゴシック"/>
        <family val="3"/>
        <charset val="128"/>
        <scheme val="minor"/>
      </rPr>
      <t>男、屋代正幸</t>
    </r>
  </si>
  <si>
    <t>文庫めぐり（12）　名古屋市蓬左文庫</t>
    <phoneticPr fontId="1"/>
  </si>
  <si>
    <t>文庫めぐり（30）　九州大学附属図書館医学分館　貴重古医書コレクション</t>
    <phoneticPr fontId="1"/>
  </si>
  <si>
    <r>
      <t>『鍼灸抜</t>
    </r>
    <r>
      <rPr>
        <sz val="9"/>
        <color rgb="FFFF0000"/>
        <rFont val="ＭＳ Ｐゴシック"/>
        <family val="3"/>
        <charset val="128"/>
        <scheme val="minor"/>
      </rPr>
      <t>翠</t>
    </r>
    <r>
      <rPr>
        <sz val="9"/>
        <rFont val="ＭＳ Ｐゴシック"/>
        <family val="3"/>
        <charset val="128"/>
        <scheme val="minor"/>
      </rPr>
      <t>』について（抄）</t>
    </r>
    <phoneticPr fontId="1"/>
  </si>
  <si>
    <t>『鍼灸抜翠』は『鍼灸抜萃』の誤りか？</t>
    <rPh sb="8" eb="10">
      <t>ハ</t>
    </rPh>
    <rPh sb="10" eb="12">
      <t>バッスイ</t>
    </rPh>
    <rPh sb="14" eb="15">
      <t>アヤマ</t>
    </rPh>
    <phoneticPr fontId="1"/>
  </si>
  <si>
    <t>文庫めぐり(11)　九州大学附属図書館医学分館</t>
    <phoneticPr fontId="1"/>
  </si>
  <si>
    <t>文庫めぐり（16）　鶚軒文庫</t>
    <phoneticPr fontId="1"/>
  </si>
  <si>
    <t>文庫めぐり（15）　岡山大学附属図書館鹿田分館（通称医学図書館）</t>
    <phoneticPr fontId="1"/>
  </si>
  <si>
    <t>文庫めぐり（14）　宗田文庫</t>
    <phoneticPr fontId="1"/>
  </si>
  <si>
    <t>文庫めぐり（18）　龍谷大学大宮図書館</t>
    <phoneticPr fontId="1"/>
  </si>
  <si>
    <t>文庫めぐり（28）　下関市立長府図書館（下関文書館）</t>
    <phoneticPr fontId="1"/>
  </si>
  <si>
    <t>文庫めぐり（27）　ゲッチンゲン医学古典文庫</t>
    <phoneticPr fontId="1"/>
  </si>
  <si>
    <t>文庫めぐり（1）　国立公文書館―内閣文庫</t>
    <phoneticPr fontId="1"/>
  </si>
  <si>
    <t>文庫めぐり（2）　宮内庁書陵部</t>
    <phoneticPr fontId="1"/>
  </si>
  <si>
    <t>文庫めぐり（3）　無窮会神習文庫</t>
    <phoneticPr fontId="1"/>
  </si>
  <si>
    <t>文庫めぐり（4）　金沢大学医学図書館</t>
    <phoneticPr fontId="1"/>
  </si>
  <si>
    <t>文庫めぐり（5）　横浜市立大学医学情報センター</t>
    <phoneticPr fontId="1"/>
  </si>
  <si>
    <t>文庫めぐり（6）　順天堂大学医学部山崎文庫</t>
    <phoneticPr fontId="1"/>
  </si>
  <si>
    <t>文庫めぐり（7）　北里大学医学図書館「飯山文庫」</t>
    <phoneticPr fontId="1"/>
  </si>
  <si>
    <t>文庫めぐり（8）　鶴見大学図書館</t>
    <rPh sb="0" eb="2">
      <t>ブンコ</t>
    </rPh>
    <phoneticPr fontId="1"/>
  </si>
  <si>
    <t>文庫めぐり（9）　内藤記念くすり博物館附属図書室</t>
    <rPh sb="0" eb="2">
      <t>ブンコ</t>
    </rPh>
    <phoneticPr fontId="1"/>
  </si>
  <si>
    <t>文庫めぐり（19）　高知県立牧野植物園牧野文庫</t>
    <phoneticPr fontId="1"/>
  </si>
  <si>
    <t>文庫めぐり（20）　津山洋学資料館</t>
    <phoneticPr fontId="1"/>
  </si>
  <si>
    <t>文庫めぐり（21）　温知堂文庫</t>
    <phoneticPr fontId="1"/>
  </si>
  <si>
    <t>文庫めぐり（22）　千葉大学附属図書館・亥鼻分館</t>
    <phoneticPr fontId="1"/>
  </si>
  <si>
    <t>文庫めぐり（23）　東京大学総合図書館</t>
    <phoneticPr fontId="1"/>
  </si>
  <si>
    <t>文庫めぐり（24）　西尾市岩瀬文庫</t>
    <phoneticPr fontId="1"/>
  </si>
  <si>
    <t>文庫めぐり（25）　暘明文庫</t>
    <phoneticPr fontId="1"/>
  </si>
  <si>
    <t>日本内経医学会編『黄帝内経明堂』</t>
    <rPh sb="2" eb="4">
      <t>ナイケイ</t>
    </rPh>
    <rPh sb="11" eb="13">
      <t>ナイケイ</t>
    </rPh>
    <phoneticPr fontId="1"/>
  </si>
  <si>
    <t>新出資料『檉園先生叢話』について―高岡佐渡家文書から（抄）</t>
    <phoneticPr fontId="1"/>
  </si>
  <si>
    <t>内藤記念くすり博物館「鱘石」の袋の書付について（抄）</t>
    <phoneticPr fontId="1"/>
  </si>
  <si>
    <t>「革渓医砭」（一八五四）にみる平野重誠の医療観（抄）</t>
    <rPh sb="4" eb="5">
      <t>ヘン</t>
    </rPh>
    <phoneticPr fontId="1"/>
  </si>
  <si>
    <t>北里研究所東洋医学総合研究所所蔵多紀元堅書き込み入り『医賸』について（抄）</t>
    <rPh sb="27" eb="29">
      <t>イショウ</t>
    </rPh>
    <phoneticPr fontId="1"/>
  </si>
  <si>
    <t>http://jsmh.umin.jp/journal/index.html</t>
    <phoneticPr fontId="1"/>
  </si>
  <si>
    <t>○国立国会図書館近代デジタルコレクション</t>
    <phoneticPr fontId="1"/>
  </si>
  <si>
    <t>○日本医史学雑誌</t>
    <rPh sb="1" eb="8">
      <t>ニホンイシガクザッシ</t>
    </rPh>
    <phoneticPr fontId="1"/>
  </si>
  <si>
    <t>http://dl.ndl.go.jp/</t>
    <phoneticPr fontId="1"/>
  </si>
  <si>
    <t>中外医事新報　　1882年(明治15)～</t>
  </si>
  <si>
    <t>日本医史学雑誌　2000年(平成12)まで</t>
  </si>
  <si>
    <t>1338件</t>
  </si>
  <si>
    <t>絞込検索</t>
  </si>
  <si>
    <t>http://dl.ndl.go.jp/search/searchResult?featureCode=all&amp;viewRestrictedList=0&amp;pageNo=1&amp;searchWord=%E6%97%A5%E6%9C%AC%E5%8C%BB%E5%8F%B2%E5%AD%A6%E4%BC%9A&amp;facetOpenedNodeIds=1%3A01&amp;filters=1%3A01</t>
    <phoneticPr fontId="1"/>
  </si>
  <si>
    <t>　　↓</t>
    <phoneticPr fontId="1"/>
  </si>
  <si>
    <t>＊国立国会図書館デジタルコレクションのメモ</t>
    <rPh sb="1" eb="18">
      <t>コッカイ@</t>
    </rPh>
    <phoneticPr fontId="1"/>
  </si>
  <si>
    <t>＊1945年(昭和20)～1953年(昭和28)（休刊）</t>
    <phoneticPr fontId="1"/>
  </si>
  <si>
    <t>1957年(昭和32)～1964年(昭和39)　欠巻</t>
    <rPh sb="25" eb="26">
      <t>マキ</t>
    </rPh>
    <phoneticPr fontId="1"/>
  </si>
  <si>
    <t>国立国会図書館デジタルコレクション　欠号</t>
    <rPh sb="0" eb="17">
      <t>コッカイ@</t>
    </rPh>
    <rPh sb="18" eb="20">
      <t>ケツゴウ</t>
    </rPh>
    <phoneticPr fontId="1"/>
  </si>
  <si>
    <t>エドアルド・ザイドラー</t>
    <phoneticPr fontId="1"/>
  </si>
  <si>
    <t>国立国会図書館デジタルコレクション　欠号</t>
  </si>
  <si>
    <t>個別分け無し</t>
  </si>
  <si>
    <t>国立国会図書館デジタルコレクション　リンク</t>
    <rPh sb="0" eb="17">
      <t>コッカイ@</t>
    </rPh>
    <phoneticPr fontId="1"/>
  </si>
  <si>
    <t>●中外医事新報と日本医史学雑誌の雑誌をまとめて検索可能</t>
    <rPh sb="1" eb="7">
      <t>チュウガイイジシンポウ</t>
    </rPh>
    <rPh sb="8" eb="15">
      <t>ニホンイシガクザッシ</t>
    </rPh>
    <rPh sb="16" eb="18">
      <t>ザッシ</t>
    </rPh>
    <rPh sb="23" eb="25">
      <t>ケンサク</t>
    </rPh>
    <rPh sb="25" eb="27">
      <t>カノウ</t>
    </rPh>
    <phoneticPr fontId="1"/>
  </si>
  <si>
    <t>1987年(昭和62)　33巻1号　欠巻</t>
    <rPh sb="14" eb="15">
      <t>マキ</t>
    </rPh>
    <rPh sb="16" eb="17">
      <t>ゴウ</t>
    </rPh>
    <rPh sb="18" eb="19">
      <t>ケツ</t>
    </rPh>
    <rPh sb="19" eb="20">
      <t>マキ</t>
    </rPh>
    <phoneticPr fontId="1"/>
  </si>
  <si>
    <t>1982年(昭和57)年からは、日本医史学雑誌をお勧めします。論文、記事など、個別に分けられたファイル（ＰＤＦファイル）なので、開くのは短時間です。</t>
    <rPh sb="11" eb="12">
      <t>ネン</t>
    </rPh>
    <rPh sb="16" eb="23">
      <t>ニホンイシガクザッシ</t>
    </rPh>
    <rPh sb="25" eb="26">
      <t>スス</t>
    </rPh>
    <rPh sb="31" eb="33">
      <t>ロンブン</t>
    </rPh>
    <rPh sb="34" eb="36">
      <t>キジ</t>
    </rPh>
    <rPh sb="42" eb="43">
      <t>ワ</t>
    </rPh>
    <rPh sb="64" eb="65">
      <t>ヒラ</t>
    </rPh>
    <rPh sb="68" eb="71">
      <t>タンジカン</t>
    </rPh>
    <phoneticPr fontId="1"/>
  </si>
  <si>
    <t>国立国会図書館デジタルコレクションにリンクがあるものは、そちらをお勧めします。時間が掛かっても詳しく見たい場合は日本医史学雑誌を選択。</t>
    <rPh sb="0" eb="17">
      <t>コッカイ@</t>
    </rPh>
    <rPh sb="33" eb="34">
      <t>スス</t>
    </rPh>
    <rPh sb="39" eb="41">
      <t>ジカン</t>
    </rPh>
    <rPh sb="42" eb="43">
      <t>カ</t>
    </rPh>
    <rPh sb="47" eb="48">
      <t>クワ</t>
    </rPh>
    <rPh sb="50" eb="51">
      <t>ミ</t>
    </rPh>
    <rPh sb="53" eb="55">
      <t>バアイ</t>
    </rPh>
    <rPh sb="56" eb="63">
      <t>ニホンイシガクザッシ</t>
    </rPh>
    <rPh sb="64" eb="66">
      <t>センタク</t>
    </rPh>
    <phoneticPr fontId="1"/>
  </si>
  <si>
    <t>『●〔＝外字〕』（義未詳）の解釈(抄)</t>
    <phoneticPr fontId="1"/>
  </si>
  <si>
    <t>『𪗴』（義未詳）の解釈(抄)</t>
    <phoneticPr fontId="1"/>
  </si>
  <si>
    <t>中国古代人体内景図に於ける脂●（外字＝月+曼）、脂膜について（抄）</t>
    <phoneticPr fontId="1"/>
  </si>
  <si>
    <r>
      <t>湯浅高之、藤野</t>
    </r>
    <r>
      <rPr>
        <sz val="9"/>
        <rFont val="ＭＳ Ｐゴシック"/>
        <family val="3"/>
        <charset val="136"/>
        <scheme val="minor"/>
      </rPr>
      <t>珇</t>
    </r>
    <r>
      <rPr>
        <sz val="9"/>
        <rFont val="ＭＳ Ｐゴシック"/>
        <family val="3"/>
        <charset val="128"/>
        <scheme val="minor"/>
      </rPr>
      <t>男、屋代正幸</t>
    </r>
    <phoneticPr fontId="1"/>
  </si>
  <si>
    <t>𪗴　『大漢和辞典』　12巻1102ページ　48637</t>
    <rPh sb="3" eb="10">
      <t>ダイカンワ</t>
    </rPh>
    <rPh sb="13" eb="14">
      <t>マキ</t>
    </rPh>
    <phoneticPr fontId="1"/>
  </si>
  <si>
    <t>コードの無い文字：</t>
    <rPh sb="4" eb="5">
      <t>ナ</t>
    </rPh>
    <rPh sb="6" eb="8">
      <t>モジ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</si>
</sst>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u/>
      <sz val="9"/>
      <name val="ＭＳ Ｐゴシック"/>
      <family val="3"/>
      <charset val="128"/>
      <scheme val="minor"/>
    </font>
    <font>
      <b/>
      <sz val="9"/>
      <name val="ＭＳ Ｐゴシック"/>
      <family val="3"/>
      <charset val="128"/>
      <scheme val="minor"/>
    </font>
    <font>
      <sz val="16"/>
      <color theme="1"/>
      <name val="ＭＳ Ｐゴシック"/>
      <family val="2"/>
      <charset val="128"/>
      <scheme val="minor"/>
    </font>
    <font>
      <sz val="11"/>
      <color rgb="FFFF0000"/>
      <name val="ＭＳ Ｐゴシック"/>
      <family val="3"/>
      <charset val="128"/>
      <scheme val="minor"/>
    </font>
    <font>
      <u/>
      <sz val="9"/>
      <name val="ＭＳ Ｐゴシック"/>
      <family val="3"/>
      <charset val="128"/>
      <scheme val="minor"/>
    </font>
    <font>
      <sz val="9"/>
      <name val="ＭＳ Ｐゴシック"/>
      <family val="2"/>
      <charset val="128"/>
      <scheme val="minor"/>
    </font>
    <font>
      <sz val="9"/>
      <name val="ＭＳ Ｐゴシック"/>
      <family val="3"/>
      <charset val="128"/>
      <scheme val="minor"/>
    </font>
    <font>
      <sz val="9"/>
      <name val="ＭＳ Ｐゴシック"/>
      <family val="3"/>
      <charset val="134"/>
      <scheme val="minor"/>
    </font>
    <font>
      <u/>
      <sz val="9"/>
      <name val="ＭＳ Ｐゴシック"/>
      <family val="2"/>
      <charset val="128"/>
      <scheme val="minor"/>
    </font>
    <font>
      <sz val="9"/>
      <name val="ＭＳ Ｐゴシック"/>
      <family val="3"/>
      <charset val="136"/>
      <scheme val="minor"/>
    </font>
    <font>
      <sz val="9"/>
      <name val="Arial"/>
      <family val="2"/>
    </font>
    <font>
      <sz val="9"/>
      <color rgb="FFFF0000"/>
      <name val="ＭＳ Ｐゴシック"/>
      <family val="3"/>
      <charset val="128"/>
      <scheme val="minor"/>
    </font>
    <font>
      <sz val="11"/>
      <color rgb="FFFF0000"/>
      <name val="ＭＳ Ｐゴシック"/>
      <family val="2"/>
      <charset val="128"/>
      <scheme val="minor"/>
    </font>
    <font>
      <sz val="9"/>
      <color theme="1"/>
      <name val="ＭＳ Ｐゴシック"/>
      <family val="3"/>
      <charset val="128"/>
      <scheme val="minor"/>
    </font>
  </fonts>
  <fills count="9">
    <fill>
      <patternFill patternType="none"/>
    </fill>
    <fill>
      <patternFill patternType="gray125"/>
    </fill>
    <fill>
      <patternFill patternType="solid">
        <fgColor rgb="FFFFFF50"/>
        <bgColor indexed="64"/>
      </patternFill>
    </fill>
    <fill>
      <patternFill patternType="solid">
        <fgColor rgb="FFFFFF00"/>
        <bgColor indexed="64"/>
      </patternFill>
    </fill>
    <fill>
      <patternFill patternType="solid">
        <fgColor rgb="FFFFFFFF"/>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9">
    <xf numFmtId="0" fontId="0" fillId="0" borderId="0" xfId="0">
      <alignment vertical="center"/>
    </xf>
    <xf numFmtId="0" fontId="3" fillId="0" borderId="0" xfId="0" applyFont="1" applyAlignment="1">
      <alignment horizontal="left" vertical="center"/>
    </xf>
    <xf numFmtId="0" fontId="3" fillId="5" borderId="1" xfId="0" applyFont="1" applyFill="1" applyBorder="1" applyAlignment="1">
      <alignment horizontal="left" vertical="center" wrapText="1"/>
    </xf>
    <xf numFmtId="0" fontId="3" fillId="5" borderId="1"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1" xfId="0" applyFont="1" applyBorder="1" applyAlignment="1">
      <alignment horizontal="left" vertical="center" wrapText="1"/>
    </xf>
    <xf numFmtId="0" fontId="3" fillId="7" borderId="1" xfId="1" applyFont="1" applyFill="1" applyBorder="1" applyAlignment="1">
      <alignment horizontal="left" vertical="center" wrapText="1"/>
    </xf>
    <xf numFmtId="0" fontId="4" fillId="3" borderId="1" xfId="0" applyFont="1" applyFill="1" applyBorder="1" applyAlignment="1">
      <alignment vertical="center" wrapText="1"/>
    </xf>
    <xf numFmtId="0" fontId="3" fillId="0" borderId="1" xfId="1"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0" xfId="0" applyFont="1">
      <alignment vertical="center"/>
    </xf>
    <xf numFmtId="0" fontId="0" fillId="3" borderId="0" xfId="0" applyFill="1">
      <alignment vertical="center"/>
    </xf>
    <xf numFmtId="0" fontId="7" fillId="0" borderId="1" xfId="1" applyFont="1" applyFill="1" applyBorder="1" applyAlignment="1">
      <alignment horizontal="left" vertical="center" wrapText="1"/>
    </xf>
    <xf numFmtId="0" fontId="4" fillId="2" borderId="1" xfId="0" applyFont="1" applyFill="1" applyBorder="1" applyAlignment="1">
      <alignment vertical="center" wrapText="1"/>
    </xf>
    <xf numFmtId="0" fontId="8" fillId="6" borderId="0" xfId="0" applyFont="1" applyFill="1" applyAlignment="1">
      <alignment vertical="center"/>
    </xf>
    <xf numFmtId="0" fontId="8" fillId="0" borderId="0" xfId="0" applyFont="1" applyAlignment="1">
      <alignment vertical="center"/>
    </xf>
    <xf numFmtId="0" fontId="9" fillId="4" borderId="1" xfId="0" applyFont="1" applyFill="1" applyBorder="1" applyAlignment="1">
      <alignment horizontal="left" vertical="top" wrapText="1"/>
    </xf>
    <xf numFmtId="0" fontId="9" fillId="4"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8" fillId="0" borderId="0" xfId="0" applyFont="1" applyAlignment="1">
      <alignment horizontal="left" vertical="center"/>
    </xf>
    <xf numFmtId="0" fontId="8" fillId="3" borderId="0" xfId="0" applyFont="1" applyFill="1" applyAlignment="1">
      <alignment horizontal="left" vertical="center"/>
    </xf>
    <xf numFmtId="0" fontId="8" fillId="8" borderId="0" xfId="0" applyFont="1" applyFill="1" applyAlignment="1">
      <alignment horizontal="left" vertical="center"/>
    </xf>
    <xf numFmtId="0" fontId="9" fillId="0"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11" fillId="0" borderId="1" xfId="1" applyFont="1" applyBorder="1" applyAlignment="1">
      <alignment horizontal="left" vertical="center" wrapText="1"/>
    </xf>
    <xf numFmtId="0" fontId="11" fillId="0" borderId="1" xfId="1" applyFont="1" applyFill="1" applyBorder="1" applyAlignment="1">
      <alignment horizontal="left" vertical="center" wrapText="1"/>
    </xf>
    <xf numFmtId="0" fontId="9" fillId="6"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3" fillId="2" borderId="2" xfId="0" applyFont="1" applyFill="1" applyBorder="1" applyAlignment="1">
      <alignment horizontal="left" vertical="top" wrapText="1"/>
    </xf>
    <xf numFmtId="0" fontId="13" fillId="2" borderId="2" xfId="0" applyFont="1" applyFill="1" applyBorder="1" applyAlignment="1">
      <alignment horizontal="left" vertical="center" wrapText="1"/>
    </xf>
    <xf numFmtId="0" fontId="8" fillId="0" borderId="2" xfId="0" applyFont="1" applyBorder="1" applyAlignment="1">
      <alignment horizontal="left" vertical="center"/>
    </xf>
    <xf numFmtId="0" fontId="9" fillId="0" borderId="2" xfId="0" applyFont="1" applyBorder="1" applyAlignment="1">
      <alignment horizontal="left" vertical="center"/>
    </xf>
    <xf numFmtId="0" fontId="8" fillId="0" borderId="0" xfId="0" applyFont="1" applyAlignment="1">
      <alignment horizontal="left" vertical="top"/>
    </xf>
    <xf numFmtId="0" fontId="11" fillId="0" borderId="0" xfId="1" applyFont="1" applyAlignment="1">
      <alignment horizontal="left" vertical="center"/>
    </xf>
    <xf numFmtId="0" fontId="9" fillId="0" borderId="0" xfId="0" applyFont="1" applyAlignment="1">
      <alignment horizontal="left" vertical="center"/>
    </xf>
    <xf numFmtId="0" fontId="2" fillId="0" borderId="0" xfId="1">
      <alignment vertical="center"/>
    </xf>
    <xf numFmtId="0" fontId="15" fillId="0" borderId="0" xfId="0" applyFont="1">
      <alignment vertical="center"/>
    </xf>
    <xf numFmtId="0" fontId="2" fillId="0" borderId="0" xfId="1" applyAlignment="1">
      <alignment horizontal="left" vertical="center"/>
    </xf>
    <xf numFmtId="0" fontId="0" fillId="0" borderId="0" xfId="0" applyAlignment="1">
      <alignment vertical="center"/>
    </xf>
    <xf numFmtId="0" fontId="14" fillId="0" borderId="1" xfId="0" applyFont="1" applyBorder="1" applyAlignment="1">
      <alignment horizontal="left" vertical="center" wrapText="1"/>
    </xf>
    <xf numFmtId="0" fontId="16" fillId="0" borderId="1" xfId="0" applyFont="1" applyBorder="1" applyAlignment="1">
      <alignment vertical="center"/>
    </xf>
    <xf numFmtId="0" fontId="9" fillId="0" borderId="1" xfId="0" applyFont="1" applyBorder="1" applyAlignment="1">
      <alignment horizontal="left" vertical="center"/>
    </xf>
    <xf numFmtId="0" fontId="14" fillId="0" borderId="1" xfId="0" applyFont="1" applyBorder="1" applyAlignment="1">
      <alignment vertical="center"/>
    </xf>
    <xf numFmtId="0" fontId="9" fillId="3" borderId="1" xfId="0" applyFont="1" applyFill="1" applyBorder="1" applyAlignment="1">
      <alignment horizontal="left" vertical="center"/>
    </xf>
    <xf numFmtId="0" fontId="0" fillId="0" borderId="1" xfId="0" applyBorder="1" applyAlignment="1">
      <alignment vertical="center"/>
    </xf>
    <xf numFmtId="0" fontId="15" fillId="0" borderId="1" xfId="0" applyFont="1" applyBorder="1" applyAlignment="1">
      <alignment vertical="center"/>
    </xf>
    <xf numFmtId="0" fontId="6" fillId="0" borderId="1"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gif"/><Relationship Id="rId1" Type="http://schemas.openxmlformats.org/officeDocument/2006/relationships/hyperlink" Target="http://jsmh.umin.jp/journal.html#top" TargetMode="External"/><Relationship Id="rId5" Type="http://schemas.openxmlformats.org/officeDocument/2006/relationships/image" Target="../media/image3.gif"/><Relationship Id="rId4" Type="http://schemas.openxmlformats.org/officeDocument/2006/relationships/hyperlink" Target="http://jsmh.umin.jp/index.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8.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6074</xdr:row>
      <xdr:rowOff>0</xdr:rowOff>
    </xdr:from>
    <xdr:to>
      <xdr:col>0</xdr:col>
      <xdr:colOff>485775</xdr:colOff>
      <xdr:row>6074</xdr:row>
      <xdr:rowOff>168521</xdr:rowOff>
    </xdr:to>
    <xdr:pic>
      <xdr:nvPicPr>
        <xdr:cNvPr id="2" name="図 1" descr="TOP">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09241000"/>
          <a:ext cx="485775" cy="168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6074</xdr:row>
      <xdr:rowOff>0</xdr:rowOff>
    </xdr:from>
    <xdr:to>
      <xdr:col>0</xdr:col>
      <xdr:colOff>485775</xdr:colOff>
      <xdr:row>6074</xdr:row>
      <xdr:rowOff>168519</xdr:rowOff>
    </xdr:to>
    <xdr:pic>
      <xdr:nvPicPr>
        <xdr:cNvPr id="3" name="図 2" descr="TOP">
          <a:hlinkClick xmlns:r="http://schemas.openxmlformats.org/officeDocument/2006/relationships" r:id="rId1"/>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09241000"/>
          <a:ext cx="485775" cy="168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6074</xdr:row>
      <xdr:rowOff>0</xdr:rowOff>
    </xdr:from>
    <xdr:to>
      <xdr:col>1</xdr:col>
      <xdr:colOff>123825</xdr:colOff>
      <xdr:row>6074</xdr:row>
      <xdr:rowOff>168519</xdr:rowOff>
    </xdr:to>
    <xdr:pic>
      <xdr:nvPicPr>
        <xdr:cNvPr id="4" name="図 3" descr="http://jsmh.umin.jp/pics/back.gif">
          <a:hlinkClick xmlns:r="http://schemas.openxmlformats.org/officeDocument/2006/relationships" r:id="rId4" tgtFrame="_top"/>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309241000"/>
          <a:ext cx="809625" cy="244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135706</xdr:colOff>
      <xdr:row>0</xdr:row>
      <xdr:rowOff>167269</xdr:rowOff>
    </xdr:from>
    <xdr:to>
      <xdr:col>0</xdr:col>
      <xdr:colOff>3319038</xdr:colOff>
      <xdr:row>12</xdr:row>
      <xdr:rowOff>60401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706" y="167269"/>
          <a:ext cx="3183332" cy="1956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622789</xdr:colOff>
      <xdr:row>9</xdr:row>
      <xdr:rowOff>7327</xdr:rowOff>
    </xdr:from>
    <xdr:to>
      <xdr:col>2</xdr:col>
      <xdr:colOff>93979</xdr:colOff>
      <xdr:row>28</xdr:row>
      <xdr:rowOff>60209</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789" y="1597269"/>
          <a:ext cx="4284978" cy="3254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1</xdr:col>
      <xdr:colOff>3695556</xdr:colOff>
      <xdr:row>40</xdr:row>
      <xdr:rowOff>15928</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8731" y="5634404"/>
          <a:ext cx="3695556" cy="1195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7327</xdr:colOff>
      <xdr:row>47</xdr:row>
      <xdr:rowOff>87923</xdr:rowOff>
    </xdr:from>
    <xdr:to>
      <xdr:col>3</xdr:col>
      <xdr:colOff>510559</xdr:colOff>
      <xdr:row>57</xdr:row>
      <xdr:rowOff>61008</xdr:rowOff>
    </xdr:to>
    <xdr:pic>
      <xdr:nvPicPr>
        <xdr:cNvPr id="14" name="図 1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6058" y="8081596"/>
          <a:ext cx="5317020" cy="1658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20052</xdr:colOff>
      <xdr:row>61</xdr:row>
      <xdr:rowOff>115302</xdr:rowOff>
    </xdr:from>
    <xdr:to>
      <xdr:col>1</xdr:col>
      <xdr:colOff>2524009</xdr:colOff>
      <xdr:row>72</xdr:row>
      <xdr:rowOff>94023</xdr:rowOff>
    </xdr:to>
    <xdr:pic>
      <xdr:nvPicPr>
        <xdr:cNvPr id="15" name="図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6855" y="10582776"/>
          <a:ext cx="2503957" cy="1853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77</xdr:row>
      <xdr:rowOff>168518</xdr:rowOff>
    </xdr:from>
    <xdr:to>
      <xdr:col>3</xdr:col>
      <xdr:colOff>126750</xdr:colOff>
      <xdr:row>88</xdr:row>
      <xdr:rowOff>161191</xdr:rowOff>
    </xdr:to>
    <xdr:pic>
      <xdr:nvPicPr>
        <xdr:cNvPr id="16" name="図 1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88731" y="13217768"/>
          <a:ext cx="4940538" cy="1846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0</xdr:col>
      <xdr:colOff>842055</xdr:colOff>
      <xdr:row>38</xdr:row>
      <xdr:rowOff>169409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69781"/>
          <a:ext cx="842055" cy="859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l.ndl.go.jp/info:ndljp/pid/3359220" TargetMode="External"/><Relationship Id="rId2" Type="http://schemas.openxmlformats.org/officeDocument/2006/relationships/hyperlink" Target="http://dl.ndl.go.jp/info:ndljp/pid/3359220" TargetMode="External"/><Relationship Id="rId1" Type="http://schemas.openxmlformats.org/officeDocument/2006/relationships/hyperlink" Target="http://jsmh.umin.jp/inde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dl.ndl.go.jp/search/searchResult?featureCode=all&amp;viewRestrictedList=0&amp;pageNo=1&amp;searchWord=%E6%97%A5%E6%9C%AC%E5%8C%BB%E5%8F%B2%E5%AD%A6%E4%BC%9A&amp;facetOpenedNodeIds=1%3A01&amp;filters=1%3A01" TargetMode="External"/><Relationship Id="rId2" Type="http://schemas.openxmlformats.org/officeDocument/2006/relationships/hyperlink" Target="http://dl.ndl.go.jp/" TargetMode="External"/><Relationship Id="rId1" Type="http://schemas.openxmlformats.org/officeDocument/2006/relationships/hyperlink" Target="http://jsmh.umin.jp/journal/index.html" TargetMode="External"/><Relationship Id="rId5" Type="http://schemas.openxmlformats.org/officeDocument/2006/relationships/drawing" Target="../drawings/drawing4.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6083"/>
  <sheetViews>
    <sheetView tabSelected="1" zoomScale="175" zoomScaleNormal="175" workbookViewId="0">
      <pane xSplit="6" ySplit="1" topLeftCell="G2" activePane="bottomRight" state="frozen"/>
      <selection pane="topRight" activeCell="G1" sqref="G1"/>
      <selection pane="bottomLeft" activeCell="A2" sqref="A2"/>
      <selection pane="bottomRight" activeCell="A2" sqref="A2"/>
    </sheetView>
  </sheetViews>
  <sheetFormatPr defaultRowHeight="30" customHeight="1" x14ac:dyDescent="0.15"/>
  <cols>
    <col min="1" max="1" width="9" style="34"/>
    <col min="2" max="2" width="34.375" style="20" customWidth="1"/>
    <col min="3" max="3" width="14.875" style="20" customWidth="1"/>
    <col min="4" max="4" width="13.375" style="20" customWidth="1"/>
    <col min="5" max="5" width="11.5" style="20" bestFit="1" customWidth="1"/>
    <col min="6" max="6" width="9" style="36" bestFit="1" customWidth="1"/>
    <col min="7" max="7" width="22.125" style="1" customWidth="1"/>
    <col min="8" max="8" width="34" style="36" customWidth="1"/>
    <col min="9" max="9" width="33.25" style="20" customWidth="1"/>
    <col min="10" max="10" width="32.375" style="20" customWidth="1"/>
    <col min="11" max="16384" width="9" style="20"/>
  </cols>
  <sheetData>
    <row r="1" spans="1:14" s="15" customFormat="1" ht="30" customHeight="1" x14ac:dyDescent="0.15">
      <c r="A1" s="13" t="s">
        <v>0</v>
      </c>
      <c r="B1" s="13" t="s">
        <v>1</v>
      </c>
      <c r="C1" s="13" t="s">
        <v>2</v>
      </c>
      <c r="D1" s="13" t="s">
        <v>3</v>
      </c>
      <c r="E1" s="13" t="s">
        <v>4</v>
      </c>
      <c r="F1" s="13" t="s">
        <v>5</v>
      </c>
      <c r="G1" s="7" t="s">
        <v>10023</v>
      </c>
      <c r="H1" s="14" t="s">
        <v>10658</v>
      </c>
    </row>
    <row r="2" spans="1:14" ht="30" customHeight="1" x14ac:dyDescent="0.15">
      <c r="A2" s="16"/>
      <c r="B2" s="17" t="s">
        <v>6</v>
      </c>
      <c r="C2" s="17"/>
      <c r="D2" s="18" t="s">
        <v>7</v>
      </c>
      <c r="E2" s="19" t="s">
        <v>8</v>
      </c>
      <c r="F2" s="19" t="s">
        <v>9</v>
      </c>
      <c r="G2" s="2" t="str">
        <f t="shared" ref="G2:G18" si="0">HYPERLINK("http://jsmh.umin.jp/journal/05-1/05-1.pdf")</f>
        <v>http://jsmh.umin.jp/journal/05-1/05-1.pdf</v>
      </c>
      <c r="H2" s="42" t="str">
        <f>HYPERLINK("http://dl.ndl.go.jp/info:ndljp/pid/3359220")</f>
        <v>http://dl.ndl.go.jp/info:ndljp/pid/3359220</v>
      </c>
    </row>
    <row r="3" spans="1:14" ht="30" customHeight="1" x14ac:dyDescent="0.15">
      <c r="A3" s="16"/>
      <c r="B3" s="17" t="s">
        <v>10</v>
      </c>
      <c r="C3" s="17" t="s">
        <v>11</v>
      </c>
      <c r="D3" s="23" t="s">
        <v>7</v>
      </c>
      <c r="E3" s="19" t="s">
        <v>8</v>
      </c>
      <c r="F3" s="19" t="s">
        <v>12</v>
      </c>
      <c r="G3" s="2" t="str">
        <f t="shared" si="0"/>
        <v>http://jsmh.umin.jp/journal/05-1/05-1.pdf</v>
      </c>
      <c r="H3" s="42" t="str">
        <f t="shared" ref="H3:H18" si="1">HYPERLINK("http://dl.ndl.go.jp/info:ndljp/pid/3359220")</f>
        <v>http://dl.ndl.go.jp/info:ndljp/pid/3359220</v>
      </c>
    </row>
    <row r="4" spans="1:14" ht="30" customHeight="1" x14ac:dyDescent="0.15">
      <c r="A4" s="16"/>
      <c r="B4" s="17" t="s">
        <v>13</v>
      </c>
      <c r="C4" s="17"/>
      <c r="D4" s="19" t="s">
        <v>7</v>
      </c>
      <c r="E4" s="19" t="s">
        <v>8</v>
      </c>
      <c r="F4" s="19" t="s">
        <v>14</v>
      </c>
      <c r="G4" s="2" t="str">
        <f t="shared" si="0"/>
        <v>http://jsmh.umin.jp/journal/05-1/05-1.pdf</v>
      </c>
      <c r="H4" s="42" t="str">
        <f t="shared" si="1"/>
        <v>http://dl.ndl.go.jp/info:ndljp/pid/3359220</v>
      </c>
    </row>
    <row r="5" spans="1:14" ht="30" customHeight="1" x14ac:dyDescent="0.15">
      <c r="A5" s="16" t="s">
        <v>81</v>
      </c>
      <c r="B5" s="17" t="s">
        <v>10029</v>
      </c>
      <c r="C5" s="17"/>
      <c r="D5" s="19" t="s">
        <v>7</v>
      </c>
      <c r="E5" s="19" t="s">
        <v>8</v>
      </c>
      <c r="F5" s="19" t="s">
        <v>14</v>
      </c>
      <c r="G5" s="2" t="str">
        <f t="shared" si="0"/>
        <v>http://jsmh.umin.jp/journal/05-1/05-1.pdf</v>
      </c>
      <c r="H5" s="42" t="str">
        <f t="shared" si="1"/>
        <v>http://dl.ndl.go.jp/info:ndljp/pid/3359220</v>
      </c>
    </row>
    <row r="6" spans="1:14" ht="30" customHeight="1" x14ac:dyDescent="0.15">
      <c r="A6" s="16"/>
      <c r="B6" s="17" t="s">
        <v>15</v>
      </c>
      <c r="C6" s="17"/>
      <c r="D6" s="19" t="s">
        <v>7</v>
      </c>
      <c r="E6" s="19" t="s">
        <v>8</v>
      </c>
      <c r="F6" s="19" t="s">
        <v>16</v>
      </c>
      <c r="G6" s="2" t="str">
        <f t="shared" si="0"/>
        <v>http://jsmh.umin.jp/journal/05-1/05-1.pdf</v>
      </c>
      <c r="H6" s="42" t="str">
        <f t="shared" si="1"/>
        <v>http://dl.ndl.go.jp/info:ndljp/pid/3359220</v>
      </c>
    </row>
    <row r="7" spans="1:14" ht="30" customHeight="1" x14ac:dyDescent="0.15">
      <c r="A7" s="16" t="s">
        <v>17</v>
      </c>
      <c r="B7" s="17" t="s">
        <v>10030</v>
      </c>
      <c r="C7" s="17" t="s">
        <v>18</v>
      </c>
      <c r="D7" s="19" t="s">
        <v>7</v>
      </c>
      <c r="E7" s="19" t="s">
        <v>8</v>
      </c>
      <c r="F7" s="19" t="s">
        <v>19</v>
      </c>
      <c r="G7" s="2" t="str">
        <f t="shared" si="0"/>
        <v>http://jsmh.umin.jp/journal/05-1/05-1.pdf</v>
      </c>
      <c r="H7" s="42" t="str">
        <f t="shared" si="1"/>
        <v>http://dl.ndl.go.jp/info:ndljp/pid/3359220</v>
      </c>
    </row>
    <row r="8" spans="1:14" ht="30" customHeight="1" x14ac:dyDescent="0.15">
      <c r="A8" s="16" t="s">
        <v>17</v>
      </c>
      <c r="B8" s="17" t="s">
        <v>20</v>
      </c>
      <c r="C8" s="17" t="s">
        <v>21</v>
      </c>
      <c r="D8" s="19" t="s">
        <v>7</v>
      </c>
      <c r="E8" s="19" t="s">
        <v>8</v>
      </c>
      <c r="F8" s="19" t="s">
        <v>22</v>
      </c>
      <c r="G8" s="2" t="str">
        <f t="shared" si="0"/>
        <v>http://jsmh.umin.jp/journal/05-1/05-1.pdf</v>
      </c>
      <c r="H8" s="42" t="str">
        <f t="shared" si="1"/>
        <v>http://dl.ndl.go.jp/info:ndljp/pid/3359220</v>
      </c>
    </row>
    <row r="9" spans="1:14" ht="30" customHeight="1" x14ac:dyDescent="0.15">
      <c r="A9" s="16" t="s">
        <v>81</v>
      </c>
      <c r="B9" s="17" t="s">
        <v>10031</v>
      </c>
      <c r="C9" s="17"/>
      <c r="D9" s="19" t="s">
        <v>7</v>
      </c>
      <c r="E9" s="19" t="s">
        <v>8</v>
      </c>
      <c r="F9" s="19" t="s">
        <v>23</v>
      </c>
      <c r="G9" s="2" t="str">
        <f t="shared" si="0"/>
        <v>http://jsmh.umin.jp/journal/05-1/05-1.pdf</v>
      </c>
      <c r="H9" s="42" t="str">
        <f t="shared" si="1"/>
        <v>http://dl.ndl.go.jp/info:ndljp/pid/3359220</v>
      </c>
    </row>
    <row r="10" spans="1:14" ht="30" customHeight="1" x14ac:dyDescent="0.15">
      <c r="A10" s="16" t="s">
        <v>17</v>
      </c>
      <c r="B10" s="17" t="s">
        <v>10032</v>
      </c>
      <c r="C10" s="17" t="s">
        <v>24</v>
      </c>
      <c r="D10" s="19" t="s">
        <v>7</v>
      </c>
      <c r="E10" s="19" t="s">
        <v>8</v>
      </c>
      <c r="F10" s="19" t="s">
        <v>25</v>
      </c>
      <c r="G10" s="2" t="str">
        <f t="shared" si="0"/>
        <v>http://jsmh.umin.jp/journal/05-1/05-1.pdf</v>
      </c>
      <c r="H10" s="42" t="str">
        <f t="shared" si="1"/>
        <v>http://dl.ndl.go.jp/info:ndljp/pid/3359220</v>
      </c>
    </row>
    <row r="11" spans="1:14" ht="30" customHeight="1" x14ac:dyDescent="0.15">
      <c r="A11" s="16" t="s">
        <v>81</v>
      </c>
      <c r="B11" s="17" t="s">
        <v>10033</v>
      </c>
      <c r="C11" s="17"/>
      <c r="D11" s="19" t="s">
        <v>7</v>
      </c>
      <c r="E11" s="19" t="s">
        <v>8</v>
      </c>
      <c r="F11" s="19" t="s">
        <v>26</v>
      </c>
      <c r="G11" s="2" t="str">
        <f t="shared" si="0"/>
        <v>http://jsmh.umin.jp/journal/05-1/05-1.pdf</v>
      </c>
      <c r="H11" s="42" t="str">
        <f t="shared" si="1"/>
        <v>http://dl.ndl.go.jp/info:ndljp/pid/3359220</v>
      </c>
    </row>
    <row r="12" spans="1:14" ht="30" customHeight="1" x14ac:dyDescent="0.15">
      <c r="A12" s="16" t="s">
        <v>27</v>
      </c>
      <c r="B12" s="17" t="s">
        <v>10034</v>
      </c>
      <c r="C12" s="17" t="s">
        <v>18</v>
      </c>
      <c r="D12" s="19" t="s">
        <v>7</v>
      </c>
      <c r="E12" s="19" t="s">
        <v>8</v>
      </c>
      <c r="F12" s="19" t="s">
        <v>28</v>
      </c>
      <c r="G12" s="2" t="str">
        <f t="shared" si="0"/>
        <v>http://jsmh.umin.jp/journal/05-1/05-1.pdf</v>
      </c>
      <c r="H12" s="42" t="str">
        <f t="shared" si="1"/>
        <v>http://dl.ndl.go.jp/info:ndljp/pid/3359220</v>
      </c>
      <c r="N12" s="37"/>
    </row>
    <row r="13" spans="1:14" ht="30" customHeight="1" x14ac:dyDescent="0.15">
      <c r="A13" s="16" t="s">
        <v>81</v>
      </c>
      <c r="B13" s="17" t="s">
        <v>29</v>
      </c>
      <c r="C13" s="17"/>
      <c r="D13" s="19" t="s">
        <v>7</v>
      </c>
      <c r="E13" s="19" t="s">
        <v>8</v>
      </c>
      <c r="F13" s="19" t="s">
        <v>30</v>
      </c>
      <c r="G13" s="2" t="str">
        <f t="shared" si="0"/>
        <v>http://jsmh.umin.jp/journal/05-1/05-1.pdf</v>
      </c>
      <c r="H13" s="42" t="str">
        <f t="shared" si="1"/>
        <v>http://dl.ndl.go.jp/info:ndljp/pid/3359220</v>
      </c>
    </row>
    <row r="14" spans="1:14" ht="30" customHeight="1" x14ac:dyDescent="0.15">
      <c r="A14" s="16" t="s">
        <v>81</v>
      </c>
      <c r="B14" s="17" t="s">
        <v>10035</v>
      </c>
      <c r="C14" s="17"/>
      <c r="D14" s="19" t="s">
        <v>7</v>
      </c>
      <c r="E14" s="19" t="s">
        <v>8</v>
      </c>
      <c r="F14" s="19" t="s">
        <v>31</v>
      </c>
      <c r="G14" s="2" t="str">
        <f t="shared" si="0"/>
        <v>http://jsmh.umin.jp/journal/05-1/05-1.pdf</v>
      </c>
      <c r="H14" s="42" t="str">
        <f t="shared" si="1"/>
        <v>http://dl.ndl.go.jp/info:ndljp/pid/3359220</v>
      </c>
    </row>
    <row r="15" spans="1:14" ht="30" customHeight="1" x14ac:dyDescent="0.15">
      <c r="A15" s="16" t="s">
        <v>17</v>
      </c>
      <c r="B15" s="17" t="s">
        <v>10036</v>
      </c>
      <c r="C15" s="17" t="s">
        <v>11</v>
      </c>
      <c r="D15" s="19" t="s">
        <v>7</v>
      </c>
      <c r="E15" s="19" t="s">
        <v>8</v>
      </c>
      <c r="F15" s="19" t="s">
        <v>32</v>
      </c>
      <c r="G15" s="2" t="str">
        <f t="shared" si="0"/>
        <v>http://jsmh.umin.jp/journal/05-1/05-1.pdf</v>
      </c>
      <c r="H15" s="42" t="str">
        <f t="shared" si="1"/>
        <v>http://dl.ndl.go.jp/info:ndljp/pid/3359220</v>
      </c>
    </row>
    <row r="16" spans="1:14" ht="30" customHeight="1" x14ac:dyDescent="0.15">
      <c r="A16" s="16" t="s">
        <v>17</v>
      </c>
      <c r="B16" s="17" t="s">
        <v>33</v>
      </c>
      <c r="C16" s="17" t="s">
        <v>76</v>
      </c>
      <c r="D16" s="19" t="s">
        <v>7</v>
      </c>
      <c r="E16" s="19" t="s">
        <v>8</v>
      </c>
      <c r="F16" s="19" t="s">
        <v>34</v>
      </c>
      <c r="G16" s="2" t="str">
        <f t="shared" si="0"/>
        <v>http://jsmh.umin.jp/journal/05-1/05-1.pdf</v>
      </c>
      <c r="H16" s="42" t="str">
        <f t="shared" si="1"/>
        <v>http://dl.ndl.go.jp/info:ndljp/pid/3359220</v>
      </c>
    </row>
    <row r="17" spans="1:14" ht="30" customHeight="1" x14ac:dyDescent="0.15">
      <c r="A17" s="16" t="s">
        <v>35</v>
      </c>
      <c r="B17" s="17" t="s">
        <v>36</v>
      </c>
      <c r="C17" s="17"/>
      <c r="D17" s="19" t="s">
        <v>7</v>
      </c>
      <c r="E17" s="19" t="s">
        <v>8</v>
      </c>
      <c r="F17" s="19" t="s">
        <v>37</v>
      </c>
      <c r="G17" s="2" t="str">
        <f t="shared" si="0"/>
        <v>http://jsmh.umin.jp/journal/05-1/05-1.pdf</v>
      </c>
      <c r="H17" s="42" t="str">
        <f t="shared" si="1"/>
        <v>http://dl.ndl.go.jp/info:ndljp/pid/3359220</v>
      </c>
    </row>
    <row r="18" spans="1:14" ht="30" customHeight="1" x14ac:dyDescent="0.15">
      <c r="A18" s="16" t="s">
        <v>81</v>
      </c>
      <c r="B18" s="17" t="s">
        <v>10037</v>
      </c>
      <c r="C18" s="17"/>
      <c r="D18" s="19" t="s">
        <v>7</v>
      </c>
      <c r="E18" s="19" t="s">
        <v>8</v>
      </c>
      <c r="F18" s="19" t="s">
        <v>38</v>
      </c>
      <c r="G18" s="2" t="str">
        <f t="shared" si="0"/>
        <v>http://jsmh.umin.jp/journal/05-1/05-1.pdf</v>
      </c>
      <c r="H18" s="42" t="str">
        <f t="shared" si="1"/>
        <v>http://dl.ndl.go.jp/info:ndljp/pid/3359220</v>
      </c>
    </row>
    <row r="19" spans="1:14" ht="30" customHeight="1" x14ac:dyDescent="0.15">
      <c r="A19" s="16" t="s">
        <v>81</v>
      </c>
      <c r="B19" s="17" t="s">
        <v>10038</v>
      </c>
      <c r="C19" s="17"/>
      <c r="D19" s="19" t="s">
        <v>7</v>
      </c>
      <c r="E19" s="19" t="s">
        <v>39</v>
      </c>
      <c r="F19" s="19" t="s">
        <v>40</v>
      </c>
      <c r="G19" s="2" t="str">
        <f t="shared" ref="G19:G31" si="2">HYPERLINK("http://jsmh.umin.jp/journal/05-2/05-2.pdf")</f>
        <v>http://jsmh.umin.jp/journal/05-2/05-2.pdf</v>
      </c>
      <c r="H19" s="42" t="str">
        <f>HYPERLINK("http://dl.ndl.go.jp/info:ndljp/pid/3359221")</f>
        <v>http://dl.ndl.go.jp/info:ndljp/pid/3359221</v>
      </c>
      <c r="J19" s="39"/>
      <c r="N19" s="37"/>
    </row>
    <row r="20" spans="1:14" ht="30" customHeight="1" x14ac:dyDescent="0.15">
      <c r="A20" s="16" t="s">
        <v>17</v>
      </c>
      <c r="B20" s="17" t="s">
        <v>41</v>
      </c>
      <c r="C20" s="17" t="s">
        <v>21</v>
      </c>
      <c r="D20" s="19" t="s">
        <v>7</v>
      </c>
      <c r="E20" s="19" t="s">
        <v>39</v>
      </c>
      <c r="F20" s="19" t="s">
        <v>42</v>
      </c>
      <c r="G20" s="2" t="str">
        <f t="shared" si="2"/>
        <v>http://jsmh.umin.jp/journal/05-2/05-2.pdf</v>
      </c>
      <c r="H20" s="42" t="str">
        <f t="shared" ref="H20:H31" si="3">HYPERLINK("http://dl.ndl.go.jp/info:ndljp/pid/3359221")</f>
        <v>http://dl.ndl.go.jp/info:ndljp/pid/3359221</v>
      </c>
    </row>
    <row r="21" spans="1:14" ht="30" customHeight="1" x14ac:dyDescent="0.15">
      <c r="A21" s="16" t="s">
        <v>17</v>
      </c>
      <c r="B21" s="17" t="s">
        <v>43</v>
      </c>
      <c r="C21" s="17" t="s">
        <v>10039</v>
      </c>
      <c r="D21" s="19" t="s">
        <v>7</v>
      </c>
      <c r="E21" s="19" t="s">
        <v>39</v>
      </c>
      <c r="F21" s="19" t="s">
        <v>44</v>
      </c>
      <c r="G21" s="2" t="str">
        <f t="shared" si="2"/>
        <v>http://jsmh.umin.jp/journal/05-2/05-2.pdf</v>
      </c>
      <c r="H21" s="42" t="str">
        <f t="shared" si="3"/>
        <v>http://dl.ndl.go.jp/info:ndljp/pid/3359221</v>
      </c>
    </row>
    <row r="22" spans="1:14" ht="30" customHeight="1" x14ac:dyDescent="0.15">
      <c r="A22" s="16" t="s">
        <v>10040</v>
      </c>
      <c r="B22" s="17" t="s">
        <v>45</v>
      </c>
      <c r="C22" s="17"/>
      <c r="D22" s="19" t="s">
        <v>7</v>
      </c>
      <c r="E22" s="19" t="s">
        <v>39</v>
      </c>
      <c r="F22" s="19" t="s">
        <v>46</v>
      </c>
      <c r="G22" s="2" t="str">
        <f t="shared" si="2"/>
        <v>http://jsmh.umin.jp/journal/05-2/05-2.pdf</v>
      </c>
      <c r="H22" s="42" t="str">
        <f t="shared" si="3"/>
        <v>http://dl.ndl.go.jp/info:ndljp/pid/3359221</v>
      </c>
    </row>
    <row r="23" spans="1:14" ht="30" customHeight="1" x14ac:dyDescent="0.15">
      <c r="A23" s="16" t="s">
        <v>81</v>
      </c>
      <c r="B23" s="17" t="s">
        <v>10041</v>
      </c>
      <c r="C23" s="17"/>
      <c r="D23" s="19" t="s">
        <v>7</v>
      </c>
      <c r="E23" s="19" t="s">
        <v>39</v>
      </c>
      <c r="F23" s="19" t="s">
        <v>47</v>
      </c>
      <c r="G23" s="2" t="str">
        <f t="shared" si="2"/>
        <v>http://jsmh.umin.jp/journal/05-2/05-2.pdf</v>
      </c>
      <c r="H23" s="42" t="str">
        <f t="shared" si="3"/>
        <v>http://dl.ndl.go.jp/info:ndljp/pid/3359221</v>
      </c>
    </row>
    <row r="24" spans="1:14" ht="30" customHeight="1" x14ac:dyDescent="0.15">
      <c r="A24" s="16" t="s">
        <v>17</v>
      </c>
      <c r="B24" s="17" t="s">
        <v>10042</v>
      </c>
      <c r="C24" s="17" t="s">
        <v>48</v>
      </c>
      <c r="D24" s="19" t="s">
        <v>7</v>
      </c>
      <c r="E24" s="19" t="s">
        <v>39</v>
      </c>
      <c r="F24" s="19" t="s">
        <v>49</v>
      </c>
      <c r="G24" s="2" t="str">
        <f t="shared" si="2"/>
        <v>http://jsmh.umin.jp/journal/05-2/05-2.pdf</v>
      </c>
      <c r="H24" s="42" t="str">
        <f t="shared" si="3"/>
        <v>http://dl.ndl.go.jp/info:ndljp/pid/3359221</v>
      </c>
    </row>
    <row r="25" spans="1:14" ht="30" customHeight="1" x14ac:dyDescent="0.15">
      <c r="A25" s="16" t="s">
        <v>10043</v>
      </c>
      <c r="B25" s="17" t="s">
        <v>10044</v>
      </c>
      <c r="C25" s="17"/>
      <c r="D25" s="19" t="s">
        <v>7</v>
      </c>
      <c r="E25" s="19" t="s">
        <v>39</v>
      </c>
      <c r="F25" s="19" t="s">
        <v>50</v>
      </c>
      <c r="G25" s="2" t="str">
        <f t="shared" si="2"/>
        <v>http://jsmh.umin.jp/journal/05-2/05-2.pdf</v>
      </c>
      <c r="H25" s="42" t="str">
        <f t="shared" si="3"/>
        <v>http://dl.ndl.go.jp/info:ndljp/pid/3359221</v>
      </c>
    </row>
    <row r="26" spans="1:14" ht="30" customHeight="1" x14ac:dyDescent="0.15">
      <c r="A26" s="16" t="s">
        <v>27</v>
      </c>
      <c r="B26" s="17" t="s">
        <v>10045</v>
      </c>
      <c r="C26" s="17"/>
      <c r="D26" s="19" t="s">
        <v>7</v>
      </c>
      <c r="E26" s="19" t="s">
        <v>39</v>
      </c>
      <c r="F26" s="19" t="s">
        <v>51</v>
      </c>
      <c r="G26" s="2" t="str">
        <f t="shared" si="2"/>
        <v>http://jsmh.umin.jp/journal/05-2/05-2.pdf</v>
      </c>
      <c r="H26" s="42" t="str">
        <f t="shared" si="3"/>
        <v>http://dl.ndl.go.jp/info:ndljp/pid/3359221</v>
      </c>
    </row>
    <row r="27" spans="1:14" ht="30" customHeight="1" x14ac:dyDescent="0.15">
      <c r="A27" s="16" t="s">
        <v>17</v>
      </c>
      <c r="B27" s="17" t="s">
        <v>10046</v>
      </c>
      <c r="C27" s="17" t="s">
        <v>11</v>
      </c>
      <c r="D27" s="19" t="s">
        <v>7</v>
      </c>
      <c r="E27" s="19" t="s">
        <v>39</v>
      </c>
      <c r="F27" s="19" t="s">
        <v>52</v>
      </c>
      <c r="G27" s="2" t="str">
        <f t="shared" si="2"/>
        <v>http://jsmh.umin.jp/journal/05-2/05-2.pdf</v>
      </c>
      <c r="H27" s="42" t="str">
        <f t="shared" si="3"/>
        <v>http://dl.ndl.go.jp/info:ndljp/pid/3359221</v>
      </c>
    </row>
    <row r="28" spans="1:14" ht="30" customHeight="1" x14ac:dyDescent="0.15">
      <c r="A28" s="16" t="s">
        <v>17</v>
      </c>
      <c r="B28" s="17" t="s">
        <v>53</v>
      </c>
      <c r="C28" s="17" t="s">
        <v>76</v>
      </c>
      <c r="D28" s="19" t="s">
        <v>7</v>
      </c>
      <c r="E28" s="19" t="s">
        <v>39</v>
      </c>
      <c r="F28" s="19" t="s">
        <v>54</v>
      </c>
      <c r="G28" s="2" t="str">
        <f t="shared" si="2"/>
        <v>http://jsmh.umin.jp/journal/05-2/05-2.pdf</v>
      </c>
      <c r="H28" s="42" t="str">
        <f t="shared" si="3"/>
        <v>http://dl.ndl.go.jp/info:ndljp/pid/3359221</v>
      </c>
    </row>
    <row r="29" spans="1:14" ht="30" customHeight="1" x14ac:dyDescent="0.15">
      <c r="A29" s="16" t="s">
        <v>55</v>
      </c>
      <c r="B29" s="17" t="s">
        <v>56</v>
      </c>
      <c r="C29" s="17" t="s">
        <v>57</v>
      </c>
      <c r="D29" s="19" t="s">
        <v>7</v>
      </c>
      <c r="E29" s="19" t="s">
        <v>39</v>
      </c>
      <c r="F29" s="19" t="s">
        <v>58</v>
      </c>
      <c r="G29" s="2" t="str">
        <f t="shared" si="2"/>
        <v>http://jsmh.umin.jp/journal/05-2/05-2.pdf</v>
      </c>
      <c r="H29" s="42" t="str">
        <f t="shared" si="3"/>
        <v>http://dl.ndl.go.jp/info:ndljp/pid/3359221</v>
      </c>
    </row>
    <row r="30" spans="1:14" ht="30" customHeight="1" x14ac:dyDescent="0.15">
      <c r="A30" s="16" t="s">
        <v>35</v>
      </c>
      <c r="B30" s="17" t="s">
        <v>59</v>
      </c>
      <c r="C30" s="17"/>
      <c r="D30" s="19" t="s">
        <v>7</v>
      </c>
      <c r="E30" s="19" t="s">
        <v>39</v>
      </c>
      <c r="F30" s="19" t="s">
        <v>60</v>
      </c>
      <c r="G30" s="2" t="str">
        <f t="shared" si="2"/>
        <v>http://jsmh.umin.jp/journal/05-2/05-2.pdf</v>
      </c>
      <c r="H30" s="42" t="str">
        <f t="shared" si="3"/>
        <v>http://dl.ndl.go.jp/info:ndljp/pid/3359221</v>
      </c>
    </row>
    <row r="31" spans="1:14" ht="30" customHeight="1" x14ac:dyDescent="0.15">
      <c r="A31" s="16" t="s">
        <v>81</v>
      </c>
      <c r="B31" s="17" t="s">
        <v>10033</v>
      </c>
      <c r="C31" s="17"/>
      <c r="D31" s="19" t="s">
        <v>7</v>
      </c>
      <c r="E31" s="19" t="s">
        <v>39</v>
      </c>
      <c r="F31" s="19" t="s">
        <v>61</v>
      </c>
      <c r="G31" s="2" t="str">
        <f t="shared" si="2"/>
        <v>http://jsmh.umin.jp/journal/05-2/05-2.pdf</v>
      </c>
      <c r="H31" s="42" t="str">
        <f t="shared" si="3"/>
        <v>http://dl.ndl.go.jp/info:ndljp/pid/3359221</v>
      </c>
    </row>
    <row r="32" spans="1:14" ht="30" customHeight="1" x14ac:dyDescent="0.15">
      <c r="A32" s="16" t="s">
        <v>17</v>
      </c>
      <c r="B32" s="17" t="s">
        <v>10047</v>
      </c>
      <c r="C32" s="17" t="s">
        <v>93</v>
      </c>
      <c r="D32" s="18" t="s">
        <v>62</v>
      </c>
      <c r="E32" s="19" t="s">
        <v>63</v>
      </c>
      <c r="F32" s="19" t="s">
        <v>64</v>
      </c>
      <c r="G32" s="2" t="str">
        <f t="shared" ref="G32:G41" si="4">HYPERLINK("http://jsmh.umin.jp/journal/05-3/05-3.pdf")</f>
        <v>http://jsmh.umin.jp/journal/05-3/05-3.pdf</v>
      </c>
      <c r="H32" s="42" t="str">
        <f>HYPERLINK("http://dl.ndl.go.jp/info:ndljp/pid/3359222")</f>
        <v>http://dl.ndl.go.jp/info:ndljp/pid/3359222</v>
      </c>
      <c r="J32" s="37"/>
    </row>
    <row r="33" spans="1:10" ht="30" customHeight="1" x14ac:dyDescent="0.15">
      <c r="A33" s="16" t="s">
        <v>17</v>
      </c>
      <c r="B33" s="17" t="s">
        <v>65</v>
      </c>
      <c r="C33" s="17" t="s">
        <v>66</v>
      </c>
      <c r="D33" s="19" t="s">
        <v>62</v>
      </c>
      <c r="E33" s="19" t="s">
        <v>63</v>
      </c>
      <c r="F33" s="19" t="s">
        <v>67</v>
      </c>
      <c r="G33" s="2" t="str">
        <f t="shared" si="4"/>
        <v>http://jsmh.umin.jp/journal/05-3/05-3.pdf</v>
      </c>
      <c r="H33" s="42" t="str">
        <f t="shared" ref="H33:H41" si="5">HYPERLINK("http://dl.ndl.go.jp/info:ndljp/pid/3359222")</f>
        <v>http://dl.ndl.go.jp/info:ndljp/pid/3359222</v>
      </c>
      <c r="J33" s="39"/>
    </row>
    <row r="34" spans="1:10" ht="30" customHeight="1" x14ac:dyDescent="0.15">
      <c r="A34" s="16" t="s">
        <v>10040</v>
      </c>
      <c r="B34" s="17" t="s">
        <v>10048</v>
      </c>
      <c r="C34" s="17"/>
      <c r="D34" s="19" t="s">
        <v>62</v>
      </c>
      <c r="E34" s="19" t="s">
        <v>63</v>
      </c>
      <c r="F34" s="19" t="s">
        <v>68</v>
      </c>
      <c r="G34" s="2" t="str">
        <f t="shared" si="4"/>
        <v>http://jsmh.umin.jp/journal/05-3/05-3.pdf</v>
      </c>
      <c r="H34" s="42" t="str">
        <f t="shared" si="5"/>
        <v>http://dl.ndl.go.jp/info:ndljp/pid/3359222</v>
      </c>
    </row>
    <row r="35" spans="1:10" ht="30" customHeight="1" x14ac:dyDescent="0.15">
      <c r="A35" s="16" t="s">
        <v>17</v>
      </c>
      <c r="B35" s="17" t="s">
        <v>10049</v>
      </c>
      <c r="C35" s="17" t="s">
        <v>69</v>
      </c>
      <c r="D35" s="19" t="s">
        <v>62</v>
      </c>
      <c r="E35" s="19" t="s">
        <v>63</v>
      </c>
      <c r="F35" s="19" t="s">
        <v>70</v>
      </c>
      <c r="G35" s="2" t="str">
        <f t="shared" si="4"/>
        <v>http://jsmh.umin.jp/journal/05-3/05-3.pdf</v>
      </c>
      <c r="H35" s="42" t="str">
        <f t="shared" si="5"/>
        <v>http://dl.ndl.go.jp/info:ndljp/pid/3359222</v>
      </c>
    </row>
    <row r="36" spans="1:10" ht="30" customHeight="1" x14ac:dyDescent="0.15">
      <c r="A36" s="16" t="s">
        <v>17</v>
      </c>
      <c r="B36" s="17" t="s">
        <v>10050</v>
      </c>
      <c r="C36" s="17" t="s">
        <v>11</v>
      </c>
      <c r="D36" s="19" t="s">
        <v>62</v>
      </c>
      <c r="E36" s="19" t="s">
        <v>63</v>
      </c>
      <c r="F36" s="19" t="s">
        <v>71</v>
      </c>
      <c r="G36" s="2" t="str">
        <f t="shared" si="4"/>
        <v>http://jsmh.umin.jp/journal/05-3/05-3.pdf</v>
      </c>
      <c r="H36" s="42" t="str">
        <f t="shared" si="5"/>
        <v>http://dl.ndl.go.jp/info:ndljp/pid/3359222</v>
      </c>
    </row>
    <row r="37" spans="1:10" ht="30" customHeight="1" x14ac:dyDescent="0.15">
      <c r="A37" s="16" t="s">
        <v>10043</v>
      </c>
      <c r="B37" s="17" t="s">
        <v>72</v>
      </c>
      <c r="C37" s="17"/>
      <c r="D37" s="19" t="s">
        <v>62</v>
      </c>
      <c r="E37" s="19" t="s">
        <v>63</v>
      </c>
      <c r="F37" s="19" t="s">
        <v>73</v>
      </c>
      <c r="G37" s="2" t="str">
        <f t="shared" si="4"/>
        <v>http://jsmh.umin.jp/journal/05-3/05-3.pdf</v>
      </c>
      <c r="H37" s="42" t="str">
        <f t="shared" si="5"/>
        <v>http://dl.ndl.go.jp/info:ndljp/pid/3359222</v>
      </c>
    </row>
    <row r="38" spans="1:10" ht="30" customHeight="1" x14ac:dyDescent="0.15">
      <c r="A38" s="16" t="s">
        <v>55</v>
      </c>
      <c r="B38" s="17" t="s">
        <v>10051</v>
      </c>
      <c r="C38" s="17" t="s">
        <v>57</v>
      </c>
      <c r="D38" s="19" t="s">
        <v>62</v>
      </c>
      <c r="E38" s="19" t="s">
        <v>63</v>
      </c>
      <c r="F38" s="19" t="s">
        <v>74</v>
      </c>
      <c r="G38" s="2" t="str">
        <f t="shared" si="4"/>
        <v>http://jsmh.umin.jp/journal/05-3/05-3.pdf</v>
      </c>
      <c r="H38" s="42" t="str">
        <f t="shared" si="5"/>
        <v>http://dl.ndl.go.jp/info:ndljp/pid/3359222</v>
      </c>
    </row>
    <row r="39" spans="1:10" ht="30" customHeight="1" x14ac:dyDescent="0.15">
      <c r="A39" s="16" t="s">
        <v>17</v>
      </c>
      <c r="B39" s="17" t="s">
        <v>75</v>
      </c>
      <c r="C39" s="17" t="s">
        <v>76</v>
      </c>
      <c r="D39" s="19" t="s">
        <v>62</v>
      </c>
      <c r="E39" s="19" t="s">
        <v>63</v>
      </c>
      <c r="F39" s="19" t="s">
        <v>77</v>
      </c>
      <c r="G39" s="2" t="str">
        <f t="shared" si="4"/>
        <v>http://jsmh.umin.jp/journal/05-3/05-3.pdf</v>
      </c>
      <c r="H39" s="42" t="str">
        <f t="shared" si="5"/>
        <v>http://dl.ndl.go.jp/info:ndljp/pid/3359222</v>
      </c>
    </row>
    <row r="40" spans="1:10" ht="30" customHeight="1" x14ac:dyDescent="0.15">
      <c r="A40" s="16" t="s">
        <v>35</v>
      </c>
      <c r="B40" s="17" t="s">
        <v>78</v>
      </c>
      <c r="C40" s="17"/>
      <c r="D40" s="19" t="s">
        <v>62</v>
      </c>
      <c r="E40" s="19" t="s">
        <v>63</v>
      </c>
      <c r="F40" s="19" t="s">
        <v>79</v>
      </c>
      <c r="G40" s="2" t="str">
        <f t="shared" si="4"/>
        <v>http://jsmh.umin.jp/journal/05-3/05-3.pdf</v>
      </c>
      <c r="H40" s="42" t="str">
        <f t="shared" si="5"/>
        <v>http://dl.ndl.go.jp/info:ndljp/pid/3359222</v>
      </c>
    </row>
    <row r="41" spans="1:10" ht="30" customHeight="1" x14ac:dyDescent="0.15">
      <c r="A41" s="16" t="s">
        <v>81</v>
      </c>
      <c r="B41" s="17" t="s">
        <v>704</v>
      </c>
      <c r="C41" s="17"/>
      <c r="D41" s="19" t="s">
        <v>62</v>
      </c>
      <c r="E41" s="19" t="s">
        <v>63</v>
      </c>
      <c r="F41" s="19" t="s">
        <v>80</v>
      </c>
      <c r="G41" s="2" t="str">
        <f t="shared" si="4"/>
        <v>http://jsmh.umin.jp/journal/05-3/05-3.pdf</v>
      </c>
      <c r="H41" s="42" t="str">
        <f t="shared" si="5"/>
        <v>http://dl.ndl.go.jp/info:ndljp/pid/3359222</v>
      </c>
    </row>
    <row r="42" spans="1:10" ht="30" customHeight="1" x14ac:dyDescent="0.15">
      <c r="A42" s="16" t="s">
        <v>81</v>
      </c>
      <c r="B42" s="17" t="s">
        <v>82</v>
      </c>
      <c r="C42" s="17" t="s">
        <v>11</v>
      </c>
      <c r="D42" s="19" t="s">
        <v>62</v>
      </c>
      <c r="E42" s="19" t="s">
        <v>83</v>
      </c>
      <c r="F42" s="19" t="s">
        <v>84</v>
      </c>
      <c r="G42" s="2" t="str">
        <f t="shared" ref="G42:G67" si="6">HYPERLINK("http://jsmh.umin.jp/journal/05-4/05-4.pdf")</f>
        <v>http://jsmh.umin.jp/journal/05-4/05-4.pdf</v>
      </c>
      <c r="H42" s="42" t="str">
        <f>HYPERLINK("http://dl.ndl.go.jp/info:ndljp/pid/3359223")</f>
        <v>http://dl.ndl.go.jp/info:ndljp/pid/3359223</v>
      </c>
      <c r="J42" s="37"/>
    </row>
    <row r="43" spans="1:10" ht="30" customHeight="1" x14ac:dyDescent="0.15">
      <c r="A43" s="16" t="s">
        <v>85</v>
      </c>
      <c r="B43" s="17" t="s">
        <v>86</v>
      </c>
      <c r="C43" s="17"/>
      <c r="D43" s="19" t="s">
        <v>62</v>
      </c>
      <c r="E43" s="19" t="s">
        <v>83</v>
      </c>
      <c r="F43" s="19" t="s">
        <v>87</v>
      </c>
      <c r="G43" s="2" t="str">
        <f t="shared" si="6"/>
        <v>http://jsmh.umin.jp/journal/05-4/05-4.pdf</v>
      </c>
      <c r="H43" s="42" t="str">
        <f t="shared" ref="H43:H67" si="7">HYPERLINK("http://dl.ndl.go.jp/info:ndljp/pid/3359223")</f>
        <v>http://dl.ndl.go.jp/info:ndljp/pid/3359223</v>
      </c>
    </row>
    <row r="44" spans="1:10" ht="30" customHeight="1" x14ac:dyDescent="0.15">
      <c r="A44" s="16" t="s">
        <v>88</v>
      </c>
      <c r="B44" s="17" t="s">
        <v>10052</v>
      </c>
      <c r="C44" s="17" t="s">
        <v>303</v>
      </c>
      <c r="D44" s="19" t="s">
        <v>62</v>
      </c>
      <c r="E44" s="19" t="s">
        <v>83</v>
      </c>
      <c r="F44" s="19" t="s">
        <v>89</v>
      </c>
      <c r="G44" s="2" t="str">
        <f t="shared" si="6"/>
        <v>http://jsmh.umin.jp/journal/05-4/05-4.pdf</v>
      </c>
      <c r="H44" s="42" t="str">
        <f t="shared" si="7"/>
        <v>http://dl.ndl.go.jp/info:ndljp/pid/3359223</v>
      </c>
    </row>
    <row r="45" spans="1:10" ht="30" customHeight="1" x14ac:dyDescent="0.15">
      <c r="A45" s="16" t="s">
        <v>88</v>
      </c>
      <c r="B45" s="17" t="s">
        <v>10053</v>
      </c>
      <c r="C45" s="17" t="s">
        <v>76</v>
      </c>
      <c r="D45" s="19" t="s">
        <v>62</v>
      </c>
      <c r="E45" s="19" t="s">
        <v>83</v>
      </c>
      <c r="F45" s="19" t="s">
        <v>90</v>
      </c>
      <c r="G45" s="2" t="str">
        <f t="shared" si="6"/>
        <v>http://jsmh.umin.jp/journal/05-4/05-4.pdf</v>
      </c>
      <c r="H45" s="42" t="str">
        <f t="shared" si="7"/>
        <v>http://dl.ndl.go.jp/info:ndljp/pid/3359223</v>
      </c>
    </row>
    <row r="46" spans="1:10" ht="30" customHeight="1" x14ac:dyDescent="0.15">
      <c r="A46" s="16" t="s">
        <v>91</v>
      </c>
      <c r="B46" s="17" t="s">
        <v>92</v>
      </c>
      <c r="C46" s="17" t="s">
        <v>93</v>
      </c>
      <c r="D46" s="19" t="s">
        <v>62</v>
      </c>
      <c r="E46" s="19" t="s">
        <v>83</v>
      </c>
      <c r="F46" s="19" t="s">
        <v>94</v>
      </c>
      <c r="G46" s="2" t="str">
        <f t="shared" si="6"/>
        <v>http://jsmh.umin.jp/journal/05-4/05-4.pdf</v>
      </c>
      <c r="H46" s="42" t="str">
        <f t="shared" si="7"/>
        <v>http://dl.ndl.go.jp/info:ndljp/pid/3359223</v>
      </c>
    </row>
    <row r="47" spans="1:10" ht="30" customHeight="1" x14ac:dyDescent="0.15">
      <c r="A47" s="16" t="s">
        <v>95</v>
      </c>
      <c r="B47" s="17" t="s">
        <v>10054</v>
      </c>
      <c r="C47" s="17" t="s">
        <v>96</v>
      </c>
      <c r="D47" s="19" t="s">
        <v>62</v>
      </c>
      <c r="E47" s="19" t="s">
        <v>83</v>
      </c>
      <c r="F47" s="19" t="s">
        <v>97</v>
      </c>
      <c r="G47" s="2" t="str">
        <f t="shared" si="6"/>
        <v>http://jsmh.umin.jp/journal/05-4/05-4.pdf</v>
      </c>
      <c r="H47" s="42" t="str">
        <f t="shared" si="7"/>
        <v>http://dl.ndl.go.jp/info:ndljp/pid/3359223</v>
      </c>
    </row>
    <row r="48" spans="1:10" ht="30" customHeight="1" x14ac:dyDescent="0.15">
      <c r="A48" s="16" t="s">
        <v>91</v>
      </c>
      <c r="B48" s="17" t="s">
        <v>98</v>
      </c>
      <c r="C48" s="17" t="s">
        <v>57</v>
      </c>
      <c r="D48" s="19" t="s">
        <v>62</v>
      </c>
      <c r="E48" s="19" t="s">
        <v>83</v>
      </c>
      <c r="F48" s="19" t="s">
        <v>99</v>
      </c>
      <c r="G48" s="2" t="str">
        <f t="shared" si="6"/>
        <v>http://jsmh.umin.jp/journal/05-4/05-4.pdf</v>
      </c>
      <c r="H48" s="42" t="str">
        <f t="shared" si="7"/>
        <v>http://dl.ndl.go.jp/info:ndljp/pid/3359223</v>
      </c>
    </row>
    <row r="49" spans="1:8" ht="30" customHeight="1" x14ac:dyDescent="0.15">
      <c r="A49" s="16" t="s">
        <v>91</v>
      </c>
      <c r="B49" s="17" t="s">
        <v>100</v>
      </c>
      <c r="C49" s="17" t="s">
        <v>101</v>
      </c>
      <c r="D49" s="19" t="s">
        <v>62</v>
      </c>
      <c r="E49" s="19" t="s">
        <v>83</v>
      </c>
      <c r="F49" s="19" t="s">
        <v>99</v>
      </c>
      <c r="G49" s="2" t="str">
        <f t="shared" si="6"/>
        <v>http://jsmh.umin.jp/journal/05-4/05-4.pdf</v>
      </c>
      <c r="H49" s="42" t="str">
        <f t="shared" si="7"/>
        <v>http://dl.ndl.go.jp/info:ndljp/pid/3359223</v>
      </c>
    </row>
    <row r="50" spans="1:8" ht="30" customHeight="1" x14ac:dyDescent="0.15">
      <c r="A50" s="16" t="s">
        <v>91</v>
      </c>
      <c r="B50" s="17" t="s">
        <v>102</v>
      </c>
      <c r="C50" s="17" t="s">
        <v>48</v>
      </c>
      <c r="D50" s="19" t="s">
        <v>62</v>
      </c>
      <c r="E50" s="19" t="s">
        <v>83</v>
      </c>
      <c r="F50" s="19" t="s">
        <v>103</v>
      </c>
      <c r="G50" s="2" t="str">
        <f t="shared" si="6"/>
        <v>http://jsmh.umin.jp/journal/05-4/05-4.pdf</v>
      </c>
      <c r="H50" s="42" t="str">
        <f t="shared" si="7"/>
        <v>http://dl.ndl.go.jp/info:ndljp/pid/3359223</v>
      </c>
    </row>
    <row r="51" spans="1:8" ht="30" customHeight="1" x14ac:dyDescent="0.15">
      <c r="A51" s="16" t="s">
        <v>91</v>
      </c>
      <c r="B51" s="17" t="s">
        <v>10055</v>
      </c>
      <c r="C51" s="17" t="s">
        <v>104</v>
      </c>
      <c r="D51" s="19" t="s">
        <v>62</v>
      </c>
      <c r="E51" s="19" t="s">
        <v>83</v>
      </c>
      <c r="F51" s="19" t="s">
        <v>105</v>
      </c>
      <c r="G51" s="2" t="str">
        <f t="shared" si="6"/>
        <v>http://jsmh.umin.jp/journal/05-4/05-4.pdf</v>
      </c>
      <c r="H51" s="42" t="str">
        <f t="shared" si="7"/>
        <v>http://dl.ndl.go.jp/info:ndljp/pid/3359223</v>
      </c>
    </row>
    <row r="52" spans="1:8" ht="30" customHeight="1" x14ac:dyDescent="0.15">
      <c r="A52" s="16" t="s">
        <v>91</v>
      </c>
      <c r="B52" s="17" t="s">
        <v>106</v>
      </c>
      <c r="C52" s="17" t="s">
        <v>107</v>
      </c>
      <c r="D52" s="19" t="s">
        <v>62</v>
      </c>
      <c r="E52" s="19" t="s">
        <v>83</v>
      </c>
      <c r="F52" s="19" t="s">
        <v>108</v>
      </c>
      <c r="G52" s="2" t="str">
        <f t="shared" si="6"/>
        <v>http://jsmh.umin.jp/journal/05-4/05-4.pdf</v>
      </c>
      <c r="H52" s="42" t="str">
        <f t="shared" si="7"/>
        <v>http://dl.ndl.go.jp/info:ndljp/pid/3359223</v>
      </c>
    </row>
    <row r="53" spans="1:8" ht="30" customHeight="1" x14ac:dyDescent="0.15">
      <c r="A53" s="16" t="s">
        <v>91</v>
      </c>
      <c r="B53" s="17" t="s">
        <v>109</v>
      </c>
      <c r="C53" s="17" t="s">
        <v>110</v>
      </c>
      <c r="D53" s="19" t="s">
        <v>62</v>
      </c>
      <c r="E53" s="19" t="s">
        <v>83</v>
      </c>
      <c r="F53" s="19" t="s">
        <v>111</v>
      </c>
      <c r="G53" s="2" t="str">
        <f t="shared" si="6"/>
        <v>http://jsmh.umin.jp/journal/05-4/05-4.pdf</v>
      </c>
      <c r="H53" s="42" t="str">
        <f t="shared" si="7"/>
        <v>http://dl.ndl.go.jp/info:ndljp/pid/3359223</v>
      </c>
    </row>
    <row r="54" spans="1:8" ht="30" customHeight="1" x14ac:dyDescent="0.15">
      <c r="A54" s="16" t="s">
        <v>91</v>
      </c>
      <c r="B54" s="17" t="s">
        <v>112</v>
      </c>
      <c r="C54" s="17" t="s">
        <v>113</v>
      </c>
      <c r="D54" s="19" t="s">
        <v>62</v>
      </c>
      <c r="E54" s="19" t="s">
        <v>83</v>
      </c>
      <c r="F54" s="19" t="s">
        <v>114</v>
      </c>
      <c r="G54" s="2" t="str">
        <f t="shared" si="6"/>
        <v>http://jsmh.umin.jp/journal/05-4/05-4.pdf</v>
      </c>
      <c r="H54" s="42" t="str">
        <f t="shared" si="7"/>
        <v>http://dl.ndl.go.jp/info:ndljp/pid/3359223</v>
      </c>
    </row>
    <row r="55" spans="1:8" ht="30" customHeight="1" x14ac:dyDescent="0.15">
      <c r="A55" s="16" t="s">
        <v>91</v>
      </c>
      <c r="B55" s="17" t="s">
        <v>115</v>
      </c>
      <c r="C55" s="17" t="s">
        <v>116</v>
      </c>
      <c r="D55" s="19" t="s">
        <v>62</v>
      </c>
      <c r="E55" s="19" t="s">
        <v>83</v>
      </c>
      <c r="F55" s="19" t="s">
        <v>114</v>
      </c>
      <c r="G55" s="2" t="str">
        <f t="shared" si="6"/>
        <v>http://jsmh.umin.jp/journal/05-4/05-4.pdf</v>
      </c>
      <c r="H55" s="42" t="str">
        <f t="shared" si="7"/>
        <v>http://dl.ndl.go.jp/info:ndljp/pid/3359223</v>
      </c>
    </row>
    <row r="56" spans="1:8" ht="30" customHeight="1" x14ac:dyDescent="0.15">
      <c r="A56" s="16" t="s">
        <v>91</v>
      </c>
      <c r="B56" s="17" t="s">
        <v>117</v>
      </c>
      <c r="C56" s="17" t="s">
        <v>118</v>
      </c>
      <c r="D56" s="19" t="s">
        <v>62</v>
      </c>
      <c r="E56" s="19" t="s">
        <v>83</v>
      </c>
      <c r="F56" s="19" t="s">
        <v>119</v>
      </c>
      <c r="G56" s="2" t="str">
        <f t="shared" si="6"/>
        <v>http://jsmh.umin.jp/journal/05-4/05-4.pdf</v>
      </c>
      <c r="H56" s="42" t="str">
        <f t="shared" si="7"/>
        <v>http://dl.ndl.go.jp/info:ndljp/pid/3359223</v>
      </c>
    </row>
    <row r="57" spans="1:8" ht="30" customHeight="1" x14ac:dyDescent="0.15">
      <c r="A57" s="16" t="s">
        <v>91</v>
      </c>
      <c r="B57" s="17" t="s">
        <v>120</v>
      </c>
      <c r="C57" s="17" t="s">
        <v>69</v>
      </c>
      <c r="D57" s="19" t="s">
        <v>62</v>
      </c>
      <c r="E57" s="19" t="s">
        <v>83</v>
      </c>
      <c r="F57" s="19" t="s">
        <v>121</v>
      </c>
      <c r="G57" s="2" t="str">
        <f t="shared" si="6"/>
        <v>http://jsmh.umin.jp/journal/05-4/05-4.pdf</v>
      </c>
      <c r="H57" s="42" t="str">
        <f t="shared" si="7"/>
        <v>http://dl.ndl.go.jp/info:ndljp/pid/3359223</v>
      </c>
    </row>
    <row r="58" spans="1:8" ht="30" customHeight="1" x14ac:dyDescent="0.15">
      <c r="A58" s="16" t="s">
        <v>91</v>
      </c>
      <c r="B58" s="17" t="s">
        <v>122</v>
      </c>
      <c r="C58" s="17" t="s">
        <v>123</v>
      </c>
      <c r="D58" s="19" t="s">
        <v>62</v>
      </c>
      <c r="E58" s="19" t="s">
        <v>83</v>
      </c>
      <c r="F58" s="19" t="s">
        <v>124</v>
      </c>
      <c r="G58" s="2" t="str">
        <f t="shared" si="6"/>
        <v>http://jsmh.umin.jp/journal/05-4/05-4.pdf</v>
      </c>
      <c r="H58" s="42" t="str">
        <f t="shared" si="7"/>
        <v>http://dl.ndl.go.jp/info:ndljp/pid/3359223</v>
      </c>
    </row>
    <row r="59" spans="1:8" ht="30" customHeight="1" x14ac:dyDescent="0.15">
      <c r="A59" s="16" t="s">
        <v>91</v>
      </c>
      <c r="B59" s="17" t="s">
        <v>125</v>
      </c>
      <c r="C59" s="17" t="s">
        <v>126</v>
      </c>
      <c r="D59" s="19" t="s">
        <v>62</v>
      </c>
      <c r="E59" s="19" t="s">
        <v>83</v>
      </c>
      <c r="F59" s="19" t="s">
        <v>127</v>
      </c>
      <c r="G59" s="2" t="str">
        <f t="shared" si="6"/>
        <v>http://jsmh.umin.jp/journal/05-4/05-4.pdf</v>
      </c>
      <c r="H59" s="42" t="str">
        <f t="shared" si="7"/>
        <v>http://dl.ndl.go.jp/info:ndljp/pid/3359223</v>
      </c>
    </row>
    <row r="60" spans="1:8" ht="30" customHeight="1" x14ac:dyDescent="0.15">
      <c r="A60" s="16" t="s">
        <v>91</v>
      </c>
      <c r="B60" s="17" t="s">
        <v>128</v>
      </c>
      <c r="C60" s="17" t="s">
        <v>129</v>
      </c>
      <c r="D60" s="19" t="s">
        <v>62</v>
      </c>
      <c r="E60" s="19" t="s">
        <v>83</v>
      </c>
      <c r="F60" s="19" t="s">
        <v>130</v>
      </c>
      <c r="G60" s="2" t="str">
        <f t="shared" si="6"/>
        <v>http://jsmh.umin.jp/journal/05-4/05-4.pdf</v>
      </c>
      <c r="H60" s="42" t="str">
        <f t="shared" si="7"/>
        <v>http://dl.ndl.go.jp/info:ndljp/pid/3359223</v>
      </c>
    </row>
    <row r="61" spans="1:8" ht="30" customHeight="1" x14ac:dyDescent="0.15">
      <c r="A61" s="16" t="s">
        <v>91</v>
      </c>
      <c r="B61" s="17" t="s">
        <v>131</v>
      </c>
      <c r="C61" s="17" t="s">
        <v>24</v>
      </c>
      <c r="D61" s="19" t="s">
        <v>62</v>
      </c>
      <c r="E61" s="19" t="s">
        <v>83</v>
      </c>
      <c r="F61" s="19" t="s">
        <v>132</v>
      </c>
      <c r="G61" s="2" t="str">
        <f t="shared" si="6"/>
        <v>http://jsmh.umin.jp/journal/05-4/05-4.pdf</v>
      </c>
      <c r="H61" s="42" t="str">
        <f t="shared" si="7"/>
        <v>http://dl.ndl.go.jp/info:ndljp/pid/3359223</v>
      </c>
    </row>
    <row r="62" spans="1:8" ht="30" customHeight="1" x14ac:dyDescent="0.15">
      <c r="A62" s="16" t="s">
        <v>91</v>
      </c>
      <c r="B62" s="17" t="s">
        <v>133</v>
      </c>
      <c r="C62" s="17" t="s">
        <v>134</v>
      </c>
      <c r="D62" s="19" t="s">
        <v>62</v>
      </c>
      <c r="E62" s="19" t="s">
        <v>83</v>
      </c>
      <c r="F62" s="19" t="s">
        <v>135</v>
      </c>
      <c r="G62" s="2" t="str">
        <f t="shared" si="6"/>
        <v>http://jsmh.umin.jp/journal/05-4/05-4.pdf</v>
      </c>
      <c r="H62" s="42" t="str">
        <f t="shared" si="7"/>
        <v>http://dl.ndl.go.jp/info:ndljp/pid/3359223</v>
      </c>
    </row>
    <row r="63" spans="1:8" ht="30" customHeight="1" x14ac:dyDescent="0.15">
      <c r="A63" s="16" t="s">
        <v>91</v>
      </c>
      <c r="B63" s="17" t="s">
        <v>136</v>
      </c>
      <c r="C63" s="17" t="s">
        <v>11</v>
      </c>
      <c r="D63" s="19" t="s">
        <v>62</v>
      </c>
      <c r="E63" s="19" t="s">
        <v>83</v>
      </c>
      <c r="F63" s="19" t="s">
        <v>137</v>
      </c>
      <c r="G63" s="2" t="str">
        <f t="shared" si="6"/>
        <v>http://jsmh.umin.jp/journal/05-4/05-4.pdf</v>
      </c>
      <c r="H63" s="42" t="str">
        <f t="shared" si="7"/>
        <v>http://dl.ndl.go.jp/info:ndljp/pid/3359223</v>
      </c>
    </row>
    <row r="64" spans="1:8" ht="30" customHeight="1" x14ac:dyDescent="0.15">
      <c r="A64" s="16" t="s">
        <v>91</v>
      </c>
      <c r="B64" s="17" t="s">
        <v>138</v>
      </c>
      <c r="C64" s="17" t="s">
        <v>139</v>
      </c>
      <c r="D64" s="19" t="s">
        <v>62</v>
      </c>
      <c r="E64" s="19" t="s">
        <v>83</v>
      </c>
      <c r="F64" s="19" t="s">
        <v>140</v>
      </c>
      <c r="G64" s="2" t="str">
        <f t="shared" si="6"/>
        <v>http://jsmh.umin.jp/journal/05-4/05-4.pdf</v>
      </c>
      <c r="H64" s="42" t="str">
        <f t="shared" si="7"/>
        <v>http://dl.ndl.go.jp/info:ndljp/pid/3359223</v>
      </c>
    </row>
    <row r="65" spans="1:10" ht="30" customHeight="1" x14ac:dyDescent="0.15">
      <c r="A65" s="16" t="s">
        <v>91</v>
      </c>
      <c r="B65" s="17" t="s">
        <v>141</v>
      </c>
      <c r="C65" s="17" t="s">
        <v>66</v>
      </c>
      <c r="D65" s="19" t="s">
        <v>62</v>
      </c>
      <c r="E65" s="19" t="s">
        <v>83</v>
      </c>
      <c r="F65" s="19" t="s">
        <v>142</v>
      </c>
      <c r="G65" s="2" t="str">
        <f t="shared" si="6"/>
        <v>http://jsmh.umin.jp/journal/05-4/05-4.pdf</v>
      </c>
      <c r="H65" s="42" t="str">
        <f t="shared" si="7"/>
        <v>http://dl.ndl.go.jp/info:ndljp/pid/3359223</v>
      </c>
    </row>
    <row r="66" spans="1:10" ht="30" customHeight="1" x14ac:dyDescent="0.15">
      <c r="A66" s="16" t="s">
        <v>143</v>
      </c>
      <c r="B66" s="17" t="s">
        <v>144</v>
      </c>
      <c r="C66" s="17" t="s">
        <v>18</v>
      </c>
      <c r="D66" s="19" t="s">
        <v>62</v>
      </c>
      <c r="E66" s="19" t="s">
        <v>83</v>
      </c>
      <c r="F66" s="19" t="s">
        <v>145</v>
      </c>
      <c r="G66" s="2" t="str">
        <f t="shared" si="6"/>
        <v>http://jsmh.umin.jp/journal/05-4/05-4.pdf</v>
      </c>
      <c r="H66" s="42" t="str">
        <f t="shared" si="7"/>
        <v>http://dl.ndl.go.jp/info:ndljp/pid/3359223</v>
      </c>
    </row>
    <row r="67" spans="1:10" ht="30" customHeight="1" x14ac:dyDescent="0.15">
      <c r="A67" s="16" t="s">
        <v>143</v>
      </c>
      <c r="B67" s="17" t="s">
        <v>146</v>
      </c>
      <c r="C67" s="17" t="s">
        <v>147</v>
      </c>
      <c r="D67" s="19" t="s">
        <v>62</v>
      </c>
      <c r="E67" s="19" t="s">
        <v>83</v>
      </c>
      <c r="F67" s="19" t="s">
        <v>148</v>
      </c>
      <c r="G67" s="2" t="str">
        <f t="shared" si="6"/>
        <v>http://jsmh.umin.jp/journal/05-4/05-4.pdf</v>
      </c>
      <c r="H67" s="42" t="str">
        <f t="shared" si="7"/>
        <v>http://dl.ndl.go.jp/info:ndljp/pid/3359223</v>
      </c>
    </row>
    <row r="68" spans="1:10" ht="30" customHeight="1" x14ac:dyDescent="0.15">
      <c r="A68" s="16" t="s">
        <v>17</v>
      </c>
      <c r="B68" s="17" t="s">
        <v>149</v>
      </c>
      <c r="C68" s="17" t="s">
        <v>150</v>
      </c>
      <c r="D68" s="24" t="s">
        <v>62</v>
      </c>
      <c r="E68" s="19" t="s">
        <v>151</v>
      </c>
      <c r="F68" s="19" t="s">
        <v>152</v>
      </c>
      <c r="G68" s="2" t="str">
        <f t="shared" ref="G68:G75" si="8">HYPERLINK("http://jsmh.umin.jp/journal/06-1/06-1.pdf")</f>
        <v>http://jsmh.umin.jp/journal/06-1/06-1.pdf</v>
      </c>
      <c r="H68" s="42" t="str">
        <f>HYPERLINK("http://dl.ndl.go.jp/info:ndljp/pid/3359224")</f>
        <v>http://dl.ndl.go.jp/info:ndljp/pid/3359224</v>
      </c>
      <c r="J68" s="37"/>
    </row>
    <row r="69" spans="1:10" ht="30" customHeight="1" x14ac:dyDescent="0.15">
      <c r="A69" s="16" t="s">
        <v>55</v>
      </c>
      <c r="B69" s="17" t="s">
        <v>10056</v>
      </c>
      <c r="C69" s="17" t="s">
        <v>57</v>
      </c>
      <c r="D69" s="19" t="s">
        <v>62</v>
      </c>
      <c r="E69" s="19" t="s">
        <v>151</v>
      </c>
      <c r="F69" s="19" t="s">
        <v>153</v>
      </c>
      <c r="G69" s="2" t="str">
        <f t="shared" si="8"/>
        <v>http://jsmh.umin.jp/journal/06-1/06-1.pdf</v>
      </c>
      <c r="H69" s="42" t="str">
        <f t="shared" ref="H69:H75" si="9">HYPERLINK("http://dl.ndl.go.jp/info:ndljp/pid/3359224")</f>
        <v>http://dl.ndl.go.jp/info:ndljp/pid/3359224</v>
      </c>
    </row>
    <row r="70" spans="1:10" ht="30" customHeight="1" x14ac:dyDescent="0.15">
      <c r="A70" s="16" t="s">
        <v>17</v>
      </c>
      <c r="B70" s="17" t="s">
        <v>10057</v>
      </c>
      <c r="C70" s="17" t="s">
        <v>93</v>
      </c>
      <c r="D70" s="19" t="s">
        <v>62</v>
      </c>
      <c r="E70" s="19" t="s">
        <v>151</v>
      </c>
      <c r="F70" s="19" t="s">
        <v>154</v>
      </c>
      <c r="G70" s="2" t="str">
        <f t="shared" si="8"/>
        <v>http://jsmh.umin.jp/journal/06-1/06-1.pdf</v>
      </c>
      <c r="H70" s="42" t="str">
        <f t="shared" si="9"/>
        <v>http://dl.ndl.go.jp/info:ndljp/pid/3359224</v>
      </c>
    </row>
    <row r="71" spans="1:10" ht="30" customHeight="1" x14ac:dyDescent="0.15">
      <c r="A71" s="16" t="s">
        <v>27</v>
      </c>
      <c r="B71" s="17" t="s">
        <v>10058</v>
      </c>
      <c r="C71" s="17" t="s">
        <v>18</v>
      </c>
      <c r="D71" s="19" t="s">
        <v>62</v>
      </c>
      <c r="E71" s="19" t="s">
        <v>151</v>
      </c>
      <c r="F71" s="19" t="s">
        <v>155</v>
      </c>
      <c r="G71" s="2" t="str">
        <f t="shared" si="8"/>
        <v>http://jsmh.umin.jp/journal/06-1/06-1.pdf</v>
      </c>
      <c r="H71" s="42" t="str">
        <f t="shared" si="9"/>
        <v>http://dl.ndl.go.jp/info:ndljp/pid/3359224</v>
      </c>
    </row>
    <row r="72" spans="1:10" ht="30" customHeight="1" x14ac:dyDescent="0.15">
      <c r="A72" s="16" t="s">
        <v>17</v>
      </c>
      <c r="B72" s="17" t="s">
        <v>156</v>
      </c>
      <c r="C72" s="17" t="s">
        <v>76</v>
      </c>
      <c r="D72" s="19" t="s">
        <v>62</v>
      </c>
      <c r="E72" s="19" t="s">
        <v>151</v>
      </c>
      <c r="F72" s="19" t="s">
        <v>157</v>
      </c>
      <c r="G72" s="2" t="str">
        <f t="shared" si="8"/>
        <v>http://jsmh.umin.jp/journal/06-1/06-1.pdf</v>
      </c>
      <c r="H72" s="42" t="str">
        <f t="shared" si="9"/>
        <v>http://dl.ndl.go.jp/info:ndljp/pid/3359224</v>
      </c>
    </row>
    <row r="73" spans="1:10" ht="30" customHeight="1" x14ac:dyDescent="0.15">
      <c r="A73" s="16" t="s">
        <v>81</v>
      </c>
      <c r="B73" s="17" t="s">
        <v>10059</v>
      </c>
      <c r="C73" s="17"/>
      <c r="D73" s="19" t="s">
        <v>62</v>
      </c>
      <c r="E73" s="19" t="s">
        <v>151</v>
      </c>
      <c r="F73" s="19" t="s">
        <v>158</v>
      </c>
      <c r="G73" s="2" t="str">
        <f t="shared" si="8"/>
        <v>http://jsmh.umin.jp/journal/06-1/06-1.pdf</v>
      </c>
      <c r="H73" s="42" t="str">
        <f t="shared" si="9"/>
        <v>http://dl.ndl.go.jp/info:ndljp/pid/3359224</v>
      </c>
    </row>
    <row r="74" spans="1:10" ht="30" customHeight="1" x14ac:dyDescent="0.15">
      <c r="A74" s="16" t="s">
        <v>159</v>
      </c>
      <c r="B74" s="17" t="s">
        <v>160</v>
      </c>
      <c r="C74" s="17"/>
      <c r="D74" s="19" t="s">
        <v>62</v>
      </c>
      <c r="E74" s="19" t="s">
        <v>151</v>
      </c>
      <c r="F74" s="19" t="s">
        <v>161</v>
      </c>
      <c r="G74" s="2" t="str">
        <f t="shared" si="8"/>
        <v>http://jsmh.umin.jp/journal/06-1/06-1.pdf</v>
      </c>
      <c r="H74" s="42" t="str">
        <f t="shared" si="9"/>
        <v>http://dl.ndl.go.jp/info:ndljp/pid/3359224</v>
      </c>
    </row>
    <row r="75" spans="1:10" ht="30" customHeight="1" x14ac:dyDescent="0.15">
      <c r="A75" s="16" t="s">
        <v>81</v>
      </c>
      <c r="B75" s="17" t="s">
        <v>10060</v>
      </c>
      <c r="C75" s="17"/>
      <c r="D75" s="19" t="s">
        <v>62</v>
      </c>
      <c r="E75" s="19" t="s">
        <v>151</v>
      </c>
      <c r="F75" s="19" t="s">
        <v>26</v>
      </c>
      <c r="G75" s="2" t="str">
        <f t="shared" si="8"/>
        <v>http://jsmh.umin.jp/journal/06-1/06-1.pdf</v>
      </c>
      <c r="H75" s="42" t="str">
        <f t="shared" si="9"/>
        <v>http://dl.ndl.go.jp/info:ndljp/pid/3359224</v>
      </c>
    </row>
    <row r="76" spans="1:10" ht="30" customHeight="1" x14ac:dyDescent="0.15">
      <c r="A76" s="16" t="s">
        <v>17</v>
      </c>
      <c r="B76" s="17" t="s">
        <v>10061</v>
      </c>
      <c r="C76" s="17" t="s">
        <v>104</v>
      </c>
      <c r="D76" s="18" t="s">
        <v>162</v>
      </c>
      <c r="E76" s="19" t="s">
        <v>163</v>
      </c>
      <c r="F76" s="19" t="s">
        <v>164</v>
      </c>
      <c r="G76" s="2" t="str">
        <f t="shared" ref="G76:G81" si="10">HYPERLINK("http://jsmh.umin.jp/journal/06-2/06-2.pdf")</f>
        <v>http://jsmh.umin.jp/journal/06-2/06-2.pdf</v>
      </c>
      <c r="H76" s="42" t="str">
        <f>HYPERLINK("http://dl.ndl.go.jp/info:ndljp/pid/3359225")</f>
        <v>http://dl.ndl.go.jp/info:ndljp/pid/3359225</v>
      </c>
      <c r="J76" s="37"/>
    </row>
    <row r="77" spans="1:10" ht="30" customHeight="1" x14ac:dyDescent="0.15">
      <c r="A77" s="16" t="s">
        <v>165</v>
      </c>
      <c r="B77" s="17" t="s">
        <v>166</v>
      </c>
      <c r="C77" s="17"/>
      <c r="D77" s="19" t="s">
        <v>162</v>
      </c>
      <c r="E77" s="19" t="s">
        <v>163</v>
      </c>
      <c r="F77" s="19" t="s">
        <v>167</v>
      </c>
      <c r="G77" s="2" t="str">
        <f t="shared" si="10"/>
        <v>http://jsmh.umin.jp/journal/06-2/06-2.pdf</v>
      </c>
      <c r="H77" s="42" t="str">
        <f t="shared" ref="H77:H81" si="11">HYPERLINK("http://dl.ndl.go.jp/info:ndljp/pid/3359225")</f>
        <v>http://dl.ndl.go.jp/info:ndljp/pid/3359225</v>
      </c>
    </row>
    <row r="78" spans="1:10" ht="30" customHeight="1" x14ac:dyDescent="0.15">
      <c r="A78" s="16" t="s">
        <v>81</v>
      </c>
      <c r="B78" s="17" t="s">
        <v>168</v>
      </c>
      <c r="C78" s="17"/>
      <c r="D78" s="19" t="s">
        <v>162</v>
      </c>
      <c r="E78" s="19" t="s">
        <v>163</v>
      </c>
      <c r="F78" s="19" t="s">
        <v>167</v>
      </c>
      <c r="G78" s="2" t="str">
        <f t="shared" si="10"/>
        <v>http://jsmh.umin.jp/journal/06-2/06-2.pdf</v>
      </c>
      <c r="H78" s="42" t="str">
        <f t="shared" si="11"/>
        <v>http://dl.ndl.go.jp/info:ndljp/pid/3359225</v>
      </c>
    </row>
    <row r="79" spans="1:10" ht="30" customHeight="1" x14ac:dyDescent="0.15">
      <c r="A79" s="16" t="s">
        <v>17</v>
      </c>
      <c r="B79" s="17" t="s">
        <v>169</v>
      </c>
      <c r="C79" s="17" t="s">
        <v>57</v>
      </c>
      <c r="D79" s="19" t="s">
        <v>162</v>
      </c>
      <c r="E79" s="19" t="s">
        <v>163</v>
      </c>
      <c r="F79" s="19" t="s">
        <v>170</v>
      </c>
      <c r="G79" s="2" t="str">
        <f t="shared" si="10"/>
        <v>http://jsmh.umin.jp/journal/06-2/06-2.pdf</v>
      </c>
      <c r="H79" s="42" t="str">
        <f t="shared" si="11"/>
        <v>http://dl.ndl.go.jp/info:ndljp/pid/3359225</v>
      </c>
    </row>
    <row r="80" spans="1:10" ht="30" customHeight="1" x14ac:dyDescent="0.15">
      <c r="A80" s="16" t="s">
        <v>159</v>
      </c>
      <c r="B80" s="17" t="s">
        <v>171</v>
      </c>
      <c r="C80" s="17" t="s">
        <v>21</v>
      </c>
      <c r="D80" s="19" t="s">
        <v>162</v>
      </c>
      <c r="E80" s="19" t="s">
        <v>163</v>
      </c>
      <c r="F80" s="19" t="s">
        <v>172</v>
      </c>
      <c r="G80" s="2" t="str">
        <f t="shared" si="10"/>
        <v>http://jsmh.umin.jp/journal/06-2/06-2.pdf</v>
      </c>
      <c r="H80" s="42" t="str">
        <f t="shared" si="11"/>
        <v>http://dl.ndl.go.jp/info:ndljp/pid/3359225</v>
      </c>
    </row>
    <row r="81" spans="1:10" ht="30" customHeight="1" x14ac:dyDescent="0.15">
      <c r="A81" s="16" t="s">
        <v>173</v>
      </c>
      <c r="B81" s="17" t="s">
        <v>174</v>
      </c>
      <c r="C81" s="17"/>
      <c r="D81" s="19" t="s">
        <v>162</v>
      </c>
      <c r="E81" s="19" t="s">
        <v>163</v>
      </c>
      <c r="F81" s="19" t="s">
        <v>175</v>
      </c>
      <c r="G81" s="2" t="str">
        <f t="shared" si="10"/>
        <v>http://jsmh.umin.jp/journal/06-2/06-2.pdf</v>
      </c>
      <c r="H81" s="42" t="str">
        <f t="shared" si="11"/>
        <v>http://dl.ndl.go.jp/info:ndljp/pid/3359225</v>
      </c>
    </row>
    <row r="82" spans="1:10" ht="30" customHeight="1" x14ac:dyDescent="0.15">
      <c r="A82" s="16" t="s">
        <v>88</v>
      </c>
      <c r="B82" s="17" t="s">
        <v>176</v>
      </c>
      <c r="C82" s="17" t="s">
        <v>24</v>
      </c>
      <c r="D82" s="19" t="s">
        <v>162</v>
      </c>
      <c r="E82" s="19" t="s">
        <v>177</v>
      </c>
      <c r="F82" s="19" t="s">
        <v>178</v>
      </c>
      <c r="G82" s="2" t="str">
        <f t="shared" ref="G82:G100" si="12">HYPERLINK("http://jsmh.umin.jp/journal/06-3/06-3.pdf")</f>
        <v>http://jsmh.umin.jp/journal/06-3/06-3.pdf</v>
      </c>
      <c r="H82" s="42" t="str">
        <f>HYPERLINK("http://dl.ndl.go.jp/info:ndljp/pid/3359226")</f>
        <v>http://dl.ndl.go.jp/info:ndljp/pid/3359226</v>
      </c>
      <c r="J82" s="37"/>
    </row>
    <row r="83" spans="1:10" ht="30" customHeight="1" x14ac:dyDescent="0.15">
      <c r="A83" s="16" t="s">
        <v>88</v>
      </c>
      <c r="B83" s="17" t="s">
        <v>179</v>
      </c>
      <c r="C83" s="17" t="s">
        <v>18</v>
      </c>
      <c r="D83" s="19" t="s">
        <v>162</v>
      </c>
      <c r="E83" s="19" t="s">
        <v>177</v>
      </c>
      <c r="F83" s="19" t="s">
        <v>180</v>
      </c>
      <c r="G83" s="2" t="str">
        <f t="shared" si="12"/>
        <v>http://jsmh.umin.jp/journal/06-3/06-3.pdf</v>
      </c>
      <c r="H83" s="42" t="str">
        <f t="shared" ref="H83:H100" si="13">HYPERLINK("http://dl.ndl.go.jp/info:ndljp/pid/3359226")</f>
        <v>http://dl.ndl.go.jp/info:ndljp/pid/3359226</v>
      </c>
    </row>
    <row r="84" spans="1:10" ht="30" customHeight="1" x14ac:dyDescent="0.15">
      <c r="A84" s="16" t="s">
        <v>91</v>
      </c>
      <c r="B84" s="17" t="s">
        <v>181</v>
      </c>
      <c r="C84" s="17" t="s">
        <v>134</v>
      </c>
      <c r="D84" s="19" t="s">
        <v>162</v>
      </c>
      <c r="E84" s="19" t="s">
        <v>177</v>
      </c>
      <c r="F84" s="19" t="s">
        <v>182</v>
      </c>
      <c r="G84" s="2" t="str">
        <f t="shared" si="12"/>
        <v>http://jsmh.umin.jp/journal/06-3/06-3.pdf</v>
      </c>
      <c r="H84" s="42" t="str">
        <f t="shared" si="13"/>
        <v>http://dl.ndl.go.jp/info:ndljp/pid/3359226</v>
      </c>
    </row>
    <row r="85" spans="1:10" ht="30" customHeight="1" x14ac:dyDescent="0.15">
      <c r="A85" s="16" t="s">
        <v>91</v>
      </c>
      <c r="B85" s="17" t="s">
        <v>183</v>
      </c>
      <c r="C85" s="17" t="s">
        <v>107</v>
      </c>
      <c r="D85" s="19" t="s">
        <v>162</v>
      </c>
      <c r="E85" s="19" t="s">
        <v>177</v>
      </c>
      <c r="F85" s="19" t="s">
        <v>184</v>
      </c>
      <c r="G85" s="2" t="str">
        <f t="shared" si="12"/>
        <v>http://jsmh.umin.jp/journal/06-3/06-3.pdf</v>
      </c>
      <c r="H85" s="42" t="str">
        <f t="shared" si="13"/>
        <v>http://dl.ndl.go.jp/info:ndljp/pid/3359226</v>
      </c>
    </row>
    <row r="86" spans="1:10" ht="30" customHeight="1" x14ac:dyDescent="0.15">
      <c r="A86" s="16" t="s">
        <v>91</v>
      </c>
      <c r="B86" s="17" t="s">
        <v>185</v>
      </c>
      <c r="C86" s="17" t="s">
        <v>48</v>
      </c>
      <c r="D86" s="19" t="s">
        <v>162</v>
      </c>
      <c r="E86" s="19" t="s">
        <v>177</v>
      </c>
      <c r="F86" s="19" t="s">
        <v>186</v>
      </c>
      <c r="G86" s="2" t="str">
        <f t="shared" si="12"/>
        <v>http://jsmh.umin.jp/journal/06-3/06-3.pdf</v>
      </c>
      <c r="H86" s="42" t="str">
        <f t="shared" si="13"/>
        <v>http://dl.ndl.go.jp/info:ndljp/pid/3359226</v>
      </c>
    </row>
    <row r="87" spans="1:10" ht="30" customHeight="1" x14ac:dyDescent="0.15">
      <c r="A87" s="16" t="s">
        <v>91</v>
      </c>
      <c r="B87" s="17" t="s">
        <v>187</v>
      </c>
      <c r="C87" s="17" t="s">
        <v>188</v>
      </c>
      <c r="D87" s="19" t="s">
        <v>162</v>
      </c>
      <c r="E87" s="19" t="s">
        <v>177</v>
      </c>
      <c r="F87" s="19" t="s">
        <v>189</v>
      </c>
      <c r="G87" s="2" t="str">
        <f t="shared" si="12"/>
        <v>http://jsmh.umin.jp/journal/06-3/06-3.pdf</v>
      </c>
      <c r="H87" s="42" t="str">
        <f t="shared" si="13"/>
        <v>http://dl.ndl.go.jp/info:ndljp/pid/3359226</v>
      </c>
    </row>
    <row r="88" spans="1:10" ht="30" customHeight="1" x14ac:dyDescent="0.15">
      <c r="A88" s="16" t="s">
        <v>91</v>
      </c>
      <c r="B88" s="17" t="s">
        <v>190</v>
      </c>
      <c r="C88" s="17" t="s">
        <v>191</v>
      </c>
      <c r="D88" s="19" t="s">
        <v>162</v>
      </c>
      <c r="E88" s="19" t="s">
        <v>177</v>
      </c>
      <c r="F88" s="19" t="s">
        <v>192</v>
      </c>
      <c r="G88" s="2" t="str">
        <f t="shared" si="12"/>
        <v>http://jsmh.umin.jp/journal/06-3/06-3.pdf</v>
      </c>
      <c r="H88" s="42" t="str">
        <f t="shared" si="13"/>
        <v>http://dl.ndl.go.jp/info:ndljp/pid/3359226</v>
      </c>
    </row>
    <row r="89" spans="1:10" ht="30" customHeight="1" x14ac:dyDescent="0.15">
      <c r="A89" s="16" t="s">
        <v>91</v>
      </c>
      <c r="B89" s="17" t="s">
        <v>193</v>
      </c>
      <c r="C89" s="17" t="s">
        <v>93</v>
      </c>
      <c r="D89" s="19" t="s">
        <v>162</v>
      </c>
      <c r="E89" s="19" t="s">
        <v>177</v>
      </c>
      <c r="F89" s="19" t="s">
        <v>194</v>
      </c>
      <c r="G89" s="2" t="str">
        <f t="shared" si="12"/>
        <v>http://jsmh.umin.jp/journal/06-3/06-3.pdf</v>
      </c>
      <c r="H89" s="42" t="str">
        <f t="shared" si="13"/>
        <v>http://dl.ndl.go.jp/info:ndljp/pid/3359226</v>
      </c>
    </row>
    <row r="90" spans="1:10" ht="30" customHeight="1" x14ac:dyDescent="0.15">
      <c r="A90" s="16" t="s">
        <v>91</v>
      </c>
      <c r="B90" s="17" t="s">
        <v>195</v>
      </c>
      <c r="C90" s="17" t="s">
        <v>57</v>
      </c>
      <c r="D90" s="19" t="s">
        <v>162</v>
      </c>
      <c r="E90" s="19" t="s">
        <v>177</v>
      </c>
      <c r="F90" s="19" t="s">
        <v>196</v>
      </c>
      <c r="G90" s="2" t="str">
        <f t="shared" si="12"/>
        <v>http://jsmh.umin.jp/journal/06-3/06-3.pdf</v>
      </c>
      <c r="H90" s="42" t="str">
        <f t="shared" si="13"/>
        <v>http://dl.ndl.go.jp/info:ndljp/pid/3359226</v>
      </c>
    </row>
    <row r="91" spans="1:10" ht="30" customHeight="1" x14ac:dyDescent="0.15">
      <c r="A91" s="16" t="s">
        <v>91</v>
      </c>
      <c r="B91" s="17" t="s">
        <v>197</v>
      </c>
      <c r="C91" s="17" t="s">
        <v>198</v>
      </c>
      <c r="D91" s="19" t="s">
        <v>162</v>
      </c>
      <c r="E91" s="19" t="s">
        <v>177</v>
      </c>
      <c r="F91" s="19" t="s">
        <v>199</v>
      </c>
      <c r="G91" s="2" t="str">
        <f t="shared" si="12"/>
        <v>http://jsmh.umin.jp/journal/06-3/06-3.pdf</v>
      </c>
      <c r="H91" s="42" t="str">
        <f t="shared" si="13"/>
        <v>http://dl.ndl.go.jp/info:ndljp/pid/3359226</v>
      </c>
    </row>
    <row r="92" spans="1:10" ht="30" customHeight="1" x14ac:dyDescent="0.15">
      <c r="A92" s="16" t="s">
        <v>91</v>
      </c>
      <c r="B92" s="17" t="s">
        <v>200</v>
      </c>
      <c r="C92" s="17" t="s">
        <v>11</v>
      </c>
      <c r="D92" s="19" t="s">
        <v>162</v>
      </c>
      <c r="E92" s="19" t="s">
        <v>177</v>
      </c>
      <c r="F92" s="19" t="s">
        <v>199</v>
      </c>
      <c r="G92" s="2" t="str">
        <f t="shared" si="12"/>
        <v>http://jsmh.umin.jp/journal/06-3/06-3.pdf</v>
      </c>
      <c r="H92" s="42" t="str">
        <f t="shared" si="13"/>
        <v>http://dl.ndl.go.jp/info:ndljp/pid/3359226</v>
      </c>
    </row>
    <row r="93" spans="1:10" ht="30" customHeight="1" x14ac:dyDescent="0.15">
      <c r="A93" s="16" t="s">
        <v>91</v>
      </c>
      <c r="B93" s="17" t="s">
        <v>201</v>
      </c>
      <c r="C93" s="17" t="s">
        <v>66</v>
      </c>
      <c r="D93" s="19" t="s">
        <v>162</v>
      </c>
      <c r="E93" s="19" t="s">
        <v>177</v>
      </c>
      <c r="F93" s="19" t="s">
        <v>202</v>
      </c>
      <c r="G93" s="2" t="str">
        <f t="shared" si="12"/>
        <v>http://jsmh.umin.jp/journal/06-3/06-3.pdf</v>
      </c>
      <c r="H93" s="42" t="str">
        <f t="shared" si="13"/>
        <v>http://dl.ndl.go.jp/info:ndljp/pid/3359226</v>
      </c>
    </row>
    <row r="94" spans="1:10" ht="30" customHeight="1" x14ac:dyDescent="0.15">
      <c r="A94" s="16" t="s">
        <v>91</v>
      </c>
      <c r="B94" s="17" t="s">
        <v>203</v>
      </c>
      <c r="C94" s="17" t="s">
        <v>204</v>
      </c>
      <c r="D94" s="19" t="s">
        <v>162</v>
      </c>
      <c r="E94" s="19" t="s">
        <v>177</v>
      </c>
      <c r="F94" s="19" t="s">
        <v>205</v>
      </c>
      <c r="G94" s="2" t="str">
        <f t="shared" si="12"/>
        <v>http://jsmh.umin.jp/journal/06-3/06-3.pdf</v>
      </c>
      <c r="H94" s="42" t="str">
        <f t="shared" si="13"/>
        <v>http://dl.ndl.go.jp/info:ndljp/pid/3359226</v>
      </c>
    </row>
    <row r="95" spans="1:10" ht="30" customHeight="1" x14ac:dyDescent="0.15">
      <c r="A95" s="16" t="s">
        <v>91</v>
      </c>
      <c r="B95" s="17" t="s">
        <v>206</v>
      </c>
      <c r="C95" s="17" t="s">
        <v>126</v>
      </c>
      <c r="D95" s="19" t="s">
        <v>162</v>
      </c>
      <c r="E95" s="19" t="s">
        <v>177</v>
      </c>
      <c r="F95" s="19" t="s">
        <v>207</v>
      </c>
      <c r="G95" s="2" t="str">
        <f t="shared" si="12"/>
        <v>http://jsmh.umin.jp/journal/06-3/06-3.pdf</v>
      </c>
      <c r="H95" s="42" t="str">
        <f t="shared" si="13"/>
        <v>http://dl.ndl.go.jp/info:ndljp/pid/3359226</v>
      </c>
    </row>
    <row r="96" spans="1:10" ht="30" customHeight="1" x14ac:dyDescent="0.15">
      <c r="A96" s="16" t="s">
        <v>91</v>
      </c>
      <c r="B96" s="17" t="s">
        <v>208</v>
      </c>
      <c r="C96" s="17" t="s">
        <v>209</v>
      </c>
      <c r="D96" s="19" t="s">
        <v>162</v>
      </c>
      <c r="E96" s="19" t="s">
        <v>177</v>
      </c>
      <c r="F96" s="19" t="s">
        <v>210</v>
      </c>
      <c r="G96" s="2" t="str">
        <f t="shared" si="12"/>
        <v>http://jsmh.umin.jp/journal/06-3/06-3.pdf</v>
      </c>
      <c r="H96" s="42" t="str">
        <f t="shared" si="13"/>
        <v>http://dl.ndl.go.jp/info:ndljp/pid/3359226</v>
      </c>
    </row>
    <row r="97" spans="1:10" ht="30" customHeight="1" x14ac:dyDescent="0.15">
      <c r="A97" s="16" t="s">
        <v>91</v>
      </c>
      <c r="B97" s="17" t="s">
        <v>211</v>
      </c>
      <c r="C97" s="17" t="s">
        <v>212</v>
      </c>
      <c r="D97" s="19" t="s">
        <v>162</v>
      </c>
      <c r="E97" s="19" t="s">
        <v>177</v>
      </c>
      <c r="F97" s="19" t="s">
        <v>213</v>
      </c>
      <c r="G97" s="2" t="str">
        <f t="shared" si="12"/>
        <v>http://jsmh.umin.jp/journal/06-3/06-3.pdf</v>
      </c>
      <c r="H97" s="42" t="str">
        <f t="shared" si="13"/>
        <v>http://dl.ndl.go.jp/info:ndljp/pid/3359226</v>
      </c>
    </row>
    <row r="98" spans="1:10" ht="30" customHeight="1" x14ac:dyDescent="0.15">
      <c r="A98" s="16" t="s">
        <v>91</v>
      </c>
      <c r="B98" s="17" t="s">
        <v>214</v>
      </c>
      <c r="C98" s="17" t="s">
        <v>215</v>
      </c>
      <c r="D98" s="19" t="s">
        <v>162</v>
      </c>
      <c r="E98" s="19" t="s">
        <v>177</v>
      </c>
      <c r="F98" s="19" t="s">
        <v>213</v>
      </c>
      <c r="G98" s="2" t="str">
        <f t="shared" si="12"/>
        <v>http://jsmh.umin.jp/journal/06-3/06-3.pdf</v>
      </c>
      <c r="H98" s="42" t="str">
        <f t="shared" si="13"/>
        <v>http://dl.ndl.go.jp/info:ndljp/pid/3359226</v>
      </c>
    </row>
    <row r="99" spans="1:10" ht="30" customHeight="1" x14ac:dyDescent="0.15">
      <c r="A99" s="16" t="s">
        <v>216</v>
      </c>
      <c r="B99" s="17" t="s">
        <v>217</v>
      </c>
      <c r="C99" s="17" t="s">
        <v>218</v>
      </c>
      <c r="D99" s="19" t="s">
        <v>162</v>
      </c>
      <c r="E99" s="19" t="s">
        <v>177</v>
      </c>
      <c r="F99" s="19" t="s">
        <v>219</v>
      </c>
      <c r="G99" s="2" t="str">
        <f t="shared" si="12"/>
        <v>http://jsmh.umin.jp/journal/06-3/06-3.pdf</v>
      </c>
      <c r="H99" s="42" t="str">
        <f t="shared" si="13"/>
        <v>http://dl.ndl.go.jp/info:ndljp/pid/3359226</v>
      </c>
    </row>
    <row r="100" spans="1:10" ht="30" customHeight="1" x14ac:dyDescent="0.15">
      <c r="A100" s="16" t="s">
        <v>81</v>
      </c>
      <c r="B100" s="17" t="s">
        <v>220</v>
      </c>
      <c r="C100" s="17" t="s">
        <v>57</v>
      </c>
      <c r="D100" s="19" t="s">
        <v>162</v>
      </c>
      <c r="E100" s="19" t="s">
        <v>177</v>
      </c>
      <c r="F100" s="19" t="s">
        <v>221</v>
      </c>
      <c r="G100" s="2" t="str">
        <f t="shared" si="12"/>
        <v>http://jsmh.umin.jp/journal/06-3/06-3.pdf</v>
      </c>
      <c r="H100" s="42" t="str">
        <f t="shared" si="13"/>
        <v>http://dl.ndl.go.jp/info:ndljp/pid/3359226</v>
      </c>
    </row>
    <row r="101" spans="1:10" ht="30" customHeight="1" x14ac:dyDescent="0.15">
      <c r="A101" s="16" t="s">
        <v>17</v>
      </c>
      <c r="B101" s="17" t="s">
        <v>222</v>
      </c>
      <c r="C101" s="17" t="s">
        <v>223</v>
      </c>
      <c r="D101" s="19" t="s">
        <v>162</v>
      </c>
      <c r="E101" s="19" t="s">
        <v>224</v>
      </c>
      <c r="F101" s="19" t="s">
        <v>225</v>
      </c>
      <c r="G101" s="2" t="str">
        <f t="shared" ref="G101:G106" si="14">HYPERLINK("http://jsmh.umin.jp/journal/06-4/06-4.pdf")</f>
        <v>http://jsmh.umin.jp/journal/06-4/06-4.pdf</v>
      </c>
      <c r="H101" s="42" t="str">
        <f>HYPERLINK("http://dl.ndl.go.jp/info:ndljp/pid/3359227")</f>
        <v>http://dl.ndl.go.jp/info:ndljp/pid/3359227</v>
      </c>
      <c r="J101" s="37"/>
    </row>
    <row r="102" spans="1:10" ht="30" customHeight="1" x14ac:dyDescent="0.15">
      <c r="A102" s="16" t="s">
        <v>17</v>
      </c>
      <c r="B102" s="17" t="s">
        <v>226</v>
      </c>
      <c r="C102" s="17" t="s">
        <v>57</v>
      </c>
      <c r="D102" s="19" t="s">
        <v>162</v>
      </c>
      <c r="E102" s="19" t="s">
        <v>224</v>
      </c>
      <c r="F102" s="19" t="s">
        <v>227</v>
      </c>
      <c r="G102" s="2" t="str">
        <f t="shared" si="14"/>
        <v>http://jsmh.umin.jp/journal/06-4/06-4.pdf</v>
      </c>
      <c r="H102" s="42" t="str">
        <f t="shared" ref="H102:H106" si="15">HYPERLINK("http://dl.ndl.go.jp/info:ndljp/pid/3359227")</f>
        <v>http://dl.ndl.go.jp/info:ndljp/pid/3359227</v>
      </c>
    </row>
    <row r="103" spans="1:10" ht="30" customHeight="1" x14ac:dyDescent="0.15">
      <c r="A103" s="16" t="s">
        <v>81</v>
      </c>
      <c r="B103" s="17" t="s">
        <v>168</v>
      </c>
      <c r="C103" s="17"/>
      <c r="D103" s="19" t="s">
        <v>162</v>
      </c>
      <c r="E103" s="19" t="s">
        <v>224</v>
      </c>
      <c r="F103" s="19" t="s">
        <v>228</v>
      </c>
      <c r="G103" s="2" t="str">
        <f t="shared" si="14"/>
        <v>http://jsmh.umin.jp/journal/06-4/06-4.pdf</v>
      </c>
      <c r="H103" s="42" t="str">
        <f t="shared" si="15"/>
        <v>http://dl.ndl.go.jp/info:ndljp/pid/3359227</v>
      </c>
    </row>
    <row r="104" spans="1:10" ht="30" customHeight="1" x14ac:dyDescent="0.15">
      <c r="A104" s="16" t="s">
        <v>81</v>
      </c>
      <c r="B104" s="17" t="s">
        <v>229</v>
      </c>
      <c r="C104" s="17"/>
      <c r="D104" s="19" t="s">
        <v>162</v>
      </c>
      <c r="E104" s="19" t="s">
        <v>224</v>
      </c>
      <c r="F104" s="19" t="s">
        <v>228</v>
      </c>
      <c r="G104" s="2" t="str">
        <f t="shared" si="14"/>
        <v>http://jsmh.umin.jp/journal/06-4/06-4.pdf</v>
      </c>
      <c r="H104" s="42" t="str">
        <f t="shared" si="15"/>
        <v>http://dl.ndl.go.jp/info:ndljp/pid/3359227</v>
      </c>
    </row>
    <row r="105" spans="1:10" ht="30" customHeight="1" x14ac:dyDescent="0.15">
      <c r="A105" s="16" t="s">
        <v>27</v>
      </c>
      <c r="B105" s="17" t="s">
        <v>230</v>
      </c>
      <c r="C105" s="17" t="s">
        <v>198</v>
      </c>
      <c r="D105" s="19" t="s">
        <v>162</v>
      </c>
      <c r="E105" s="19" t="s">
        <v>224</v>
      </c>
      <c r="F105" s="19" t="s">
        <v>231</v>
      </c>
      <c r="G105" s="2" t="str">
        <f t="shared" si="14"/>
        <v>http://jsmh.umin.jp/journal/06-4/06-4.pdf</v>
      </c>
      <c r="H105" s="42" t="str">
        <f t="shared" si="15"/>
        <v>http://dl.ndl.go.jp/info:ndljp/pid/3359227</v>
      </c>
    </row>
    <row r="106" spans="1:10" ht="30" customHeight="1" x14ac:dyDescent="0.15">
      <c r="A106" s="16" t="s">
        <v>159</v>
      </c>
      <c r="B106" s="17" t="s">
        <v>232</v>
      </c>
      <c r="C106" s="17" t="s">
        <v>21</v>
      </c>
      <c r="D106" s="19" t="s">
        <v>162</v>
      </c>
      <c r="E106" s="19" t="s">
        <v>224</v>
      </c>
      <c r="F106" s="19" t="s">
        <v>233</v>
      </c>
      <c r="G106" s="2" t="str">
        <f t="shared" si="14"/>
        <v>http://jsmh.umin.jp/journal/06-4/06-4.pdf</v>
      </c>
      <c r="H106" s="42" t="str">
        <f t="shared" si="15"/>
        <v>http://dl.ndl.go.jp/info:ndljp/pid/3359227</v>
      </c>
    </row>
    <row r="107" spans="1:10" ht="30" customHeight="1" x14ac:dyDescent="0.15">
      <c r="A107" s="16" t="s">
        <v>234</v>
      </c>
      <c r="B107" s="17" t="s">
        <v>235</v>
      </c>
      <c r="C107" s="17" t="s">
        <v>96</v>
      </c>
      <c r="D107" s="19" t="s">
        <v>162</v>
      </c>
      <c r="E107" s="19" t="s">
        <v>236</v>
      </c>
      <c r="F107" s="19" t="s">
        <v>237</v>
      </c>
      <c r="G107" s="3" t="str">
        <f t="shared" ref="G107:G113" si="16">HYPERLINK("http://jsmh.umin.jp/journal/07-1/07-1.pdf")</f>
        <v>http://jsmh.umin.jp/journal/07-1/07-1.pdf</v>
      </c>
      <c r="H107" s="42" t="str">
        <f>HYPERLINK("http://dl.ndl.go.jp/info:ndljp/pid/3359228")</f>
        <v>http://dl.ndl.go.jp/info:ndljp/pid/3359228</v>
      </c>
      <c r="J107" s="37"/>
    </row>
    <row r="108" spans="1:10" ht="30" customHeight="1" x14ac:dyDescent="0.15">
      <c r="A108" s="16" t="s">
        <v>234</v>
      </c>
      <c r="B108" s="17" t="s">
        <v>238</v>
      </c>
      <c r="C108" s="17" t="s">
        <v>57</v>
      </c>
      <c r="D108" s="19" t="s">
        <v>162</v>
      </c>
      <c r="E108" s="19" t="s">
        <v>236</v>
      </c>
      <c r="F108" s="19" t="s">
        <v>239</v>
      </c>
      <c r="G108" s="3" t="str">
        <f t="shared" si="16"/>
        <v>http://jsmh.umin.jp/journal/07-1/07-1.pdf</v>
      </c>
      <c r="H108" s="42" t="str">
        <f t="shared" ref="H108:H113" si="17">HYPERLINK("http://dl.ndl.go.jp/info:ndljp/pid/3359228")</f>
        <v>http://dl.ndl.go.jp/info:ndljp/pid/3359228</v>
      </c>
    </row>
    <row r="109" spans="1:10" ht="30" customHeight="1" x14ac:dyDescent="0.15">
      <c r="A109" s="16" t="s">
        <v>234</v>
      </c>
      <c r="B109" s="17" t="s">
        <v>240</v>
      </c>
      <c r="C109" s="17" t="s">
        <v>93</v>
      </c>
      <c r="D109" s="19" t="s">
        <v>162</v>
      </c>
      <c r="E109" s="19" t="s">
        <v>236</v>
      </c>
      <c r="F109" s="19" t="s">
        <v>241</v>
      </c>
      <c r="G109" s="2" t="str">
        <f t="shared" si="16"/>
        <v>http://jsmh.umin.jp/journal/07-1/07-1.pdf</v>
      </c>
      <c r="H109" s="42" t="str">
        <f t="shared" si="17"/>
        <v>http://dl.ndl.go.jp/info:ndljp/pid/3359228</v>
      </c>
    </row>
    <row r="110" spans="1:10" ht="30" customHeight="1" x14ac:dyDescent="0.15">
      <c r="A110" s="16" t="s">
        <v>234</v>
      </c>
      <c r="B110" s="17" t="s">
        <v>242</v>
      </c>
      <c r="C110" s="17" t="s">
        <v>57</v>
      </c>
      <c r="D110" s="19" t="s">
        <v>162</v>
      </c>
      <c r="E110" s="19" t="s">
        <v>236</v>
      </c>
      <c r="F110" s="19" t="s">
        <v>243</v>
      </c>
      <c r="G110" s="2" t="str">
        <f t="shared" si="16"/>
        <v>http://jsmh.umin.jp/journal/07-1/07-1.pdf</v>
      </c>
      <c r="H110" s="42" t="str">
        <f t="shared" si="17"/>
        <v>http://dl.ndl.go.jp/info:ndljp/pid/3359228</v>
      </c>
    </row>
    <row r="111" spans="1:10" ht="30" customHeight="1" x14ac:dyDescent="0.15">
      <c r="A111" s="16" t="s">
        <v>234</v>
      </c>
      <c r="B111" s="17" t="s">
        <v>244</v>
      </c>
      <c r="C111" s="17" t="s">
        <v>93</v>
      </c>
      <c r="D111" s="19" t="s">
        <v>162</v>
      </c>
      <c r="E111" s="19" t="s">
        <v>236</v>
      </c>
      <c r="F111" s="19" t="s">
        <v>245</v>
      </c>
      <c r="G111" s="2" t="str">
        <f t="shared" si="16"/>
        <v>http://jsmh.umin.jp/journal/07-1/07-1.pdf</v>
      </c>
      <c r="H111" s="42" t="str">
        <f t="shared" si="17"/>
        <v>http://dl.ndl.go.jp/info:ndljp/pid/3359228</v>
      </c>
    </row>
    <row r="112" spans="1:10" ht="30" customHeight="1" x14ac:dyDescent="0.15">
      <c r="A112" s="16" t="s">
        <v>234</v>
      </c>
      <c r="B112" s="17" t="s">
        <v>246</v>
      </c>
      <c r="C112" s="17"/>
      <c r="D112" s="19" t="s">
        <v>162</v>
      </c>
      <c r="E112" s="19" t="s">
        <v>236</v>
      </c>
      <c r="F112" s="19" t="s">
        <v>5</v>
      </c>
      <c r="G112" s="2" t="str">
        <f t="shared" si="16"/>
        <v>http://jsmh.umin.jp/journal/07-1/07-1.pdf</v>
      </c>
      <c r="H112" s="42" t="str">
        <f t="shared" si="17"/>
        <v>http://dl.ndl.go.jp/info:ndljp/pid/3359228</v>
      </c>
    </row>
    <row r="113" spans="1:8" ht="30" customHeight="1" x14ac:dyDescent="0.15">
      <c r="A113" s="16" t="s">
        <v>234</v>
      </c>
      <c r="B113" s="17" t="s">
        <v>247</v>
      </c>
      <c r="C113" s="17"/>
      <c r="D113" s="19" t="s">
        <v>162</v>
      </c>
      <c r="E113" s="19" t="s">
        <v>236</v>
      </c>
      <c r="F113" s="19" t="s">
        <v>5</v>
      </c>
      <c r="G113" s="2" t="str">
        <f t="shared" si="16"/>
        <v>http://jsmh.umin.jp/journal/07-1/07-1.pdf</v>
      </c>
      <c r="H113" s="42" t="str">
        <f t="shared" si="17"/>
        <v>http://dl.ndl.go.jp/info:ndljp/pid/3359228</v>
      </c>
    </row>
    <row r="114" spans="1:8" ht="30" customHeight="1" x14ac:dyDescent="0.15">
      <c r="A114" s="16" t="s">
        <v>88</v>
      </c>
      <c r="B114" s="17" t="s">
        <v>248</v>
      </c>
      <c r="C114" s="17" t="s">
        <v>21</v>
      </c>
      <c r="D114" s="18" t="s">
        <v>249</v>
      </c>
      <c r="E114" s="19" t="s">
        <v>250</v>
      </c>
      <c r="F114" s="19" t="s">
        <v>251</v>
      </c>
      <c r="G114" s="2" t="str">
        <f t="shared" ref="G114:G137" si="18">HYPERLINK("http://jsmh.umin.jp/journal/07-4/07-4.pdf")</f>
        <v>http://jsmh.umin.jp/journal/07-4/07-4.pdf</v>
      </c>
      <c r="H114" s="42" t="s">
        <v>10654</v>
      </c>
    </row>
    <row r="115" spans="1:8" ht="30" customHeight="1" x14ac:dyDescent="0.15">
      <c r="A115" s="16" t="s">
        <v>88</v>
      </c>
      <c r="B115" s="17" t="s">
        <v>252</v>
      </c>
      <c r="C115" s="17" t="s">
        <v>123</v>
      </c>
      <c r="D115" s="23" t="s">
        <v>249</v>
      </c>
      <c r="E115" s="19" t="s">
        <v>250</v>
      </c>
      <c r="F115" s="19" t="s">
        <v>253</v>
      </c>
      <c r="G115" s="2" t="str">
        <f t="shared" si="18"/>
        <v>http://jsmh.umin.jp/journal/07-4/07-4.pdf</v>
      </c>
      <c r="H115" s="42" t="s">
        <v>10654</v>
      </c>
    </row>
    <row r="116" spans="1:8" ht="30" customHeight="1" x14ac:dyDescent="0.15">
      <c r="A116" s="16" t="s">
        <v>91</v>
      </c>
      <c r="B116" s="17" t="s">
        <v>254</v>
      </c>
      <c r="C116" s="17" t="s">
        <v>107</v>
      </c>
      <c r="D116" s="23" t="s">
        <v>249</v>
      </c>
      <c r="E116" s="19" t="s">
        <v>250</v>
      </c>
      <c r="F116" s="19" t="s">
        <v>84</v>
      </c>
      <c r="G116" s="2" t="str">
        <f t="shared" si="18"/>
        <v>http://jsmh.umin.jp/journal/07-4/07-4.pdf</v>
      </c>
      <c r="H116" s="42" t="s">
        <v>10654</v>
      </c>
    </row>
    <row r="117" spans="1:8" ht="30" customHeight="1" x14ac:dyDescent="0.15">
      <c r="A117" s="16" t="s">
        <v>91</v>
      </c>
      <c r="B117" s="17" t="s">
        <v>255</v>
      </c>
      <c r="C117" s="17" t="s">
        <v>48</v>
      </c>
      <c r="D117" s="23" t="s">
        <v>249</v>
      </c>
      <c r="E117" s="19" t="s">
        <v>250</v>
      </c>
      <c r="F117" s="19" t="s">
        <v>256</v>
      </c>
      <c r="G117" s="2" t="str">
        <f t="shared" si="18"/>
        <v>http://jsmh.umin.jp/journal/07-4/07-4.pdf</v>
      </c>
      <c r="H117" s="42" t="s">
        <v>10654</v>
      </c>
    </row>
    <row r="118" spans="1:8" ht="30" customHeight="1" x14ac:dyDescent="0.15">
      <c r="A118" s="16" t="s">
        <v>91</v>
      </c>
      <c r="B118" s="17" t="s">
        <v>257</v>
      </c>
      <c r="C118" s="17" t="s">
        <v>57</v>
      </c>
      <c r="D118" s="23" t="s">
        <v>249</v>
      </c>
      <c r="E118" s="19" t="s">
        <v>250</v>
      </c>
      <c r="F118" s="19" t="s">
        <v>258</v>
      </c>
      <c r="G118" s="2" t="str">
        <f t="shared" si="18"/>
        <v>http://jsmh.umin.jp/journal/07-4/07-4.pdf</v>
      </c>
      <c r="H118" s="42" t="s">
        <v>10654</v>
      </c>
    </row>
    <row r="119" spans="1:8" ht="30" customHeight="1" x14ac:dyDescent="0.15">
      <c r="A119" s="16" t="s">
        <v>91</v>
      </c>
      <c r="B119" s="17" t="s">
        <v>259</v>
      </c>
      <c r="C119" s="17" t="s">
        <v>260</v>
      </c>
      <c r="D119" s="23" t="s">
        <v>249</v>
      </c>
      <c r="E119" s="19" t="s">
        <v>250</v>
      </c>
      <c r="F119" s="19" t="s">
        <v>261</v>
      </c>
      <c r="G119" s="2" t="str">
        <f t="shared" si="18"/>
        <v>http://jsmh.umin.jp/journal/07-4/07-4.pdf</v>
      </c>
      <c r="H119" s="42" t="s">
        <v>10654</v>
      </c>
    </row>
    <row r="120" spans="1:8" ht="30" customHeight="1" x14ac:dyDescent="0.15">
      <c r="A120" s="16" t="s">
        <v>91</v>
      </c>
      <c r="B120" s="17" t="s">
        <v>262</v>
      </c>
      <c r="C120" s="17" t="s">
        <v>76</v>
      </c>
      <c r="D120" s="23" t="s">
        <v>249</v>
      </c>
      <c r="E120" s="19" t="s">
        <v>250</v>
      </c>
      <c r="F120" s="19" t="s">
        <v>261</v>
      </c>
      <c r="G120" s="2" t="str">
        <f t="shared" si="18"/>
        <v>http://jsmh.umin.jp/journal/07-4/07-4.pdf</v>
      </c>
      <c r="H120" s="42" t="s">
        <v>10654</v>
      </c>
    </row>
    <row r="121" spans="1:8" ht="30" customHeight="1" x14ac:dyDescent="0.15">
      <c r="A121" s="16" t="s">
        <v>91</v>
      </c>
      <c r="B121" s="17" t="s">
        <v>263</v>
      </c>
      <c r="C121" s="17" t="s">
        <v>93</v>
      </c>
      <c r="D121" s="23" t="s">
        <v>249</v>
      </c>
      <c r="E121" s="19" t="s">
        <v>250</v>
      </c>
      <c r="F121" s="19" t="s">
        <v>264</v>
      </c>
      <c r="G121" s="2" t="str">
        <f t="shared" si="18"/>
        <v>http://jsmh.umin.jp/journal/07-4/07-4.pdf</v>
      </c>
      <c r="H121" s="42" t="s">
        <v>10654</v>
      </c>
    </row>
    <row r="122" spans="1:8" ht="30" customHeight="1" x14ac:dyDescent="0.15">
      <c r="A122" s="16" t="s">
        <v>91</v>
      </c>
      <c r="B122" s="17" t="s">
        <v>265</v>
      </c>
      <c r="C122" s="17" t="s">
        <v>212</v>
      </c>
      <c r="D122" s="23" t="s">
        <v>249</v>
      </c>
      <c r="E122" s="19" t="s">
        <v>250</v>
      </c>
      <c r="F122" s="19" t="s">
        <v>264</v>
      </c>
      <c r="G122" s="2" t="str">
        <f t="shared" si="18"/>
        <v>http://jsmh.umin.jp/journal/07-4/07-4.pdf</v>
      </c>
      <c r="H122" s="42" t="s">
        <v>10654</v>
      </c>
    </row>
    <row r="123" spans="1:8" ht="30" customHeight="1" x14ac:dyDescent="0.15">
      <c r="A123" s="16" t="s">
        <v>91</v>
      </c>
      <c r="B123" s="17" t="s">
        <v>266</v>
      </c>
      <c r="C123" s="17" t="s">
        <v>104</v>
      </c>
      <c r="D123" s="23" t="s">
        <v>249</v>
      </c>
      <c r="E123" s="19" t="s">
        <v>250</v>
      </c>
      <c r="F123" s="19" t="s">
        <v>267</v>
      </c>
      <c r="G123" s="2" t="str">
        <f t="shared" si="18"/>
        <v>http://jsmh.umin.jp/journal/07-4/07-4.pdf</v>
      </c>
      <c r="H123" s="42" t="s">
        <v>10654</v>
      </c>
    </row>
    <row r="124" spans="1:8" ht="30" customHeight="1" x14ac:dyDescent="0.15">
      <c r="A124" s="16" t="s">
        <v>91</v>
      </c>
      <c r="B124" s="17" t="s">
        <v>268</v>
      </c>
      <c r="C124" s="17" t="s">
        <v>24</v>
      </c>
      <c r="D124" s="23" t="s">
        <v>249</v>
      </c>
      <c r="E124" s="19" t="s">
        <v>250</v>
      </c>
      <c r="F124" s="19" t="s">
        <v>269</v>
      </c>
      <c r="G124" s="2" t="str">
        <f t="shared" si="18"/>
        <v>http://jsmh.umin.jp/journal/07-4/07-4.pdf</v>
      </c>
      <c r="H124" s="42" t="s">
        <v>10654</v>
      </c>
    </row>
    <row r="125" spans="1:8" ht="30" customHeight="1" x14ac:dyDescent="0.15">
      <c r="A125" s="16" t="s">
        <v>91</v>
      </c>
      <c r="B125" s="17" t="s">
        <v>270</v>
      </c>
      <c r="C125" s="17" t="s">
        <v>150</v>
      </c>
      <c r="D125" s="23" t="s">
        <v>249</v>
      </c>
      <c r="E125" s="19" t="s">
        <v>250</v>
      </c>
      <c r="F125" s="19" t="s">
        <v>271</v>
      </c>
      <c r="G125" s="2" t="str">
        <f t="shared" si="18"/>
        <v>http://jsmh.umin.jp/journal/07-4/07-4.pdf</v>
      </c>
      <c r="H125" s="42" t="s">
        <v>10654</v>
      </c>
    </row>
    <row r="126" spans="1:8" ht="30" customHeight="1" x14ac:dyDescent="0.15">
      <c r="A126" s="16" t="s">
        <v>91</v>
      </c>
      <c r="B126" s="17" t="s">
        <v>272</v>
      </c>
      <c r="C126" s="17" t="s">
        <v>273</v>
      </c>
      <c r="D126" s="23" t="s">
        <v>249</v>
      </c>
      <c r="E126" s="19" t="s">
        <v>250</v>
      </c>
      <c r="F126" s="19" t="s">
        <v>274</v>
      </c>
      <c r="G126" s="2" t="str">
        <f t="shared" si="18"/>
        <v>http://jsmh.umin.jp/journal/07-4/07-4.pdf</v>
      </c>
      <c r="H126" s="42" t="s">
        <v>10654</v>
      </c>
    </row>
    <row r="127" spans="1:8" ht="30" customHeight="1" x14ac:dyDescent="0.15">
      <c r="A127" s="16" t="s">
        <v>91</v>
      </c>
      <c r="B127" s="17" t="s">
        <v>275</v>
      </c>
      <c r="C127" s="17" t="s">
        <v>11</v>
      </c>
      <c r="D127" s="23" t="s">
        <v>249</v>
      </c>
      <c r="E127" s="19" t="s">
        <v>250</v>
      </c>
      <c r="F127" s="19" t="s">
        <v>276</v>
      </c>
      <c r="G127" s="2" t="str">
        <f t="shared" si="18"/>
        <v>http://jsmh.umin.jp/journal/07-4/07-4.pdf</v>
      </c>
      <c r="H127" s="42" t="s">
        <v>10654</v>
      </c>
    </row>
    <row r="128" spans="1:8" ht="30" customHeight="1" x14ac:dyDescent="0.15">
      <c r="A128" s="16" t="s">
        <v>91</v>
      </c>
      <c r="B128" s="17" t="s">
        <v>277</v>
      </c>
      <c r="C128" s="17" t="s">
        <v>278</v>
      </c>
      <c r="D128" s="23" t="s">
        <v>249</v>
      </c>
      <c r="E128" s="19" t="s">
        <v>250</v>
      </c>
      <c r="F128" s="19" t="s">
        <v>279</v>
      </c>
      <c r="G128" s="2" t="str">
        <f t="shared" si="18"/>
        <v>http://jsmh.umin.jp/journal/07-4/07-4.pdf</v>
      </c>
      <c r="H128" s="42" t="s">
        <v>10654</v>
      </c>
    </row>
    <row r="129" spans="1:8" ht="30" customHeight="1" x14ac:dyDescent="0.15">
      <c r="A129" s="16" t="s">
        <v>91</v>
      </c>
      <c r="B129" s="17" t="s">
        <v>280</v>
      </c>
      <c r="C129" s="17" t="s">
        <v>118</v>
      </c>
      <c r="D129" s="23" t="s">
        <v>249</v>
      </c>
      <c r="E129" s="19" t="s">
        <v>250</v>
      </c>
      <c r="F129" s="19" t="s">
        <v>281</v>
      </c>
      <c r="G129" s="2" t="str">
        <f t="shared" si="18"/>
        <v>http://jsmh.umin.jp/journal/07-4/07-4.pdf</v>
      </c>
      <c r="H129" s="42" t="s">
        <v>10654</v>
      </c>
    </row>
    <row r="130" spans="1:8" ht="30" customHeight="1" x14ac:dyDescent="0.15">
      <c r="A130" s="16" t="s">
        <v>91</v>
      </c>
      <c r="B130" s="17" t="s">
        <v>282</v>
      </c>
      <c r="C130" s="17" t="s">
        <v>198</v>
      </c>
      <c r="D130" s="23" t="s">
        <v>249</v>
      </c>
      <c r="E130" s="19" t="s">
        <v>250</v>
      </c>
      <c r="F130" s="19" t="s">
        <v>283</v>
      </c>
      <c r="G130" s="2" t="str">
        <f t="shared" si="18"/>
        <v>http://jsmh.umin.jp/journal/07-4/07-4.pdf</v>
      </c>
      <c r="H130" s="42" t="s">
        <v>10654</v>
      </c>
    </row>
    <row r="131" spans="1:8" ht="30" customHeight="1" x14ac:dyDescent="0.15">
      <c r="A131" s="16" t="s">
        <v>91</v>
      </c>
      <c r="B131" s="17" t="s">
        <v>284</v>
      </c>
      <c r="C131" s="17" t="s">
        <v>191</v>
      </c>
      <c r="D131" s="23" t="s">
        <v>249</v>
      </c>
      <c r="E131" s="19" t="s">
        <v>250</v>
      </c>
      <c r="F131" s="19" t="s">
        <v>285</v>
      </c>
      <c r="G131" s="2" t="str">
        <f t="shared" si="18"/>
        <v>http://jsmh.umin.jp/journal/07-4/07-4.pdf</v>
      </c>
      <c r="H131" s="42" t="s">
        <v>10654</v>
      </c>
    </row>
    <row r="132" spans="1:8" ht="30" customHeight="1" x14ac:dyDescent="0.15">
      <c r="A132" s="16" t="s">
        <v>91</v>
      </c>
      <c r="B132" s="17" t="s">
        <v>286</v>
      </c>
      <c r="C132" s="17" t="s">
        <v>287</v>
      </c>
      <c r="D132" s="23" t="s">
        <v>249</v>
      </c>
      <c r="E132" s="19" t="s">
        <v>250</v>
      </c>
      <c r="F132" s="19" t="s">
        <v>288</v>
      </c>
      <c r="G132" s="2" t="str">
        <f t="shared" si="18"/>
        <v>http://jsmh.umin.jp/journal/07-4/07-4.pdf</v>
      </c>
      <c r="H132" s="42" t="s">
        <v>10654</v>
      </c>
    </row>
    <row r="133" spans="1:8" ht="30" customHeight="1" x14ac:dyDescent="0.15">
      <c r="A133" s="16" t="s">
        <v>91</v>
      </c>
      <c r="B133" s="17" t="s">
        <v>289</v>
      </c>
      <c r="C133" s="17" t="s">
        <v>69</v>
      </c>
      <c r="D133" s="23" t="s">
        <v>249</v>
      </c>
      <c r="E133" s="19" t="s">
        <v>250</v>
      </c>
      <c r="F133" s="19" t="s">
        <v>288</v>
      </c>
      <c r="G133" s="2" t="str">
        <f t="shared" si="18"/>
        <v>http://jsmh.umin.jp/journal/07-4/07-4.pdf</v>
      </c>
      <c r="H133" s="42" t="s">
        <v>10654</v>
      </c>
    </row>
    <row r="134" spans="1:8" ht="30" customHeight="1" x14ac:dyDescent="0.15">
      <c r="A134" s="16" t="s">
        <v>91</v>
      </c>
      <c r="B134" s="17" t="s">
        <v>290</v>
      </c>
      <c r="C134" s="17" t="s">
        <v>291</v>
      </c>
      <c r="D134" s="23" t="s">
        <v>249</v>
      </c>
      <c r="E134" s="19" t="s">
        <v>250</v>
      </c>
      <c r="F134" s="19" t="s">
        <v>292</v>
      </c>
      <c r="G134" s="2" t="str">
        <f t="shared" si="18"/>
        <v>http://jsmh.umin.jp/journal/07-4/07-4.pdf</v>
      </c>
      <c r="H134" s="42" t="s">
        <v>10654</v>
      </c>
    </row>
    <row r="135" spans="1:8" ht="30" customHeight="1" x14ac:dyDescent="0.15">
      <c r="A135" s="16" t="s">
        <v>91</v>
      </c>
      <c r="B135" s="17" t="s">
        <v>293</v>
      </c>
      <c r="C135" s="17" t="s">
        <v>294</v>
      </c>
      <c r="D135" s="23" t="s">
        <v>249</v>
      </c>
      <c r="E135" s="19" t="s">
        <v>250</v>
      </c>
      <c r="F135" s="19" t="s">
        <v>295</v>
      </c>
      <c r="G135" s="2" t="str">
        <f t="shared" si="18"/>
        <v>http://jsmh.umin.jp/journal/07-4/07-4.pdf</v>
      </c>
      <c r="H135" s="42" t="s">
        <v>10654</v>
      </c>
    </row>
    <row r="136" spans="1:8" ht="30" customHeight="1" x14ac:dyDescent="0.15">
      <c r="A136" s="16" t="s">
        <v>91</v>
      </c>
      <c r="B136" s="17" t="s">
        <v>296</v>
      </c>
      <c r="C136" s="17" t="s">
        <v>297</v>
      </c>
      <c r="D136" s="23" t="s">
        <v>249</v>
      </c>
      <c r="E136" s="19" t="s">
        <v>250</v>
      </c>
      <c r="F136" s="19" t="s">
        <v>298</v>
      </c>
      <c r="G136" s="2" t="str">
        <f t="shared" si="18"/>
        <v>http://jsmh.umin.jp/journal/07-4/07-4.pdf</v>
      </c>
      <c r="H136" s="42" t="s">
        <v>10654</v>
      </c>
    </row>
    <row r="137" spans="1:8" ht="30" customHeight="1" x14ac:dyDescent="0.15">
      <c r="A137" s="16" t="s">
        <v>91</v>
      </c>
      <c r="B137" s="17" t="s">
        <v>299</v>
      </c>
      <c r="C137" s="17" t="s">
        <v>126</v>
      </c>
      <c r="D137" s="23" t="s">
        <v>249</v>
      </c>
      <c r="E137" s="19" t="s">
        <v>250</v>
      </c>
      <c r="F137" s="19" t="s">
        <v>300</v>
      </c>
      <c r="G137" s="2" t="str">
        <f t="shared" si="18"/>
        <v>http://jsmh.umin.jp/journal/07-4/07-4.pdf</v>
      </c>
      <c r="H137" s="42" t="s">
        <v>10654</v>
      </c>
    </row>
    <row r="138" spans="1:8" ht="30" customHeight="1" x14ac:dyDescent="0.15">
      <c r="A138" s="16" t="s">
        <v>301</v>
      </c>
      <c r="B138" s="17" t="s">
        <v>302</v>
      </c>
      <c r="C138" s="17" t="s">
        <v>303</v>
      </c>
      <c r="D138" s="23" t="s">
        <v>249</v>
      </c>
      <c r="E138" s="19" t="s">
        <v>304</v>
      </c>
      <c r="F138" s="19" t="s">
        <v>12</v>
      </c>
      <c r="G138" s="2" t="str">
        <f t="shared" ref="G138:G146" si="19">HYPERLINK("http://jsmh.umin.jp/journal/08-1/08-1.pdf")</f>
        <v>http://jsmh.umin.jp/journal/08-1/08-1.pdf</v>
      </c>
      <c r="H138" s="42" t="s">
        <v>10654</v>
      </c>
    </row>
    <row r="139" spans="1:8" ht="30" customHeight="1" x14ac:dyDescent="0.15">
      <c r="A139" s="16" t="s">
        <v>301</v>
      </c>
      <c r="B139" s="17" t="s">
        <v>305</v>
      </c>
      <c r="C139" s="17" t="s">
        <v>11</v>
      </c>
      <c r="D139" s="23" t="s">
        <v>249</v>
      </c>
      <c r="E139" s="19" t="s">
        <v>304</v>
      </c>
      <c r="F139" s="19" t="s">
        <v>14</v>
      </c>
      <c r="G139" s="2" t="str">
        <f t="shared" si="19"/>
        <v>http://jsmh.umin.jp/journal/08-1/08-1.pdf</v>
      </c>
      <c r="H139" s="42" t="s">
        <v>10654</v>
      </c>
    </row>
    <row r="140" spans="1:8" ht="30" customHeight="1" x14ac:dyDescent="0.15">
      <c r="A140" s="16" t="s">
        <v>301</v>
      </c>
      <c r="B140" s="17" t="s">
        <v>302</v>
      </c>
      <c r="C140" s="17" t="s">
        <v>306</v>
      </c>
      <c r="D140" s="23" t="s">
        <v>249</v>
      </c>
      <c r="E140" s="19" t="s">
        <v>304</v>
      </c>
      <c r="F140" s="19" t="s">
        <v>153</v>
      </c>
      <c r="G140" s="2" t="str">
        <f t="shared" si="19"/>
        <v>http://jsmh.umin.jp/journal/08-1/08-1.pdf</v>
      </c>
      <c r="H140" s="42" t="s">
        <v>10654</v>
      </c>
    </row>
    <row r="141" spans="1:8" ht="30" customHeight="1" x14ac:dyDescent="0.15">
      <c r="A141" s="16" t="s">
        <v>301</v>
      </c>
      <c r="B141" s="17" t="s">
        <v>307</v>
      </c>
      <c r="C141" s="17" t="s">
        <v>308</v>
      </c>
      <c r="D141" s="23" t="s">
        <v>249</v>
      </c>
      <c r="E141" s="19" t="s">
        <v>304</v>
      </c>
      <c r="F141" s="19" t="s">
        <v>309</v>
      </c>
      <c r="G141" s="2" t="str">
        <f t="shared" si="19"/>
        <v>http://jsmh.umin.jp/journal/08-1/08-1.pdf</v>
      </c>
      <c r="H141" s="42" t="s">
        <v>10654</v>
      </c>
    </row>
    <row r="142" spans="1:8" ht="30" customHeight="1" x14ac:dyDescent="0.15">
      <c r="A142" s="16" t="s">
        <v>301</v>
      </c>
      <c r="B142" s="17" t="s">
        <v>310</v>
      </c>
      <c r="C142" s="17" t="s">
        <v>311</v>
      </c>
      <c r="D142" s="23" t="s">
        <v>249</v>
      </c>
      <c r="E142" s="19" t="s">
        <v>304</v>
      </c>
      <c r="F142" s="19" t="s">
        <v>312</v>
      </c>
      <c r="G142" s="2" t="str">
        <f t="shared" si="19"/>
        <v>http://jsmh.umin.jp/journal/08-1/08-1.pdf</v>
      </c>
      <c r="H142" s="42" t="s">
        <v>10654</v>
      </c>
    </row>
    <row r="143" spans="1:8" ht="30" customHeight="1" x14ac:dyDescent="0.15">
      <c r="A143" s="16" t="s">
        <v>301</v>
      </c>
      <c r="B143" s="17" t="s">
        <v>313</v>
      </c>
      <c r="C143" s="17" t="s">
        <v>57</v>
      </c>
      <c r="D143" s="23" t="s">
        <v>249</v>
      </c>
      <c r="E143" s="19" t="s">
        <v>304</v>
      </c>
      <c r="F143" s="19" t="s">
        <v>314</v>
      </c>
      <c r="G143" s="2" t="str">
        <f t="shared" si="19"/>
        <v>http://jsmh.umin.jp/journal/08-1/08-1.pdf</v>
      </c>
      <c r="H143" s="42" t="s">
        <v>10654</v>
      </c>
    </row>
    <row r="144" spans="1:8" ht="30" customHeight="1" x14ac:dyDescent="0.15">
      <c r="A144" s="16" t="s">
        <v>301</v>
      </c>
      <c r="B144" s="17" t="s">
        <v>315</v>
      </c>
      <c r="C144" s="17"/>
      <c r="D144" s="23" t="s">
        <v>249</v>
      </c>
      <c r="E144" s="19" t="s">
        <v>304</v>
      </c>
      <c r="F144" s="19" t="s">
        <v>314</v>
      </c>
      <c r="G144" s="2" t="str">
        <f t="shared" si="19"/>
        <v>http://jsmh.umin.jp/journal/08-1/08-1.pdf</v>
      </c>
      <c r="H144" s="42" t="s">
        <v>10654</v>
      </c>
    </row>
    <row r="145" spans="1:8" ht="30" customHeight="1" x14ac:dyDescent="0.15">
      <c r="A145" s="16" t="s">
        <v>301</v>
      </c>
      <c r="B145" s="17" t="s">
        <v>316</v>
      </c>
      <c r="C145" s="17"/>
      <c r="D145" s="23" t="s">
        <v>249</v>
      </c>
      <c r="E145" s="19" t="s">
        <v>304</v>
      </c>
      <c r="F145" s="19" t="s">
        <v>5</v>
      </c>
      <c r="G145" s="2" t="str">
        <f t="shared" si="19"/>
        <v>http://jsmh.umin.jp/journal/08-1/08-1.pdf</v>
      </c>
      <c r="H145" s="42" t="s">
        <v>10654</v>
      </c>
    </row>
    <row r="146" spans="1:8" ht="30" customHeight="1" x14ac:dyDescent="0.15">
      <c r="A146" s="16" t="s">
        <v>301</v>
      </c>
      <c r="B146" s="17" t="s">
        <v>317</v>
      </c>
      <c r="C146" s="17"/>
      <c r="D146" s="23" t="s">
        <v>249</v>
      </c>
      <c r="E146" s="19" t="s">
        <v>304</v>
      </c>
      <c r="F146" s="19" t="s">
        <v>5</v>
      </c>
      <c r="G146" s="2" t="str">
        <f t="shared" si="19"/>
        <v>http://jsmh.umin.jp/journal/08-1/08-1.pdf</v>
      </c>
      <c r="H146" s="42" t="s">
        <v>10654</v>
      </c>
    </row>
    <row r="147" spans="1:8" ht="30" customHeight="1" x14ac:dyDescent="0.15">
      <c r="A147" s="16" t="s">
        <v>318</v>
      </c>
      <c r="B147" s="17" t="s">
        <v>319</v>
      </c>
      <c r="C147" s="17" t="s">
        <v>320</v>
      </c>
      <c r="D147" s="23" t="s">
        <v>249</v>
      </c>
      <c r="E147" s="19" t="s">
        <v>321</v>
      </c>
      <c r="F147" s="19" t="s">
        <v>322</v>
      </c>
      <c r="G147" s="2" t="str">
        <f t="shared" ref="G147:G158" si="20">HYPERLINK("http://jsmh.umin.jp/journal/08-3/08-3.pdf")</f>
        <v>http://jsmh.umin.jp/journal/08-3/08-3.pdf</v>
      </c>
      <c r="H147" s="42" t="s">
        <v>10654</v>
      </c>
    </row>
    <row r="148" spans="1:8" ht="30" customHeight="1" x14ac:dyDescent="0.15">
      <c r="A148" s="16" t="s">
        <v>318</v>
      </c>
      <c r="B148" s="17" t="s">
        <v>323</v>
      </c>
      <c r="C148" s="17"/>
      <c r="D148" s="23" t="s">
        <v>249</v>
      </c>
      <c r="E148" s="19" t="s">
        <v>321</v>
      </c>
      <c r="F148" s="19" t="s">
        <v>324</v>
      </c>
      <c r="G148" s="2" t="str">
        <f t="shared" si="20"/>
        <v>http://jsmh.umin.jp/journal/08-3/08-3.pdf</v>
      </c>
      <c r="H148" s="42" t="s">
        <v>10654</v>
      </c>
    </row>
    <row r="149" spans="1:8" ht="30" customHeight="1" x14ac:dyDescent="0.15">
      <c r="A149" s="16" t="s">
        <v>318</v>
      </c>
      <c r="B149" s="17" t="s">
        <v>325</v>
      </c>
      <c r="C149" s="17"/>
      <c r="D149" s="23" t="s">
        <v>249</v>
      </c>
      <c r="E149" s="19" t="s">
        <v>321</v>
      </c>
      <c r="F149" s="19" t="s">
        <v>326</v>
      </c>
      <c r="G149" s="2" t="str">
        <f t="shared" si="20"/>
        <v>http://jsmh.umin.jp/journal/08-3/08-3.pdf</v>
      </c>
      <c r="H149" s="42" t="s">
        <v>10654</v>
      </c>
    </row>
    <row r="150" spans="1:8" ht="30" customHeight="1" x14ac:dyDescent="0.15">
      <c r="A150" s="16" t="s">
        <v>318</v>
      </c>
      <c r="B150" s="17" t="s">
        <v>327</v>
      </c>
      <c r="C150" s="17"/>
      <c r="D150" s="23" t="s">
        <v>249</v>
      </c>
      <c r="E150" s="19" t="s">
        <v>321</v>
      </c>
      <c r="F150" s="19" t="s">
        <v>328</v>
      </c>
      <c r="G150" s="2" t="str">
        <f t="shared" si="20"/>
        <v>http://jsmh.umin.jp/journal/08-3/08-3.pdf</v>
      </c>
      <c r="H150" s="42" t="s">
        <v>10654</v>
      </c>
    </row>
    <row r="151" spans="1:8" ht="30" customHeight="1" x14ac:dyDescent="0.15">
      <c r="A151" s="16" t="s">
        <v>318</v>
      </c>
      <c r="B151" s="17" t="s">
        <v>329</v>
      </c>
      <c r="C151" s="17"/>
      <c r="D151" s="23" t="s">
        <v>249</v>
      </c>
      <c r="E151" s="19" t="s">
        <v>321</v>
      </c>
      <c r="F151" s="19" t="s">
        <v>330</v>
      </c>
      <c r="G151" s="2" t="str">
        <f t="shared" si="20"/>
        <v>http://jsmh.umin.jp/journal/08-3/08-3.pdf</v>
      </c>
      <c r="H151" s="42" t="s">
        <v>10654</v>
      </c>
    </row>
    <row r="152" spans="1:8" ht="30" customHeight="1" x14ac:dyDescent="0.15">
      <c r="A152" s="16" t="s">
        <v>318</v>
      </c>
      <c r="B152" s="17" t="s">
        <v>331</v>
      </c>
      <c r="C152" s="17"/>
      <c r="D152" s="23" t="s">
        <v>249</v>
      </c>
      <c r="E152" s="19" t="s">
        <v>321</v>
      </c>
      <c r="F152" s="19" t="s">
        <v>332</v>
      </c>
      <c r="G152" s="2" t="str">
        <f t="shared" si="20"/>
        <v>http://jsmh.umin.jp/journal/08-3/08-3.pdf</v>
      </c>
      <c r="H152" s="42" t="s">
        <v>10654</v>
      </c>
    </row>
    <row r="153" spans="1:8" ht="30" customHeight="1" x14ac:dyDescent="0.15">
      <c r="A153" s="16" t="s">
        <v>318</v>
      </c>
      <c r="B153" s="17" t="s">
        <v>333</v>
      </c>
      <c r="C153" s="17"/>
      <c r="D153" s="23" t="s">
        <v>249</v>
      </c>
      <c r="E153" s="19" t="s">
        <v>321</v>
      </c>
      <c r="F153" s="19" t="s">
        <v>334</v>
      </c>
      <c r="G153" s="2" t="str">
        <f t="shared" si="20"/>
        <v>http://jsmh.umin.jp/journal/08-3/08-3.pdf</v>
      </c>
      <c r="H153" s="42" t="s">
        <v>10654</v>
      </c>
    </row>
    <row r="154" spans="1:8" ht="30" customHeight="1" x14ac:dyDescent="0.15">
      <c r="A154" s="16" t="s">
        <v>318</v>
      </c>
      <c r="B154" s="17" t="s">
        <v>335</v>
      </c>
      <c r="C154" s="17"/>
      <c r="D154" s="23" t="s">
        <v>249</v>
      </c>
      <c r="E154" s="19" t="s">
        <v>321</v>
      </c>
      <c r="F154" s="19" t="s">
        <v>336</v>
      </c>
      <c r="G154" s="2" t="str">
        <f t="shared" si="20"/>
        <v>http://jsmh.umin.jp/journal/08-3/08-3.pdf</v>
      </c>
      <c r="H154" s="42" t="s">
        <v>10654</v>
      </c>
    </row>
    <row r="155" spans="1:8" ht="30" customHeight="1" x14ac:dyDescent="0.15">
      <c r="A155" s="16" t="s">
        <v>318</v>
      </c>
      <c r="B155" s="17" t="s">
        <v>337</v>
      </c>
      <c r="C155" s="17"/>
      <c r="D155" s="23" t="s">
        <v>249</v>
      </c>
      <c r="E155" s="19" t="s">
        <v>321</v>
      </c>
      <c r="F155" s="19" t="s">
        <v>338</v>
      </c>
      <c r="G155" s="2" t="str">
        <f t="shared" si="20"/>
        <v>http://jsmh.umin.jp/journal/08-3/08-3.pdf</v>
      </c>
      <c r="H155" s="42" t="s">
        <v>10654</v>
      </c>
    </row>
    <row r="156" spans="1:8" ht="30" customHeight="1" x14ac:dyDescent="0.15">
      <c r="A156" s="16" t="s">
        <v>318</v>
      </c>
      <c r="B156" s="17" t="s">
        <v>339</v>
      </c>
      <c r="C156" s="17"/>
      <c r="D156" s="23" t="s">
        <v>249</v>
      </c>
      <c r="E156" s="19" t="s">
        <v>321</v>
      </c>
      <c r="F156" s="19" t="s">
        <v>340</v>
      </c>
      <c r="G156" s="2" t="str">
        <f t="shared" si="20"/>
        <v>http://jsmh.umin.jp/journal/08-3/08-3.pdf</v>
      </c>
      <c r="H156" s="42" t="s">
        <v>10654</v>
      </c>
    </row>
    <row r="157" spans="1:8" ht="30" customHeight="1" x14ac:dyDescent="0.15">
      <c r="A157" s="16" t="s">
        <v>318</v>
      </c>
      <c r="B157" s="17" t="s">
        <v>313</v>
      </c>
      <c r="C157" s="17"/>
      <c r="D157" s="23" t="s">
        <v>249</v>
      </c>
      <c r="E157" s="19" t="s">
        <v>321</v>
      </c>
      <c r="F157" s="19" t="s">
        <v>341</v>
      </c>
      <c r="G157" s="2" t="str">
        <f t="shared" si="20"/>
        <v>http://jsmh.umin.jp/journal/08-3/08-3.pdf</v>
      </c>
      <c r="H157" s="42" t="s">
        <v>10654</v>
      </c>
    </row>
    <row r="158" spans="1:8" ht="30" customHeight="1" x14ac:dyDescent="0.15">
      <c r="A158" s="16" t="s">
        <v>318</v>
      </c>
      <c r="B158" s="17" t="s">
        <v>342</v>
      </c>
      <c r="C158" s="17"/>
      <c r="D158" s="23" t="s">
        <v>249</v>
      </c>
      <c r="E158" s="19" t="s">
        <v>321</v>
      </c>
      <c r="F158" s="19" t="s">
        <v>341</v>
      </c>
      <c r="G158" s="2" t="str">
        <f t="shared" si="20"/>
        <v>http://jsmh.umin.jp/journal/08-3/08-3.pdf</v>
      </c>
      <c r="H158" s="42" t="s">
        <v>10654</v>
      </c>
    </row>
    <row r="159" spans="1:8" ht="30" customHeight="1" x14ac:dyDescent="0.15">
      <c r="A159" s="16" t="s">
        <v>81</v>
      </c>
      <c r="B159" s="17" t="s">
        <v>343</v>
      </c>
      <c r="C159" s="17"/>
      <c r="D159" s="24" t="s">
        <v>344</v>
      </c>
      <c r="E159" s="19" t="s">
        <v>345</v>
      </c>
      <c r="F159" s="19" t="s">
        <v>9</v>
      </c>
      <c r="G159" s="2" t="str">
        <f t="shared" ref="G159:G188" si="21">HYPERLINK("http://jsmh.umin.jp/journal/09-1/09-1.pdf")</f>
        <v>http://jsmh.umin.jp/journal/09-1/09-1.pdf</v>
      </c>
      <c r="H159" s="42" t="s">
        <v>10654</v>
      </c>
    </row>
    <row r="160" spans="1:8" ht="30" customHeight="1" x14ac:dyDescent="0.15">
      <c r="A160" s="16" t="s">
        <v>88</v>
      </c>
      <c r="B160" s="17" t="s">
        <v>346</v>
      </c>
      <c r="C160" s="17" t="s">
        <v>260</v>
      </c>
      <c r="D160" s="24" t="s">
        <v>344</v>
      </c>
      <c r="E160" s="19" t="s">
        <v>345</v>
      </c>
      <c r="F160" s="19" t="s">
        <v>347</v>
      </c>
      <c r="G160" s="2" t="str">
        <f t="shared" si="21"/>
        <v>http://jsmh.umin.jp/journal/09-1/09-1.pdf</v>
      </c>
      <c r="H160" s="42" t="s">
        <v>10654</v>
      </c>
    </row>
    <row r="161" spans="1:8" ht="30" customHeight="1" x14ac:dyDescent="0.15">
      <c r="A161" s="16" t="s">
        <v>348</v>
      </c>
      <c r="B161" s="17" t="s">
        <v>349</v>
      </c>
      <c r="C161" s="17" t="s">
        <v>198</v>
      </c>
      <c r="D161" s="19" t="s">
        <v>344</v>
      </c>
      <c r="E161" s="19" t="s">
        <v>345</v>
      </c>
      <c r="F161" s="19" t="s">
        <v>350</v>
      </c>
      <c r="G161" s="2" t="str">
        <f t="shared" si="21"/>
        <v>http://jsmh.umin.jp/journal/09-1/09-1.pdf</v>
      </c>
      <c r="H161" s="42" t="s">
        <v>10654</v>
      </c>
    </row>
    <row r="162" spans="1:8" ht="30" customHeight="1" x14ac:dyDescent="0.15">
      <c r="A162" s="16" t="s">
        <v>91</v>
      </c>
      <c r="B162" s="17" t="s">
        <v>351</v>
      </c>
      <c r="C162" s="17" t="s">
        <v>212</v>
      </c>
      <c r="D162" s="19" t="s">
        <v>344</v>
      </c>
      <c r="E162" s="19" t="s">
        <v>345</v>
      </c>
      <c r="F162" s="19" t="s">
        <v>352</v>
      </c>
      <c r="G162" s="2" t="str">
        <f t="shared" si="21"/>
        <v>http://jsmh.umin.jp/journal/09-1/09-1.pdf</v>
      </c>
      <c r="H162" s="42" t="s">
        <v>10654</v>
      </c>
    </row>
    <row r="163" spans="1:8" ht="30" customHeight="1" x14ac:dyDescent="0.15">
      <c r="A163" s="16" t="s">
        <v>91</v>
      </c>
      <c r="B163" s="17" t="s">
        <v>353</v>
      </c>
      <c r="C163" s="17" t="s">
        <v>48</v>
      </c>
      <c r="D163" s="19" t="s">
        <v>344</v>
      </c>
      <c r="E163" s="19" t="s">
        <v>345</v>
      </c>
      <c r="F163" s="19" t="s">
        <v>354</v>
      </c>
      <c r="G163" s="2" t="str">
        <f t="shared" si="21"/>
        <v>http://jsmh.umin.jp/journal/09-1/09-1.pdf</v>
      </c>
      <c r="H163" s="42" t="s">
        <v>10654</v>
      </c>
    </row>
    <row r="164" spans="1:8" ht="30" customHeight="1" x14ac:dyDescent="0.15">
      <c r="A164" s="16" t="s">
        <v>91</v>
      </c>
      <c r="B164" s="17" t="s">
        <v>355</v>
      </c>
      <c r="C164" s="17" t="s">
        <v>48</v>
      </c>
      <c r="D164" s="19" t="s">
        <v>344</v>
      </c>
      <c r="E164" s="19" t="s">
        <v>345</v>
      </c>
      <c r="F164" s="19" t="s">
        <v>354</v>
      </c>
      <c r="G164" s="2" t="str">
        <f t="shared" si="21"/>
        <v>http://jsmh.umin.jp/journal/09-1/09-1.pdf</v>
      </c>
      <c r="H164" s="42" t="s">
        <v>10654</v>
      </c>
    </row>
    <row r="165" spans="1:8" ht="30" customHeight="1" x14ac:dyDescent="0.15">
      <c r="A165" s="16" t="s">
        <v>91</v>
      </c>
      <c r="B165" s="17" t="s">
        <v>356</v>
      </c>
      <c r="C165" s="17" t="s">
        <v>101</v>
      </c>
      <c r="D165" s="19" t="s">
        <v>344</v>
      </c>
      <c r="E165" s="19" t="s">
        <v>345</v>
      </c>
      <c r="F165" s="19" t="s">
        <v>357</v>
      </c>
      <c r="G165" s="2" t="str">
        <f t="shared" si="21"/>
        <v>http://jsmh.umin.jp/journal/09-1/09-1.pdf</v>
      </c>
      <c r="H165" s="42" t="s">
        <v>10654</v>
      </c>
    </row>
    <row r="166" spans="1:8" ht="30" customHeight="1" x14ac:dyDescent="0.15">
      <c r="A166" s="16" t="s">
        <v>91</v>
      </c>
      <c r="B166" s="17" t="s">
        <v>358</v>
      </c>
      <c r="C166" s="17" t="s">
        <v>57</v>
      </c>
      <c r="D166" s="19" t="s">
        <v>344</v>
      </c>
      <c r="E166" s="19" t="s">
        <v>345</v>
      </c>
      <c r="F166" s="19" t="s">
        <v>359</v>
      </c>
      <c r="G166" s="2" t="str">
        <f t="shared" si="21"/>
        <v>http://jsmh.umin.jp/journal/09-1/09-1.pdf</v>
      </c>
      <c r="H166" s="42" t="s">
        <v>10654</v>
      </c>
    </row>
    <row r="167" spans="1:8" ht="30" customHeight="1" x14ac:dyDescent="0.15">
      <c r="A167" s="16" t="s">
        <v>91</v>
      </c>
      <c r="B167" s="17" t="s">
        <v>360</v>
      </c>
      <c r="C167" s="17" t="s">
        <v>66</v>
      </c>
      <c r="D167" s="19" t="s">
        <v>344</v>
      </c>
      <c r="E167" s="19" t="s">
        <v>345</v>
      </c>
      <c r="F167" s="19" t="s">
        <v>361</v>
      </c>
      <c r="G167" s="2" t="str">
        <f t="shared" si="21"/>
        <v>http://jsmh.umin.jp/journal/09-1/09-1.pdf</v>
      </c>
      <c r="H167" s="42" t="s">
        <v>10654</v>
      </c>
    </row>
    <row r="168" spans="1:8" ht="30" customHeight="1" x14ac:dyDescent="0.15">
      <c r="A168" s="16" t="s">
        <v>91</v>
      </c>
      <c r="B168" s="17" t="s">
        <v>362</v>
      </c>
      <c r="C168" s="17" t="s">
        <v>57</v>
      </c>
      <c r="D168" s="19" t="s">
        <v>344</v>
      </c>
      <c r="E168" s="19" t="s">
        <v>345</v>
      </c>
      <c r="F168" s="19" t="s">
        <v>363</v>
      </c>
      <c r="G168" s="2" t="str">
        <f t="shared" si="21"/>
        <v>http://jsmh.umin.jp/journal/09-1/09-1.pdf</v>
      </c>
      <c r="H168" s="42" t="s">
        <v>10654</v>
      </c>
    </row>
    <row r="169" spans="1:8" ht="30" customHeight="1" x14ac:dyDescent="0.15">
      <c r="A169" s="16" t="s">
        <v>91</v>
      </c>
      <c r="B169" s="17" t="s">
        <v>364</v>
      </c>
      <c r="C169" s="17" t="s">
        <v>365</v>
      </c>
      <c r="D169" s="19" t="s">
        <v>344</v>
      </c>
      <c r="E169" s="19" t="s">
        <v>345</v>
      </c>
      <c r="F169" s="19" t="s">
        <v>366</v>
      </c>
      <c r="G169" s="2" t="str">
        <f t="shared" si="21"/>
        <v>http://jsmh.umin.jp/journal/09-1/09-1.pdf</v>
      </c>
      <c r="H169" s="42" t="s">
        <v>10654</v>
      </c>
    </row>
    <row r="170" spans="1:8" ht="30" customHeight="1" x14ac:dyDescent="0.15">
      <c r="A170" s="16" t="s">
        <v>91</v>
      </c>
      <c r="B170" s="17" t="s">
        <v>367</v>
      </c>
      <c r="C170" s="17" t="s">
        <v>76</v>
      </c>
      <c r="D170" s="19" t="s">
        <v>344</v>
      </c>
      <c r="E170" s="19" t="s">
        <v>345</v>
      </c>
      <c r="F170" s="19" t="s">
        <v>368</v>
      </c>
      <c r="G170" s="2" t="str">
        <f t="shared" si="21"/>
        <v>http://jsmh.umin.jp/journal/09-1/09-1.pdf</v>
      </c>
      <c r="H170" s="42" t="s">
        <v>10654</v>
      </c>
    </row>
    <row r="171" spans="1:8" ht="30" customHeight="1" x14ac:dyDescent="0.15">
      <c r="A171" s="16" t="s">
        <v>91</v>
      </c>
      <c r="B171" s="17" t="s">
        <v>369</v>
      </c>
      <c r="C171" s="17" t="s">
        <v>150</v>
      </c>
      <c r="D171" s="19" t="s">
        <v>344</v>
      </c>
      <c r="E171" s="19" t="s">
        <v>345</v>
      </c>
      <c r="F171" s="19" t="s">
        <v>370</v>
      </c>
      <c r="G171" s="2" t="str">
        <f t="shared" si="21"/>
        <v>http://jsmh.umin.jp/journal/09-1/09-1.pdf</v>
      </c>
      <c r="H171" s="42" t="s">
        <v>10654</v>
      </c>
    </row>
    <row r="172" spans="1:8" ht="30" customHeight="1" x14ac:dyDescent="0.15">
      <c r="A172" s="16" t="s">
        <v>91</v>
      </c>
      <c r="B172" s="17" t="s">
        <v>371</v>
      </c>
      <c r="C172" s="17" t="s">
        <v>372</v>
      </c>
      <c r="D172" s="19" t="s">
        <v>344</v>
      </c>
      <c r="E172" s="19" t="s">
        <v>345</v>
      </c>
      <c r="F172" s="19" t="s">
        <v>23</v>
      </c>
      <c r="G172" s="2" t="str">
        <f t="shared" si="21"/>
        <v>http://jsmh.umin.jp/journal/09-1/09-1.pdf</v>
      </c>
      <c r="H172" s="42" t="s">
        <v>10654</v>
      </c>
    </row>
    <row r="173" spans="1:8" ht="30" customHeight="1" x14ac:dyDescent="0.15">
      <c r="A173" s="16" t="s">
        <v>91</v>
      </c>
      <c r="B173" s="17" t="s">
        <v>373</v>
      </c>
      <c r="C173" s="17" t="s">
        <v>126</v>
      </c>
      <c r="D173" s="19" t="s">
        <v>344</v>
      </c>
      <c r="E173" s="19" t="s">
        <v>345</v>
      </c>
      <c r="F173" s="19" t="s">
        <v>374</v>
      </c>
      <c r="G173" s="2" t="str">
        <f t="shared" si="21"/>
        <v>http://jsmh.umin.jp/journal/09-1/09-1.pdf</v>
      </c>
      <c r="H173" s="42" t="s">
        <v>10654</v>
      </c>
    </row>
    <row r="174" spans="1:8" ht="30" customHeight="1" x14ac:dyDescent="0.15">
      <c r="A174" s="16" t="s">
        <v>91</v>
      </c>
      <c r="B174" s="17" t="s">
        <v>375</v>
      </c>
      <c r="C174" s="17" t="s">
        <v>376</v>
      </c>
      <c r="D174" s="19" t="s">
        <v>344</v>
      </c>
      <c r="E174" s="19" t="s">
        <v>345</v>
      </c>
      <c r="F174" s="19" t="s">
        <v>377</v>
      </c>
      <c r="G174" s="2" t="str">
        <f t="shared" si="21"/>
        <v>http://jsmh.umin.jp/journal/09-1/09-1.pdf</v>
      </c>
      <c r="H174" s="42" t="s">
        <v>10654</v>
      </c>
    </row>
    <row r="175" spans="1:8" ht="30" customHeight="1" x14ac:dyDescent="0.15">
      <c r="A175" s="16" t="s">
        <v>91</v>
      </c>
      <c r="B175" s="17" t="s">
        <v>378</v>
      </c>
      <c r="C175" s="17" t="s">
        <v>134</v>
      </c>
      <c r="D175" s="19" t="s">
        <v>344</v>
      </c>
      <c r="E175" s="19" t="s">
        <v>345</v>
      </c>
      <c r="F175" s="19" t="s">
        <v>379</v>
      </c>
      <c r="G175" s="2" t="str">
        <f t="shared" si="21"/>
        <v>http://jsmh.umin.jp/journal/09-1/09-1.pdf</v>
      </c>
      <c r="H175" s="42" t="s">
        <v>10654</v>
      </c>
    </row>
    <row r="176" spans="1:8" ht="30" customHeight="1" x14ac:dyDescent="0.15">
      <c r="A176" s="16" t="s">
        <v>91</v>
      </c>
      <c r="B176" s="17" t="s">
        <v>380</v>
      </c>
      <c r="C176" s="17" t="s">
        <v>104</v>
      </c>
      <c r="D176" s="19" t="s">
        <v>344</v>
      </c>
      <c r="E176" s="19" t="s">
        <v>345</v>
      </c>
      <c r="F176" s="19" t="s">
        <v>381</v>
      </c>
      <c r="G176" s="2" t="str">
        <f t="shared" si="21"/>
        <v>http://jsmh.umin.jp/journal/09-1/09-1.pdf</v>
      </c>
      <c r="H176" s="42" t="s">
        <v>10654</v>
      </c>
    </row>
    <row r="177" spans="1:8" ht="30" customHeight="1" x14ac:dyDescent="0.15">
      <c r="A177" s="16" t="s">
        <v>91</v>
      </c>
      <c r="B177" s="17" t="s">
        <v>382</v>
      </c>
      <c r="C177" s="17" t="s">
        <v>24</v>
      </c>
      <c r="D177" s="19" t="s">
        <v>344</v>
      </c>
      <c r="E177" s="19" t="s">
        <v>345</v>
      </c>
      <c r="F177" s="19" t="s">
        <v>381</v>
      </c>
      <c r="G177" s="2" t="str">
        <f t="shared" si="21"/>
        <v>http://jsmh.umin.jp/journal/09-1/09-1.pdf</v>
      </c>
      <c r="H177" s="42" t="s">
        <v>10654</v>
      </c>
    </row>
    <row r="178" spans="1:8" ht="30" customHeight="1" x14ac:dyDescent="0.15">
      <c r="A178" s="16" t="s">
        <v>91</v>
      </c>
      <c r="B178" s="17" t="s">
        <v>383</v>
      </c>
      <c r="C178" s="17" t="s">
        <v>11</v>
      </c>
      <c r="D178" s="19" t="s">
        <v>344</v>
      </c>
      <c r="E178" s="19" t="s">
        <v>345</v>
      </c>
      <c r="F178" s="19" t="s">
        <v>384</v>
      </c>
      <c r="G178" s="2" t="str">
        <f t="shared" si="21"/>
        <v>http://jsmh.umin.jp/journal/09-1/09-1.pdf</v>
      </c>
      <c r="H178" s="42" t="s">
        <v>10654</v>
      </c>
    </row>
    <row r="179" spans="1:8" ht="30" customHeight="1" x14ac:dyDescent="0.15">
      <c r="A179" s="16" t="s">
        <v>91</v>
      </c>
      <c r="B179" s="17" t="s">
        <v>385</v>
      </c>
      <c r="C179" s="17" t="s">
        <v>204</v>
      </c>
      <c r="D179" s="19" t="s">
        <v>344</v>
      </c>
      <c r="E179" s="19" t="s">
        <v>345</v>
      </c>
      <c r="F179" s="19" t="s">
        <v>158</v>
      </c>
      <c r="G179" s="2" t="str">
        <f t="shared" si="21"/>
        <v>http://jsmh.umin.jp/journal/09-1/09-1.pdf</v>
      </c>
      <c r="H179" s="42" t="s">
        <v>10654</v>
      </c>
    </row>
    <row r="180" spans="1:8" ht="30" customHeight="1" x14ac:dyDescent="0.15">
      <c r="A180" s="16" t="s">
        <v>91</v>
      </c>
      <c r="B180" s="17" t="s">
        <v>386</v>
      </c>
      <c r="C180" s="17" t="s">
        <v>212</v>
      </c>
      <c r="D180" s="19" t="s">
        <v>344</v>
      </c>
      <c r="E180" s="19" t="s">
        <v>345</v>
      </c>
      <c r="F180" s="19" t="s">
        <v>387</v>
      </c>
      <c r="G180" s="2" t="str">
        <f t="shared" si="21"/>
        <v>http://jsmh.umin.jp/journal/09-1/09-1.pdf</v>
      </c>
      <c r="H180" s="42" t="s">
        <v>10654</v>
      </c>
    </row>
    <row r="181" spans="1:8" ht="30" customHeight="1" x14ac:dyDescent="0.15">
      <c r="A181" s="16" t="s">
        <v>91</v>
      </c>
      <c r="B181" s="17" t="s">
        <v>388</v>
      </c>
      <c r="C181" s="17" t="s">
        <v>273</v>
      </c>
      <c r="D181" s="19" t="s">
        <v>344</v>
      </c>
      <c r="E181" s="19" t="s">
        <v>345</v>
      </c>
      <c r="F181" s="19" t="s">
        <v>389</v>
      </c>
      <c r="G181" s="2" t="str">
        <f t="shared" si="21"/>
        <v>http://jsmh.umin.jp/journal/09-1/09-1.pdf</v>
      </c>
      <c r="H181" s="42" t="s">
        <v>10654</v>
      </c>
    </row>
    <row r="182" spans="1:8" ht="30" customHeight="1" x14ac:dyDescent="0.15">
      <c r="A182" s="16" t="s">
        <v>91</v>
      </c>
      <c r="B182" s="17" t="s">
        <v>390</v>
      </c>
      <c r="C182" s="17" t="s">
        <v>215</v>
      </c>
      <c r="D182" s="19" t="s">
        <v>344</v>
      </c>
      <c r="E182" s="19" t="s">
        <v>345</v>
      </c>
      <c r="F182" s="19" t="s">
        <v>391</v>
      </c>
      <c r="G182" s="2" t="str">
        <f t="shared" si="21"/>
        <v>http://jsmh.umin.jp/journal/09-1/09-1.pdf</v>
      </c>
      <c r="H182" s="42" t="s">
        <v>10654</v>
      </c>
    </row>
    <row r="183" spans="1:8" ht="30" customHeight="1" x14ac:dyDescent="0.15">
      <c r="A183" s="16" t="s">
        <v>91</v>
      </c>
      <c r="B183" s="17" t="s">
        <v>392</v>
      </c>
      <c r="C183" s="17" t="s">
        <v>188</v>
      </c>
      <c r="D183" s="19" t="s">
        <v>344</v>
      </c>
      <c r="E183" s="19" t="s">
        <v>345</v>
      </c>
      <c r="F183" s="19" t="s">
        <v>393</v>
      </c>
      <c r="G183" s="2" t="str">
        <f t="shared" si="21"/>
        <v>http://jsmh.umin.jp/journal/09-1/09-1.pdf</v>
      </c>
      <c r="H183" s="42" t="s">
        <v>10654</v>
      </c>
    </row>
    <row r="184" spans="1:8" ht="30" customHeight="1" x14ac:dyDescent="0.15">
      <c r="A184" s="16" t="s">
        <v>91</v>
      </c>
      <c r="B184" s="17" t="s">
        <v>394</v>
      </c>
      <c r="C184" s="17" t="s">
        <v>395</v>
      </c>
      <c r="D184" s="19" t="s">
        <v>344</v>
      </c>
      <c r="E184" s="19" t="s">
        <v>345</v>
      </c>
      <c r="F184" s="19" t="s">
        <v>26</v>
      </c>
      <c r="G184" s="2" t="str">
        <f t="shared" si="21"/>
        <v>http://jsmh.umin.jp/journal/09-1/09-1.pdf</v>
      </c>
      <c r="H184" s="42" t="s">
        <v>10654</v>
      </c>
    </row>
    <row r="185" spans="1:8" ht="30" customHeight="1" x14ac:dyDescent="0.15">
      <c r="A185" s="16" t="s">
        <v>81</v>
      </c>
      <c r="B185" s="17" t="s">
        <v>396</v>
      </c>
      <c r="C185" s="17"/>
      <c r="D185" s="19" t="s">
        <v>344</v>
      </c>
      <c r="E185" s="19" t="s">
        <v>345</v>
      </c>
      <c r="F185" s="19" t="s">
        <v>397</v>
      </c>
      <c r="G185" s="2" t="str">
        <f t="shared" si="21"/>
        <v>http://jsmh.umin.jp/journal/09-1/09-1.pdf</v>
      </c>
      <c r="H185" s="42" t="s">
        <v>10654</v>
      </c>
    </row>
    <row r="186" spans="1:8" ht="30" customHeight="1" x14ac:dyDescent="0.15">
      <c r="A186" s="16" t="s">
        <v>81</v>
      </c>
      <c r="B186" s="17" t="s">
        <v>398</v>
      </c>
      <c r="C186" s="17"/>
      <c r="D186" s="19" t="s">
        <v>344</v>
      </c>
      <c r="E186" s="19" t="s">
        <v>345</v>
      </c>
      <c r="F186" s="19" t="s">
        <v>399</v>
      </c>
      <c r="G186" s="2" t="str">
        <f t="shared" si="21"/>
        <v>http://jsmh.umin.jp/journal/09-1/09-1.pdf</v>
      </c>
      <c r="H186" s="42" t="s">
        <v>10654</v>
      </c>
    </row>
    <row r="187" spans="1:8" ht="30" customHeight="1" x14ac:dyDescent="0.15">
      <c r="A187" s="16" t="s">
        <v>81</v>
      </c>
      <c r="B187" s="17" t="s">
        <v>400</v>
      </c>
      <c r="C187" s="17" t="s">
        <v>320</v>
      </c>
      <c r="D187" s="19" t="s">
        <v>344</v>
      </c>
      <c r="E187" s="19" t="s">
        <v>345</v>
      </c>
      <c r="F187" s="19" t="s">
        <v>401</v>
      </c>
      <c r="G187" s="2" t="str">
        <f t="shared" si="21"/>
        <v>http://jsmh.umin.jp/journal/09-1/09-1.pdf</v>
      </c>
      <c r="H187" s="42" t="s">
        <v>10654</v>
      </c>
    </row>
    <row r="188" spans="1:8" ht="30" customHeight="1" x14ac:dyDescent="0.15">
      <c r="A188" s="16" t="s">
        <v>81</v>
      </c>
      <c r="B188" s="17" t="s">
        <v>402</v>
      </c>
      <c r="C188" s="17" t="s">
        <v>403</v>
      </c>
      <c r="D188" s="19" t="s">
        <v>344</v>
      </c>
      <c r="E188" s="19" t="s">
        <v>345</v>
      </c>
      <c r="F188" s="19" t="s">
        <v>404</v>
      </c>
      <c r="G188" s="2" t="str">
        <f t="shared" si="21"/>
        <v>http://jsmh.umin.jp/journal/09-1/09-1.pdf</v>
      </c>
      <c r="H188" s="42" t="s">
        <v>10654</v>
      </c>
    </row>
    <row r="189" spans="1:8" ht="30" customHeight="1" x14ac:dyDescent="0.15">
      <c r="A189" s="16" t="s">
        <v>17</v>
      </c>
      <c r="B189" s="17" t="s">
        <v>405</v>
      </c>
      <c r="C189" s="17" t="s">
        <v>198</v>
      </c>
      <c r="D189" s="19" t="s">
        <v>344</v>
      </c>
      <c r="E189" s="19" t="s">
        <v>406</v>
      </c>
      <c r="F189" s="19" t="s">
        <v>407</v>
      </c>
      <c r="G189" s="2" t="str">
        <f t="shared" ref="G189:G207" si="22">HYPERLINK("http://jsmh.umin.jp/journal/09-2/09-2.pdf")</f>
        <v>http://jsmh.umin.jp/journal/09-2/09-2.pdf</v>
      </c>
      <c r="H189" s="42" t="s">
        <v>10654</v>
      </c>
    </row>
    <row r="190" spans="1:8" ht="30" customHeight="1" x14ac:dyDescent="0.15">
      <c r="A190" s="16" t="s">
        <v>81</v>
      </c>
      <c r="B190" s="17" t="s">
        <v>408</v>
      </c>
      <c r="C190" s="17"/>
      <c r="D190" s="19" t="s">
        <v>344</v>
      </c>
      <c r="E190" s="19" t="s">
        <v>406</v>
      </c>
      <c r="F190" s="19" t="s">
        <v>409</v>
      </c>
      <c r="G190" s="2" t="str">
        <f t="shared" si="22"/>
        <v>http://jsmh.umin.jp/journal/09-2/09-2.pdf</v>
      </c>
      <c r="H190" s="42" t="s">
        <v>10654</v>
      </c>
    </row>
    <row r="191" spans="1:8" ht="30" customHeight="1" x14ac:dyDescent="0.15">
      <c r="A191" s="16" t="s">
        <v>17</v>
      </c>
      <c r="B191" s="17" t="s">
        <v>410</v>
      </c>
      <c r="C191" s="17" t="s">
        <v>150</v>
      </c>
      <c r="D191" s="19" t="s">
        <v>344</v>
      </c>
      <c r="E191" s="19" t="s">
        <v>406</v>
      </c>
      <c r="F191" s="19" t="s">
        <v>411</v>
      </c>
      <c r="G191" s="2" t="str">
        <f t="shared" si="22"/>
        <v>http://jsmh.umin.jp/journal/09-2/09-2.pdf</v>
      </c>
      <c r="H191" s="42" t="s">
        <v>10654</v>
      </c>
    </row>
    <row r="192" spans="1:8" ht="30" customHeight="1" x14ac:dyDescent="0.15">
      <c r="A192" s="16" t="s">
        <v>17</v>
      </c>
      <c r="B192" s="17" t="s">
        <v>412</v>
      </c>
      <c r="C192" s="17" t="s">
        <v>104</v>
      </c>
      <c r="D192" s="19" t="s">
        <v>344</v>
      </c>
      <c r="E192" s="19" t="s">
        <v>406</v>
      </c>
      <c r="F192" s="19" t="s">
        <v>413</v>
      </c>
      <c r="G192" s="2" t="str">
        <f t="shared" si="22"/>
        <v>http://jsmh.umin.jp/journal/09-2/09-2.pdf</v>
      </c>
      <c r="H192" s="42" t="s">
        <v>10654</v>
      </c>
    </row>
    <row r="193" spans="1:8" ht="30" customHeight="1" x14ac:dyDescent="0.15">
      <c r="A193" s="16" t="s">
        <v>414</v>
      </c>
      <c r="B193" s="17" t="s">
        <v>415</v>
      </c>
      <c r="C193" s="17" t="s">
        <v>57</v>
      </c>
      <c r="D193" s="19" t="s">
        <v>344</v>
      </c>
      <c r="E193" s="19" t="s">
        <v>406</v>
      </c>
      <c r="F193" s="19" t="s">
        <v>416</v>
      </c>
      <c r="G193" s="2" t="str">
        <f t="shared" si="22"/>
        <v>http://jsmh.umin.jp/journal/09-2/09-2.pdf</v>
      </c>
      <c r="H193" s="42" t="s">
        <v>10654</v>
      </c>
    </row>
    <row r="194" spans="1:8" ht="30" customHeight="1" x14ac:dyDescent="0.15">
      <c r="A194" s="16" t="s">
        <v>81</v>
      </c>
      <c r="B194" s="17" t="s">
        <v>168</v>
      </c>
      <c r="C194" s="17"/>
      <c r="D194" s="19" t="s">
        <v>344</v>
      </c>
      <c r="E194" s="19" t="s">
        <v>406</v>
      </c>
      <c r="F194" s="19" t="s">
        <v>417</v>
      </c>
      <c r="G194" s="2" t="str">
        <f t="shared" si="22"/>
        <v>http://jsmh.umin.jp/journal/09-2/09-2.pdf</v>
      </c>
      <c r="H194" s="42" t="s">
        <v>10654</v>
      </c>
    </row>
    <row r="195" spans="1:8" ht="30" customHeight="1" x14ac:dyDescent="0.15">
      <c r="A195" s="16" t="s">
        <v>159</v>
      </c>
      <c r="B195" s="17" t="s">
        <v>418</v>
      </c>
      <c r="C195" s="17" t="s">
        <v>21</v>
      </c>
      <c r="D195" s="19" t="s">
        <v>344</v>
      </c>
      <c r="E195" s="19" t="s">
        <v>406</v>
      </c>
      <c r="F195" s="19" t="s">
        <v>419</v>
      </c>
      <c r="G195" s="2" t="str">
        <f t="shared" si="22"/>
        <v>http://jsmh.umin.jp/journal/09-2/09-2.pdf</v>
      </c>
      <c r="H195" s="42" t="s">
        <v>10654</v>
      </c>
    </row>
    <row r="196" spans="1:8" ht="30" customHeight="1" x14ac:dyDescent="0.15">
      <c r="A196" s="16" t="s">
        <v>420</v>
      </c>
      <c r="B196" s="17" t="s">
        <v>421</v>
      </c>
      <c r="C196" s="17"/>
      <c r="D196" s="19" t="s">
        <v>344</v>
      </c>
      <c r="E196" s="19" t="s">
        <v>406</v>
      </c>
      <c r="F196" s="19" t="s">
        <v>422</v>
      </c>
      <c r="G196" s="2" t="str">
        <f t="shared" si="22"/>
        <v>http://jsmh.umin.jp/journal/09-2/09-2.pdf</v>
      </c>
      <c r="H196" s="42" t="s">
        <v>10654</v>
      </c>
    </row>
    <row r="197" spans="1:8" ht="30" customHeight="1" x14ac:dyDescent="0.15">
      <c r="A197" s="16" t="s">
        <v>420</v>
      </c>
      <c r="B197" s="17" t="s">
        <v>423</v>
      </c>
      <c r="C197" s="17"/>
      <c r="D197" s="19" t="s">
        <v>344</v>
      </c>
      <c r="E197" s="19" t="s">
        <v>406</v>
      </c>
      <c r="F197" s="19" t="s">
        <v>422</v>
      </c>
      <c r="G197" s="2" t="str">
        <f t="shared" si="22"/>
        <v>http://jsmh.umin.jp/journal/09-2/09-2.pdf</v>
      </c>
      <c r="H197" s="42" t="s">
        <v>10654</v>
      </c>
    </row>
    <row r="198" spans="1:8" ht="30" customHeight="1" x14ac:dyDescent="0.15">
      <c r="A198" s="16" t="s">
        <v>420</v>
      </c>
      <c r="B198" s="17" t="s">
        <v>424</v>
      </c>
      <c r="C198" s="17"/>
      <c r="D198" s="19" t="s">
        <v>344</v>
      </c>
      <c r="E198" s="19" t="s">
        <v>406</v>
      </c>
      <c r="F198" s="19" t="s">
        <v>422</v>
      </c>
      <c r="G198" s="2" t="str">
        <f t="shared" si="22"/>
        <v>http://jsmh.umin.jp/journal/09-2/09-2.pdf</v>
      </c>
      <c r="H198" s="42" t="s">
        <v>10654</v>
      </c>
    </row>
    <row r="199" spans="1:8" ht="30" customHeight="1" x14ac:dyDescent="0.15">
      <c r="A199" s="16" t="s">
        <v>420</v>
      </c>
      <c r="B199" s="17" t="s">
        <v>425</v>
      </c>
      <c r="C199" s="17"/>
      <c r="D199" s="19" t="s">
        <v>344</v>
      </c>
      <c r="E199" s="19" t="s">
        <v>406</v>
      </c>
      <c r="F199" s="19" t="s">
        <v>422</v>
      </c>
      <c r="G199" s="2" t="str">
        <f t="shared" si="22"/>
        <v>http://jsmh.umin.jp/journal/09-2/09-2.pdf</v>
      </c>
      <c r="H199" s="42" t="s">
        <v>10654</v>
      </c>
    </row>
    <row r="200" spans="1:8" ht="30" customHeight="1" x14ac:dyDescent="0.15">
      <c r="A200" s="16" t="s">
        <v>420</v>
      </c>
      <c r="B200" s="17" t="s">
        <v>426</v>
      </c>
      <c r="C200" s="17"/>
      <c r="D200" s="19" t="s">
        <v>344</v>
      </c>
      <c r="E200" s="19" t="s">
        <v>406</v>
      </c>
      <c r="F200" s="19" t="s">
        <v>427</v>
      </c>
      <c r="G200" s="2" t="str">
        <f t="shared" si="22"/>
        <v>http://jsmh.umin.jp/journal/09-2/09-2.pdf</v>
      </c>
      <c r="H200" s="42" t="s">
        <v>10654</v>
      </c>
    </row>
    <row r="201" spans="1:8" ht="30" customHeight="1" x14ac:dyDescent="0.15">
      <c r="A201" s="16" t="s">
        <v>420</v>
      </c>
      <c r="B201" s="17" t="s">
        <v>428</v>
      </c>
      <c r="C201" s="17"/>
      <c r="D201" s="19" t="s">
        <v>344</v>
      </c>
      <c r="E201" s="19" t="s">
        <v>406</v>
      </c>
      <c r="F201" s="19" t="s">
        <v>427</v>
      </c>
      <c r="G201" s="2" t="str">
        <f t="shared" si="22"/>
        <v>http://jsmh.umin.jp/journal/09-2/09-2.pdf</v>
      </c>
      <c r="H201" s="42" t="s">
        <v>10654</v>
      </c>
    </row>
    <row r="202" spans="1:8" ht="30" customHeight="1" x14ac:dyDescent="0.15">
      <c r="A202" s="16" t="s">
        <v>420</v>
      </c>
      <c r="B202" s="17" t="s">
        <v>429</v>
      </c>
      <c r="C202" s="17"/>
      <c r="D202" s="19" t="s">
        <v>344</v>
      </c>
      <c r="E202" s="19" t="s">
        <v>406</v>
      </c>
      <c r="F202" s="19" t="s">
        <v>427</v>
      </c>
      <c r="G202" s="2" t="str">
        <f t="shared" si="22"/>
        <v>http://jsmh.umin.jp/journal/09-2/09-2.pdf</v>
      </c>
      <c r="H202" s="42" t="s">
        <v>10654</v>
      </c>
    </row>
    <row r="203" spans="1:8" ht="30" customHeight="1" x14ac:dyDescent="0.15">
      <c r="A203" s="16" t="s">
        <v>420</v>
      </c>
      <c r="B203" s="17" t="s">
        <v>430</v>
      </c>
      <c r="C203" s="17"/>
      <c r="D203" s="19" t="s">
        <v>344</v>
      </c>
      <c r="E203" s="19" t="s">
        <v>406</v>
      </c>
      <c r="F203" s="19" t="s">
        <v>427</v>
      </c>
      <c r="G203" s="2" t="str">
        <f t="shared" si="22"/>
        <v>http://jsmh.umin.jp/journal/09-2/09-2.pdf</v>
      </c>
      <c r="H203" s="42" t="s">
        <v>10654</v>
      </c>
    </row>
    <row r="204" spans="1:8" ht="30" customHeight="1" x14ac:dyDescent="0.15">
      <c r="A204" s="16" t="s">
        <v>420</v>
      </c>
      <c r="B204" s="17" t="s">
        <v>431</v>
      </c>
      <c r="C204" s="17"/>
      <c r="D204" s="19" t="s">
        <v>344</v>
      </c>
      <c r="E204" s="19" t="s">
        <v>406</v>
      </c>
      <c r="F204" s="19" t="s">
        <v>427</v>
      </c>
      <c r="G204" s="2" t="str">
        <f t="shared" si="22"/>
        <v>http://jsmh.umin.jp/journal/09-2/09-2.pdf</v>
      </c>
      <c r="H204" s="42" t="s">
        <v>10654</v>
      </c>
    </row>
    <row r="205" spans="1:8" ht="30" customHeight="1" x14ac:dyDescent="0.15">
      <c r="A205" s="16" t="s">
        <v>81</v>
      </c>
      <c r="B205" s="17" t="s">
        <v>313</v>
      </c>
      <c r="C205" s="17"/>
      <c r="D205" s="19" t="s">
        <v>344</v>
      </c>
      <c r="E205" s="19" t="s">
        <v>406</v>
      </c>
      <c r="F205" s="19" t="s">
        <v>432</v>
      </c>
      <c r="G205" s="2" t="str">
        <f t="shared" si="22"/>
        <v>http://jsmh.umin.jp/journal/09-2/09-2.pdf</v>
      </c>
      <c r="H205" s="42" t="s">
        <v>10654</v>
      </c>
    </row>
    <row r="206" spans="1:8" ht="30" customHeight="1" x14ac:dyDescent="0.15">
      <c r="A206" s="16" t="s">
        <v>81</v>
      </c>
      <c r="B206" s="17" t="s">
        <v>433</v>
      </c>
      <c r="C206" s="17"/>
      <c r="D206" s="19" t="s">
        <v>344</v>
      </c>
      <c r="E206" s="19" t="s">
        <v>406</v>
      </c>
      <c r="F206" s="19" t="s">
        <v>434</v>
      </c>
      <c r="G206" s="2" t="str">
        <f t="shared" si="22"/>
        <v>http://jsmh.umin.jp/journal/09-2/09-2.pdf</v>
      </c>
      <c r="H206" s="42" t="s">
        <v>10654</v>
      </c>
    </row>
    <row r="207" spans="1:8" ht="30" customHeight="1" x14ac:dyDescent="0.15">
      <c r="A207" s="16" t="s">
        <v>159</v>
      </c>
      <c r="B207" s="17" t="s">
        <v>435</v>
      </c>
      <c r="C207" s="17" t="s">
        <v>436</v>
      </c>
      <c r="D207" s="19" t="s">
        <v>344</v>
      </c>
      <c r="E207" s="19" t="s">
        <v>406</v>
      </c>
      <c r="F207" s="19" t="s">
        <v>437</v>
      </c>
      <c r="G207" s="2" t="str">
        <f t="shared" si="22"/>
        <v>http://jsmh.umin.jp/journal/09-2/09-2.pdf</v>
      </c>
      <c r="H207" s="42" t="s">
        <v>10654</v>
      </c>
    </row>
    <row r="208" spans="1:8" ht="30" customHeight="1" x14ac:dyDescent="0.15">
      <c r="A208" s="16" t="s">
        <v>17</v>
      </c>
      <c r="B208" s="17" t="s">
        <v>438</v>
      </c>
      <c r="C208" s="17" t="s">
        <v>439</v>
      </c>
      <c r="D208" s="19" t="s">
        <v>440</v>
      </c>
      <c r="E208" s="19" t="s">
        <v>441</v>
      </c>
      <c r="F208" s="19" t="s">
        <v>442</v>
      </c>
      <c r="G208" s="2" t="str">
        <f t="shared" ref="G208:G238" si="23">HYPERLINK("http://jsmh.umin.jp/journal/09-3/09-3.pdf")</f>
        <v>http://jsmh.umin.jp/journal/09-3/09-3.pdf</v>
      </c>
      <c r="H208" s="42" t="s">
        <v>10654</v>
      </c>
    </row>
    <row r="209" spans="1:8" ht="30" customHeight="1" x14ac:dyDescent="0.15">
      <c r="A209" s="16" t="s">
        <v>91</v>
      </c>
      <c r="B209" s="17" t="s">
        <v>443</v>
      </c>
      <c r="C209" s="17" t="s">
        <v>444</v>
      </c>
      <c r="D209" s="19" t="s">
        <v>440</v>
      </c>
      <c r="E209" s="19" t="s">
        <v>441</v>
      </c>
      <c r="F209" s="19" t="s">
        <v>445</v>
      </c>
      <c r="G209" s="2" t="str">
        <f t="shared" si="23"/>
        <v>http://jsmh.umin.jp/journal/09-3/09-3.pdf</v>
      </c>
      <c r="H209" s="42" t="s">
        <v>10654</v>
      </c>
    </row>
    <row r="210" spans="1:8" ht="30" customHeight="1" x14ac:dyDescent="0.15">
      <c r="A210" s="16" t="s">
        <v>91</v>
      </c>
      <c r="B210" s="17" t="s">
        <v>446</v>
      </c>
      <c r="C210" s="17"/>
      <c r="D210" s="19" t="s">
        <v>440</v>
      </c>
      <c r="E210" s="19" t="s">
        <v>441</v>
      </c>
      <c r="F210" s="19" t="s">
        <v>447</v>
      </c>
      <c r="G210" s="2" t="str">
        <f t="shared" si="23"/>
        <v>http://jsmh.umin.jp/journal/09-3/09-3.pdf</v>
      </c>
      <c r="H210" s="42" t="s">
        <v>10654</v>
      </c>
    </row>
    <row r="211" spans="1:8" ht="30" customHeight="1" x14ac:dyDescent="0.15">
      <c r="A211" s="16" t="s">
        <v>91</v>
      </c>
      <c r="B211" s="17" t="s">
        <v>10062</v>
      </c>
      <c r="C211" s="17" t="s">
        <v>57</v>
      </c>
      <c r="D211" s="19" t="s">
        <v>440</v>
      </c>
      <c r="E211" s="19" t="s">
        <v>441</v>
      </c>
      <c r="F211" s="19" t="s">
        <v>447</v>
      </c>
      <c r="G211" s="2" t="str">
        <f t="shared" si="23"/>
        <v>http://jsmh.umin.jp/journal/09-3/09-3.pdf</v>
      </c>
      <c r="H211" s="42" t="s">
        <v>10654</v>
      </c>
    </row>
    <row r="212" spans="1:8" ht="30" customHeight="1" x14ac:dyDescent="0.15">
      <c r="A212" s="16" t="s">
        <v>91</v>
      </c>
      <c r="B212" s="17" t="s">
        <v>448</v>
      </c>
      <c r="C212" s="17" t="s">
        <v>191</v>
      </c>
      <c r="D212" s="19" t="s">
        <v>440</v>
      </c>
      <c r="E212" s="19" t="s">
        <v>441</v>
      </c>
      <c r="F212" s="19" t="s">
        <v>449</v>
      </c>
      <c r="G212" s="2" t="str">
        <f t="shared" si="23"/>
        <v>http://jsmh.umin.jp/journal/09-3/09-3.pdf</v>
      </c>
      <c r="H212" s="42" t="s">
        <v>10654</v>
      </c>
    </row>
    <row r="213" spans="1:8" ht="30" customHeight="1" x14ac:dyDescent="0.15">
      <c r="A213" s="16" t="s">
        <v>91</v>
      </c>
      <c r="B213" s="17" t="s">
        <v>450</v>
      </c>
      <c r="C213" s="17" t="s">
        <v>126</v>
      </c>
      <c r="D213" s="19" t="s">
        <v>440</v>
      </c>
      <c r="E213" s="19" t="s">
        <v>441</v>
      </c>
      <c r="F213" s="19" t="s">
        <v>451</v>
      </c>
      <c r="G213" s="2" t="str">
        <f t="shared" si="23"/>
        <v>http://jsmh.umin.jp/journal/09-3/09-3.pdf</v>
      </c>
      <c r="H213" s="42" t="s">
        <v>10654</v>
      </c>
    </row>
    <row r="214" spans="1:8" ht="30" customHeight="1" x14ac:dyDescent="0.15">
      <c r="A214" s="16" t="s">
        <v>91</v>
      </c>
      <c r="B214" s="17" t="s">
        <v>452</v>
      </c>
      <c r="C214" s="17" t="s">
        <v>198</v>
      </c>
      <c r="D214" s="19" t="s">
        <v>440</v>
      </c>
      <c r="E214" s="19" t="s">
        <v>441</v>
      </c>
      <c r="F214" s="19" t="s">
        <v>451</v>
      </c>
      <c r="G214" s="2" t="str">
        <f t="shared" si="23"/>
        <v>http://jsmh.umin.jp/journal/09-3/09-3.pdf</v>
      </c>
      <c r="H214" s="42" t="s">
        <v>10654</v>
      </c>
    </row>
    <row r="215" spans="1:8" ht="30" customHeight="1" x14ac:dyDescent="0.15">
      <c r="A215" s="16" t="s">
        <v>91</v>
      </c>
      <c r="B215" s="17" t="s">
        <v>453</v>
      </c>
      <c r="C215" s="17" t="s">
        <v>204</v>
      </c>
      <c r="D215" s="19" t="s">
        <v>440</v>
      </c>
      <c r="E215" s="19" t="s">
        <v>441</v>
      </c>
      <c r="F215" s="19" t="s">
        <v>454</v>
      </c>
      <c r="G215" s="2" t="str">
        <f t="shared" si="23"/>
        <v>http://jsmh.umin.jp/journal/09-3/09-3.pdf</v>
      </c>
      <c r="H215" s="42" t="s">
        <v>10654</v>
      </c>
    </row>
    <row r="216" spans="1:8" ht="30" customHeight="1" x14ac:dyDescent="0.15">
      <c r="A216" s="16" t="s">
        <v>91</v>
      </c>
      <c r="B216" s="17" t="s">
        <v>455</v>
      </c>
      <c r="C216" s="17" t="s">
        <v>188</v>
      </c>
      <c r="D216" s="19" t="s">
        <v>440</v>
      </c>
      <c r="E216" s="19" t="s">
        <v>441</v>
      </c>
      <c r="F216" s="19" t="s">
        <v>454</v>
      </c>
      <c r="G216" s="2" t="str">
        <f t="shared" si="23"/>
        <v>http://jsmh.umin.jp/journal/09-3/09-3.pdf</v>
      </c>
      <c r="H216" s="42" t="s">
        <v>10654</v>
      </c>
    </row>
    <row r="217" spans="1:8" ht="30" customHeight="1" x14ac:dyDescent="0.15">
      <c r="A217" s="16" t="s">
        <v>91</v>
      </c>
      <c r="B217" s="17" t="s">
        <v>456</v>
      </c>
      <c r="C217" s="17" t="s">
        <v>101</v>
      </c>
      <c r="D217" s="19" t="s">
        <v>440</v>
      </c>
      <c r="E217" s="19" t="s">
        <v>441</v>
      </c>
      <c r="F217" s="19" t="s">
        <v>38</v>
      </c>
      <c r="G217" s="2" t="str">
        <f t="shared" si="23"/>
        <v>http://jsmh.umin.jp/journal/09-3/09-3.pdf</v>
      </c>
      <c r="H217" s="42" t="s">
        <v>10654</v>
      </c>
    </row>
    <row r="218" spans="1:8" ht="30" customHeight="1" x14ac:dyDescent="0.15">
      <c r="A218" s="16" t="s">
        <v>91</v>
      </c>
      <c r="B218" s="17" t="s">
        <v>457</v>
      </c>
      <c r="C218" s="17" t="s">
        <v>24</v>
      </c>
      <c r="D218" s="19" t="s">
        <v>440</v>
      </c>
      <c r="E218" s="19" t="s">
        <v>441</v>
      </c>
      <c r="F218" s="19" t="s">
        <v>40</v>
      </c>
      <c r="G218" s="2" t="str">
        <f t="shared" si="23"/>
        <v>http://jsmh.umin.jp/journal/09-3/09-3.pdf</v>
      </c>
      <c r="H218" s="42" t="s">
        <v>10654</v>
      </c>
    </row>
    <row r="219" spans="1:8" ht="30" customHeight="1" x14ac:dyDescent="0.15">
      <c r="A219" s="16" t="s">
        <v>91</v>
      </c>
      <c r="B219" s="17" t="s">
        <v>458</v>
      </c>
      <c r="C219" s="17" t="s">
        <v>278</v>
      </c>
      <c r="D219" s="19" t="s">
        <v>440</v>
      </c>
      <c r="E219" s="19" t="s">
        <v>441</v>
      </c>
      <c r="F219" s="19" t="s">
        <v>40</v>
      </c>
      <c r="G219" s="2" t="str">
        <f t="shared" si="23"/>
        <v>http://jsmh.umin.jp/journal/09-3/09-3.pdf</v>
      </c>
      <c r="H219" s="42" t="s">
        <v>10654</v>
      </c>
    </row>
    <row r="220" spans="1:8" ht="30" customHeight="1" x14ac:dyDescent="0.15">
      <c r="A220" s="16" t="s">
        <v>91</v>
      </c>
      <c r="B220" s="17" t="s">
        <v>459</v>
      </c>
      <c r="C220" s="17" t="s">
        <v>48</v>
      </c>
      <c r="D220" s="19" t="s">
        <v>440</v>
      </c>
      <c r="E220" s="19" t="s">
        <v>441</v>
      </c>
      <c r="F220" s="19" t="s">
        <v>460</v>
      </c>
      <c r="G220" s="2" t="str">
        <f t="shared" si="23"/>
        <v>http://jsmh.umin.jp/journal/09-3/09-3.pdf</v>
      </c>
      <c r="H220" s="42" t="s">
        <v>10654</v>
      </c>
    </row>
    <row r="221" spans="1:8" ht="30" customHeight="1" x14ac:dyDescent="0.15">
      <c r="A221" s="16" t="s">
        <v>91</v>
      </c>
      <c r="B221" s="17" t="s">
        <v>461</v>
      </c>
      <c r="C221" s="17" t="s">
        <v>273</v>
      </c>
      <c r="D221" s="19" t="s">
        <v>440</v>
      </c>
      <c r="E221" s="19" t="s">
        <v>441</v>
      </c>
      <c r="F221" s="19" t="s">
        <v>462</v>
      </c>
      <c r="G221" s="2" t="str">
        <f t="shared" si="23"/>
        <v>http://jsmh.umin.jp/journal/09-3/09-3.pdf</v>
      </c>
      <c r="H221" s="42" t="s">
        <v>10654</v>
      </c>
    </row>
    <row r="222" spans="1:8" ht="30" customHeight="1" x14ac:dyDescent="0.15">
      <c r="A222" s="16" t="s">
        <v>91</v>
      </c>
      <c r="B222" s="17" t="s">
        <v>10063</v>
      </c>
      <c r="C222" s="17" t="s">
        <v>209</v>
      </c>
      <c r="D222" s="19" t="s">
        <v>440</v>
      </c>
      <c r="E222" s="19" t="s">
        <v>441</v>
      </c>
      <c r="F222" s="19" t="s">
        <v>462</v>
      </c>
      <c r="G222" s="2" t="str">
        <f t="shared" si="23"/>
        <v>http://jsmh.umin.jp/journal/09-3/09-3.pdf</v>
      </c>
      <c r="H222" s="42" t="s">
        <v>10654</v>
      </c>
    </row>
    <row r="223" spans="1:8" ht="30" customHeight="1" x14ac:dyDescent="0.15">
      <c r="A223" s="16" t="s">
        <v>81</v>
      </c>
      <c r="B223" s="17" t="s">
        <v>463</v>
      </c>
      <c r="C223" s="17"/>
      <c r="D223" s="19" t="s">
        <v>440</v>
      </c>
      <c r="E223" s="19" t="s">
        <v>441</v>
      </c>
      <c r="F223" s="19" t="s">
        <v>464</v>
      </c>
      <c r="G223" s="2" t="str">
        <f t="shared" si="23"/>
        <v>http://jsmh.umin.jp/journal/09-3/09-3.pdf</v>
      </c>
      <c r="H223" s="42" t="s">
        <v>10654</v>
      </c>
    </row>
    <row r="224" spans="1:8" ht="30" customHeight="1" x14ac:dyDescent="0.15">
      <c r="A224" s="16" t="s">
        <v>91</v>
      </c>
      <c r="B224" s="17" t="s">
        <v>465</v>
      </c>
      <c r="C224" s="17"/>
      <c r="D224" s="19" t="s">
        <v>440</v>
      </c>
      <c r="E224" s="19" t="s">
        <v>441</v>
      </c>
      <c r="F224" s="19" t="s">
        <v>312</v>
      </c>
      <c r="G224" s="2" t="str">
        <f t="shared" si="23"/>
        <v>http://jsmh.umin.jp/journal/09-3/09-3.pdf</v>
      </c>
      <c r="H224" s="42" t="s">
        <v>10654</v>
      </c>
    </row>
    <row r="225" spans="1:8" ht="30" customHeight="1" x14ac:dyDescent="0.15">
      <c r="A225" s="16" t="s">
        <v>91</v>
      </c>
      <c r="B225" s="17" t="s">
        <v>466</v>
      </c>
      <c r="C225" s="17" t="s">
        <v>107</v>
      </c>
      <c r="D225" s="19" t="s">
        <v>440</v>
      </c>
      <c r="E225" s="19" t="s">
        <v>441</v>
      </c>
      <c r="F225" s="19" t="s">
        <v>312</v>
      </c>
      <c r="G225" s="2" t="str">
        <f t="shared" si="23"/>
        <v>http://jsmh.umin.jp/journal/09-3/09-3.pdf</v>
      </c>
      <c r="H225" s="42" t="s">
        <v>10654</v>
      </c>
    </row>
    <row r="226" spans="1:8" ht="30" customHeight="1" x14ac:dyDescent="0.15">
      <c r="A226" s="16" t="s">
        <v>91</v>
      </c>
      <c r="B226" s="17" t="s">
        <v>467</v>
      </c>
      <c r="C226" s="17" t="s">
        <v>76</v>
      </c>
      <c r="D226" s="19" t="s">
        <v>440</v>
      </c>
      <c r="E226" s="19" t="s">
        <v>441</v>
      </c>
      <c r="F226" s="19" t="s">
        <v>312</v>
      </c>
      <c r="G226" s="2" t="str">
        <f t="shared" si="23"/>
        <v>http://jsmh.umin.jp/journal/09-3/09-3.pdf</v>
      </c>
      <c r="H226" s="42" t="s">
        <v>10654</v>
      </c>
    </row>
    <row r="227" spans="1:8" ht="30" customHeight="1" x14ac:dyDescent="0.15">
      <c r="A227" s="16" t="s">
        <v>91</v>
      </c>
      <c r="B227" s="17" t="s">
        <v>468</v>
      </c>
      <c r="C227" s="17" t="s">
        <v>57</v>
      </c>
      <c r="D227" s="19" t="s">
        <v>440</v>
      </c>
      <c r="E227" s="19" t="s">
        <v>441</v>
      </c>
      <c r="F227" s="19" t="s">
        <v>314</v>
      </c>
      <c r="G227" s="2" t="str">
        <f t="shared" si="23"/>
        <v>http://jsmh.umin.jp/journal/09-3/09-3.pdf</v>
      </c>
      <c r="H227" s="42" t="s">
        <v>10654</v>
      </c>
    </row>
    <row r="228" spans="1:8" ht="30" customHeight="1" x14ac:dyDescent="0.15">
      <c r="A228" s="16" t="s">
        <v>91</v>
      </c>
      <c r="B228" s="17" t="s">
        <v>469</v>
      </c>
      <c r="C228" s="17" t="s">
        <v>57</v>
      </c>
      <c r="D228" s="19" t="s">
        <v>440</v>
      </c>
      <c r="E228" s="19" t="s">
        <v>441</v>
      </c>
      <c r="F228" s="19" t="s">
        <v>314</v>
      </c>
      <c r="G228" s="2" t="str">
        <f t="shared" si="23"/>
        <v>http://jsmh.umin.jp/journal/09-3/09-3.pdf</v>
      </c>
      <c r="H228" s="42" t="s">
        <v>10654</v>
      </c>
    </row>
    <row r="229" spans="1:8" ht="30" customHeight="1" x14ac:dyDescent="0.15">
      <c r="A229" s="16" t="s">
        <v>91</v>
      </c>
      <c r="B229" s="17" t="s">
        <v>470</v>
      </c>
      <c r="C229" s="17" t="s">
        <v>273</v>
      </c>
      <c r="D229" s="19" t="s">
        <v>440</v>
      </c>
      <c r="E229" s="19" t="s">
        <v>441</v>
      </c>
      <c r="F229" s="19" t="s">
        <v>471</v>
      </c>
      <c r="G229" s="2" t="str">
        <f t="shared" si="23"/>
        <v>http://jsmh.umin.jp/journal/09-3/09-3.pdf</v>
      </c>
      <c r="H229" s="42" t="s">
        <v>10654</v>
      </c>
    </row>
    <row r="230" spans="1:8" ht="30" customHeight="1" x14ac:dyDescent="0.15">
      <c r="A230" s="16" t="s">
        <v>91</v>
      </c>
      <c r="B230" s="17" t="s">
        <v>472</v>
      </c>
      <c r="C230" s="17" t="s">
        <v>444</v>
      </c>
      <c r="D230" s="19" t="s">
        <v>440</v>
      </c>
      <c r="E230" s="19" t="s">
        <v>441</v>
      </c>
      <c r="F230" s="19" t="s">
        <v>175</v>
      </c>
      <c r="G230" s="2" t="str">
        <f t="shared" si="23"/>
        <v>http://jsmh.umin.jp/journal/09-3/09-3.pdf</v>
      </c>
      <c r="H230" s="42" t="s">
        <v>10654</v>
      </c>
    </row>
    <row r="231" spans="1:8" ht="30" customHeight="1" x14ac:dyDescent="0.15">
      <c r="A231" s="16" t="s">
        <v>91</v>
      </c>
      <c r="B231" s="17" t="s">
        <v>473</v>
      </c>
      <c r="C231" s="17" t="s">
        <v>11</v>
      </c>
      <c r="D231" s="19" t="s">
        <v>440</v>
      </c>
      <c r="E231" s="19" t="s">
        <v>441</v>
      </c>
      <c r="F231" s="19" t="s">
        <v>474</v>
      </c>
      <c r="G231" s="2" t="str">
        <f t="shared" si="23"/>
        <v>http://jsmh.umin.jp/journal/09-3/09-3.pdf</v>
      </c>
      <c r="H231" s="42" t="s">
        <v>10654</v>
      </c>
    </row>
    <row r="232" spans="1:8" ht="30" customHeight="1" x14ac:dyDescent="0.15">
      <c r="A232" s="16" t="s">
        <v>91</v>
      </c>
      <c r="B232" s="17" t="s">
        <v>475</v>
      </c>
      <c r="C232" s="17" t="s">
        <v>198</v>
      </c>
      <c r="D232" s="19" t="s">
        <v>440</v>
      </c>
      <c r="E232" s="19" t="s">
        <v>441</v>
      </c>
      <c r="F232" s="19" t="s">
        <v>476</v>
      </c>
      <c r="G232" s="2" t="str">
        <f t="shared" si="23"/>
        <v>http://jsmh.umin.jp/journal/09-3/09-3.pdf</v>
      </c>
      <c r="H232" s="42" t="s">
        <v>10654</v>
      </c>
    </row>
    <row r="233" spans="1:8" ht="30" customHeight="1" x14ac:dyDescent="0.15">
      <c r="A233" s="16" t="s">
        <v>91</v>
      </c>
      <c r="B233" s="17" t="s">
        <v>477</v>
      </c>
      <c r="C233" s="17" t="s">
        <v>24</v>
      </c>
      <c r="D233" s="19" t="s">
        <v>440</v>
      </c>
      <c r="E233" s="19" t="s">
        <v>441</v>
      </c>
      <c r="F233" s="19" t="s">
        <v>476</v>
      </c>
      <c r="G233" s="2" t="str">
        <f t="shared" si="23"/>
        <v>http://jsmh.umin.jp/journal/09-3/09-3.pdf</v>
      </c>
      <c r="H233" s="42" t="s">
        <v>10654</v>
      </c>
    </row>
    <row r="234" spans="1:8" ht="30" customHeight="1" x14ac:dyDescent="0.15">
      <c r="A234" s="16" t="s">
        <v>91</v>
      </c>
      <c r="B234" s="17" t="s">
        <v>478</v>
      </c>
      <c r="C234" s="17" t="s">
        <v>479</v>
      </c>
      <c r="D234" s="19" t="s">
        <v>440</v>
      </c>
      <c r="E234" s="19" t="s">
        <v>441</v>
      </c>
      <c r="F234" s="19" t="s">
        <v>480</v>
      </c>
      <c r="G234" s="2" t="str">
        <f t="shared" si="23"/>
        <v>http://jsmh.umin.jp/journal/09-3/09-3.pdf</v>
      </c>
      <c r="H234" s="42" t="s">
        <v>10654</v>
      </c>
    </row>
    <row r="235" spans="1:8" ht="30" customHeight="1" x14ac:dyDescent="0.15">
      <c r="A235" s="16" t="s">
        <v>91</v>
      </c>
      <c r="B235" s="17" t="s">
        <v>481</v>
      </c>
      <c r="C235" s="17" t="s">
        <v>209</v>
      </c>
      <c r="D235" s="19" t="s">
        <v>440</v>
      </c>
      <c r="E235" s="19" t="s">
        <v>441</v>
      </c>
      <c r="F235" s="19" t="s">
        <v>482</v>
      </c>
      <c r="G235" s="2" t="str">
        <f t="shared" si="23"/>
        <v>http://jsmh.umin.jp/journal/09-3/09-3.pdf</v>
      </c>
      <c r="H235" s="42" t="s">
        <v>10654</v>
      </c>
    </row>
    <row r="236" spans="1:8" ht="30" customHeight="1" x14ac:dyDescent="0.15">
      <c r="A236" s="16" t="s">
        <v>91</v>
      </c>
      <c r="B236" s="17" t="s">
        <v>483</v>
      </c>
      <c r="C236" s="17" t="s">
        <v>126</v>
      </c>
      <c r="D236" s="19" t="s">
        <v>440</v>
      </c>
      <c r="E236" s="19" t="s">
        <v>441</v>
      </c>
      <c r="F236" s="19" t="s">
        <v>482</v>
      </c>
      <c r="G236" s="2" t="str">
        <f t="shared" si="23"/>
        <v>http://jsmh.umin.jp/journal/09-3/09-3.pdf</v>
      </c>
      <c r="H236" s="42" t="s">
        <v>10654</v>
      </c>
    </row>
    <row r="237" spans="1:8" ht="30" customHeight="1" x14ac:dyDescent="0.15">
      <c r="A237" s="16" t="s">
        <v>91</v>
      </c>
      <c r="B237" s="17" t="s">
        <v>484</v>
      </c>
      <c r="C237" s="17" t="s">
        <v>485</v>
      </c>
      <c r="D237" s="19" t="s">
        <v>440</v>
      </c>
      <c r="E237" s="19" t="s">
        <v>441</v>
      </c>
      <c r="F237" s="19" t="s">
        <v>486</v>
      </c>
      <c r="G237" s="2" t="str">
        <f t="shared" si="23"/>
        <v>http://jsmh.umin.jp/journal/09-3/09-3.pdf</v>
      </c>
      <c r="H237" s="42" t="s">
        <v>10654</v>
      </c>
    </row>
    <row r="238" spans="1:8" ht="30" customHeight="1" x14ac:dyDescent="0.15">
      <c r="A238" s="16" t="s">
        <v>81</v>
      </c>
      <c r="B238" s="17" t="s">
        <v>313</v>
      </c>
      <c r="C238" s="17" t="s">
        <v>57</v>
      </c>
      <c r="D238" s="19" t="s">
        <v>440</v>
      </c>
      <c r="E238" s="19" t="s">
        <v>441</v>
      </c>
      <c r="F238" s="19" t="s">
        <v>486</v>
      </c>
      <c r="G238" s="2" t="str">
        <f t="shared" si="23"/>
        <v>http://jsmh.umin.jp/journal/09-3/09-3.pdf</v>
      </c>
      <c r="H238" s="42" t="s">
        <v>10654</v>
      </c>
    </row>
    <row r="239" spans="1:8" ht="30" customHeight="1" x14ac:dyDescent="0.15">
      <c r="A239" s="16" t="s">
        <v>88</v>
      </c>
      <c r="B239" s="17" t="s">
        <v>487</v>
      </c>
      <c r="C239" s="17" t="s">
        <v>372</v>
      </c>
      <c r="D239" s="24" t="s">
        <v>440</v>
      </c>
      <c r="E239" s="19" t="s">
        <v>488</v>
      </c>
      <c r="F239" s="19" t="s">
        <v>489</v>
      </c>
      <c r="G239" s="2" t="str">
        <f t="shared" ref="G239:G263" si="24">HYPERLINK("http://jsmh.umin.jp/journal/10-1/10-1.pdf")</f>
        <v>http://jsmh.umin.jp/journal/10-1/10-1.pdf</v>
      </c>
      <c r="H239" s="42" t="s">
        <v>10654</v>
      </c>
    </row>
    <row r="240" spans="1:8" ht="30" customHeight="1" x14ac:dyDescent="0.15">
      <c r="A240" s="16" t="s">
        <v>81</v>
      </c>
      <c r="B240" s="17" t="s">
        <v>490</v>
      </c>
      <c r="C240" s="17"/>
      <c r="D240" s="19" t="s">
        <v>440</v>
      </c>
      <c r="E240" s="19" t="s">
        <v>488</v>
      </c>
      <c r="F240" s="19" t="s">
        <v>491</v>
      </c>
      <c r="G240" s="3" t="str">
        <f t="shared" si="24"/>
        <v>http://jsmh.umin.jp/journal/10-1/10-1.pdf</v>
      </c>
      <c r="H240" s="42" t="s">
        <v>10654</v>
      </c>
    </row>
    <row r="241" spans="1:8" ht="30" customHeight="1" x14ac:dyDescent="0.15">
      <c r="A241" s="16" t="s">
        <v>81</v>
      </c>
      <c r="B241" s="17" t="s">
        <v>492</v>
      </c>
      <c r="C241" s="17"/>
      <c r="D241" s="19" t="s">
        <v>440</v>
      </c>
      <c r="E241" s="19" t="s">
        <v>488</v>
      </c>
      <c r="F241" s="19" t="s">
        <v>493</v>
      </c>
      <c r="G241" s="2" t="str">
        <f t="shared" si="24"/>
        <v>http://jsmh.umin.jp/journal/10-1/10-1.pdf</v>
      </c>
      <c r="H241" s="42" t="s">
        <v>10654</v>
      </c>
    </row>
    <row r="242" spans="1:8" ht="30" customHeight="1" x14ac:dyDescent="0.15">
      <c r="A242" s="16" t="s">
        <v>81</v>
      </c>
      <c r="B242" s="17" t="s">
        <v>494</v>
      </c>
      <c r="C242" s="17"/>
      <c r="D242" s="19" t="s">
        <v>440</v>
      </c>
      <c r="E242" s="19" t="s">
        <v>488</v>
      </c>
      <c r="F242" s="19" t="s">
        <v>493</v>
      </c>
      <c r="G242" s="2" t="str">
        <f t="shared" si="24"/>
        <v>http://jsmh.umin.jp/journal/10-1/10-1.pdf</v>
      </c>
      <c r="H242" s="42" t="s">
        <v>10654</v>
      </c>
    </row>
    <row r="243" spans="1:8" ht="30" customHeight="1" x14ac:dyDescent="0.15">
      <c r="A243" s="16" t="s">
        <v>81</v>
      </c>
      <c r="B243" s="17" t="s">
        <v>495</v>
      </c>
      <c r="C243" s="17"/>
      <c r="D243" s="19" t="s">
        <v>440</v>
      </c>
      <c r="E243" s="19" t="s">
        <v>488</v>
      </c>
      <c r="F243" s="19" t="s">
        <v>493</v>
      </c>
      <c r="G243" s="2" t="str">
        <f t="shared" si="24"/>
        <v>http://jsmh.umin.jp/journal/10-1/10-1.pdf</v>
      </c>
      <c r="H243" s="42" t="s">
        <v>10654</v>
      </c>
    </row>
    <row r="244" spans="1:8" ht="30" customHeight="1" x14ac:dyDescent="0.15">
      <c r="A244" s="16" t="s">
        <v>81</v>
      </c>
      <c r="B244" s="17" t="s">
        <v>496</v>
      </c>
      <c r="C244" s="17"/>
      <c r="D244" s="19" t="s">
        <v>440</v>
      </c>
      <c r="E244" s="19" t="s">
        <v>488</v>
      </c>
      <c r="F244" s="19" t="s">
        <v>497</v>
      </c>
      <c r="G244" s="2" t="str">
        <f t="shared" si="24"/>
        <v>http://jsmh.umin.jp/journal/10-1/10-1.pdf</v>
      </c>
      <c r="H244" s="42" t="s">
        <v>10654</v>
      </c>
    </row>
    <row r="245" spans="1:8" ht="30" customHeight="1" x14ac:dyDescent="0.15">
      <c r="A245" s="16" t="s">
        <v>81</v>
      </c>
      <c r="B245" s="17" t="s">
        <v>498</v>
      </c>
      <c r="C245" s="17"/>
      <c r="D245" s="19" t="s">
        <v>440</v>
      </c>
      <c r="E245" s="19" t="s">
        <v>488</v>
      </c>
      <c r="F245" s="19" t="s">
        <v>497</v>
      </c>
      <c r="G245" s="2" t="str">
        <f t="shared" si="24"/>
        <v>http://jsmh.umin.jp/journal/10-1/10-1.pdf</v>
      </c>
      <c r="H245" s="42" t="s">
        <v>10654</v>
      </c>
    </row>
    <row r="246" spans="1:8" ht="30" customHeight="1" x14ac:dyDescent="0.15">
      <c r="A246" s="16" t="s">
        <v>499</v>
      </c>
      <c r="B246" s="17" t="s">
        <v>500</v>
      </c>
      <c r="C246" s="17" t="s">
        <v>198</v>
      </c>
      <c r="D246" s="19" t="s">
        <v>440</v>
      </c>
      <c r="E246" s="19" t="s">
        <v>488</v>
      </c>
      <c r="F246" s="19" t="s">
        <v>501</v>
      </c>
      <c r="G246" s="2" t="str">
        <f t="shared" si="24"/>
        <v>http://jsmh.umin.jp/journal/10-1/10-1.pdf</v>
      </c>
      <c r="H246" s="42" t="s">
        <v>10654</v>
      </c>
    </row>
    <row r="247" spans="1:8" ht="30" customHeight="1" x14ac:dyDescent="0.15">
      <c r="A247" s="16" t="s">
        <v>91</v>
      </c>
      <c r="B247" s="17" t="s">
        <v>502</v>
      </c>
      <c r="C247" s="17" t="s">
        <v>212</v>
      </c>
      <c r="D247" s="19" t="s">
        <v>440</v>
      </c>
      <c r="E247" s="19" t="s">
        <v>488</v>
      </c>
      <c r="F247" s="19" t="s">
        <v>368</v>
      </c>
      <c r="G247" s="2" t="str">
        <f t="shared" si="24"/>
        <v>http://jsmh.umin.jp/journal/10-1/10-1.pdf</v>
      </c>
      <c r="H247" s="42" t="s">
        <v>10654</v>
      </c>
    </row>
    <row r="248" spans="1:8" ht="30" customHeight="1" x14ac:dyDescent="0.15">
      <c r="A248" s="16" t="s">
        <v>91</v>
      </c>
      <c r="B248" s="17" t="s">
        <v>10064</v>
      </c>
      <c r="C248" s="17" t="s">
        <v>76</v>
      </c>
      <c r="D248" s="19" t="s">
        <v>440</v>
      </c>
      <c r="E248" s="19" t="s">
        <v>488</v>
      </c>
      <c r="F248" s="19" t="s">
        <v>368</v>
      </c>
      <c r="G248" s="2" t="str">
        <f t="shared" si="24"/>
        <v>http://jsmh.umin.jp/journal/10-1/10-1.pdf</v>
      </c>
      <c r="H248" s="42" t="s">
        <v>10654</v>
      </c>
    </row>
    <row r="249" spans="1:8" ht="30" customHeight="1" x14ac:dyDescent="0.15">
      <c r="A249" s="16" t="s">
        <v>91</v>
      </c>
      <c r="B249" s="17" t="s">
        <v>503</v>
      </c>
      <c r="C249" s="17" t="s">
        <v>273</v>
      </c>
      <c r="D249" s="19" t="s">
        <v>440</v>
      </c>
      <c r="E249" s="19" t="s">
        <v>488</v>
      </c>
      <c r="F249" s="19" t="s">
        <v>370</v>
      </c>
      <c r="G249" s="2" t="str">
        <f t="shared" si="24"/>
        <v>http://jsmh.umin.jp/journal/10-1/10-1.pdf</v>
      </c>
      <c r="H249" s="42" t="s">
        <v>10654</v>
      </c>
    </row>
    <row r="250" spans="1:8" ht="30" customHeight="1" x14ac:dyDescent="0.15">
      <c r="A250" s="16" t="s">
        <v>91</v>
      </c>
      <c r="B250" s="17" t="s">
        <v>504</v>
      </c>
      <c r="C250" s="17" t="s">
        <v>188</v>
      </c>
      <c r="D250" s="19" t="s">
        <v>440</v>
      </c>
      <c r="E250" s="19" t="s">
        <v>488</v>
      </c>
      <c r="F250" s="19" t="s">
        <v>23</v>
      </c>
      <c r="G250" s="2" t="str">
        <f t="shared" si="24"/>
        <v>http://jsmh.umin.jp/journal/10-1/10-1.pdf</v>
      </c>
      <c r="H250" s="42" t="s">
        <v>10654</v>
      </c>
    </row>
    <row r="251" spans="1:8" ht="30" customHeight="1" x14ac:dyDescent="0.15">
      <c r="A251" s="16" t="s">
        <v>91</v>
      </c>
      <c r="B251" s="17" t="s">
        <v>505</v>
      </c>
      <c r="C251" s="17" t="s">
        <v>150</v>
      </c>
      <c r="D251" s="19" t="s">
        <v>440</v>
      </c>
      <c r="E251" s="19" t="s">
        <v>488</v>
      </c>
      <c r="F251" s="19" t="s">
        <v>23</v>
      </c>
      <c r="G251" s="2" t="str">
        <f t="shared" si="24"/>
        <v>http://jsmh.umin.jp/journal/10-1/10-1.pdf</v>
      </c>
      <c r="H251" s="42" t="s">
        <v>10654</v>
      </c>
    </row>
    <row r="252" spans="1:8" ht="30" customHeight="1" x14ac:dyDescent="0.15">
      <c r="A252" s="16" t="s">
        <v>91</v>
      </c>
      <c r="B252" s="17" t="s">
        <v>506</v>
      </c>
      <c r="C252" s="17" t="s">
        <v>507</v>
      </c>
      <c r="D252" s="19" t="s">
        <v>440</v>
      </c>
      <c r="E252" s="19" t="s">
        <v>488</v>
      </c>
      <c r="F252" s="19" t="s">
        <v>508</v>
      </c>
      <c r="G252" s="2" t="str">
        <f t="shared" si="24"/>
        <v>http://jsmh.umin.jp/journal/10-1/10-1.pdf</v>
      </c>
      <c r="H252" s="42" t="s">
        <v>10654</v>
      </c>
    </row>
    <row r="253" spans="1:8" ht="30" customHeight="1" x14ac:dyDescent="0.15">
      <c r="A253" s="16" t="s">
        <v>91</v>
      </c>
      <c r="B253" s="17" t="s">
        <v>509</v>
      </c>
      <c r="C253" s="17" t="s">
        <v>24</v>
      </c>
      <c r="D253" s="19" t="s">
        <v>440</v>
      </c>
      <c r="E253" s="19" t="s">
        <v>488</v>
      </c>
      <c r="F253" s="19" t="s">
        <v>377</v>
      </c>
      <c r="G253" s="2" t="str">
        <f t="shared" si="24"/>
        <v>http://jsmh.umin.jp/journal/10-1/10-1.pdf</v>
      </c>
      <c r="H253" s="42" t="s">
        <v>10654</v>
      </c>
    </row>
    <row r="254" spans="1:8" ht="30" customHeight="1" x14ac:dyDescent="0.15">
      <c r="A254" s="16" t="s">
        <v>91</v>
      </c>
      <c r="B254" s="17" t="s">
        <v>510</v>
      </c>
      <c r="C254" s="17" t="s">
        <v>291</v>
      </c>
      <c r="D254" s="19" t="s">
        <v>440</v>
      </c>
      <c r="E254" s="19" t="s">
        <v>488</v>
      </c>
      <c r="F254" s="19" t="s">
        <v>511</v>
      </c>
      <c r="G254" s="2" t="str">
        <f t="shared" si="24"/>
        <v>http://jsmh.umin.jp/journal/10-1/10-1.pdf</v>
      </c>
      <c r="H254" s="42" t="s">
        <v>10654</v>
      </c>
    </row>
    <row r="255" spans="1:8" ht="30" customHeight="1" x14ac:dyDescent="0.15">
      <c r="A255" s="16" t="s">
        <v>91</v>
      </c>
      <c r="B255" s="17" t="s">
        <v>512</v>
      </c>
      <c r="C255" s="17" t="s">
        <v>18</v>
      </c>
      <c r="D255" s="19" t="s">
        <v>440</v>
      </c>
      <c r="E255" s="19" t="s">
        <v>488</v>
      </c>
      <c r="F255" s="19" t="s">
        <v>381</v>
      </c>
      <c r="G255" s="2" t="str">
        <f t="shared" si="24"/>
        <v>http://jsmh.umin.jp/journal/10-1/10-1.pdf</v>
      </c>
      <c r="H255" s="42" t="s">
        <v>10654</v>
      </c>
    </row>
    <row r="256" spans="1:8" ht="30" customHeight="1" x14ac:dyDescent="0.15">
      <c r="A256" s="16" t="s">
        <v>91</v>
      </c>
      <c r="B256" s="17" t="s">
        <v>513</v>
      </c>
      <c r="C256" s="17" t="s">
        <v>11</v>
      </c>
      <c r="D256" s="19" t="s">
        <v>440</v>
      </c>
      <c r="E256" s="19" t="s">
        <v>488</v>
      </c>
      <c r="F256" s="19" t="s">
        <v>514</v>
      </c>
      <c r="G256" s="2" t="str">
        <f t="shared" si="24"/>
        <v>http://jsmh.umin.jp/journal/10-1/10-1.pdf</v>
      </c>
      <c r="H256" s="42" t="s">
        <v>10654</v>
      </c>
    </row>
    <row r="257" spans="1:8" ht="30" customHeight="1" x14ac:dyDescent="0.15">
      <c r="A257" s="16" t="s">
        <v>91</v>
      </c>
      <c r="B257" s="17" t="s">
        <v>515</v>
      </c>
      <c r="C257" s="17" t="s">
        <v>204</v>
      </c>
      <c r="D257" s="19" t="s">
        <v>440</v>
      </c>
      <c r="E257" s="19" t="s">
        <v>488</v>
      </c>
      <c r="F257" s="19" t="s">
        <v>158</v>
      </c>
      <c r="G257" s="2" t="str">
        <f t="shared" si="24"/>
        <v>http://jsmh.umin.jp/journal/10-1/10-1.pdf</v>
      </c>
      <c r="H257" s="42" t="s">
        <v>10654</v>
      </c>
    </row>
    <row r="258" spans="1:8" ht="30" customHeight="1" x14ac:dyDescent="0.15">
      <c r="A258" s="16" t="s">
        <v>91</v>
      </c>
      <c r="B258" s="17" t="s">
        <v>516</v>
      </c>
      <c r="C258" s="17" t="s">
        <v>209</v>
      </c>
      <c r="D258" s="19" t="s">
        <v>440</v>
      </c>
      <c r="E258" s="19" t="s">
        <v>488</v>
      </c>
      <c r="F258" s="19" t="s">
        <v>158</v>
      </c>
      <c r="G258" s="2" t="str">
        <f t="shared" si="24"/>
        <v>http://jsmh.umin.jp/journal/10-1/10-1.pdf</v>
      </c>
      <c r="H258" s="42" t="s">
        <v>10654</v>
      </c>
    </row>
    <row r="259" spans="1:8" ht="30" customHeight="1" x14ac:dyDescent="0.15">
      <c r="A259" s="16" t="s">
        <v>91</v>
      </c>
      <c r="B259" s="17" t="s">
        <v>517</v>
      </c>
      <c r="C259" s="17" t="s">
        <v>479</v>
      </c>
      <c r="D259" s="19" t="s">
        <v>440</v>
      </c>
      <c r="E259" s="19" t="s">
        <v>488</v>
      </c>
      <c r="F259" s="19" t="s">
        <v>389</v>
      </c>
      <c r="G259" s="2" t="str">
        <f t="shared" si="24"/>
        <v>http://jsmh.umin.jp/journal/10-1/10-1.pdf</v>
      </c>
      <c r="H259" s="42" t="s">
        <v>10654</v>
      </c>
    </row>
    <row r="260" spans="1:8" ht="30" customHeight="1" x14ac:dyDescent="0.15">
      <c r="A260" s="16" t="s">
        <v>91</v>
      </c>
      <c r="B260" s="17" t="s">
        <v>518</v>
      </c>
      <c r="C260" s="17" t="s">
        <v>66</v>
      </c>
      <c r="D260" s="19" t="s">
        <v>440</v>
      </c>
      <c r="E260" s="19" t="s">
        <v>488</v>
      </c>
      <c r="F260" s="19" t="s">
        <v>393</v>
      </c>
      <c r="G260" s="2" t="str">
        <f t="shared" si="24"/>
        <v>http://jsmh.umin.jp/journal/10-1/10-1.pdf</v>
      </c>
      <c r="H260" s="42" t="s">
        <v>10654</v>
      </c>
    </row>
    <row r="261" spans="1:8" ht="30" customHeight="1" x14ac:dyDescent="0.15">
      <c r="A261" s="16" t="s">
        <v>91</v>
      </c>
      <c r="B261" s="17" t="s">
        <v>519</v>
      </c>
      <c r="C261" s="17" t="s">
        <v>520</v>
      </c>
      <c r="D261" s="19" t="s">
        <v>440</v>
      </c>
      <c r="E261" s="19" t="s">
        <v>488</v>
      </c>
      <c r="F261" s="19" t="s">
        <v>521</v>
      </c>
      <c r="G261" s="2" t="str">
        <f t="shared" si="24"/>
        <v>http://jsmh.umin.jp/journal/10-1/10-1.pdf</v>
      </c>
      <c r="H261" s="42" t="s">
        <v>10654</v>
      </c>
    </row>
    <row r="262" spans="1:8" ht="30" customHeight="1" x14ac:dyDescent="0.15">
      <c r="A262" s="16" t="s">
        <v>91</v>
      </c>
      <c r="B262" s="17" t="s">
        <v>522</v>
      </c>
      <c r="C262" s="17" t="s">
        <v>48</v>
      </c>
      <c r="D262" s="19" t="s">
        <v>440</v>
      </c>
      <c r="E262" s="19" t="s">
        <v>488</v>
      </c>
      <c r="F262" s="19" t="s">
        <v>26</v>
      </c>
      <c r="G262" s="2" t="str">
        <f t="shared" si="24"/>
        <v>http://jsmh.umin.jp/journal/10-1/10-1.pdf</v>
      </c>
      <c r="H262" s="42" t="s">
        <v>10654</v>
      </c>
    </row>
    <row r="263" spans="1:8" ht="30" customHeight="1" x14ac:dyDescent="0.15">
      <c r="A263" s="16" t="s">
        <v>91</v>
      </c>
      <c r="B263" s="17" t="s">
        <v>523</v>
      </c>
      <c r="C263" s="17" t="s">
        <v>57</v>
      </c>
      <c r="D263" s="19" t="s">
        <v>440</v>
      </c>
      <c r="E263" s="19" t="s">
        <v>488</v>
      </c>
      <c r="F263" s="19" t="s">
        <v>399</v>
      </c>
      <c r="G263" s="2" t="str">
        <f t="shared" si="24"/>
        <v>http://jsmh.umin.jp/journal/10-1/10-1.pdf</v>
      </c>
      <c r="H263" s="42" t="s">
        <v>10654</v>
      </c>
    </row>
    <row r="264" spans="1:8" ht="30" customHeight="1" x14ac:dyDescent="0.15">
      <c r="A264" s="16" t="s">
        <v>17</v>
      </c>
      <c r="B264" s="17" t="s">
        <v>500</v>
      </c>
      <c r="C264" s="17" t="s">
        <v>198</v>
      </c>
      <c r="D264" s="18" t="s">
        <v>524</v>
      </c>
      <c r="E264" s="19" t="s">
        <v>525</v>
      </c>
      <c r="F264" s="19" t="s">
        <v>526</v>
      </c>
      <c r="G264" s="3" t="str">
        <f t="shared" ref="G264:G284" si="25">HYPERLINK("http://jsmh.umin.jp/journal/10-2/10-2.pdf")</f>
        <v>http://jsmh.umin.jp/journal/10-2/10-2.pdf</v>
      </c>
      <c r="H264" s="42" t="s">
        <v>10654</v>
      </c>
    </row>
    <row r="265" spans="1:8" ht="30" customHeight="1" x14ac:dyDescent="0.15">
      <c r="A265" s="16" t="s">
        <v>17</v>
      </c>
      <c r="B265" s="17" t="s">
        <v>527</v>
      </c>
      <c r="C265" s="17" t="s">
        <v>528</v>
      </c>
      <c r="D265" s="25" t="s">
        <v>524</v>
      </c>
      <c r="E265" s="19" t="s">
        <v>525</v>
      </c>
      <c r="F265" s="19" t="s">
        <v>529</v>
      </c>
      <c r="G265" s="2" t="str">
        <f t="shared" si="25"/>
        <v>http://jsmh.umin.jp/journal/10-2/10-2.pdf</v>
      </c>
      <c r="H265" s="42" t="s">
        <v>10654</v>
      </c>
    </row>
    <row r="266" spans="1:8" ht="30" customHeight="1" x14ac:dyDescent="0.15">
      <c r="A266" s="16" t="s">
        <v>17</v>
      </c>
      <c r="B266" s="17" t="s">
        <v>530</v>
      </c>
      <c r="C266" s="17" t="s">
        <v>188</v>
      </c>
      <c r="D266" s="25" t="s">
        <v>524</v>
      </c>
      <c r="E266" s="19" t="s">
        <v>525</v>
      </c>
      <c r="F266" s="19" t="s">
        <v>330</v>
      </c>
      <c r="G266" s="2" t="str">
        <f t="shared" si="25"/>
        <v>http://jsmh.umin.jp/journal/10-2/10-2.pdf</v>
      </c>
      <c r="H266" s="42" t="s">
        <v>10654</v>
      </c>
    </row>
    <row r="267" spans="1:8" ht="30" customHeight="1" x14ac:dyDescent="0.15">
      <c r="A267" s="16" t="s">
        <v>17</v>
      </c>
      <c r="B267" s="17" t="s">
        <v>531</v>
      </c>
      <c r="C267" s="17" t="s">
        <v>532</v>
      </c>
      <c r="D267" s="25" t="s">
        <v>524</v>
      </c>
      <c r="E267" s="19" t="s">
        <v>525</v>
      </c>
      <c r="F267" s="19" t="s">
        <v>533</v>
      </c>
      <c r="G267" s="2" t="str">
        <f t="shared" si="25"/>
        <v>http://jsmh.umin.jp/journal/10-2/10-2.pdf</v>
      </c>
      <c r="H267" s="42" t="s">
        <v>10654</v>
      </c>
    </row>
    <row r="268" spans="1:8" ht="30" customHeight="1" x14ac:dyDescent="0.15">
      <c r="A268" s="16" t="s">
        <v>534</v>
      </c>
      <c r="B268" s="17" t="s">
        <v>535</v>
      </c>
      <c r="C268" s="17" t="s">
        <v>204</v>
      </c>
      <c r="D268" s="25" t="s">
        <v>524</v>
      </c>
      <c r="E268" s="19" t="s">
        <v>525</v>
      </c>
      <c r="F268" s="19" t="s">
        <v>536</v>
      </c>
      <c r="G268" s="2" t="str">
        <f t="shared" si="25"/>
        <v>http://jsmh.umin.jp/journal/10-2/10-2.pdf</v>
      </c>
      <c r="H268" s="42" t="s">
        <v>10654</v>
      </c>
    </row>
    <row r="269" spans="1:8" ht="30" customHeight="1" x14ac:dyDescent="0.15">
      <c r="A269" s="16" t="s">
        <v>537</v>
      </c>
      <c r="B269" s="17" t="s">
        <v>538</v>
      </c>
      <c r="C269" s="17" t="s">
        <v>303</v>
      </c>
      <c r="D269" s="25" t="s">
        <v>524</v>
      </c>
      <c r="E269" s="19" t="s">
        <v>525</v>
      </c>
      <c r="F269" s="19" t="s">
        <v>536</v>
      </c>
      <c r="G269" s="2" t="str">
        <f t="shared" si="25"/>
        <v>http://jsmh.umin.jp/journal/10-2/10-2.pdf</v>
      </c>
      <c r="H269" s="42" t="s">
        <v>10654</v>
      </c>
    </row>
    <row r="270" spans="1:8" ht="30" customHeight="1" x14ac:dyDescent="0.15">
      <c r="A270" s="16" t="s">
        <v>534</v>
      </c>
      <c r="B270" s="17" t="s">
        <v>539</v>
      </c>
      <c r="C270" s="17" t="s">
        <v>291</v>
      </c>
      <c r="D270" s="25" t="s">
        <v>524</v>
      </c>
      <c r="E270" s="19" t="s">
        <v>525</v>
      </c>
      <c r="F270" s="19" t="s">
        <v>536</v>
      </c>
      <c r="G270" s="2" t="str">
        <f t="shared" si="25"/>
        <v>http://jsmh.umin.jp/journal/10-2/10-2.pdf</v>
      </c>
      <c r="H270" s="42" t="s">
        <v>10654</v>
      </c>
    </row>
    <row r="271" spans="1:8" ht="30" customHeight="1" x14ac:dyDescent="0.15">
      <c r="A271" s="16" t="s">
        <v>537</v>
      </c>
      <c r="B271" s="17" t="s">
        <v>540</v>
      </c>
      <c r="C271" s="17" t="s">
        <v>303</v>
      </c>
      <c r="D271" s="25" t="s">
        <v>524</v>
      </c>
      <c r="E271" s="19" t="s">
        <v>525</v>
      </c>
      <c r="F271" s="19" t="s">
        <v>536</v>
      </c>
      <c r="G271" s="2" t="str">
        <f t="shared" si="25"/>
        <v>http://jsmh.umin.jp/journal/10-2/10-2.pdf</v>
      </c>
      <c r="H271" s="42" t="s">
        <v>10654</v>
      </c>
    </row>
    <row r="272" spans="1:8" ht="30" customHeight="1" x14ac:dyDescent="0.15">
      <c r="A272" s="16" t="s">
        <v>537</v>
      </c>
      <c r="B272" s="17" t="s">
        <v>541</v>
      </c>
      <c r="C272" s="17" t="s">
        <v>11</v>
      </c>
      <c r="D272" s="25" t="s">
        <v>524</v>
      </c>
      <c r="E272" s="19" t="s">
        <v>525</v>
      </c>
      <c r="F272" s="19" t="s">
        <v>542</v>
      </c>
      <c r="G272" s="2" t="str">
        <f t="shared" si="25"/>
        <v>http://jsmh.umin.jp/journal/10-2/10-2.pdf</v>
      </c>
      <c r="H272" s="42" t="s">
        <v>10654</v>
      </c>
    </row>
    <row r="273" spans="1:8" ht="30" customHeight="1" x14ac:dyDescent="0.15">
      <c r="A273" s="16" t="s">
        <v>537</v>
      </c>
      <c r="B273" s="17" t="s">
        <v>543</v>
      </c>
      <c r="C273" s="17" t="s">
        <v>544</v>
      </c>
      <c r="D273" s="25" t="s">
        <v>524</v>
      </c>
      <c r="E273" s="19" t="s">
        <v>525</v>
      </c>
      <c r="F273" s="19" t="s">
        <v>542</v>
      </c>
      <c r="G273" s="2" t="str">
        <f t="shared" si="25"/>
        <v>http://jsmh.umin.jp/journal/10-2/10-2.pdf</v>
      </c>
      <c r="H273" s="42" t="s">
        <v>10654</v>
      </c>
    </row>
    <row r="274" spans="1:8" ht="30" customHeight="1" x14ac:dyDescent="0.15">
      <c r="A274" s="16" t="s">
        <v>537</v>
      </c>
      <c r="B274" s="17" t="s">
        <v>545</v>
      </c>
      <c r="C274" s="17" t="s">
        <v>57</v>
      </c>
      <c r="D274" s="25" t="s">
        <v>524</v>
      </c>
      <c r="E274" s="19" t="s">
        <v>525</v>
      </c>
      <c r="F274" s="19" t="s">
        <v>542</v>
      </c>
      <c r="G274" s="2" t="str">
        <f t="shared" si="25"/>
        <v>http://jsmh.umin.jp/journal/10-2/10-2.pdf</v>
      </c>
      <c r="H274" s="42" t="s">
        <v>10654</v>
      </c>
    </row>
    <row r="275" spans="1:8" ht="30" customHeight="1" x14ac:dyDescent="0.15">
      <c r="A275" s="16" t="s">
        <v>537</v>
      </c>
      <c r="B275" s="17" t="s">
        <v>546</v>
      </c>
      <c r="C275" s="17" t="s">
        <v>129</v>
      </c>
      <c r="D275" s="25" t="s">
        <v>524</v>
      </c>
      <c r="E275" s="19" t="s">
        <v>525</v>
      </c>
      <c r="F275" s="19" t="s">
        <v>542</v>
      </c>
      <c r="G275" s="2" t="str">
        <f t="shared" si="25"/>
        <v>http://jsmh.umin.jp/journal/10-2/10-2.pdf</v>
      </c>
      <c r="H275" s="42" t="s">
        <v>10654</v>
      </c>
    </row>
    <row r="276" spans="1:8" ht="30" customHeight="1" x14ac:dyDescent="0.15">
      <c r="A276" s="16" t="s">
        <v>537</v>
      </c>
      <c r="B276" s="17" t="s">
        <v>547</v>
      </c>
      <c r="C276" s="17" t="s">
        <v>57</v>
      </c>
      <c r="D276" s="25" t="s">
        <v>524</v>
      </c>
      <c r="E276" s="19" t="s">
        <v>525</v>
      </c>
      <c r="F276" s="19" t="s">
        <v>542</v>
      </c>
      <c r="G276" s="2" t="str">
        <f t="shared" si="25"/>
        <v>http://jsmh.umin.jp/journal/10-2/10-2.pdf</v>
      </c>
      <c r="H276" s="42" t="s">
        <v>10654</v>
      </c>
    </row>
    <row r="277" spans="1:8" ht="30" customHeight="1" x14ac:dyDescent="0.15">
      <c r="A277" s="16" t="s">
        <v>17</v>
      </c>
      <c r="B277" s="17" t="s">
        <v>548</v>
      </c>
      <c r="C277" s="17" t="s">
        <v>18</v>
      </c>
      <c r="D277" s="25" t="s">
        <v>524</v>
      </c>
      <c r="E277" s="19" t="s">
        <v>525</v>
      </c>
      <c r="F277" s="19" t="s">
        <v>164</v>
      </c>
      <c r="G277" s="2" t="str">
        <f t="shared" si="25"/>
        <v>http://jsmh.umin.jp/journal/10-2/10-2.pdf</v>
      </c>
      <c r="H277" s="42" t="s">
        <v>10654</v>
      </c>
    </row>
    <row r="278" spans="1:8" ht="30" customHeight="1" x14ac:dyDescent="0.15">
      <c r="A278" s="16" t="s">
        <v>81</v>
      </c>
      <c r="B278" s="17" t="s">
        <v>549</v>
      </c>
      <c r="C278" s="17"/>
      <c r="D278" s="25" t="s">
        <v>524</v>
      </c>
      <c r="E278" s="19" t="s">
        <v>525</v>
      </c>
      <c r="F278" s="19" t="s">
        <v>550</v>
      </c>
      <c r="G278" s="2" t="str">
        <f t="shared" si="25"/>
        <v>http://jsmh.umin.jp/journal/10-2/10-2.pdf</v>
      </c>
      <c r="H278" s="42" t="s">
        <v>10654</v>
      </c>
    </row>
    <row r="279" spans="1:8" ht="30" customHeight="1" x14ac:dyDescent="0.15">
      <c r="A279" s="16" t="s">
        <v>81</v>
      </c>
      <c r="B279" s="17" t="s">
        <v>10065</v>
      </c>
      <c r="C279" s="17"/>
      <c r="D279" s="25" t="s">
        <v>524</v>
      </c>
      <c r="E279" s="19" t="s">
        <v>525</v>
      </c>
      <c r="F279" s="19" t="s">
        <v>550</v>
      </c>
      <c r="G279" s="2" t="str">
        <f t="shared" si="25"/>
        <v>http://jsmh.umin.jp/journal/10-2/10-2.pdf</v>
      </c>
      <c r="H279" s="42" t="s">
        <v>10654</v>
      </c>
    </row>
    <row r="280" spans="1:8" ht="30" customHeight="1" x14ac:dyDescent="0.15">
      <c r="A280" s="16" t="s">
        <v>81</v>
      </c>
      <c r="B280" s="17" t="s">
        <v>551</v>
      </c>
      <c r="C280" s="17"/>
      <c r="D280" s="25" t="s">
        <v>524</v>
      </c>
      <c r="E280" s="19" t="s">
        <v>525</v>
      </c>
      <c r="F280" s="19" t="s">
        <v>550</v>
      </c>
      <c r="G280" s="2" t="str">
        <f t="shared" si="25"/>
        <v>http://jsmh.umin.jp/journal/10-2/10-2.pdf</v>
      </c>
      <c r="H280" s="42" t="s">
        <v>10654</v>
      </c>
    </row>
    <row r="281" spans="1:8" ht="30" customHeight="1" x14ac:dyDescent="0.15">
      <c r="A281" s="16" t="s">
        <v>17</v>
      </c>
      <c r="B281" s="17" t="s">
        <v>552</v>
      </c>
      <c r="C281" s="17" t="s">
        <v>69</v>
      </c>
      <c r="D281" s="25" t="s">
        <v>524</v>
      </c>
      <c r="E281" s="19" t="s">
        <v>525</v>
      </c>
      <c r="F281" s="19" t="s">
        <v>553</v>
      </c>
      <c r="G281" s="2" t="str">
        <f t="shared" si="25"/>
        <v>http://jsmh.umin.jp/journal/10-2/10-2.pdf</v>
      </c>
      <c r="H281" s="42" t="s">
        <v>10654</v>
      </c>
    </row>
    <row r="282" spans="1:8" ht="30" customHeight="1" x14ac:dyDescent="0.15">
      <c r="A282" s="16" t="s">
        <v>17</v>
      </c>
      <c r="B282" s="17" t="s">
        <v>554</v>
      </c>
      <c r="C282" s="17" t="s">
        <v>198</v>
      </c>
      <c r="D282" s="25" t="s">
        <v>524</v>
      </c>
      <c r="E282" s="19" t="s">
        <v>525</v>
      </c>
      <c r="F282" s="19" t="s">
        <v>555</v>
      </c>
      <c r="G282" s="2" t="str">
        <f t="shared" si="25"/>
        <v>http://jsmh.umin.jp/journal/10-2/10-2.pdf</v>
      </c>
      <c r="H282" s="42" t="s">
        <v>10654</v>
      </c>
    </row>
    <row r="283" spans="1:8" ht="30" customHeight="1" x14ac:dyDescent="0.15">
      <c r="A283" s="16" t="s">
        <v>414</v>
      </c>
      <c r="B283" s="17" t="s">
        <v>556</v>
      </c>
      <c r="C283" s="17" t="s">
        <v>273</v>
      </c>
      <c r="D283" s="25" t="s">
        <v>524</v>
      </c>
      <c r="E283" s="19" t="s">
        <v>525</v>
      </c>
      <c r="F283" s="19" t="s">
        <v>557</v>
      </c>
      <c r="G283" s="2" t="str">
        <f t="shared" si="25"/>
        <v>http://jsmh.umin.jp/journal/10-2/10-2.pdf</v>
      </c>
      <c r="H283" s="42" t="s">
        <v>10654</v>
      </c>
    </row>
    <row r="284" spans="1:8" ht="30" customHeight="1" x14ac:dyDescent="0.15">
      <c r="A284" s="16" t="s">
        <v>558</v>
      </c>
      <c r="B284" s="17" t="s">
        <v>559</v>
      </c>
      <c r="C284" s="17"/>
      <c r="D284" s="25" t="s">
        <v>524</v>
      </c>
      <c r="E284" s="19" t="s">
        <v>525</v>
      </c>
      <c r="F284" s="19" t="s">
        <v>560</v>
      </c>
      <c r="G284" s="2" t="str">
        <f t="shared" si="25"/>
        <v>http://jsmh.umin.jp/journal/10-2/10-2.pdf</v>
      </c>
      <c r="H284" s="42" t="s">
        <v>10654</v>
      </c>
    </row>
    <row r="285" spans="1:8" ht="30" customHeight="1" x14ac:dyDescent="0.15">
      <c r="A285" s="16" t="s">
        <v>17</v>
      </c>
      <c r="B285" s="17" t="s">
        <v>561</v>
      </c>
      <c r="C285" s="17" t="s">
        <v>150</v>
      </c>
      <c r="D285" s="25" t="s">
        <v>524</v>
      </c>
      <c r="E285" s="19" t="s">
        <v>562</v>
      </c>
      <c r="F285" s="19" t="s">
        <v>563</v>
      </c>
      <c r="G285" s="2" t="str">
        <f t="shared" ref="G285:G310" si="26">HYPERLINK("http://jsmh.umin.jp/journal/10-4/10-4.pdf")</f>
        <v>http://jsmh.umin.jp/journal/10-4/10-4.pdf</v>
      </c>
      <c r="H285" s="42" t="s">
        <v>10654</v>
      </c>
    </row>
    <row r="286" spans="1:8" ht="30" customHeight="1" x14ac:dyDescent="0.15">
      <c r="A286" s="16" t="s">
        <v>81</v>
      </c>
      <c r="B286" s="17" t="s">
        <v>564</v>
      </c>
      <c r="C286" s="17" t="s">
        <v>57</v>
      </c>
      <c r="D286" s="25" t="s">
        <v>524</v>
      </c>
      <c r="E286" s="19" t="s">
        <v>562</v>
      </c>
      <c r="F286" s="19" t="s">
        <v>565</v>
      </c>
      <c r="G286" s="2" t="str">
        <f t="shared" si="26"/>
        <v>http://jsmh.umin.jp/journal/10-4/10-4.pdf</v>
      </c>
      <c r="H286" s="42" t="s">
        <v>10654</v>
      </c>
    </row>
    <row r="287" spans="1:8" ht="30" customHeight="1" x14ac:dyDescent="0.15">
      <c r="A287" s="16" t="s">
        <v>81</v>
      </c>
      <c r="B287" s="17" t="s">
        <v>566</v>
      </c>
      <c r="C287" s="17"/>
      <c r="D287" s="25" t="s">
        <v>524</v>
      </c>
      <c r="E287" s="19" t="s">
        <v>562</v>
      </c>
      <c r="F287" s="19" t="s">
        <v>567</v>
      </c>
      <c r="G287" s="2" t="str">
        <f t="shared" si="26"/>
        <v>http://jsmh.umin.jp/journal/10-4/10-4.pdf</v>
      </c>
      <c r="H287" s="42" t="s">
        <v>10654</v>
      </c>
    </row>
    <row r="288" spans="1:8" ht="30" customHeight="1" x14ac:dyDescent="0.15">
      <c r="A288" s="16" t="s">
        <v>91</v>
      </c>
      <c r="B288" s="17" t="s">
        <v>568</v>
      </c>
      <c r="C288" s="17" t="s">
        <v>139</v>
      </c>
      <c r="D288" s="25" t="s">
        <v>524</v>
      </c>
      <c r="E288" s="19" t="s">
        <v>562</v>
      </c>
      <c r="F288" s="19" t="s">
        <v>557</v>
      </c>
      <c r="G288" s="2" t="str">
        <f t="shared" si="26"/>
        <v>http://jsmh.umin.jp/journal/10-4/10-4.pdf</v>
      </c>
      <c r="H288" s="42" t="s">
        <v>10654</v>
      </c>
    </row>
    <row r="289" spans="1:8" ht="30" customHeight="1" x14ac:dyDescent="0.15">
      <c r="A289" s="16" t="s">
        <v>91</v>
      </c>
      <c r="B289" s="17" t="s">
        <v>569</v>
      </c>
      <c r="C289" s="17" t="s">
        <v>123</v>
      </c>
      <c r="D289" s="25" t="s">
        <v>524</v>
      </c>
      <c r="E289" s="19" t="s">
        <v>562</v>
      </c>
      <c r="F289" s="19" t="s">
        <v>570</v>
      </c>
      <c r="G289" s="2" t="str">
        <f t="shared" si="26"/>
        <v>http://jsmh.umin.jp/journal/10-4/10-4.pdf</v>
      </c>
      <c r="H289" s="42" t="s">
        <v>10654</v>
      </c>
    </row>
    <row r="290" spans="1:8" ht="30" customHeight="1" x14ac:dyDescent="0.15">
      <c r="A290" s="16" t="s">
        <v>91</v>
      </c>
      <c r="B290" s="17" t="s">
        <v>571</v>
      </c>
      <c r="C290" s="17" t="s">
        <v>48</v>
      </c>
      <c r="D290" s="25" t="s">
        <v>524</v>
      </c>
      <c r="E290" s="19" t="s">
        <v>562</v>
      </c>
      <c r="F290" s="19" t="s">
        <v>560</v>
      </c>
      <c r="G290" s="2" t="str">
        <f t="shared" si="26"/>
        <v>http://jsmh.umin.jp/journal/10-4/10-4.pdf</v>
      </c>
      <c r="H290" s="42" t="s">
        <v>10654</v>
      </c>
    </row>
    <row r="291" spans="1:8" ht="30" customHeight="1" x14ac:dyDescent="0.15">
      <c r="A291" s="16" t="s">
        <v>91</v>
      </c>
      <c r="B291" s="17" t="s">
        <v>572</v>
      </c>
      <c r="C291" s="17" t="s">
        <v>76</v>
      </c>
      <c r="D291" s="25" t="s">
        <v>524</v>
      </c>
      <c r="E291" s="19" t="s">
        <v>562</v>
      </c>
      <c r="F291" s="19" t="s">
        <v>560</v>
      </c>
      <c r="G291" s="2" t="str">
        <f t="shared" si="26"/>
        <v>http://jsmh.umin.jp/journal/10-4/10-4.pdf</v>
      </c>
      <c r="H291" s="42" t="s">
        <v>10654</v>
      </c>
    </row>
    <row r="292" spans="1:8" ht="30" customHeight="1" x14ac:dyDescent="0.15">
      <c r="A292" s="16" t="s">
        <v>91</v>
      </c>
      <c r="B292" s="17" t="s">
        <v>573</v>
      </c>
      <c r="C292" s="17" t="s">
        <v>439</v>
      </c>
      <c r="D292" s="25" t="s">
        <v>524</v>
      </c>
      <c r="E292" s="19" t="s">
        <v>562</v>
      </c>
      <c r="F292" s="19" t="s">
        <v>574</v>
      </c>
      <c r="G292" s="2" t="str">
        <f t="shared" si="26"/>
        <v>http://jsmh.umin.jp/journal/10-4/10-4.pdf</v>
      </c>
      <c r="H292" s="42" t="s">
        <v>10654</v>
      </c>
    </row>
    <row r="293" spans="1:8" ht="30" customHeight="1" x14ac:dyDescent="0.15">
      <c r="A293" s="16" t="s">
        <v>91</v>
      </c>
      <c r="B293" s="17" t="s">
        <v>575</v>
      </c>
      <c r="C293" s="17" t="s">
        <v>116</v>
      </c>
      <c r="D293" s="25" t="s">
        <v>524</v>
      </c>
      <c r="E293" s="19" t="s">
        <v>562</v>
      </c>
      <c r="F293" s="19" t="s">
        <v>576</v>
      </c>
      <c r="G293" s="2" t="str">
        <f t="shared" si="26"/>
        <v>http://jsmh.umin.jp/journal/10-4/10-4.pdf</v>
      </c>
      <c r="H293" s="42" t="s">
        <v>10654</v>
      </c>
    </row>
    <row r="294" spans="1:8" ht="30" customHeight="1" x14ac:dyDescent="0.15">
      <c r="A294" s="16" t="s">
        <v>91</v>
      </c>
      <c r="B294" s="17" t="s">
        <v>554</v>
      </c>
      <c r="C294" s="17" t="s">
        <v>198</v>
      </c>
      <c r="D294" s="25" t="s">
        <v>524</v>
      </c>
      <c r="E294" s="19" t="s">
        <v>562</v>
      </c>
      <c r="F294" s="19" t="s">
        <v>577</v>
      </c>
      <c r="G294" s="2" t="str">
        <f t="shared" si="26"/>
        <v>http://jsmh.umin.jp/journal/10-4/10-4.pdf</v>
      </c>
      <c r="H294" s="42" t="s">
        <v>10654</v>
      </c>
    </row>
    <row r="295" spans="1:8" ht="30" customHeight="1" x14ac:dyDescent="0.15">
      <c r="A295" s="16" t="s">
        <v>91</v>
      </c>
      <c r="B295" s="17" t="s">
        <v>578</v>
      </c>
      <c r="C295" s="17" t="s">
        <v>212</v>
      </c>
      <c r="D295" s="25" t="s">
        <v>524</v>
      </c>
      <c r="E295" s="19" t="s">
        <v>562</v>
      </c>
      <c r="F295" s="19" t="s">
        <v>579</v>
      </c>
      <c r="G295" s="2" t="str">
        <f t="shared" si="26"/>
        <v>http://jsmh.umin.jp/journal/10-4/10-4.pdf</v>
      </c>
      <c r="H295" s="42" t="s">
        <v>10654</v>
      </c>
    </row>
    <row r="296" spans="1:8" ht="30" customHeight="1" x14ac:dyDescent="0.15">
      <c r="A296" s="16" t="s">
        <v>91</v>
      </c>
      <c r="B296" s="17" t="s">
        <v>580</v>
      </c>
      <c r="C296" s="17" t="s">
        <v>96</v>
      </c>
      <c r="D296" s="25" t="s">
        <v>524</v>
      </c>
      <c r="E296" s="19" t="s">
        <v>562</v>
      </c>
      <c r="F296" s="19" t="s">
        <v>579</v>
      </c>
      <c r="G296" s="2" t="str">
        <f t="shared" si="26"/>
        <v>http://jsmh.umin.jp/journal/10-4/10-4.pdf</v>
      </c>
      <c r="H296" s="42" t="s">
        <v>10654</v>
      </c>
    </row>
    <row r="297" spans="1:8" ht="30" customHeight="1" x14ac:dyDescent="0.15">
      <c r="A297" s="16" t="s">
        <v>91</v>
      </c>
      <c r="B297" s="17" t="s">
        <v>581</v>
      </c>
      <c r="C297" s="17" t="s">
        <v>582</v>
      </c>
      <c r="D297" s="25" t="s">
        <v>524</v>
      </c>
      <c r="E297" s="19" t="s">
        <v>562</v>
      </c>
      <c r="F297" s="19" t="s">
        <v>583</v>
      </c>
      <c r="G297" s="2" t="str">
        <f t="shared" si="26"/>
        <v>http://jsmh.umin.jp/journal/10-4/10-4.pdf</v>
      </c>
      <c r="H297" s="42" t="s">
        <v>10654</v>
      </c>
    </row>
    <row r="298" spans="1:8" ht="30" customHeight="1" x14ac:dyDescent="0.15">
      <c r="A298" s="16" t="s">
        <v>91</v>
      </c>
      <c r="B298" s="17" t="s">
        <v>584</v>
      </c>
      <c r="C298" s="17" t="s">
        <v>585</v>
      </c>
      <c r="D298" s="25" t="s">
        <v>524</v>
      </c>
      <c r="E298" s="19" t="s">
        <v>562</v>
      </c>
      <c r="F298" s="19" t="s">
        <v>586</v>
      </c>
      <c r="G298" s="2" t="str">
        <f t="shared" si="26"/>
        <v>http://jsmh.umin.jp/journal/10-4/10-4.pdf</v>
      </c>
      <c r="H298" s="42" t="s">
        <v>10654</v>
      </c>
    </row>
    <row r="299" spans="1:8" ht="30" customHeight="1" x14ac:dyDescent="0.15">
      <c r="A299" s="16" t="s">
        <v>91</v>
      </c>
      <c r="B299" s="17" t="s">
        <v>587</v>
      </c>
      <c r="C299" s="17" t="s">
        <v>444</v>
      </c>
      <c r="D299" s="25" t="s">
        <v>524</v>
      </c>
      <c r="E299" s="19" t="s">
        <v>562</v>
      </c>
      <c r="F299" s="19" t="s">
        <v>588</v>
      </c>
      <c r="G299" s="2" t="str">
        <f t="shared" si="26"/>
        <v>http://jsmh.umin.jp/journal/10-4/10-4.pdf</v>
      </c>
      <c r="H299" s="42" t="s">
        <v>10654</v>
      </c>
    </row>
    <row r="300" spans="1:8" ht="30" customHeight="1" x14ac:dyDescent="0.15">
      <c r="A300" s="16" t="s">
        <v>91</v>
      </c>
      <c r="B300" s="17" t="s">
        <v>552</v>
      </c>
      <c r="C300" s="17" t="s">
        <v>69</v>
      </c>
      <c r="D300" s="25" t="s">
        <v>524</v>
      </c>
      <c r="E300" s="19" t="s">
        <v>562</v>
      </c>
      <c r="F300" s="19" t="s">
        <v>589</v>
      </c>
      <c r="G300" s="2" t="str">
        <f t="shared" si="26"/>
        <v>http://jsmh.umin.jp/journal/10-4/10-4.pdf</v>
      </c>
      <c r="H300" s="42" t="s">
        <v>10654</v>
      </c>
    </row>
    <row r="301" spans="1:8" ht="30" customHeight="1" x14ac:dyDescent="0.15">
      <c r="A301" s="16" t="s">
        <v>91</v>
      </c>
      <c r="B301" s="17" t="s">
        <v>590</v>
      </c>
      <c r="C301" s="17" t="s">
        <v>24</v>
      </c>
      <c r="D301" s="25" t="s">
        <v>524</v>
      </c>
      <c r="E301" s="19" t="s">
        <v>562</v>
      </c>
      <c r="F301" s="19" t="s">
        <v>591</v>
      </c>
      <c r="G301" s="2" t="str">
        <f t="shared" si="26"/>
        <v>http://jsmh.umin.jp/journal/10-4/10-4.pdf</v>
      </c>
      <c r="H301" s="42" t="s">
        <v>10654</v>
      </c>
    </row>
    <row r="302" spans="1:8" ht="30" customHeight="1" x14ac:dyDescent="0.15">
      <c r="A302" s="16" t="s">
        <v>91</v>
      </c>
      <c r="B302" s="17" t="s">
        <v>592</v>
      </c>
      <c r="C302" s="17" t="s">
        <v>18</v>
      </c>
      <c r="D302" s="25" t="s">
        <v>524</v>
      </c>
      <c r="E302" s="19" t="s">
        <v>562</v>
      </c>
      <c r="F302" s="19" t="s">
        <v>593</v>
      </c>
      <c r="G302" s="2" t="str">
        <f t="shared" si="26"/>
        <v>http://jsmh.umin.jp/journal/10-4/10-4.pdf</v>
      </c>
      <c r="H302" s="42" t="s">
        <v>10654</v>
      </c>
    </row>
    <row r="303" spans="1:8" ht="30" customHeight="1" x14ac:dyDescent="0.15">
      <c r="A303" s="16" t="s">
        <v>91</v>
      </c>
      <c r="B303" s="17" t="s">
        <v>594</v>
      </c>
      <c r="C303" s="17" t="s">
        <v>273</v>
      </c>
      <c r="D303" s="25" t="s">
        <v>524</v>
      </c>
      <c r="E303" s="19" t="s">
        <v>562</v>
      </c>
      <c r="F303" s="19" t="s">
        <v>595</v>
      </c>
      <c r="G303" s="2" t="str">
        <f t="shared" si="26"/>
        <v>http://jsmh.umin.jp/journal/10-4/10-4.pdf</v>
      </c>
      <c r="H303" s="42" t="s">
        <v>10654</v>
      </c>
    </row>
    <row r="304" spans="1:8" ht="30" customHeight="1" x14ac:dyDescent="0.15">
      <c r="A304" s="16" t="s">
        <v>91</v>
      </c>
      <c r="B304" s="17" t="s">
        <v>596</v>
      </c>
      <c r="C304" s="17" t="s">
        <v>66</v>
      </c>
      <c r="D304" s="25" t="s">
        <v>524</v>
      </c>
      <c r="E304" s="19" t="s">
        <v>562</v>
      </c>
      <c r="F304" s="19" t="s">
        <v>597</v>
      </c>
      <c r="G304" s="2" t="str">
        <f t="shared" si="26"/>
        <v>http://jsmh.umin.jp/journal/10-4/10-4.pdf</v>
      </c>
      <c r="H304" s="42" t="s">
        <v>10654</v>
      </c>
    </row>
    <row r="305" spans="1:8" ht="30" customHeight="1" x14ac:dyDescent="0.15">
      <c r="A305" s="16" t="s">
        <v>91</v>
      </c>
      <c r="B305" s="17" t="s">
        <v>598</v>
      </c>
      <c r="C305" s="17" t="s">
        <v>599</v>
      </c>
      <c r="D305" s="25" t="s">
        <v>524</v>
      </c>
      <c r="E305" s="19" t="s">
        <v>562</v>
      </c>
      <c r="F305" s="19" t="s">
        <v>600</v>
      </c>
      <c r="G305" s="2" t="str">
        <f t="shared" si="26"/>
        <v>http://jsmh.umin.jp/journal/10-4/10-4.pdf</v>
      </c>
      <c r="H305" s="42" t="s">
        <v>10654</v>
      </c>
    </row>
    <row r="306" spans="1:8" ht="30" customHeight="1" x14ac:dyDescent="0.15">
      <c r="A306" s="16" t="s">
        <v>91</v>
      </c>
      <c r="B306" s="17" t="s">
        <v>601</v>
      </c>
      <c r="C306" s="17" t="s">
        <v>479</v>
      </c>
      <c r="D306" s="25" t="s">
        <v>524</v>
      </c>
      <c r="E306" s="19" t="s">
        <v>562</v>
      </c>
      <c r="F306" s="19" t="s">
        <v>602</v>
      </c>
      <c r="G306" s="2" t="str">
        <f t="shared" si="26"/>
        <v>http://jsmh.umin.jp/journal/10-4/10-4.pdf</v>
      </c>
      <c r="H306" s="42" t="s">
        <v>10654</v>
      </c>
    </row>
    <row r="307" spans="1:8" ht="30" customHeight="1" x14ac:dyDescent="0.15">
      <c r="A307" s="16" t="s">
        <v>91</v>
      </c>
      <c r="B307" s="17" t="s">
        <v>603</v>
      </c>
      <c r="C307" s="17" t="s">
        <v>11</v>
      </c>
      <c r="D307" s="25" t="s">
        <v>524</v>
      </c>
      <c r="E307" s="19" t="s">
        <v>562</v>
      </c>
      <c r="F307" s="19" t="s">
        <v>604</v>
      </c>
      <c r="G307" s="2" t="str">
        <f t="shared" si="26"/>
        <v>http://jsmh.umin.jp/journal/10-4/10-4.pdf</v>
      </c>
      <c r="H307" s="42" t="s">
        <v>10654</v>
      </c>
    </row>
    <row r="308" spans="1:8" ht="30" customHeight="1" x14ac:dyDescent="0.15">
      <c r="A308" s="16" t="s">
        <v>91</v>
      </c>
      <c r="B308" s="17" t="s">
        <v>605</v>
      </c>
      <c r="C308" s="17" t="s">
        <v>204</v>
      </c>
      <c r="D308" s="25" t="s">
        <v>524</v>
      </c>
      <c r="E308" s="19" t="s">
        <v>562</v>
      </c>
      <c r="F308" s="19" t="s">
        <v>606</v>
      </c>
      <c r="G308" s="2" t="str">
        <f t="shared" si="26"/>
        <v>http://jsmh.umin.jp/journal/10-4/10-4.pdf</v>
      </c>
      <c r="H308" s="42" t="s">
        <v>10654</v>
      </c>
    </row>
    <row r="309" spans="1:8" ht="30" customHeight="1" x14ac:dyDescent="0.15">
      <c r="A309" s="16" t="s">
        <v>81</v>
      </c>
      <c r="B309" s="17" t="s">
        <v>313</v>
      </c>
      <c r="C309" s="17" t="s">
        <v>57</v>
      </c>
      <c r="D309" s="25" t="s">
        <v>524</v>
      </c>
      <c r="E309" s="19" t="s">
        <v>562</v>
      </c>
      <c r="F309" s="19" t="s">
        <v>607</v>
      </c>
      <c r="G309" s="2" t="str">
        <f t="shared" si="26"/>
        <v>http://jsmh.umin.jp/journal/10-4/10-4.pdf</v>
      </c>
      <c r="H309" s="42" t="s">
        <v>10654</v>
      </c>
    </row>
    <row r="310" spans="1:8" ht="30" customHeight="1" x14ac:dyDescent="0.15">
      <c r="A310" s="16" t="s">
        <v>17</v>
      </c>
      <c r="B310" s="17" t="s">
        <v>608</v>
      </c>
      <c r="C310" s="17" t="s">
        <v>609</v>
      </c>
      <c r="D310" s="25" t="s">
        <v>524</v>
      </c>
      <c r="E310" s="19" t="s">
        <v>562</v>
      </c>
      <c r="F310" s="19" t="s">
        <v>610</v>
      </c>
      <c r="G310" s="2" t="str">
        <f t="shared" si="26"/>
        <v>http://jsmh.umin.jp/journal/10-4/10-4.pdf</v>
      </c>
      <c r="H310" s="42" t="s">
        <v>10654</v>
      </c>
    </row>
    <row r="311" spans="1:8" ht="30" customHeight="1" x14ac:dyDescent="0.15">
      <c r="A311" s="16" t="s">
        <v>88</v>
      </c>
      <c r="B311" s="17" t="s">
        <v>611</v>
      </c>
      <c r="C311" s="17" t="s">
        <v>444</v>
      </c>
      <c r="D311" s="18" t="s">
        <v>612</v>
      </c>
      <c r="E311" s="19" t="s">
        <v>613</v>
      </c>
      <c r="F311" s="19" t="s">
        <v>322</v>
      </c>
      <c r="G311" s="2" t="str">
        <f t="shared" ref="G311:G331" si="27">HYPERLINK("http://jsmh.umin.jp/journal/11-1/11-1.pdf")</f>
        <v>http://jsmh.umin.jp/journal/11-1/11-1.pdf</v>
      </c>
      <c r="H311" s="42" t="s">
        <v>10654</v>
      </c>
    </row>
    <row r="312" spans="1:8" ht="30" customHeight="1" x14ac:dyDescent="0.15">
      <c r="A312" s="16" t="s">
        <v>499</v>
      </c>
      <c r="B312" s="17" t="s">
        <v>614</v>
      </c>
      <c r="C312" s="17" t="s">
        <v>18</v>
      </c>
      <c r="D312" s="25" t="s">
        <v>612</v>
      </c>
      <c r="E312" s="19" t="s">
        <v>613</v>
      </c>
      <c r="F312" s="19" t="s">
        <v>615</v>
      </c>
      <c r="G312" s="2" t="str">
        <f t="shared" si="27"/>
        <v>http://jsmh.umin.jp/journal/11-1/11-1.pdf</v>
      </c>
      <c r="H312" s="42" t="s">
        <v>10654</v>
      </c>
    </row>
    <row r="313" spans="1:8" ht="30" customHeight="1" x14ac:dyDescent="0.15">
      <c r="A313" s="16" t="s">
        <v>91</v>
      </c>
      <c r="B313" s="17" t="s">
        <v>616</v>
      </c>
      <c r="C313" s="17" t="s">
        <v>76</v>
      </c>
      <c r="D313" s="25" t="s">
        <v>612</v>
      </c>
      <c r="E313" s="19" t="s">
        <v>613</v>
      </c>
      <c r="F313" s="19" t="s">
        <v>617</v>
      </c>
      <c r="G313" s="2" t="str">
        <f t="shared" si="27"/>
        <v>http://jsmh.umin.jp/journal/11-1/11-1.pdf</v>
      </c>
      <c r="H313" s="42" t="s">
        <v>10654</v>
      </c>
    </row>
    <row r="314" spans="1:8" ht="30" customHeight="1" x14ac:dyDescent="0.15">
      <c r="A314" s="16" t="s">
        <v>91</v>
      </c>
      <c r="B314" s="17" t="s">
        <v>10066</v>
      </c>
      <c r="C314" s="17" t="s">
        <v>48</v>
      </c>
      <c r="D314" s="25" t="s">
        <v>612</v>
      </c>
      <c r="E314" s="19" t="s">
        <v>613</v>
      </c>
      <c r="F314" s="19" t="s">
        <v>618</v>
      </c>
      <c r="G314" s="2" t="str">
        <f t="shared" si="27"/>
        <v>http://jsmh.umin.jp/journal/11-1/11-1.pdf</v>
      </c>
      <c r="H314" s="42" t="s">
        <v>10654</v>
      </c>
    </row>
    <row r="315" spans="1:8" ht="30" customHeight="1" x14ac:dyDescent="0.15">
      <c r="A315" s="16" t="s">
        <v>91</v>
      </c>
      <c r="B315" s="17" t="s">
        <v>619</v>
      </c>
      <c r="C315" s="17" t="s">
        <v>291</v>
      </c>
      <c r="D315" s="25" t="s">
        <v>612</v>
      </c>
      <c r="E315" s="19" t="s">
        <v>613</v>
      </c>
      <c r="F315" s="19" t="s">
        <v>620</v>
      </c>
      <c r="G315" s="2" t="str">
        <f t="shared" si="27"/>
        <v>http://jsmh.umin.jp/journal/11-1/11-1.pdf</v>
      </c>
      <c r="H315" s="42" t="s">
        <v>10654</v>
      </c>
    </row>
    <row r="316" spans="1:8" ht="30" customHeight="1" x14ac:dyDescent="0.15">
      <c r="A316" s="16" t="s">
        <v>91</v>
      </c>
      <c r="B316" s="17" t="s">
        <v>621</v>
      </c>
      <c r="C316" s="17" t="s">
        <v>622</v>
      </c>
      <c r="D316" s="25" t="s">
        <v>612</v>
      </c>
      <c r="E316" s="19" t="s">
        <v>613</v>
      </c>
      <c r="F316" s="19" t="s">
        <v>623</v>
      </c>
      <c r="G316" s="2" t="str">
        <f t="shared" si="27"/>
        <v>http://jsmh.umin.jp/journal/11-1/11-1.pdf</v>
      </c>
      <c r="H316" s="42" t="s">
        <v>10654</v>
      </c>
    </row>
    <row r="317" spans="1:8" ht="30" customHeight="1" x14ac:dyDescent="0.15">
      <c r="A317" s="16" t="s">
        <v>91</v>
      </c>
      <c r="B317" s="17" t="s">
        <v>624</v>
      </c>
      <c r="C317" s="17" t="s">
        <v>188</v>
      </c>
      <c r="D317" s="25" t="s">
        <v>612</v>
      </c>
      <c r="E317" s="19" t="s">
        <v>613</v>
      </c>
      <c r="F317" s="19" t="s">
        <v>625</v>
      </c>
      <c r="G317" s="2" t="str">
        <f t="shared" si="27"/>
        <v>http://jsmh.umin.jp/journal/11-1/11-1.pdf</v>
      </c>
      <c r="H317" s="42" t="s">
        <v>10654</v>
      </c>
    </row>
    <row r="318" spans="1:8" ht="30" customHeight="1" x14ac:dyDescent="0.15">
      <c r="A318" s="16" t="s">
        <v>91</v>
      </c>
      <c r="B318" s="17" t="s">
        <v>626</v>
      </c>
      <c r="C318" s="17" t="s">
        <v>627</v>
      </c>
      <c r="D318" s="25" t="s">
        <v>612</v>
      </c>
      <c r="E318" s="19" t="s">
        <v>613</v>
      </c>
      <c r="F318" s="19" t="s">
        <v>491</v>
      </c>
      <c r="G318" s="2" t="str">
        <f t="shared" si="27"/>
        <v>http://jsmh.umin.jp/journal/11-1/11-1.pdf</v>
      </c>
      <c r="H318" s="42" t="s">
        <v>10654</v>
      </c>
    </row>
    <row r="319" spans="1:8" ht="30" customHeight="1" x14ac:dyDescent="0.15">
      <c r="A319" s="16" t="s">
        <v>91</v>
      </c>
      <c r="B319" s="17" t="s">
        <v>628</v>
      </c>
      <c r="C319" s="17" t="s">
        <v>198</v>
      </c>
      <c r="D319" s="25" t="s">
        <v>612</v>
      </c>
      <c r="E319" s="19" t="s">
        <v>613</v>
      </c>
      <c r="F319" s="19" t="s">
        <v>629</v>
      </c>
      <c r="G319" s="2" t="str">
        <f t="shared" si="27"/>
        <v>http://jsmh.umin.jp/journal/11-1/11-1.pdf</v>
      </c>
      <c r="H319" s="42" t="s">
        <v>10654</v>
      </c>
    </row>
    <row r="320" spans="1:8" ht="30" customHeight="1" x14ac:dyDescent="0.15">
      <c r="A320" s="16" t="s">
        <v>91</v>
      </c>
      <c r="B320" s="17" t="s">
        <v>630</v>
      </c>
      <c r="C320" s="17" t="s">
        <v>507</v>
      </c>
      <c r="D320" s="25" t="s">
        <v>612</v>
      </c>
      <c r="E320" s="19" t="s">
        <v>613</v>
      </c>
      <c r="F320" s="19" t="s">
        <v>501</v>
      </c>
      <c r="G320" s="2" t="str">
        <f t="shared" si="27"/>
        <v>http://jsmh.umin.jp/journal/11-1/11-1.pdf</v>
      </c>
      <c r="H320" s="42" t="s">
        <v>10654</v>
      </c>
    </row>
    <row r="321" spans="1:8" ht="30" customHeight="1" x14ac:dyDescent="0.15">
      <c r="A321" s="16" t="s">
        <v>91</v>
      </c>
      <c r="B321" s="17" t="s">
        <v>631</v>
      </c>
      <c r="C321" s="17" t="s">
        <v>585</v>
      </c>
      <c r="D321" s="25" t="s">
        <v>612</v>
      </c>
      <c r="E321" s="19" t="s">
        <v>613</v>
      </c>
      <c r="F321" s="19" t="s">
        <v>632</v>
      </c>
      <c r="G321" s="2" t="str">
        <f t="shared" si="27"/>
        <v>http://jsmh.umin.jp/journal/11-1/11-1.pdf</v>
      </c>
      <c r="H321" s="42" t="s">
        <v>10654</v>
      </c>
    </row>
    <row r="322" spans="1:8" ht="30" customHeight="1" x14ac:dyDescent="0.15">
      <c r="A322" s="16" t="s">
        <v>91</v>
      </c>
      <c r="B322" s="17" t="s">
        <v>633</v>
      </c>
      <c r="C322" s="17" t="s">
        <v>273</v>
      </c>
      <c r="D322" s="25" t="s">
        <v>612</v>
      </c>
      <c r="E322" s="19" t="s">
        <v>613</v>
      </c>
      <c r="F322" s="19" t="s">
        <v>634</v>
      </c>
      <c r="G322" s="2" t="str">
        <f t="shared" si="27"/>
        <v>http://jsmh.umin.jp/journal/11-1/11-1.pdf</v>
      </c>
      <c r="H322" s="42" t="s">
        <v>10654</v>
      </c>
    </row>
    <row r="323" spans="1:8" ht="30" customHeight="1" x14ac:dyDescent="0.15">
      <c r="A323" s="16" t="s">
        <v>91</v>
      </c>
      <c r="B323" s="17" t="s">
        <v>635</v>
      </c>
      <c r="C323" s="17" t="s">
        <v>191</v>
      </c>
      <c r="D323" s="25" t="s">
        <v>612</v>
      </c>
      <c r="E323" s="19" t="s">
        <v>613</v>
      </c>
      <c r="F323" s="19" t="s">
        <v>352</v>
      </c>
      <c r="G323" s="2" t="str">
        <f t="shared" si="27"/>
        <v>http://jsmh.umin.jp/journal/11-1/11-1.pdf</v>
      </c>
      <c r="H323" s="42" t="s">
        <v>10654</v>
      </c>
    </row>
    <row r="324" spans="1:8" ht="30" customHeight="1" x14ac:dyDescent="0.15">
      <c r="A324" s="16" t="s">
        <v>91</v>
      </c>
      <c r="B324" s="17" t="s">
        <v>636</v>
      </c>
      <c r="C324" s="17" t="s">
        <v>24</v>
      </c>
      <c r="D324" s="25" t="s">
        <v>612</v>
      </c>
      <c r="E324" s="19" t="s">
        <v>613</v>
      </c>
      <c r="F324" s="19" t="s">
        <v>357</v>
      </c>
      <c r="G324" s="2" t="str">
        <f t="shared" si="27"/>
        <v>http://jsmh.umin.jp/journal/11-1/11-1.pdf</v>
      </c>
      <c r="H324" s="42" t="s">
        <v>10654</v>
      </c>
    </row>
    <row r="325" spans="1:8" ht="30" customHeight="1" x14ac:dyDescent="0.15">
      <c r="A325" s="16" t="s">
        <v>91</v>
      </c>
      <c r="B325" s="17" t="s">
        <v>637</v>
      </c>
      <c r="C325" s="17" t="s">
        <v>212</v>
      </c>
      <c r="D325" s="25" t="s">
        <v>612</v>
      </c>
      <c r="E325" s="19" t="s">
        <v>613</v>
      </c>
      <c r="F325" s="19" t="s">
        <v>638</v>
      </c>
      <c r="G325" s="2" t="str">
        <f t="shared" si="27"/>
        <v>http://jsmh.umin.jp/journal/11-1/11-1.pdf</v>
      </c>
      <c r="H325" s="42" t="s">
        <v>10654</v>
      </c>
    </row>
    <row r="326" spans="1:8" ht="30" customHeight="1" x14ac:dyDescent="0.15">
      <c r="A326" s="16" t="s">
        <v>91</v>
      </c>
      <c r="B326" s="17" t="s">
        <v>639</v>
      </c>
      <c r="C326" s="17" t="s">
        <v>57</v>
      </c>
      <c r="D326" s="25" t="s">
        <v>612</v>
      </c>
      <c r="E326" s="19" t="s">
        <v>613</v>
      </c>
      <c r="F326" s="19" t="s">
        <v>361</v>
      </c>
      <c r="G326" s="2" t="str">
        <f t="shared" si="27"/>
        <v>http://jsmh.umin.jp/journal/11-1/11-1.pdf</v>
      </c>
      <c r="H326" s="42" t="s">
        <v>10654</v>
      </c>
    </row>
    <row r="327" spans="1:8" ht="30" customHeight="1" x14ac:dyDescent="0.15">
      <c r="A327" s="16" t="s">
        <v>91</v>
      </c>
      <c r="B327" s="17" t="s">
        <v>640</v>
      </c>
      <c r="C327" s="17" t="s">
        <v>479</v>
      </c>
      <c r="D327" s="25" t="s">
        <v>612</v>
      </c>
      <c r="E327" s="19" t="s">
        <v>613</v>
      </c>
      <c r="F327" s="19" t="s">
        <v>366</v>
      </c>
      <c r="G327" s="2" t="str">
        <f t="shared" si="27"/>
        <v>http://jsmh.umin.jp/journal/11-1/11-1.pdf</v>
      </c>
      <c r="H327" s="42" t="s">
        <v>10654</v>
      </c>
    </row>
    <row r="328" spans="1:8" ht="30" customHeight="1" x14ac:dyDescent="0.15">
      <c r="A328" s="16" t="s">
        <v>91</v>
      </c>
      <c r="B328" s="17" t="s">
        <v>641</v>
      </c>
      <c r="C328" s="17" t="s">
        <v>642</v>
      </c>
      <c r="D328" s="25" t="s">
        <v>612</v>
      </c>
      <c r="E328" s="19" t="s">
        <v>613</v>
      </c>
      <c r="F328" s="19" t="s">
        <v>370</v>
      </c>
      <c r="G328" s="2" t="str">
        <f t="shared" si="27"/>
        <v>http://jsmh.umin.jp/journal/11-1/11-1.pdf</v>
      </c>
      <c r="H328" s="42" t="s">
        <v>10654</v>
      </c>
    </row>
    <row r="329" spans="1:8" ht="30" customHeight="1" x14ac:dyDescent="0.15">
      <c r="A329" s="16" t="s">
        <v>91</v>
      </c>
      <c r="B329" s="17" t="s">
        <v>643</v>
      </c>
      <c r="C329" s="17" t="s">
        <v>644</v>
      </c>
      <c r="D329" s="25" t="s">
        <v>612</v>
      </c>
      <c r="E329" s="19" t="s">
        <v>613</v>
      </c>
      <c r="F329" s="19" t="s">
        <v>508</v>
      </c>
      <c r="G329" s="2" t="str">
        <f t="shared" si="27"/>
        <v>http://jsmh.umin.jp/journal/11-1/11-1.pdf</v>
      </c>
      <c r="H329" s="42" t="s">
        <v>10654</v>
      </c>
    </row>
    <row r="330" spans="1:8" ht="30" customHeight="1" x14ac:dyDescent="0.15">
      <c r="A330" s="16" t="s">
        <v>91</v>
      </c>
      <c r="B330" s="17" t="s">
        <v>645</v>
      </c>
      <c r="C330" s="17" t="s">
        <v>644</v>
      </c>
      <c r="D330" s="25" t="s">
        <v>612</v>
      </c>
      <c r="E330" s="19" t="s">
        <v>613</v>
      </c>
      <c r="F330" s="19" t="s">
        <v>377</v>
      </c>
      <c r="G330" s="2" t="str">
        <f t="shared" si="27"/>
        <v>http://jsmh.umin.jp/journal/11-1/11-1.pdf</v>
      </c>
      <c r="H330" s="42" t="s">
        <v>10654</v>
      </c>
    </row>
    <row r="331" spans="1:8" ht="30" customHeight="1" x14ac:dyDescent="0.15">
      <c r="A331" s="16" t="s">
        <v>91</v>
      </c>
      <c r="B331" s="17" t="s">
        <v>646</v>
      </c>
      <c r="C331" s="17" t="s">
        <v>204</v>
      </c>
      <c r="D331" s="25" t="s">
        <v>612</v>
      </c>
      <c r="E331" s="19" t="s">
        <v>613</v>
      </c>
      <c r="F331" s="19" t="s">
        <v>379</v>
      </c>
      <c r="G331" s="2" t="str">
        <f t="shared" si="27"/>
        <v>http://jsmh.umin.jp/journal/11-1/11-1.pdf</v>
      </c>
      <c r="H331" s="42" t="s">
        <v>10654</v>
      </c>
    </row>
    <row r="332" spans="1:8" ht="30" customHeight="1" x14ac:dyDescent="0.15">
      <c r="A332" s="16" t="s">
        <v>91</v>
      </c>
      <c r="B332" s="17" t="s">
        <v>647</v>
      </c>
      <c r="C332" s="17" t="s">
        <v>648</v>
      </c>
      <c r="D332" s="25" t="s">
        <v>612</v>
      </c>
      <c r="E332" s="19" t="s">
        <v>649</v>
      </c>
      <c r="F332" s="19" t="s">
        <v>12</v>
      </c>
      <c r="G332" s="2" t="str">
        <f t="shared" ref="G332:G356" si="28">HYPERLINK("http://jsmh.umin.jp/journal/11-2/11-2.pdf")</f>
        <v>http://jsmh.umin.jp/journal/11-2/11-2.pdf</v>
      </c>
      <c r="H332" s="42" t="s">
        <v>10654</v>
      </c>
    </row>
    <row r="333" spans="1:8" ht="30" customHeight="1" x14ac:dyDescent="0.15">
      <c r="A333" s="16" t="s">
        <v>91</v>
      </c>
      <c r="B333" s="17" t="s">
        <v>650</v>
      </c>
      <c r="C333" s="17" t="s">
        <v>48</v>
      </c>
      <c r="D333" s="25" t="s">
        <v>612</v>
      </c>
      <c r="E333" s="19" t="s">
        <v>649</v>
      </c>
      <c r="F333" s="19" t="s">
        <v>651</v>
      </c>
      <c r="G333" s="2" t="str">
        <f t="shared" si="28"/>
        <v>http://jsmh.umin.jp/journal/11-2/11-2.pdf</v>
      </c>
      <c r="H333" s="42" t="s">
        <v>10654</v>
      </c>
    </row>
    <row r="334" spans="1:8" ht="30" customHeight="1" x14ac:dyDescent="0.15">
      <c r="A334" s="16" t="s">
        <v>91</v>
      </c>
      <c r="B334" s="17" t="s">
        <v>652</v>
      </c>
      <c r="C334" s="17" t="s">
        <v>653</v>
      </c>
      <c r="D334" s="25" t="s">
        <v>612</v>
      </c>
      <c r="E334" s="19" t="s">
        <v>649</v>
      </c>
      <c r="F334" s="19" t="s">
        <v>14</v>
      </c>
      <c r="G334" s="2" t="str">
        <f t="shared" si="28"/>
        <v>http://jsmh.umin.jp/journal/11-2/11-2.pdf</v>
      </c>
      <c r="H334" s="42" t="s">
        <v>10654</v>
      </c>
    </row>
    <row r="335" spans="1:8" ht="30" customHeight="1" x14ac:dyDescent="0.15">
      <c r="A335" s="16" t="s">
        <v>91</v>
      </c>
      <c r="B335" s="17" t="s">
        <v>654</v>
      </c>
      <c r="C335" s="17" t="s">
        <v>212</v>
      </c>
      <c r="D335" s="25" t="s">
        <v>612</v>
      </c>
      <c r="E335" s="19" t="s">
        <v>649</v>
      </c>
      <c r="F335" s="19" t="s">
        <v>153</v>
      </c>
      <c r="G335" s="2" t="str">
        <f t="shared" si="28"/>
        <v>http://jsmh.umin.jp/journal/11-2/11-2.pdf</v>
      </c>
      <c r="H335" s="42" t="s">
        <v>10654</v>
      </c>
    </row>
    <row r="336" spans="1:8" ht="30" customHeight="1" x14ac:dyDescent="0.15">
      <c r="A336" s="16" t="s">
        <v>91</v>
      </c>
      <c r="B336" s="17" t="s">
        <v>655</v>
      </c>
      <c r="C336" s="17" t="s">
        <v>656</v>
      </c>
      <c r="D336" s="25" t="s">
        <v>612</v>
      </c>
      <c r="E336" s="19" t="s">
        <v>649</v>
      </c>
      <c r="F336" s="19" t="s">
        <v>657</v>
      </c>
      <c r="G336" s="2" t="str">
        <f t="shared" si="28"/>
        <v>http://jsmh.umin.jp/journal/11-2/11-2.pdf</v>
      </c>
      <c r="H336" s="42" t="s">
        <v>10654</v>
      </c>
    </row>
    <row r="337" spans="1:8" ht="30" customHeight="1" x14ac:dyDescent="0.15">
      <c r="A337" s="16" t="s">
        <v>91</v>
      </c>
      <c r="B337" s="17" t="s">
        <v>658</v>
      </c>
      <c r="C337" s="17" t="s">
        <v>209</v>
      </c>
      <c r="D337" s="25" t="s">
        <v>612</v>
      </c>
      <c r="E337" s="19" t="s">
        <v>649</v>
      </c>
      <c r="F337" s="19" t="s">
        <v>659</v>
      </c>
      <c r="G337" s="2" t="str">
        <f t="shared" si="28"/>
        <v>http://jsmh.umin.jp/journal/11-2/11-2.pdf</v>
      </c>
      <c r="H337" s="42" t="s">
        <v>10654</v>
      </c>
    </row>
    <row r="338" spans="1:8" ht="30" customHeight="1" x14ac:dyDescent="0.15">
      <c r="A338" s="16" t="s">
        <v>91</v>
      </c>
      <c r="B338" s="17" t="s">
        <v>10067</v>
      </c>
      <c r="C338" s="17" t="s">
        <v>585</v>
      </c>
      <c r="D338" s="25" t="s">
        <v>612</v>
      </c>
      <c r="E338" s="19" t="s">
        <v>649</v>
      </c>
      <c r="F338" s="19" t="s">
        <v>617</v>
      </c>
      <c r="G338" s="2" t="str">
        <f t="shared" si="28"/>
        <v>http://jsmh.umin.jp/journal/11-2/11-2.pdf</v>
      </c>
      <c r="H338" s="42" t="s">
        <v>10654</v>
      </c>
    </row>
    <row r="339" spans="1:8" ht="30" customHeight="1" x14ac:dyDescent="0.15">
      <c r="A339" s="16" t="s">
        <v>91</v>
      </c>
      <c r="B339" s="17" t="s">
        <v>660</v>
      </c>
      <c r="C339" s="17" t="s">
        <v>11</v>
      </c>
      <c r="D339" s="25" t="s">
        <v>612</v>
      </c>
      <c r="E339" s="19" t="s">
        <v>649</v>
      </c>
      <c r="F339" s="19" t="s">
        <v>620</v>
      </c>
      <c r="G339" s="2" t="str">
        <f t="shared" si="28"/>
        <v>http://jsmh.umin.jp/journal/11-2/11-2.pdf</v>
      </c>
      <c r="H339" s="42" t="s">
        <v>10654</v>
      </c>
    </row>
    <row r="340" spans="1:8" ht="30" customHeight="1" x14ac:dyDescent="0.15">
      <c r="A340" s="16" t="s">
        <v>91</v>
      </c>
      <c r="B340" s="17" t="s">
        <v>10068</v>
      </c>
      <c r="C340" s="17" t="s">
        <v>198</v>
      </c>
      <c r="D340" s="25" t="s">
        <v>612</v>
      </c>
      <c r="E340" s="19" t="s">
        <v>649</v>
      </c>
      <c r="F340" s="19" t="s">
        <v>625</v>
      </c>
      <c r="G340" s="2" t="str">
        <f t="shared" si="28"/>
        <v>http://jsmh.umin.jp/journal/11-2/11-2.pdf</v>
      </c>
      <c r="H340" s="42" t="s">
        <v>10654</v>
      </c>
    </row>
    <row r="341" spans="1:8" ht="30" customHeight="1" x14ac:dyDescent="0.15">
      <c r="A341" s="16" t="s">
        <v>91</v>
      </c>
      <c r="B341" s="17" t="s">
        <v>661</v>
      </c>
      <c r="C341" s="17" t="s">
        <v>627</v>
      </c>
      <c r="D341" s="25" t="s">
        <v>612</v>
      </c>
      <c r="E341" s="19" t="s">
        <v>649</v>
      </c>
      <c r="F341" s="19" t="s">
        <v>493</v>
      </c>
      <c r="G341" s="2" t="str">
        <f t="shared" si="28"/>
        <v>http://jsmh.umin.jp/journal/11-2/11-2.pdf</v>
      </c>
      <c r="H341" s="42" t="s">
        <v>10654</v>
      </c>
    </row>
    <row r="342" spans="1:8" ht="30" customHeight="1" x14ac:dyDescent="0.15">
      <c r="A342" s="16" t="s">
        <v>91</v>
      </c>
      <c r="B342" s="17" t="s">
        <v>662</v>
      </c>
      <c r="C342" s="17" t="s">
        <v>663</v>
      </c>
      <c r="D342" s="25" t="s">
        <v>612</v>
      </c>
      <c r="E342" s="19" t="s">
        <v>649</v>
      </c>
      <c r="F342" s="19" t="s">
        <v>629</v>
      </c>
      <c r="G342" s="2" t="str">
        <f t="shared" si="28"/>
        <v>http://jsmh.umin.jp/journal/11-2/11-2.pdf</v>
      </c>
      <c r="H342" s="42" t="s">
        <v>10654</v>
      </c>
    </row>
    <row r="343" spans="1:8" ht="30" customHeight="1" x14ac:dyDescent="0.15">
      <c r="A343" s="16" t="s">
        <v>91</v>
      </c>
      <c r="B343" s="17" t="s">
        <v>664</v>
      </c>
      <c r="C343" s="17" t="s">
        <v>150</v>
      </c>
      <c r="D343" s="25" t="s">
        <v>612</v>
      </c>
      <c r="E343" s="19" t="s">
        <v>649</v>
      </c>
      <c r="F343" s="19" t="s">
        <v>501</v>
      </c>
      <c r="G343" s="2" t="str">
        <f t="shared" si="28"/>
        <v>http://jsmh.umin.jp/journal/11-2/11-2.pdf</v>
      </c>
      <c r="H343" s="42" t="s">
        <v>10654</v>
      </c>
    </row>
    <row r="344" spans="1:8" ht="30" customHeight="1" x14ac:dyDescent="0.15">
      <c r="A344" s="16" t="s">
        <v>91</v>
      </c>
      <c r="B344" s="17" t="s">
        <v>665</v>
      </c>
      <c r="C344" s="17" t="s">
        <v>24</v>
      </c>
      <c r="D344" s="25" t="s">
        <v>612</v>
      </c>
      <c r="E344" s="19" t="s">
        <v>649</v>
      </c>
      <c r="F344" s="19" t="s">
        <v>666</v>
      </c>
      <c r="G344" s="2" t="str">
        <f t="shared" si="28"/>
        <v>http://jsmh.umin.jp/journal/11-2/11-2.pdf</v>
      </c>
      <c r="H344" s="42" t="s">
        <v>10654</v>
      </c>
    </row>
    <row r="345" spans="1:8" ht="30" customHeight="1" x14ac:dyDescent="0.15">
      <c r="A345" s="16" t="s">
        <v>91</v>
      </c>
      <c r="B345" s="17" t="s">
        <v>667</v>
      </c>
      <c r="C345" s="17" t="s">
        <v>204</v>
      </c>
      <c r="D345" s="25" t="s">
        <v>612</v>
      </c>
      <c r="E345" s="19" t="s">
        <v>649</v>
      </c>
      <c r="F345" s="19" t="s">
        <v>666</v>
      </c>
      <c r="G345" s="2" t="str">
        <f t="shared" si="28"/>
        <v>http://jsmh.umin.jp/journal/11-2/11-2.pdf</v>
      </c>
      <c r="H345" s="42" t="s">
        <v>10654</v>
      </c>
    </row>
    <row r="346" spans="1:8" ht="30" customHeight="1" x14ac:dyDescent="0.15">
      <c r="A346" s="16" t="s">
        <v>91</v>
      </c>
      <c r="B346" s="17" t="s">
        <v>668</v>
      </c>
      <c r="C346" s="17" t="s">
        <v>18</v>
      </c>
      <c r="D346" s="25" t="s">
        <v>612</v>
      </c>
      <c r="E346" s="19" t="s">
        <v>649</v>
      </c>
      <c r="F346" s="19" t="s">
        <v>352</v>
      </c>
      <c r="G346" s="2" t="str">
        <f t="shared" si="28"/>
        <v>http://jsmh.umin.jp/journal/11-2/11-2.pdf</v>
      </c>
      <c r="H346" s="42" t="s">
        <v>10654</v>
      </c>
    </row>
    <row r="347" spans="1:8" ht="30" customHeight="1" x14ac:dyDescent="0.15">
      <c r="A347" s="16" t="s">
        <v>91</v>
      </c>
      <c r="B347" s="17" t="s">
        <v>669</v>
      </c>
      <c r="C347" s="17" t="s">
        <v>644</v>
      </c>
      <c r="D347" s="25" t="s">
        <v>612</v>
      </c>
      <c r="E347" s="19" t="s">
        <v>649</v>
      </c>
      <c r="F347" s="19" t="s">
        <v>354</v>
      </c>
      <c r="G347" s="2" t="str">
        <f t="shared" si="28"/>
        <v>http://jsmh.umin.jp/journal/11-2/11-2.pdf</v>
      </c>
      <c r="H347" s="42" t="s">
        <v>10654</v>
      </c>
    </row>
    <row r="348" spans="1:8" ht="30" customHeight="1" x14ac:dyDescent="0.15">
      <c r="A348" s="16" t="s">
        <v>91</v>
      </c>
      <c r="B348" s="17" t="s">
        <v>670</v>
      </c>
      <c r="C348" s="17" t="s">
        <v>479</v>
      </c>
      <c r="D348" s="25" t="s">
        <v>612</v>
      </c>
      <c r="E348" s="19" t="s">
        <v>649</v>
      </c>
      <c r="F348" s="19" t="s">
        <v>357</v>
      </c>
      <c r="G348" s="2" t="str">
        <f t="shared" si="28"/>
        <v>http://jsmh.umin.jp/journal/11-2/11-2.pdf</v>
      </c>
      <c r="H348" s="42" t="s">
        <v>10654</v>
      </c>
    </row>
    <row r="349" spans="1:8" ht="30" customHeight="1" x14ac:dyDescent="0.15">
      <c r="A349" s="16" t="s">
        <v>91</v>
      </c>
      <c r="B349" s="17" t="s">
        <v>671</v>
      </c>
      <c r="C349" s="17" t="s">
        <v>672</v>
      </c>
      <c r="D349" s="25" t="s">
        <v>612</v>
      </c>
      <c r="E349" s="19" t="s">
        <v>649</v>
      </c>
      <c r="F349" s="19" t="s">
        <v>638</v>
      </c>
      <c r="G349" s="2" t="str">
        <f t="shared" si="28"/>
        <v>http://jsmh.umin.jp/journal/11-2/11-2.pdf</v>
      </c>
      <c r="H349" s="42" t="s">
        <v>10654</v>
      </c>
    </row>
    <row r="350" spans="1:8" ht="30" customHeight="1" x14ac:dyDescent="0.15">
      <c r="A350" s="16" t="s">
        <v>91</v>
      </c>
      <c r="B350" s="17" t="s">
        <v>673</v>
      </c>
      <c r="C350" s="17" t="s">
        <v>188</v>
      </c>
      <c r="D350" s="25" t="s">
        <v>612</v>
      </c>
      <c r="E350" s="19" t="s">
        <v>649</v>
      </c>
      <c r="F350" s="19" t="s">
        <v>361</v>
      </c>
      <c r="G350" s="2" t="str">
        <f t="shared" si="28"/>
        <v>http://jsmh.umin.jp/journal/11-2/11-2.pdf</v>
      </c>
      <c r="H350" s="42" t="s">
        <v>10654</v>
      </c>
    </row>
    <row r="351" spans="1:8" ht="30" customHeight="1" x14ac:dyDescent="0.15">
      <c r="A351" s="16" t="s">
        <v>91</v>
      </c>
      <c r="B351" s="17" t="s">
        <v>674</v>
      </c>
      <c r="C351" s="17" t="s">
        <v>11</v>
      </c>
      <c r="D351" s="25" t="s">
        <v>612</v>
      </c>
      <c r="E351" s="19" t="s">
        <v>649</v>
      </c>
      <c r="F351" s="19" t="s">
        <v>366</v>
      </c>
      <c r="G351" s="2" t="str">
        <f t="shared" si="28"/>
        <v>http://jsmh.umin.jp/journal/11-2/11-2.pdf</v>
      </c>
      <c r="H351" s="42" t="s">
        <v>10654</v>
      </c>
    </row>
    <row r="352" spans="1:8" ht="30" customHeight="1" x14ac:dyDescent="0.15">
      <c r="A352" s="16" t="s">
        <v>91</v>
      </c>
      <c r="B352" s="17" t="s">
        <v>675</v>
      </c>
      <c r="C352" s="17" t="s">
        <v>507</v>
      </c>
      <c r="D352" s="25" t="s">
        <v>612</v>
      </c>
      <c r="E352" s="19" t="s">
        <v>649</v>
      </c>
      <c r="F352" s="19" t="s">
        <v>370</v>
      </c>
      <c r="G352" s="2" t="str">
        <f t="shared" si="28"/>
        <v>http://jsmh.umin.jp/journal/11-2/11-2.pdf</v>
      </c>
      <c r="H352" s="42" t="s">
        <v>10654</v>
      </c>
    </row>
    <row r="353" spans="1:8" ht="30" customHeight="1" x14ac:dyDescent="0.15">
      <c r="A353" s="16" t="s">
        <v>91</v>
      </c>
      <c r="B353" s="17" t="s">
        <v>676</v>
      </c>
      <c r="C353" s="17" t="s">
        <v>677</v>
      </c>
      <c r="D353" s="25" t="s">
        <v>612</v>
      </c>
      <c r="E353" s="19" t="s">
        <v>649</v>
      </c>
      <c r="F353" s="19" t="s">
        <v>508</v>
      </c>
      <c r="G353" s="2" t="str">
        <f t="shared" si="28"/>
        <v>http://jsmh.umin.jp/journal/11-2/11-2.pdf</v>
      </c>
      <c r="H353" s="42" t="s">
        <v>10654</v>
      </c>
    </row>
    <row r="354" spans="1:8" ht="30" customHeight="1" x14ac:dyDescent="0.15">
      <c r="A354" s="16" t="s">
        <v>91</v>
      </c>
      <c r="B354" s="17" t="s">
        <v>678</v>
      </c>
      <c r="C354" s="17" t="s">
        <v>76</v>
      </c>
      <c r="D354" s="25" t="s">
        <v>612</v>
      </c>
      <c r="E354" s="19" t="s">
        <v>649</v>
      </c>
      <c r="F354" s="19" t="s">
        <v>377</v>
      </c>
      <c r="G354" s="2" t="str">
        <f t="shared" si="28"/>
        <v>http://jsmh.umin.jp/journal/11-2/11-2.pdf</v>
      </c>
      <c r="H354" s="42" t="s">
        <v>10654</v>
      </c>
    </row>
    <row r="355" spans="1:8" ht="30" customHeight="1" x14ac:dyDescent="0.15">
      <c r="A355" s="16" t="s">
        <v>91</v>
      </c>
      <c r="B355" s="17" t="s">
        <v>679</v>
      </c>
      <c r="C355" s="17" t="s">
        <v>134</v>
      </c>
      <c r="D355" s="25" t="s">
        <v>612</v>
      </c>
      <c r="E355" s="19" t="s">
        <v>649</v>
      </c>
      <c r="F355" s="19" t="s">
        <v>511</v>
      </c>
      <c r="G355" s="2" t="str">
        <f t="shared" si="28"/>
        <v>http://jsmh.umin.jp/journal/11-2/11-2.pdf</v>
      </c>
      <c r="H355" s="42" t="s">
        <v>10654</v>
      </c>
    </row>
    <row r="356" spans="1:8" ht="30" customHeight="1" x14ac:dyDescent="0.15">
      <c r="A356" s="16" t="s">
        <v>91</v>
      </c>
      <c r="B356" s="17" t="s">
        <v>680</v>
      </c>
      <c r="C356" s="17" t="s">
        <v>681</v>
      </c>
      <c r="D356" s="25" t="s">
        <v>612</v>
      </c>
      <c r="E356" s="19" t="s">
        <v>649</v>
      </c>
      <c r="F356" s="19" t="s">
        <v>158</v>
      </c>
      <c r="G356" s="2" t="str">
        <f t="shared" si="28"/>
        <v>http://jsmh.umin.jp/journal/11-2/11-2.pdf</v>
      </c>
      <c r="H356" s="42" t="s">
        <v>10654</v>
      </c>
    </row>
    <row r="357" spans="1:8" ht="30" customHeight="1" x14ac:dyDescent="0.15">
      <c r="A357" s="16" t="s">
        <v>88</v>
      </c>
      <c r="B357" s="17" t="s">
        <v>682</v>
      </c>
      <c r="C357" s="17" t="s">
        <v>273</v>
      </c>
      <c r="D357" s="18" t="s">
        <v>683</v>
      </c>
      <c r="E357" s="19" t="s">
        <v>684</v>
      </c>
      <c r="F357" s="19" t="s">
        <v>685</v>
      </c>
      <c r="G357" s="2" t="str">
        <f>HYPERLINK("http://jsmh.umin.jp/journal/11-3/11-3.pdf")</f>
        <v>http://jsmh.umin.jp/journal/11-3/11-3.pdf</v>
      </c>
      <c r="H357" s="42" t="str">
        <f>HYPERLINK("http://dl.ndl.go.jp/info:ndljp/pid/3359229")</f>
        <v>http://dl.ndl.go.jp/info:ndljp/pid/3359229</v>
      </c>
    </row>
    <row r="358" spans="1:8" ht="30" customHeight="1" x14ac:dyDescent="0.15">
      <c r="A358" s="16" t="s">
        <v>17</v>
      </c>
      <c r="B358" s="17" t="s">
        <v>686</v>
      </c>
      <c r="C358" s="17" t="s">
        <v>191</v>
      </c>
      <c r="D358" s="25" t="s">
        <v>683</v>
      </c>
      <c r="E358" s="19" t="s">
        <v>687</v>
      </c>
      <c r="F358" s="19" t="s">
        <v>688</v>
      </c>
      <c r="G358" s="2" t="str">
        <f t="shared" ref="G358:G365" si="29">HYPERLINK("http://jsmh.umin.jp/journal/11-4/11-4.pdf")</f>
        <v>http://jsmh.umin.jp/journal/11-4/11-4.pdf</v>
      </c>
      <c r="H358" s="42" t="str">
        <f>HYPERLINK("http://dl.ndl.go.jp/info:ndljp/pid/3359230")</f>
        <v>http://dl.ndl.go.jp/info:ndljp/pid/3359230</v>
      </c>
    </row>
    <row r="359" spans="1:8" ht="30" customHeight="1" x14ac:dyDescent="0.15">
      <c r="A359" s="16" t="s">
        <v>17</v>
      </c>
      <c r="B359" s="17" t="s">
        <v>689</v>
      </c>
      <c r="C359" s="17" t="s">
        <v>690</v>
      </c>
      <c r="D359" s="25" t="s">
        <v>683</v>
      </c>
      <c r="E359" s="19" t="s">
        <v>687</v>
      </c>
      <c r="F359" s="19" t="s">
        <v>691</v>
      </c>
      <c r="G359" s="2" t="str">
        <f t="shared" si="29"/>
        <v>http://jsmh.umin.jp/journal/11-4/11-4.pdf</v>
      </c>
      <c r="H359" s="42" t="str">
        <f t="shared" ref="H359:H365" si="30">HYPERLINK("http://dl.ndl.go.jp/info:ndljp/pid/3359230")</f>
        <v>http://dl.ndl.go.jp/info:ndljp/pid/3359230</v>
      </c>
    </row>
    <row r="360" spans="1:8" ht="30" customHeight="1" x14ac:dyDescent="0.15">
      <c r="A360" s="16" t="s">
        <v>692</v>
      </c>
      <c r="B360" s="17" t="s">
        <v>693</v>
      </c>
      <c r="C360" s="17" t="s">
        <v>694</v>
      </c>
      <c r="D360" s="25" t="s">
        <v>683</v>
      </c>
      <c r="E360" s="19" t="s">
        <v>687</v>
      </c>
      <c r="F360" s="19" t="s">
        <v>695</v>
      </c>
      <c r="G360" s="2" t="str">
        <f t="shared" si="29"/>
        <v>http://jsmh.umin.jp/journal/11-4/11-4.pdf</v>
      </c>
      <c r="H360" s="42" t="str">
        <f t="shared" si="30"/>
        <v>http://dl.ndl.go.jp/info:ndljp/pid/3359230</v>
      </c>
    </row>
    <row r="361" spans="1:8" ht="30" customHeight="1" x14ac:dyDescent="0.15">
      <c r="A361" s="16" t="s">
        <v>17</v>
      </c>
      <c r="B361" s="17" t="s">
        <v>10069</v>
      </c>
      <c r="C361" s="17" t="s">
        <v>48</v>
      </c>
      <c r="D361" s="25" t="s">
        <v>683</v>
      </c>
      <c r="E361" s="19" t="s">
        <v>687</v>
      </c>
      <c r="F361" s="19" t="s">
        <v>696</v>
      </c>
      <c r="G361" s="2" t="str">
        <f t="shared" si="29"/>
        <v>http://jsmh.umin.jp/journal/11-4/11-4.pdf</v>
      </c>
      <c r="H361" s="42" t="str">
        <f t="shared" si="30"/>
        <v>http://dl.ndl.go.jp/info:ndljp/pid/3359230</v>
      </c>
    </row>
    <row r="362" spans="1:8" ht="30" customHeight="1" x14ac:dyDescent="0.15">
      <c r="A362" s="16" t="s">
        <v>17</v>
      </c>
      <c r="B362" s="17" t="s">
        <v>697</v>
      </c>
      <c r="C362" s="17" t="s">
        <v>698</v>
      </c>
      <c r="D362" s="25" t="s">
        <v>683</v>
      </c>
      <c r="E362" s="19" t="s">
        <v>687</v>
      </c>
      <c r="F362" s="19" t="s">
        <v>699</v>
      </c>
      <c r="G362" s="2" t="str">
        <f t="shared" si="29"/>
        <v>http://jsmh.umin.jp/journal/11-4/11-4.pdf</v>
      </c>
      <c r="H362" s="42" t="str">
        <f t="shared" si="30"/>
        <v>http://dl.ndl.go.jp/info:ndljp/pid/3359230</v>
      </c>
    </row>
    <row r="363" spans="1:8" ht="30" customHeight="1" x14ac:dyDescent="0.15">
      <c r="A363" s="16" t="s">
        <v>159</v>
      </c>
      <c r="B363" s="17" t="s">
        <v>693</v>
      </c>
      <c r="C363" s="17" t="s">
        <v>18</v>
      </c>
      <c r="D363" s="25" t="s">
        <v>683</v>
      </c>
      <c r="E363" s="19" t="s">
        <v>687</v>
      </c>
      <c r="F363" s="19" t="s">
        <v>700</v>
      </c>
      <c r="G363" s="2" t="str">
        <f t="shared" si="29"/>
        <v>http://jsmh.umin.jp/journal/11-4/11-4.pdf</v>
      </c>
      <c r="H363" s="42" t="str">
        <f t="shared" si="30"/>
        <v>http://dl.ndl.go.jp/info:ndljp/pid/3359230</v>
      </c>
    </row>
    <row r="364" spans="1:8" ht="30" customHeight="1" x14ac:dyDescent="0.15">
      <c r="A364" s="16" t="s">
        <v>692</v>
      </c>
      <c r="B364" s="17" t="s">
        <v>701</v>
      </c>
      <c r="C364" s="17" t="s">
        <v>702</v>
      </c>
      <c r="D364" s="25" t="s">
        <v>683</v>
      </c>
      <c r="E364" s="19" t="s">
        <v>687</v>
      </c>
      <c r="F364" s="19" t="s">
        <v>703</v>
      </c>
      <c r="G364" s="2" t="str">
        <f t="shared" si="29"/>
        <v>http://jsmh.umin.jp/journal/11-4/11-4.pdf</v>
      </c>
      <c r="H364" s="42" t="str">
        <f t="shared" si="30"/>
        <v>http://dl.ndl.go.jp/info:ndljp/pid/3359230</v>
      </c>
    </row>
    <row r="365" spans="1:8" ht="30" customHeight="1" x14ac:dyDescent="0.15">
      <c r="A365" s="16" t="s">
        <v>692</v>
      </c>
      <c r="B365" s="17" t="s">
        <v>704</v>
      </c>
      <c r="C365" s="17"/>
      <c r="D365" s="25" t="s">
        <v>683</v>
      </c>
      <c r="E365" s="19" t="s">
        <v>687</v>
      </c>
      <c r="F365" s="19" t="s">
        <v>705</v>
      </c>
      <c r="G365" s="2" t="str">
        <f t="shared" si="29"/>
        <v>http://jsmh.umin.jp/journal/11-4/11-4.pdf</v>
      </c>
      <c r="H365" s="42" t="str">
        <f t="shared" si="30"/>
        <v>http://dl.ndl.go.jp/info:ndljp/pid/3359230</v>
      </c>
    </row>
    <row r="366" spans="1:8" ht="30" customHeight="1" x14ac:dyDescent="0.15">
      <c r="A366" s="16" t="s">
        <v>17</v>
      </c>
      <c r="B366" s="17" t="s">
        <v>706</v>
      </c>
      <c r="C366" s="17" t="s">
        <v>191</v>
      </c>
      <c r="D366" s="25" t="s">
        <v>683</v>
      </c>
      <c r="E366" s="19" t="s">
        <v>707</v>
      </c>
      <c r="F366" s="19" t="s">
        <v>708</v>
      </c>
      <c r="G366" s="2" t="str">
        <f>HYPERLINK("http://jsmh.umin.jp/journal/12-1/12-1.pdf")</f>
        <v>http://jsmh.umin.jp/journal/12-1/12-1.pdf</v>
      </c>
      <c r="H366" s="42" t="str">
        <f>HYPERLINK("http://dl.ndl.go.jp/info:ndljp/pid/3359231")</f>
        <v>http://dl.ndl.go.jp/info:ndljp/pid/3359231</v>
      </c>
    </row>
    <row r="367" spans="1:8" ht="30" customHeight="1" x14ac:dyDescent="0.15">
      <c r="A367" s="16" t="s">
        <v>159</v>
      </c>
      <c r="B367" s="17" t="s">
        <v>420</v>
      </c>
      <c r="C367" s="17" t="s">
        <v>57</v>
      </c>
      <c r="D367" s="25" t="s">
        <v>683</v>
      </c>
      <c r="E367" s="19" t="s">
        <v>707</v>
      </c>
      <c r="F367" s="19" t="s">
        <v>709</v>
      </c>
      <c r="G367" s="2" t="str">
        <f>HYPERLINK("http://jsmh.umin.jp/journal/12-1/12-1.pdf")</f>
        <v>http://jsmh.umin.jp/journal/12-1/12-1.pdf</v>
      </c>
      <c r="H367" s="42" t="str">
        <f t="shared" ref="H367:H370" si="31">HYPERLINK("http://dl.ndl.go.jp/info:ndljp/pid/3359231")</f>
        <v>http://dl.ndl.go.jp/info:ndljp/pid/3359231</v>
      </c>
    </row>
    <row r="368" spans="1:8" ht="30" customHeight="1" x14ac:dyDescent="0.15">
      <c r="A368" s="16" t="s">
        <v>17</v>
      </c>
      <c r="B368" s="17" t="s">
        <v>710</v>
      </c>
      <c r="C368" s="17" t="s">
        <v>711</v>
      </c>
      <c r="D368" s="25" t="s">
        <v>683</v>
      </c>
      <c r="E368" s="19" t="s">
        <v>707</v>
      </c>
      <c r="F368" s="19" t="s">
        <v>712</v>
      </c>
      <c r="G368" s="2" t="str">
        <f>HYPERLINK("http://jsmh.umin.jp/journal/12-1/12-1.pdf")</f>
        <v>http://jsmh.umin.jp/journal/12-1/12-1.pdf</v>
      </c>
      <c r="H368" s="42" t="str">
        <f t="shared" si="31"/>
        <v>http://dl.ndl.go.jp/info:ndljp/pid/3359231</v>
      </c>
    </row>
    <row r="369" spans="1:8" ht="30" customHeight="1" x14ac:dyDescent="0.15">
      <c r="A369" s="16" t="s">
        <v>713</v>
      </c>
      <c r="B369" s="17" t="s">
        <v>704</v>
      </c>
      <c r="C369" s="17"/>
      <c r="D369" s="25" t="s">
        <v>683</v>
      </c>
      <c r="E369" s="19" t="s">
        <v>707</v>
      </c>
      <c r="F369" s="19" t="s">
        <v>714</v>
      </c>
      <c r="G369" s="2" t="str">
        <f>HYPERLINK("http://jsmh.umin.jp/journal/12-1/12-1.pdf")</f>
        <v>http://jsmh.umin.jp/journal/12-1/12-1.pdf</v>
      </c>
      <c r="H369" s="42" t="str">
        <f t="shared" si="31"/>
        <v>http://dl.ndl.go.jp/info:ndljp/pid/3359231</v>
      </c>
    </row>
    <row r="370" spans="1:8" ht="30" customHeight="1" x14ac:dyDescent="0.15">
      <c r="A370" s="16" t="s">
        <v>17</v>
      </c>
      <c r="B370" s="17" t="s">
        <v>715</v>
      </c>
      <c r="C370" s="17" t="s">
        <v>57</v>
      </c>
      <c r="D370" s="25" t="s">
        <v>683</v>
      </c>
      <c r="E370" s="19" t="s">
        <v>707</v>
      </c>
      <c r="F370" s="19" t="s">
        <v>716</v>
      </c>
      <c r="G370" s="2" t="str">
        <f>HYPERLINK("http://jsmh.umin.jp/journal/12-1/12-1.pdf")</f>
        <v>http://jsmh.umin.jp/journal/12-1/12-1.pdf</v>
      </c>
      <c r="H370" s="42" t="str">
        <f t="shared" si="31"/>
        <v>http://dl.ndl.go.jp/info:ndljp/pid/3359231</v>
      </c>
    </row>
    <row r="371" spans="1:8" ht="30" customHeight="1" x14ac:dyDescent="0.15">
      <c r="A371" s="16" t="s">
        <v>17</v>
      </c>
      <c r="B371" s="17" t="s">
        <v>717</v>
      </c>
      <c r="C371" s="17" t="s">
        <v>191</v>
      </c>
      <c r="D371" s="18" t="s">
        <v>718</v>
      </c>
      <c r="E371" s="19" t="s">
        <v>719</v>
      </c>
      <c r="F371" s="19" t="s">
        <v>720</v>
      </c>
      <c r="G371" s="2" t="str">
        <f>HYPERLINK("http://jsmh.umin.jp/journal/12-2/12-2.pdf")</f>
        <v>http://jsmh.umin.jp/journal/12-2/12-2.pdf</v>
      </c>
      <c r="H371" s="42" t="str">
        <f>HYPERLINK("http://dl.ndl.go.jp/info:ndljp/pid/3359232")</f>
        <v>http://dl.ndl.go.jp/info:ndljp/pid/3359232</v>
      </c>
    </row>
    <row r="372" spans="1:8" ht="30" customHeight="1" x14ac:dyDescent="0.15">
      <c r="A372" s="16" t="s">
        <v>17</v>
      </c>
      <c r="B372" s="17" t="s">
        <v>721</v>
      </c>
      <c r="C372" s="17" t="s">
        <v>198</v>
      </c>
      <c r="D372" s="25" t="s">
        <v>718</v>
      </c>
      <c r="E372" s="19" t="s">
        <v>719</v>
      </c>
      <c r="F372" s="19" t="s">
        <v>722</v>
      </c>
      <c r="G372" s="2" t="str">
        <f>HYPERLINK("http://jsmh.umin.jp/journal/12-2/12-2.pdf")</f>
        <v>http://jsmh.umin.jp/journal/12-2/12-2.pdf</v>
      </c>
      <c r="H372" s="42" t="str">
        <f t="shared" ref="H372:H373" si="32">HYPERLINK("http://dl.ndl.go.jp/info:ndljp/pid/3359232")</f>
        <v>http://dl.ndl.go.jp/info:ndljp/pid/3359232</v>
      </c>
    </row>
    <row r="373" spans="1:8" ht="30" customHeight="1" x14ac:dyDescent="0.15">
      <c r="A373" s="16" t="s">
        <v>713</v>
      </c>
      <c r="B373" s="17" t="s">
        <v>704</v>
      </c>
      <c r="C373" s="17"/>
      <c r="D373" s="25" t="s">
        <v>718</v>
      </c>
      <c r="E373" s="19" t="s">
        <v>719</v>
      </c>
      <c r="F373" s="19" t="s">
        <v>723</v>
      </c>
      <c r="G373" s="2" t="str">
        <f>HYPERLINK("http://jsmh.umin.jp/journal/12-2/12-2.pdf")</f>
        <v>http://jsmh.umin.jp/journal/12-2/12-2.pdf</v>
      </c>
      <c r="H373" s="42" t="str">
        <f t="shared" si="32"/>
        <v>http://dl.ndl.go.jp/info:ndljp/pid/3359232</v>
      </c>
    </row>
    <row r="374" spans="1:8" ht="30" customHeight="1" x14ac:dyDescent="0.15">
      <c r="A374" s="16" t="s">
        <v>499</v>
      </c>
      <c r="B374" s="17" t="s">
        <v>724</v>
      </c>
      <c r="C374" s="17" t="s">
        <v>57</v>
      </c>
      <c r="D374" s="25" t="s">
        <v>718</v>
      </c>
      <c r="E374" s="19" t="s">
        <v>725</v>
      </c>
      <c r="F374" s="19" t="s">
        <v>726</v>
      </c>
      <c r="G374" s="2" t="str">
        <f t="shared" ref="G374:G397" si="33">HYPERLINK("http://jsmh.umin.jp/journal/12-3/12-3.pdf")</f>
        <v>http://jsmh.umin.jp/journal/12-3/12-3.pdf</v>
      </c>
      <c r="H374" s="42" t="str">
        <f>HYPERLINK("http://dl.ndl.go.jp/info:ndljp/pid/3359233")</f>
        <v>http://dl.ndl.go.jp/info:ndljp/pid/3359233</v>
      </c>
    </row>
    <row r="375" spans="1:8" ht="30" customHeight="1" x14ac:dyDescent="0.15">
      <c r="A375" s="16" t="s">
        <v>88</v>
      </c>
      <c r="B375" s="17" t="s">
        <v>727</v>
      </c>
      <c r="C375" s="17" t="s">
        <v>129</v>
      </c>
      <c r="D375" s="25" t="s">
        <v>718</v>
      </c>
      <c r="E375" s="19" t="s">
        <v>725</v>
      </c>
      <c r="F375" s="19" t="s">
        <v>347</v>
      </c>
      <c r="G375" s="2" t="str">
        <f t="shared" si="33"/>
        <v>http://jsmh.umin.jp/journal/12-3/12-3.pdf</v>
      </c>
      <c r="H375" s="42" t="str">
        <f t="shared" ref="H375:H397" si="34">HYPERLINK("http://dl.ndl.go.jp/info:ndljp/pid/3359233")</f>
        <v>http://dl.ndl.go.jp/info:ndljp/pid/3359233</v>
      </c>
    </row>
    <row r="376" spans="1:8" ht="30" customHeight="1" x14ac:dyDescent="0.15">
      <c r="A376" s="16" t="s">
        <v>88</v>
      </c>
      <c r="B376" s="17" t="s">
        <v>728</v>
      </c>
      <c r="C376" s="17" t="s">
        <v>11</v>
      </c>
      <c r="D376" s="25" t="s">
        <v>718</v>
      </c>
      <c r="E376" s="19" t="s">
        <v>725</v>
      </c>
      <c r="F376" s="19" t="s">
        <v>729</v>
      </c>
      <c r="G376" s="2" t="str">
        <f t="shared" si="33"/>
        <v>http://jsmh.umin.jp/journal/12-3/12-3.pdf</v>
      </c>
      <c r="H376" s="42" t="str">
        <f t="shared" si="34"/>
        <v>http://dl.ndl.go.jp/info:ndljp/pid/3359233</v>
      </c>
    </row>
    <row r="377" spans="1:8" ht="30" customHeight="1" x14ac:dyDescent="0.15">
      <c r="A377" s="16" t="s">
        <v>91</v>
      </c>
      <c r="B377" s="17" t="s">
        <v>10070</v>
      </c>
      <c r="C377" s="17" t="s">
        <v>730</v>
      </c>
      <c r="D377" s="25" t="s">
        <v>718</v>
      </c>
      <c r="E377" s="19" t="s">
        <v>725</v>
      </c>
      <c r="F377" s="19" t="s">
        <v>387</v>
      </c>
      <c r="G377" s="2" t="str">
        <f t="shared" si="33"/>
        <v>http://jsmh.umin.jp/journal/12-3/12-3.pdf</v>
      </c>
      <c r="H377" s="42" t="str">
        <f t="shared" si="34"/>
        <v>http://dl.ndl.go.jp/info:ndljp/pid/3359233</v>
      </c>
    </row>
    <row r="378" spans="1:8" ht="30" customHeight="1" x14ac:dyDescent="0.15">
      <c r="A378" s="16" t="s">
        <v>91</v>
      </c>
      <c r="B378" s="17" t="s">
        <v>731</v>
      </c>
      <c r="C378" s="17" t="s">
        <v>732</v>
      </c>
      <c r="D378" s="25" t="s">
        <v>718</v>
      </c>
      <c r="E378" s="19" t="s">
        <v>725</v>
      </c>
      <c r="F378" s="19" t="s">
        <v>733</v>
      </c>
      <c r="G378" s="2" t="str">
        <f t="shared" si="33"/>
        <v>http://jsmh.umin.jp/journal/12-3/12-3.pdf</v>
      </c>
      <c r="H378" s="42" t="str">
        <f t="shared" si="34"/>
        <v>http://dl.ndl.go.jp/info:ndljp/pid/3359233</v>
      </c>
    </row>
    <row r="379" spans="1:8" ht="30" customHeight="1" x14ac:dyDescent="0.15">
      <c r="A379" s="16" t="s">
        <v>91</v>
      </c>
      <c r="B379" s="17" t="s">
        <v>734</v>
      </c>
      <c r="C379" s="17" t="s">
        <v>291</v>
      </c>
      <c r="D379" s="25" t="s">
        <v>718</v>
      </c>
      <c r="E379" s="19" t="s">
        <v>725</v>
      </c>
      <c r="F379" s="19" t="s">
        <v>391</v>
      </c>
      <c r="G379" s="2" t="str">
        <f t="shared" si="33"/>
        <v>http://jsmh.umin.jp/journal/12-3/12-3.pdf</v>
      </c>
      <c r="H379" s="42" t="str">
        <f t="shared" si="34"/>
        <v>http://dl.ndl.go.jp/info:ndljp/pid/3359233</v>
      </c>
    </row>
    <row r="380" spans="1:8" ht="30" customHeight="1" x14ac:dyDescent="0.15">
      <c r="A380" s="16" t="s">
        <v>91</v>
      </c>
      <c r="B380" s="17" t="s">
        <v>735</v>
      </c>
      <c r="C380" s="17" t="s">
        <v>736</v>
      </c>
      <c r="D380" s="25" t="s">
        <v>718</v>
      </c>
      <c r="E380" s="19" t="s">
        <v>725</v>
      </c>
      <c r="F380" s="19" t="s">
        <v>521</v>
      </c>
      <c r="G380" s="2" t="str">
        <f t="shared" si="33"/>
        <v>http://jsmh.umin.jp/journal/12-3/12-3.pdf</v>
      </c>
      <c r="H380" s="42" t="str">
        <f t="shared" si="34"/>
        <v>http://dl.ndl.go.jp/info:ndljp/pid/3359233</v>
      </c>
    </row>
    <row r="381" spans="1:8" ht="30" customHeight="1" x14ac:dyDescent="0.15">
      <c r="A381" s="16" t="s">
        <v>91</v>
      </c>
      <c r="B381" s="17" t="s">
        <v>737</v>
      </c>
      <c r="C381" s="17" t="s">
        <v>738</v>
      </c>
      <c r="D381" s="25" t="s">
        <v>718</v>
      </c>
      <c r="E381" s="19" t="s">
        <v>725</v>
      </c>
      <c r="F381" s="19" t="s">
        <v>397</v>
      </c>
      <c r="G381" s="2" t="str">
        <f t="shared" si="33"/>
        <v>http://jsmh.umin.jp/journal/12-3/12-3.pdf</v>
      </c>
      <c r="H381" s="42" t="str">
        <f t="shared" si="34"/>
        <v>http://dl.ndl.go.jp/info:ndljp/pid/3359233</v>
      </c>
    </row>
    <row r="382" spans="1:8" ht="30" customHeight="1" x14ac:dyDescent="0.15">
      <c r="A382" s="16" t="s">
        <v>91</v>
      </c>
      <c r="B382" s="17" t="s">
        <v>739</v>
      </c>
      <c r="C382" s="17" t="s">
        <v>740</v>
      </c>
      <c r="D382" s="25" t="s">
        <v>718</v>
      </c>
      <c r="E382" s="19" t="s">
        <v>725</v>
      </c>
      <c r="F382" s="19" t="s">
        <v>399</v>
      </c>
      <c r="G382" s="2" t="str">
        <f t="shared" si="33"/>
        <v>http://jsmh.umin.jp/journal/12-3/12-3.pdf</v>
      </c>
      <c r="H382" s="42" t="str">
        <f t="shared" si="34"/>
        <v>http://dl.ndl.go.jp/info:ndljp/pid/3359233</v>
      </c>
    </row>
    <row r="383" spans="1:8" ht="30" customHeight="1" x14ac:dyDescent="0.15">
      <c r="A383" s="16" t="s">
        <v>91</v>
      </c>
      <c r="B383" s="17" t="s">
        <v>741</v>
      </c>
      <c r="C383" s="17" t="s">
        <v>742</v>
      </c>
      <c r="D383" s="25" t="s">
        <v>718</v>
      </c>
      <c r="E383" s="19" t="s">
        <v>725</v>
      </c>
      <c r="F383" s="19" t="s">
        <v>401</v>
      </c>
      <c r="G383" s="2" t="str">
        <f t="shared" si="33"/>
        <v>http://jsmh.umin.jp/journal/12-3/12-3.pdf</v>
      </c>
      <c r="H383" s="42" t="str">
        <f t="shared" si="34"/>
        <v>http://dl.ndl.go.jp/info:ndljp/pid/3359233</v>
      </c>
    </row>
    <row r="384" spans="1:8" ht="30" customHeight="1" x14ac:dyDescent="0.15">
      <c r="A384" s="16" t="s">
        <v>91</v>
      </c>
      <c r="B384" s="17" t="s">
        <v>743</v>
      </c>
      <c r="C384" s="17" t="s">
        <v>485</v>
      </c>
      <c r="D384" s="25" t="s">
        <v>718</v>
      </c>
      <c r="E384" s="19" t="s">
        <v>725</v>
      </c>
      <c r="F384" s="19" t="s">
        <v>744</v>
      </c>
      <c r="G384" s="2" t="str">
        <f t="shared" si="33"/>
        <v>http://jsmh.umin.jp/journal/12-3/12-3.pdf</v>
      </c>
      <c r="H384" s="42" t="str">
        <f t="shared" si="34"/>
        <v>http://dl.ndl.go.jp/info:ndljp/pid/3359233</v>
      </c>
    </row>
    <row r="385" spans="1:8" ht="30" customHeight="1" x14ac:dyDescent="0.15">
      <c r="A385" s="16" t="s">
        <v>91</v>
      </c>
      <c r="B385" s="17" t="s">
        <v>745</v>
      </c>
      <c r="C385" s="17" t="s">
        <v>139</v>
      </c>
      <c r="D385" s="25" t="s">
        <v>718</v>
      </c>
      <c r="E385" s="19" t="s">
        <v>725</v>
      </c>
      <c r="F385" s="19" t="s">
        <v>746</v>
      </c>
      <c r="G385" s="2" t="str">
        <f t="shared" si="33"/>
        <v>http://jsmh.umin.jp/journal/12-3/12-3.pdf</v>
      </c>
      <c r="H385" s="42" t="str">
        <f t="shared" si="34"/>
        <v>http://dl.ndl.go.jp/info:ndljp/pid/3359233</v>
      </c>
    </row>
    <row r="386" spans="1:8" ht="30" customHeight="1" x14ac:dyDescent="0.15">
      <c r="A386" s="16" t="s">
        <v>91</v>
      </c>
      <c r="B386" s="17" t="s">
        <v>10071</v>
      </c>
      <c r="C386" s="17" t="s">
        <v>444</v>
      </c>
      <c r="D386" s="25" t="s">
        <v>718</v>
      </c>
      <c r="E386" s="19" t="s">
        <v>725</v>
      </c>
      <c r="F386" s="19" t="s">
        <v>747</v>
      </c>
      <c r="G386" s="2" t="str">
        <f t="shared" si="33"/>
        <v>http://jsmh.umin.jp/journal/12-3/12-3.pdf</v>
      </c>
      <c r="H386" s="42" t="str">
        <f t="shared" si="34"/>
        <v>http://dl.ndl.go.jp/info:ndljp/pid/3359233</v>
      </c>
    </row>
    <row r="387" spans="1:8" ht="30" customHeight="1" x14ac:dyDescent="0.15">
      <c r="A387" s="16" t="s">
        <v>91</v>
      </c>
      <c r="B387" s="17" t="s">
        <v>748</v>
      </c>
      <c r="C387" s="17" t="s">
        <v>677</v>
      </c>
      <c r="D387" s="25" t="s">
        <v>718</v>
      </c>
      <c r="E387" s="19" t="s">
        <v>725</v>
      </c>
      <c r="F387" s="19" t="s">
        <v>749</v>
      </c>
      <c r="G387" s="2" t="str">
        <f t="shared" si="33"/>
        <v>http://jsmh.umin.jp/journal/12-3/12-3.pdf</v>
      </c>
      <c r="H387" s="42" t="str">
        <f t="shared" si="34"/>
        <v>http://dl.ndl.go.jp/info:ndljp/pid/3359233</v>
      </c>
    </row>
    <row r="388" spans="1:8" ht="30" customHeight="1" x14ac:dyDescent="0.15">
      <c r="A388" s="16" t="s">
        <v>91</v>
      </c>
      <c r="B388" s="17" t="s">
        <v>750</v>
      </c>
      <c r="C388" s="17" t="s">
        <v>48</v>
      </c>
      <c r="D388" s="25" t="s">
        <v>718</v>
      </c>
      <c r="E388" s="19" t="s">
        <v>725</v>
      </c>
      <c r="F388" s="19" t="s">
        <v>751</v>
      </c>
      <c r="G388" s="2" t="str">
        <f t="shared" si="33"/>
        <v>http://jsmh.umin.jp/journal/12-3/12-3.pdf</v>
      </c>
      <c r="H388" s="42" t="str">
        <f t="shared" si="34"/>
        <v>http://dl.ndl.go.jp/info:ndljp/pid/3359233</v>
      </c>
    </row>
    <row r="389" spans="1:8" ht="30" customHeight="1" x14ac:dyDescent="0.15">
      <c r="A389" s="16" t="s">
        <v>91</v>
      </c>
      <c r="B389" s="17" t="s">
        <v>752</v>
      </c>
      <c r="C389" s="17" t="s">
        <v>273</v>
      </c>
      <c r="D389" s="25" t="s">
        <v>718</v>
      </c>
      <c r="E389" s="19" t="s">
        <v>725</v>
      </c>
      <c r="F389" s="19" t="s">
        <v>753</v>
      </c>
      <c r="G389" s="2" t="str">
        <f t="shared" si="33"/>
        <v>http://jsmh.umin.jp/journal/12-3/12-3.pdf</v>
      </c>
      <c r="H389" s="42" t="str">
        <f t="shared" si="34"/>
        <v>http://dl.ndl.go.jp/info:ndljp/pid/3359233</v>
      </c>
    </row>
    <row r="390" spans="1:8" ht="30" customHeight="1" x14ac:dyDescent="0.15">
      <c r="A390" s="16" t="s">
        <v>91</v>
      </c>
      <c r="B390" s="17" t="s">
        <v>754</v>
      </c>
      <c r="C390" s="17" t="s">
        <v>395</v>
      </c>
      <c r="D390" s="25" t="s">
        <v>718</v>
      </c>
      <c r="E390" s="19" t="s">
        <v>725</v>
      </c>
      <c r="F390" s="19" t="s">
        <v>409</v>
      </c>
      <c r="G390" s="2" t="str">
        <f t="shared" si="33"/>
        <v>http://jsmh.umin.jp/journal/12-3/12-3.pdf</v>
      </c>
      <c r="H390" s="42" t="str">
        <f t="shared" si="34"/>
        <v>http://dl.ndl.go.jp/info:ndljp/pid/3359233</v>
      </c>
    </row>
    <row r="391" spans="1:8" ht="30" customHeight="1" x14ac:dyDescent="0.15">
      <c r="A391" s="16" t="s">
        <v>91</v>
      </c>
      <c r="B391" s="17" t="s">
        <v>755</v>
      </c>
      <c r="C391" s="17" t="s">
        <v>150</v>
      </c>
      <c r="D391" s="25" t="s">
        <v>718</v>
      </c>
      <c r="E391" s="19" t="s">
        <v>725</v>
      </c>
      <c r="F391" s="19" t="s">
        <v>756</v>
      </c>
      <c r="G391" s="2" t="str">
        <f t="shared" si="33"/>
        <v>http://jsmh.umin.jp/journal/12-3/12-3.pdf</v>
      </c>
      <c r="H391" s="42" t="str">
        <f t="shared" si="34"/>
        <v>http://dl.ndl.go.jp/info:ndljp/pid/3359233</v>
      </c>
    </row>
    <row r="392" spans="1:8" ht="30" customHeight="1" x14ac:dyDescent="0.15">
      <c r="A392" s="16" t="s">
        <v>91</v>
      </c>
      <c r="B392" s="17" t="s">
        <v>757</v>
      </c>
      <c r="C392" s="17" t="s">
        <v>663</v>
      </c>
      <c r="D392" s="25" t="s">
        <v>718</v>
      </c>
      <c r="E392" s="19" t="s">
        <v>725</v>
      </c>
      <c r="F392" s="19" t="s">
        <v>758</v>
      </c>
      <c r="G392" s="2" t="str">
        <f t="shared" si="33"/>
        <v>http://jsmh.umin.jp/journal/12-3/12-3.pdf</v>
      </c>
      <c r="H392" s="42" t="str">
        <f t="shared" si="34"/>
        <v>http://dl.ndl.go.jp/info:ndljp/pid/3359233</v>
      </c>
    </row>
    <row r="393" spans="1:8" ht="30" customHeight="1" x14ac:dyDescent="0.15">
      <c r="A393" s="16" t="s">
        <v>91</v>
      </c>
      <c r="B393" s="17" t="s">
        <v>759</v>
      </c>
      <c r="C393" s="17" t="s">
        <v>760</v>
      </c>
      <c r="D393" s="25" t="s">
        <v>718</v>
      </c>
      <c r="E393" s="19" t="s">
        <v>725</v>
      </c>
      <c r="F393" s="19" t="s">
        <v>761</v>
      </c>
      <c r="G393" s="2" t="str">
        <f t="shared" si="33"/>
        <v>http://jsmh.umin.jp/journal/12-3/12-3.pdf</v>
      </c>
      <c r="H393" s="42" t="str">
        <f t="shared" si="34"/>
        <v>http://dl.ndl.go.jp/info:ndljp/pid/3359233</v>
      </c>
    </row>
    <row r="394" spans="1:8" ht="30" customHeight="1" x14ac:dyDescent="0.15">
      <c r="A394" s="16" t="s">
        <v>91</v>
      </c>
      <c r="B394" s="17" t="s">
        <v>762</v>
      </c>
      <c r="C394" s="17" t="s">
        <v>627</v>
      </c>
      <c r="D394" s="25" t="s">
        <v>718</v>
      </c>
      <c r="E394" s="19" t="s">
        <v>725</v>
      </c>
      <c r="F394" s="19" t="s">
        <v>763</v>
      </c>
      <c r="G394" s="2" t="str">
        <f t="shared" si="33"/>
        <v>http://jsmh.umin.jp/journal/12-3/12-3.pdf</v>
      </c>
      <c r="H394" s="42" t="str">
        <f t="shared" si="34"/>
        <v>http://dl.ndl.go.jp/info:ndljp/pid/3359233</v>
      </c>
    </row>
    <row r="395" spans="1:8" ht="30" customHeight="1" x14ac:dyDescent="0.15">
      <c r="A395" s="16" t="s">
        <v>91</v>
      </c>
      <c r="B395" s="17" t="s">
        <v>764</v>
      </c>
      <c r="C395" s="17" t="s">
        <v>198</v>
      </c>
      <c r="D395" s="25" t="s">
        <v>718</v>
      </c>
      <c r="E395" s="19" t="s">
        <v>725</v>
      </c>
      <c r="F395" s="19" t="s">
        <v>765</v>
      </c>
      <c r="G395" s="2" t="str">
        <f t="shared" si="33"/>
        <v>http://jsmh.umin.jp/journal/12-3/12-3.pdf</v>
      </c>
      <c r="H395" s="42" t="str">
        <f t="shared" si="34"/>
        <v>http://dl.ndl.go.jp/info:ndljp/pid/3359233</v>
      </c>
    </row>
    <row r="396" spans="1:8" ht="30" customHeight="1" x14ac:dyDescent="0.15">
      <c r="A396" s="16" t="s">
        <v>91</v>
      </c>
      <c r="B396" s="17" t="s">
        <v>766</v>
      </c>
      <c r="C396" s="17" t="s">
        <v>767</v>
      </c>
      <c r="D396" s="25" t="s">
        <v>718</v>
      </c>
      <c r="E396" s="19" t="s">
        <v>725</v>
      </c>
      <c r="F396" s="19" t="s">
        <v>768</v>
      </c>
      <c r="G396" s="2" t="str">
        <f t="shared" si="33"/>
        <v>http://jsmh.umin.jp/journal/12-3/12-3.pdf</v>
      </c>
      <c r="H396" s="42" t="str">
        <f t="shared" si="34"/>
        <v>http://dl.ndl.go.jp/info:ndljp/pid/3359233</v>
      </c>
    </row>
    <row r="397" spans="1:8" ht="30" customHeight="1" x14ac:dyDescent="0.15">
      <c r="A397" s="16" t="s">
        <v>91</v>
      </c>
      <c r="B397" s="17" t="s">
        <v>769</v>
      </c>
      <c r="C397" s="17" t="s">
        <v>18</v>
      </c>
      <c r="D397" s="25" t="s">
        <v>718</v>
      </c>
      <c r="E397" s="19" t="s">
        <v>725</v>
      </c>
      <c r="F397" s="19" t="s">
        <v>770</v>
      </c>
      <c r="G397" s="2" t="str">
        <f t="shared" si="33"/>
        <v>http://jsmh.umin.jp/journal/12-3/12-3.pdf</v>
      </c>
      <c r="H397" s="42" t="str">
        <f t="shared" si="34"/>
        <v>http://dl.ndl.go.jp/info:ndljp/pid/3359233</v>
      </c>
    </row>
    <row r="398" spans="1:8" ht="30" customHeight="1" x14ac:dyDescent="0.15">
      <c r="A398" s="16" t="s">
        <v>17</v>
      </c>
      <c r="B398" s="17" t="s">
        <v>771</v>
      </c>
      <c r="C398" s="17" t="s">
        <v>191</v>
      </c>
      <c r="D398" s="25" t="s">
        <v>718</v>
      </c>
      <c r="E398" s="19" t="s">
        <v>772</v>
      </c>
      <c r="F398" s="19" t="s">
        <v>773</v>
      </c>
      <c r="G398" s="2" t="str">
        <f>HYPERLINK("http://jsmh.umin.jp/journal/12-4/12-4.pdf")</f>
        <v>http://jsmh.umin.jp/journal/12-4/12-4.pdf</v>
      </c>
      <c r="H398" s="42" t="str">
        <f>HYPERLINK("http://dl.ndl.go.jp/info:ndljp/pid/3359234")</f>
        <v>http://dl.ndl.go.jp/info:ndljp/pid/3359234</v>
      </c>
    </row>
    <row r="399" spans="1:8" ht="30" customHeight="1" x14ac:dyDescent="0.15">
      <c r="A399" s="16" t="s">
        <v>17</v>
      </c>
      <c r="B399" s="17" t="s">
        <v>757</v>
      </c>
      <c r="C399" s="17" t="s">
        <v>663</v>
      </c>
      <c r="D399" s="25" t="s">
        <v>718</v>
      </c>
      <c r="E399" s="19" t="s">
        <v>772</v>
      </c>
      <c r="F399" s="19" t="s">
        <v>774</v>
      </c>
      <c r="G399" s="2" t="str">
        <f>HYPERLINK("http://jsmh.umin.jp/journal/12-4/12-4.pdf")</f>
        <v>http://jsmh.umin.jp/journal/12-4/12-4.pdf</v>
      </c>
      <c r="H399" s="42" t="str">
        <f t="shared" ref="H399:H402" si="35">HYPERLINK("http://dl.ndl.go.jp/info:ndljp/pid/3359234")</f>
        <v>http://dl.ndl.go.jp/info:ndljp/pid/3359234</v>
      </c>
    </row>
    <row r="400" spans="1:8" ht="30" customHeight="1" x14ac:dyDescent="0.15">
      <c r="A400" s="16" t="s">
        <v>81</v>
      </c>
      <c r="B400" s="17" t="s">
        <v>775</v>
      </c>
      <c r="C400" s="17"/>
      <c r="D400" s="25" t="s">
        <v>718</v>
      </c>
      <c r="E400" s="19" t="s">
        <v>772</v>
      </c>
      <c r="F400" s="19" t="s">
        <v>776</v>
      </c>
      <c r="G400" s="2" t="str">
        <f>HYPERLINK("http://jsmh.umin.jp/journal/12-4/12-4.pdf")</f>
        <v>http://jsmh.umin.jp/journal/12-4/12-4.pdf</v>
      </c>
      <c r="H400" s="42" t="str">
        <f t="shared" si="35"/>
        <v>http://dl.ndl.go.jp/info:ndljp/pid/3359234</v>
      </c>
    </row>
    <row r="401" spans="1:8" ht="30" customHeight="1" x14ac:dyDescent="0.15">
      <c r="A401" s="16" t="s">
        <v>81</v>
      </c>
      <c r="B401" s="17" t="s">
        <v>777</v>
      </c>
      <c r="C401" s="17"/>
      <c r="D401" s="25" t="s">
        <v>718</v>
      </c>
      <c r="E401" s="19" t="s">
        <v>772</v>
      </c>
      <c r="F401" s="19" t="s">
        <v>778</v>
      </c>
      <c r="G401" s="2" t="str">
        <f>HYPERLINK("http://jsmh.umin.jp/journal/12-4/12-4.pdf")</f>
        <v>http://jsmh.umin.jp/journal/12-4/12-4.pdf</v>
      </c>
      <c r="H401" s="42" t="str">
        <f t="shared" si="35"/>
        <v>http://dl.ndl.go.jp/info:ndljp/pid/3359234</v>
      </c>
    </row>
    <row r="402" spans="1:8" ht="30" customHeight="1" x14ac:dyDescent="0.15">
      <c r="A402" s="16" t="s">
        <v>81</v>
      </c>
      <c r="B402" s="17" t="s">
        <v>704</v>
      </c>
      <c r="C402" s="17" t="s">
        <v>690</v>
      </c>
      <c r="D402" s="25" t="s">
        <v>718</v>
      </c>
      <c r="E402" s="19" t="s">
        <v>772</v>
      </c>
      <c r="F402" s="19" t="s">
        <v>779</v>
      </c>
      <c r="G402" s="2" t="str">
        <f>HYPERLINK("http://jsmh.umin.jp/journal/12-4/12-4.pdf")</f>
        <v>http://jsmh.umin.jp/journal/12-4/12-4.pdf</v>
      </c>
      <c r="H402" s="42" t="str">
        <f t="shared" si="35"/>
        <v>http://dl.ndl.go.jp/info:ndljp/pid/3359234</v>
      </c>
    </row>
    <row r="403" spans="1:8" ht="30" customHeight="1" x14ac:dyDescent="0.15">
      <c r="A403" s="16" t="s">
        <v>17</v>
      </c>
      <c r="B403" s="17" t="s">
        <v>780</v>
      </c>
      <c r="C403" s="17" t="s">
        <v>781</v>
      </c>
      <c r="D403" s="18" t="s">
        <v>782</v>
      </c>
      <c r="E403" s="19" t="s">
        <v>783</v>
      </c>
      <c r="F403" s="19" t="s">
        <v>784</v>
      </c>
      <c r="G403" s="2" t="str">
        <f t="shared" ref="G403:G408" si="36">HYPERLINK("http://jsmh.umin.jp/journal/13-1/13-1.pdf")</f>
        <v>http://jsmh.umin.jp/journal/13-1/13-1.pdf</v>
      </c>
      <c r="H403" s="42" t="str">
        <f>HYPERLINK("http://dl.ndl.go.jp/info:ndljp/pid/3359235")</f>
        <v>http://dl.ndl.go.jp/info:ndljp/pid/3359235</v>
      </c>
    </row>
    <row r="404" spans="1:8" ht="30" customHeight="1" x14ac:dyDescent="0.15">
      <c r="A404" s="16" t="s">
        <v>17</v>
      </c>
      <c r="B404" s="17" t="s">
        <v>785</v>
      </c>
      <c r="C404" s="17" t="s">
        <v>48</v>
      </c>
      <c r="D404" s="25" t="s">
        <v>782</v>
      </c>
      <c r="E404" s="19" t="s">
        <v>783</v>
      </c>
      <c r="F404" s="19" t="s">
        <v>786</v>
      </c>
      <c r="G404" s="2" t="str">
        <f t="shared" si="36"/>
        <v>http://jsmh.umin.jp/journal/13-1/13-1.pdf</v>
      </c>
      <c r="H404" s="42" t="str">
        <f t="shared" ref="H404:H408" si="37">HYPERLINK("http://dl.ndl.go.jp/info:ndljp/pid/3359235")</f>
        <v>http://dl.ndl.go.jp/info:ndljp/pid/3359235</v>
      </c>
    </row>
    <row r="405" spans="1:8" ht="30" customHeight="1" x14ac:dyDescent="0.15">
      <c r="A405" s="16" t="s">
        <v>17</v>
      </c>
      <c r="B405" s="17" t="s">
        <v>787</v>
      </c>
      <c r="C405" s="17" t="s">
        <v>690</v>
      </c>
      <c r="D405" s="25" t="s">
        <v>782</v>
      </c>
      <c r="E405" s="19" t="s">
        <v>783</v>
      </c>
      <c r="F405" s="19" t="s">
        <v>788</v>
      </c>
      <c r="G405" s="2" t="str">
        <f t="shared" si="36"/>
        <v>http://jsmh.umin.jp/journal/13-1/13-1.pdf</v>
      </c>
      <c r="H405" s="42" t="str">
        <f t="shared" si="37"/>
        <v>http://dl.ndl.go.jp/info:ndljp/pid/3359235</v>
      </c>
    </row>
    <row r="406" spans="1:8" ht="30" customHeight="1" x14ac:dyDescent="0.15">
      <c r="A406" s="16" t="s">
        <v>17</v>
      </c>
      <c r="B406" s="17" t="s">
        <v>789</v>
      </c>
      <c r="C406" s="17" t="s">
        <v>790</v>
      </c>
      <c r="D406" s="25" t="s">
        <v>782</v>
      </c>
      <c r="E406" s="19" t="s">
        <v>783</v>
      </c>
      <c r="F406" s="19" t="s">
        <v>791</v>
      </c>
      <c r="G406" s="2" t="str">
        <f t="shared" si="36"/>
        <v>http://jsmh.umin.jp/journal/13-1/13-1.pdf</v>
      </c>
      <c r="H406" s="42" t="str">
        <f t="shared" si="37"/>
        <v>http://dl.ndl.go.jp/info:ndljp/pid/3359235</v>
      </c>
    </row>
    <row r="407" spans="1:8" ht="30" customHeight="1" x14ac:dyDescent="0.15">
      <c r="A407" s="16" t="s">
        <v>81</v>
      </c>
      <c r="B407" s="17" t="s">
        <v>704</v>
      </c>
      <c r="C407" s="17"/>
      <c r="D407" s="25" t="s">
        <v>782</v>
      </c>
      <c r="E407" s="19" t="s">
        <v>783</v>
      </c>
      <c r="F407" s="19" t="s">
        <v>792</v>
      </c>
      <c r="G407" s="2" t="str">
        <f t="shared" si="36"/>
        <v>http://jsmh.umin.jp/journal/13-1/13-1.pdf</v>
      </c>
      <c r="H407" s="42" t="str">
        <f t="shared" si="37"/>
        <v>http://dl.ndl.go.jp/info:ndljp/pid/3359235</v>
      </c>
    </row>
    <row r="408" spans="1:8" ht="30" customHeight="1" x14ac:dyDescent="0.15">
      <c r="A408" s="16" t="s">
        <v>81</v>
      </c>
      <c r="B408" s="17" t="s">
        <v>777</v>
      </c>
      <c r="C408" s="17"/>
      <c r="D408" s="25" t="s">
        <v>782</v>
      </c>
      <c r="E408" s="19" t="s">
        <v>783</v>
      </c>
      <c r="F408" s="19" t="s">
        <v>565</v>
      </c>
      <c r="G408" s="2" t="str">
        <f t="shared" si="36"/>
        <v>http://jsmh.umin.jp/journal/13-1/13-1.pdf</v>
      </c>
      <c r="H408" s="42" t="str">
        <f t="shared" si="37"/>
        <v>http://dl.ndl.go.jp/info:ndljp/pid/3359235</v>
      </c>
    </row>
    <row r="409" spans="1:8" ht="30" customHeight="1" x14ac:dyDescent="0.15">
      <c r="A409" s="16" t="s">
        <v>88</v>
      </c>
      <c r="B409" s="17" t="s">
        <v>793</v>
      </c>
      <c r="C409" s="17" t="s">
        <v>794</v>
      </c>
      <c r="D409" s="25" t="s">
        <v>782</v>
      </c>
      <c r="E409" s="19" t="s">
        <v>795</v>
      </c>
      <c r="F409" s="19" t="s">
        <v>796</v>
      </c>
      <c r="G409" s="2" t="str">
        <f t="shared" ref="G409:G444" si="38">HYPERLINK("http://jsmh.umin.jp/journal/13-2/13-2.pdf")</f>
        <v>http://jsmh.umin.jp/journal/13-2/13-2.pdf</v>
      </c>
      <c r="H409" s="42" t="str">
        <f>HYPERLINK("http://dl.ndl.go.jp/info:ndljp/pid/3359236")</f>
        <v>http://dl.ndl.go.jp/info:ndljp/pid/3359236</v>
      </c>
    </row>
    <row r="410" spans="1:8" ht="30" customHeight="1" x14ac:dyDescent="0.15">
      <c r="A410" s="16" t="s">
        <v>88</v>
      </c>
      <c r="B410" s="17" t="s">
        <v>797</v>
      </c>
      <c r="C410" s="17" t="s">
        <v>798</v>
      </c>
      <c r="D410" s="25" t="s">
        <v>782</v>
      </c>
      <c r="E410" s="19" t="s">
        <v>795</v>
      </c>
      <c r="F410" s="19" t="s">
        <v>799</v>
      </c>
      <c r="G410" s="2" t="str">
        <f t="shared" si="38"/>
        <v>http://jsmh.umin.jp/journal/13-2/13-2.pdf</v>
      </c>
      <c r="H410" s="42" t="str">
        <f t="shared" ref="H410:H444" si="39">HYPERLINK("http://dl.ndl.go.jp/info:ndljp/pid/3359236")</f>
        <v>http://dl.ndl.go.jp/info:ndljp/pid/3359236</v>
      </c>
    </row>
    <row r="411" spans="1:8" ht="30" customHeight="1" x14ac:dyDescent="0.15">
      <c r="A411" s="16" t="s">
        <v>499</v>
      </c>
      <c r="B411" s="17" t="s">
        <v>800</v>
      </c>
      <c r="C411" s="17" t="s">
        <v>801</v>
      </c>
      <c r="D411" s="25" t="s">
        <v>782</v>
      </c>
      <c r="E411" s="19" t="s">
        <v>795</v>
      </c>
      <c r="F411" s="19" t="s">
        <v>802</v>
      </c>
      <c r="G411" s="2" t="str">
        <f t="shared" si="38"/>
        <v>http://jsmh.umin.jp/journal/13-2/13-2.pdf</v>
      </c>
      <c r="H411" s="42" t="str">
        <f t="shared" si="39"/>
        <v>http://dl.ndl.go.jp/info:ndljp/pid/3359236</v>
      </c>
    </row>
    <row r="412" spans="1:8" ht="30" customHeight="1" x14ac:dyDescent="0.15">
      <c r="A412" s="16" t="s">
        <v>17</v>
      </c>
      <c r="B412" s="17" t="s">
        <v>803</v>
      </c>
      <c r="C412" s="17" t="s">
        <v>790</v>
      </c>
      <c r="D412" s="25" t="s">
        <v>782</v>
      </c>
      <c r="E412" s="19" t="s">
        <v>795</v>
      </c>
      <c r="F412" s="19" t="s">
        <v>804</v>
      </c>
      <c r="G412" s="2" t="str">
        <f t="shared" si="38"/>
        <v>http://jsmh.umin.jp/journal/13-2/13-2.pdf</v>
      </c>
      <c r="H412" s="42" t="str">
        <f t="shared" si="39"/>
        <v>http://dl.ndl.go.jp/info:ndljp/pid/3359236</v>
      </c>
    </row>
    <row r="413" spans="1:8" ht="30" customHeight="1" x14ac:dyDescent="0.15">
      <c r="A413" s="16" t="s">
        <v>17</v>
      </c>
      <c r="B413" s="17" t="s">
        <v>805</v>
      </c>
      <c r="C413" s="17" t="s">
        <v>790</v>
      </c>
      <c r="D413" s="25" t="s">
        <v>782</v>
      </c>
      <c r="E413" s="19" t="s">
        <v>795</v>
      </c>
      <c r="F413" s="19" t="s">
        <v>806</v>
      </c>
      <c r="G413" s="2" t="str">
        <f t="shared" si="38"/>
        <v>http://jsmh.umin.jp/journal/13-2/13-2.pdf</v>
      </c>
      <c r="H413" s="42" t="str">
        <f t="shared" si="39"/>
        <v>http://dl.ndl.go.jp/info:ndljp/pid/3359236</v>
      </c>
    </row>
    <row r="414" spans="1:8" ht="30" customHeight="1" x14ac:dyDescent="0.15">
      <c r="A414" s="16" t="s">
        <v>17</v>
      </c>
      <c r="B414" s="17" t="s">
        <v>807</v>
      </c>
      <c r="C414" s="17" t="s">
        <v>808</v>
      </c>
      <c r="D414" s="25" t="s">
        <v>782</v>
      </c>
      <c r="E414" s="19" t="s">
        <v>795</v>
      </c>
      <c r="F414" s="19" t="s">
        <v>809</v>
      </c>
      <c r="G414" s="2" t="str">
        <f t="shared" si="38"/>
        <v>http://jsmh.umin.jp/journal/13-2/13-2.pdf</v>
      </c>
      <c r="H414" s="42" t="str">
        <f t="shared" si="39"/>
        <v>http://dl.ndl.go.jp/info:ndljp/pid/3359236</v>
      </c>
    </row>
    <row r="415" spans="1:8" ht="30" customHeight="1" x14ac:dyDescent="0.15">
      <c r="A415" s="16" t="s">
        <v>91</v>
      </c>
      <c r="B415" s="17" t="s">
        <v>810</v>
      </c>
      <c r="C415" s="17" t="s">
        <v>656</v>
      </c>
      <c r="D415" s="25" t="s">
        <v>782</v>
      </c>
      <c r="E415" s="19" t="s">
        <v>795</v>
      </c>
      <c r="F415" s="19" t="s">
        <v>705</v>
      </c>
      <c r="G415" s="2" t="str">
        <f t="shared" si="38"/>
        <v>http://jsmh.umin.jp/journal/13-2/13-2.pdf</v>
      </c>
      <c r="H415" s="42" t="str">
        <f t="shared" si="39"/>
        <v>http://dl.ndl.go.jp/info:ndljp/pid/3359236</v>
      </c>
    </row>
    <row r="416" spans="1:8" ht="30" customHeight="1" x14ac:dyDescent="0.15">
      <c r="A416" s="16" t="s">
        <v>91</v>
      </c>
      <c r="B416" s="17" t="s">
        <v>811</v>
      </c>
      <c r="C416" s="17" t="s">
        <v>24</v>
      </c>
      <c r="D416" s="25" t="s">
        <v>782</v>
      </c>
      <c r="E416" s="19" t="s">
        <v>795</v>
      </c>
      <c r="F416" s="19" t="s">
        <v>422</v>
      </c>
      <c r="G416" s="2" t="str">
        <f t="shared" si="38"/>
        <v>http://jsmh.umin.jp/journal/13-2/13-2.pdf</v>
      </c>
      <c r="H416" s="42" t="str">
        <f t="shared" si="39"/>
        <v>http://dl.ndl.go.jp/info:ndljp/pid/3359236</v>
      </c>
    </row>
    <row r="417" spans="1:8" ht="30" customHeight="1" x14ac:dyDescent="0.15">
      <c r="A417" s="16" t="s">
        <v>91</v>
      </c>
      <c r="B417" s="17" t="s">
        <v>812</v>
      </c>
      <c r="C417" s="17" t="s">
        <v>813</v>
      </c>
      <c r="D417" s="25" t="s">
        <v>782</v>
      </c>
      <c r="E417" s="19" t="s">
        <v>795</v>
      </c>
      <c r="F417" s="19" t="s">
        <v>814</v>
      </c>
      <c r="G417" s="2" t="str">
        <f t="shared" si="38"/>
        <v>http://jsmh.umin.jp/journal/13-2/13-2.pdf</v>
      </c>
      <c r="H417" s="42" t="str">
        <f t="shared" si="39"/>
        <v>http://dl.ndl.go.jp/info:ndljp/pid/3359236</v>
      </c>
    </row>
    <row r="418" spans="1:8" ht="30" customHeight="1" x14ac:dyDescent="0.15">
      <c r="A418" s="16" t="s">
        <v>91</v>
      </c>
      <c r="B418" s="17" t="s">
        <v>815</v>
      </c>
      <c r="C418" s="17" t="s">
        <v>816</v>
      </c>
      <c r="D418" s="25" t="s">
        <v>782</v>
      </c>
      <c r="E418" s="19" t="s">
        <v>795</v>
      </c>
      <c r="F418" s="19" t="s">
        <v>817</v>
      </c>
      <c r="G418" s="2" t="str">
        <f t="shared" si="38"/>
        <v>http://jsmh.umin.jp/journal/13-2/13-2.pdf</v>
      </c>
      <c r="H418" s="42" t="str">
        <f t="shared" si="39"/>
        <v>http://dl.ndl.go.jp/info:ndljp/pid/3359236</v>
      </c>
    </row>
    <row r="419" spans="1:8" ht="30" customHeight="1" x14ac:dyDescent="0.15">
      <c r="A419" s="16" t="s">
        <v>91</v>
      </c>
      <c r="B419" s="17" t="s">
        <v>818</v>
      </c>
      <c r="C419" s="17" t="s">
        <v>10072</v>
      </c>
      <c r="D419" s="25" t="s">
        <v>782</v>
      </c>
      <c r="E419" s="19" t="s">
        <v>795</v>
      </c>
      <c r="F419" s="19" t="s">
        <v>819</v>
      </c>
      <c r="G419" s="2" t="str">
        <f t="shared" si="38"/>
        <v>http://jsmh.umin.jp/journal/13-2/13-2.pdf</v>
      </c>
      <c r="H419" s="42" t="str">
        <f t="shared" si="39"/>
        <v>http://dl.ndl.go.jp/info:ndljp/pid/3359236</v>
      </c>
    </row>
    <row r="420" spans="1:8" ht="30" customHeight="1" x14ac:dyDescent="0.15">
      <c r="A420" s="16" t="s">
        <v>91</v>
      </c>
      <c r="B420" s="17" t="s">
        <v>820</v>
      </c>
      <c r="C420" s="17" t="s">
        <v>821</v>
      </c>
      <c r="D420" s="25" t="s">
        <v>782</v>
      </c>
      <c r="E420" s="19" t="s">
        <v>795</v>
      </c>
      <c r="F420" s="19" t="s">
        <v>822</v>
      </c>
      <c r="G420" s="2" t="str">
        <f t="shared" si="38"/>
        <v>http://jsmh.umin.jp/journal/13-2/13-2.pdf</v>
      </c>
      <c r="H420" s="42" t="str">
        <f t="shared" si="39"/>
        <v>http://dl.ndl.go.jp/info:ndljp/pid/3359236</v>
      </c>
    </row>
    <row r="421" spans="1:8" ht="30" customHeight="1" x14ac:dyDescent="0.15">
      <c r="A421" s="16" t="s">
        <v>91</v>
      </c>
      <c r="B421" s="17" t="s">
        <v>823</v>
      </c>
      <c r="C421" s="17" t="s">
        <v>824</v>
      </c>
      <c r="D421" s="25" t="s">
        <v>782</v>
      </c>
      <c r="E421" s="19" t="s">
        <v>795</v>
      </c>
      <c r="F421" s="19" t="s">
        <v>577</v>
      </c>
      <c r="G421" s="2" t="str">
        <f t="shared" si="38"/>
        <v>http://jsmh.umin.jp/journal/13-2/13-2.pdf</v>
      </c>
      <c r="H421" s="42" t="str">
        <f t="shared" si="39"/>
        <v>http://dl.ndl.go.jp/info:ndljp/pid/3359236</v>
      </c>
    </row>
    <row r="422" spans="1:8" ht="30" customHeight="1" x14ac:dyDescent="0.15">
      <c r="A422" s="16" t="s">
        <v>91</v>
      </c>
      <c r="B422" s="17" t="s">
        <v>825</v>
      </c>
      <c r="C422" s="17" t="s">
        <v>123</v>
      </c>
      <c r="D422" s="25" t="s">
        <v>782</v>
      </c>
      <c r="E422" s="19" t="s">
        <v>795</v>
      </c>
      <c r="F422" s="19" t="s">
        <v>583</v>
      </c>
      <c r="G422" s="2" t="str">
        <f t="shared" si="38"/>
        <v>http://jsmh.umin.jp/journal/13-2/13-2.pdf</v>
      </c>
      <c r="H422" s="42" t="str">
        <f t="shared" si="39"/>
        <v>http://dl.ndl.go.jp/info:ndljp/pid/3359236</v>
      </c>
    </row>
    <row r="423" spans="1:8" ht="30" customHeight="1" x14ac:dyDescent="0.15">
      <c r="A423" s="16" t="s">
        <v>91</v>
      </c>
      <c r="B423" s="17" t="s">
        <v>826</v>
      </c>
      <c r="C423" s="17" t="s">
        <v>204</v>
      </c>
      <c r="D423" s="25" t="s">
        <v>782</v>
      </c>
      <c r="E423" s="19" t="s">
        <v>795</v>
      </c>
      <c r="F423" s="19" t="s">
        <v>588</v>
      </c>
      <c r="G423" s="2" t="str">
        <f t="shared" si="38"/>
        <v>http://jsmh.umin.jp/journal/13-2/13-2.pdf</v>
      </c>
      <c r="H423" s="42" t="str">
        <f t="shared" si="39"/>
        <v>http://dl.ndl.go.jp/info:ndljp/pid/3359236</v>
      </c>
    </row>
    <row r="424" spans="1:8" ht="30" customHeight="1" x14ac:dyDescent="0.15">
      <c r="A424" s="16" t="s">
        <v>91</v>
      </c>
      <c r="B424" s="17" t="s">
        <v>827</v>
      </c>
      <c r="C424" s="17" t="s">
        <v>828</v>
      </c>
      <c r="D424" s="25" t="s">
        <v>782</v>
      </c>
      <c r="E424" s="19" t="s">
        <v>795</v>
      </c>
      <c r="F424" s="19" t="s">
        <v>723</v>
      </c>
      <c r="G424" s="2" t="str">
        <f t="shared" si="38"/>
        <v>http://jsmh.umin.jp/journal/13-2/13-2.pdf</v>
      </c>
      <c r="H424" s="42" t="str">
        <f t="shared" si="39"/>
        <v>http://dl.ndl.go.jp/info:ndljp/pid/3359236</v>
      </c>
    </row>
    <row r="425" spans="1:8" ht="30" customHeight="1" x14ac:dyDescent="0.15">
      <c r="A425" s="16" t="s">
        <v>91</v>
      </c>
      <c r="B425" s="17" t="s">
        <v>829</v>
      </c>
      <c r="C425" s="17" t="s">
        <v>830</v>
      </c>
      <c r="D425" s="25" t="s">
        <v>782</v>
      </c>
      <c r="E425" s="19" t="s">
        <v>795</v>
      </c>
      <c r="F425" s="19" t="s">
        <v>831</v>
      </c>
      <c r="G425" s="2" t="str">
        <f t="shared" si="38"/>
        <v>http://jsmh.umin.jp/journal/13-2/13-2.pdf</v>
      </c>
      <c r="H425" s="42" t="str">
        <f t="shared" si="39"/>
        <v>http://dl.ndl.go.jp/info:ndljp/pid/3359236</v>
      </c>
    </row>
    <row r="426" spans="1:8" ht="30" customHeight="1" x14ac:dyDescent="0.15">
      <c r="A426" s="16" t="s">
        <v>91</v>
      </c>
      <c r="B426" s="17" t="s">
        <v>832</v>
      </c>
      <c r="C426" s="17" t="s">
        <v>191</v>
      </c>
      <c r="D426" s="25" t="s">
        <v>782</v>
      </c>
      <c r="E426" s="19" t="s">
        <v>795</v>
      </c>
      <c r="F426" s="19" t="s">
        <v>833</v>
      </c>
      <c r="G426" s="2" t="str">
        <f t="shared" si="38"/>
        <v>http://jsmh.umin.jp/journal/13-2/13-2.pdf</v>
      </c>
      <c r="H426" s="42" t="str">
        <f t="shared" si="39"/>
        <v>http://dl.ndl.go.jp/info:ndljp/pid/3359236</v>
      </c>
    </row>
    <row r="427" spans="1:8" ht="30" customHeight="1" x14ac:dyDescent="0.15">
      <c r="A427" s="16" t="s">
        <v>91</v>
      </c>
      <c r="B427" s="17" t="s">
        <v>834</v>
      </c>
      <c r="C427" s="17" t="s">
        <v>198</v>
      </c>
      <c r="D427" s="25" t="s">
        <v>782</v>
      </c>
      <c r="E427" s="19" t="s">
        <v>795</v>
      </c>
      <c r="F427" s="19" t="s">
        <v>600</v>
      </c>
      <c r="G427" s="2" t="str">
        <f t="shared" si="38"/>
        <v>http://jsmh.umin.jp/journal/13-2/13-2.pdf</v>
      </c>
      <c r="H427" s="42" t="str">
        <f t="shared" si="39"/>
        <v>http://dl.ndl.go.jp/info:ndljp/pid/3359236</v>
      </c>
    </row>
    <row r="428" spans="1:8" ht="30" customHeight="1" x14ac:dyDescent="0.15">
      <c r="A428" s="16" t="s">
        <v>91</v>
      </c>
      <c r="B428" s="17" t="s">
        <v>835</v>
      </c>
      <c r="C428" s="17" t="s">
        <v>677</v>
      </c>
      <c r="D428" s="25" t="s">
        <v>782</v>
      </c>
      <c r="E428" s="19" t="s">
        <v>795</v>
      </c>
      <c r="F428" s="19" t="s">
        <v>836</v>
      </c>
      <c r="G428" s="2" t="str">
        <f t="shared" si="38"/>
        <v>http://jsmh.umin.jp/journal/13-2/13-2.pdf</v>
      </c>
      <c r="H428" s="42" t="str">
        <f t="shared" si="39"/>
        <v>http://dl.ndl.go.jp/info:ndljp/pid/3359236</v>
      </c>
    </row>
    <row r="429" spans="1:8" ht="30" customHeight="1" x14ac:dyDescent="0.15">
      <c r="A429" s="16" t="s">
        <v>91</v>
      </c>
      <c r="B429" s="17" t="s">
        <v>837</v>
      </c>
      <c r="C429" s="17" t="s">
        <v>838</v>
      </c>
      <c r="D429" s="25" t="s">
        <v>782</v>
      </c>
      <c r="E429" s="19" t="s">
        <v>795</v>
      </c>
      <c r="F429" s="19" t="s">
        <v>602</v>
      </c>
      <c r="G429" s="2" t="str">
        <f t="shared" si="38"/>
        <v>http://jsmh.umin.jp/journal/13-2/13-2.pdf</v>
      </c>
      <c r="H429" s="42" t="str">
        <f t="shared" si="39"/>
        <v>http://dl.ndl.go.jp/info:ndljp/pid/3359236</v>
      </c>
    </row>
    <row r="430" spans="1:8" ht="30" customHeight="1" x14ac:dyDescent="0.15">
      <c r="A430" s="16" t="s">
        <v>91</v>
      </c>
      <c r="B430" s="17" t="s">
        <v>839</v>
      </c>
      <c r="C430" s="17" t="s">
        <v>273</v>
      </c>
      <c r="D430" s="25" t="s">
        <v>782</v>
      </c>
      <c r="E430" s="19" t="s">
        <v>795</v>
      </c>
      <c r="F430" s="19" t="s">
        <v>604</v>
      </c>
      <c r="G430" s="2" t="str">
        <f t="shared" si="38"/>
        <v>http://jsmh.umin.jp/journal/13-2/13-2.pdf</v>
      </c>
      <c r="H430" s="42" t="str">
        <f t="shared" si="39"/>
        <v>http://dl.ndl.go.jp/info:ndljp/pid/3359236</v>
      </c>
    </row>
    <row r="431" spans="1:8" ht="30" customHeight="1" x14ac:dyDescent="0.15">
      <c r="A431" s="16" t="s">
        <v>91</v>
      </c>
      <c r="B431" s="17" t="s">
        <v>840</v>
      </c>
      <c r="C431" s="17" t="s">
        <v>841</v>
      </c>
      <c r="D431" s="25" t="s">
        <v>782</v>
      </c>
      <c r="E431" s="19" t="s">
        <v>795</v>
      </c>
      <c r="F431" s="19" t="s">
        <v>842</v>
      </c>
      <c r="G431" s="2" t="str">
        <f t="shared" si="38"/>
        <v>http://jsmh.umin.jp/journal/13-2/13-2.pdf</v>
      </c>
      <c r="H431" s="42" t="str">
        <f t="shared" si="39"/>
        <v>http://dl.ndl.go.jp/info:ndljp/pid/3359236</v>
      </c>
    </row>
    <row r="432" spans="1:8" ht="30" customHeight="1" x14ac:dyDescent="0.15">
      <c r="A432" s="16" t="s">
        <v>91</v>
      </c>
      <c r="B432" s="17" t="s">
        <v>843</v>
      </c>
      <c r="C432" s="17" t="s">
        <v>139</v>
      </c>
      <c r="D432" s="25" t="s">
        <v>782</v>
      </c>
      <c r="E432" s="19" t="s">
        <v>795</v>
      </c>
      <c r="F432" s="19" t="s">
        <v>844</v>
      </c>
      <c r="G432" s="2" t="str">
        <f t="shared" si="38"/>
        <v>http://jsmh.umin.jp/journal/13-2/13-2.pdf</v>
      </c>
      <c r="H432" s="42" t="str">
        <f t="shared" si="39"/>
        <v>http://dl.ndl.go.jp/info:ndljp/pid/3359236</v>
      </c>
    </row>
    <row r="433" spans="1:8" ht="30" customHeight="1" x14ac:dyDescent="0.15">
      <c r="A433" s="16" t="s">
        <v>91</v>
      </c>
      <c r="B433" s="17" t="s">
        <v>845</v>
      </c>
      <c r="C433" s="17" t="s">
        <v>18</v>
      </c>
      <c r="D433" s="25" t="s">
        <v>782</v>
      </c>
      <c r="E433" s="19" t="s">
        <v>795</v>
      </c>
      <c r="F433" s="19" t="s">
        <v>846</v>
      </c>
      <c r="G433" s="2" t="str">
        <f t="shared" si="38"/>
        <v>http://jsmh.umin.jp/journal/13-2/13-2.pdf</v>
      </c>
      <c r="H433" s="42" t="str">
        <f t="shared" si="39"/>
        <v>http://dl.ndl.go.jp/info:ndljp/pid/3359236</v>
      </c>
    </row>
    <row r="434" spans="1:8" ht="30" customHeight="1" x14ac:dyDescent="0.15">
      <c r="A434" s="16" t="s">
        <v>91</v>
      </c>
      <c r="B434" s="17" t="s">
        <v>847</v>
      </c>
      <c r="C434" s="17" t="s">
        <v>627</v>
      </c>
      <c r="D434" s="25" t="s">
        <v>782</v>
      </c>
      <c r="E434" s="19" t="s">
        <v>795</v>
      </c>
      <c r="F434" s="19" t="s">
        <v>445</v>
      </c>
      <c r="G434" s="2" t="str">
        <f t="shared" si="38"/>
        <v>http://jsmh.umin.jp/journal/13-2/13-2.pdf</v>
      </c>
      <c r="H434" s="42" t="str">
        <f t="shared" si="39"/>
        <v>http://dl.ndl.go.jp/info:ndljp/pid/3359236</v>
      </c>
    </row>
    <row r="435" spans="1:8" ht="30" customHeight="1" x14ac:dyDescent="0.15">
      <c r="A435" s="16" t="s">
        <v>91</v>
      </c>
      <c r="B435" s="17" t="s">
        <v>848</v>
      </c>
      <c r="C435" s="17" t="s">
        <v>849</v>
      </c>
      <c r="D435" s="25" t="s">
        <v>782</v>
      </c>
      <c r="E435" s="19" t="s">
        <v>795</v>
      </c>
      <c r="F435" s="19" t="s">
        <v>449</v>
      </c>
      <c r="G435" s="2" t="str">
        <f t="shared" si="38"/>
        <v>http://jsmh.umin.jp/journal/13-2/13-2.pdf</v>
      </c>
      <c r="H435" s="42" t="str">
        <f t="shared" si="39"/>
        <v>http://dl.ndl.go.jp/info:ndljp/pid/3359236</v>
      </c>
    </row>
    <row r="436" spans="1:8" ht="30" customHeight="1" x14ac:dyDescent="0.15">
      <c r="A436" s="16" t="s">
        <v>91</v>
      </c>
      <c r="B436" s="17" t="s">
        <v>850</v>
      </c>
      <c r="C436" s="17" t="s">
        <v>663</v>
      </c>
      <c r="D436" s="25" t="s">
        <v>782</v>
      </c>
      <c r="E436" s="19" t="s">
        <v>795</v>
      </c>
      <c r="F436" s="19" t="s">
        <v>851</v>
      </c>
      <c r="G436" s="2" t="str">
        <f t="shared" si="38"/>
        <v>http://jsmh.umin.jp/journal/13-2/13-2.pdf</v>
      </c>
      <c r="H436" s="42" t="str">
        <f t="shared" si="39"/>
        <v>http://dl.ndl.go.jp/info:ndljp/pid/3359236</v>
      </c>
    </row>
    <row r="437" spans="1:8" ht="30" customHeight="1" x14ac:dyDescent="0.15">
      <c r="A437" s="16" t="s">
        <v>91</v>
      </c>
      <c r="B437" s="17" t="s">
        <v>852</v>
      </c>
      <c r="C437" s="17" t="s">
        <v>116</v>
      </c>
      <c r="D437" s="25" t="s">
        <v>782</v>
      </c>
      <c r="E437" s="19" t="s">
        <v>795</v>
      </c>
      <c r="F437" s="19" t="s">
        <v>454</v>
      </c>
      <c r="G437" s="2" t="str">
        <f t="shared" si="38"/>
        <v>http://jsmh.umin.jp/journal/13-2/13-2.pdf</v>
      </c>
      <c r="H437" s="42" t="str">
        <f t="shared" si="39"/>
        <v>http://dl.ndl.go.jp/info:ndljp/pid/3359236</v>
      </c>
    </row>
    <row r="438" spans="1:8" ht="30" customHeight="1" x14ac:dyDescent="0.15">
      <c r="A438" s="16" t="s">
        <v>91</v>
      </c>
      <c r="B438" s="17" t="s">
        <v>853</v>
      </c>
      <c r="C438" s="17" t="s">
        <v>854</v>
      </c>
      <c r="D438" s="25" t="s">
        <v>782</v>
      </c>
      <c r="E438" s="19" t="s">
        <v>795</v>
      </c>
      <c r="F438" s="19" t="s">
        <v>40</v>
      </c>
      <c r="G438" s="2" t="str">
        <f t="shared" si="38"/>
        <v>http://jsmh.umin.jp/journal/13-2/13-2.pdf</v>
      </c>
      <c r="H438" s="42" t="str">
        <f t="shared" si="39"/>
        <v>http://dl.ndl.go.jp/info:ndljp/pid/3359236</v>
      </c>
    </row>
    <row r="439" spans="1:8" ht="30" customHeight="1" x14ac:dyDescent="0.15">
      <c r="A439" s="16" t="s">
        <v>91</v>
      </c>
      <c r="B439" s="17" t="s">
        <v>855</v>
      </c>
      <c r="C439" s="17" t="s">
        <v>856</v>
      </c>
      <c r="D439" s="25" t="s">
        <v>782</v>
      </c>
      <c r="E439" s="19" t="s">
        <v>795</v>
      </c>
      <c r="F439" s="19" t="s">
        <v>460</v>
      </c>
      <c r="G439" s="2" t="str">
        <f t="shared" si="38"/>
        <v>http://jsmh.umin.jp/journal/13-2/13-2.pdf</v>
      </c>
      <c r="H439" s="42" t="str">
        <f t="shared" si="39"/>
        <v>http://dl.ndl.go.jp/info:ndljp/pid/3359236</v>
      </c>
    </row>
    <row r="440" spans="1:8" ht="30" customHeight="1" x14ac:dyDescent="0.15">
      <c r="A440" s="16" t="s">
        <v>91</v>
      </c>
      <c r="B440" s="17" t="s">
        <v>857</v>
      </c>
      <c r="C440" s="17" t="s">
        <v>585</v>
      </c>
      <c r="D440" s="25" t="s">
        <v>782</v>
      </c>
      <c r="E440" s="19" t="s">
        <v>795</v>
      </c>
      <c r="F440" s="19" t="s">
        <v>462</v>
      </c>
      <c r="G440" s="2" t="str">
        <f t="shared" si="38"/>
        <v>http://jsmh.umin.jp/journal/13-2/13-2.pdf</v>
      </c>
      <c r="H440" s="42" t="str">
        <f t="shared" si="39"/>
        <v>http://dl.ndl.go.jp/info:ndljp/pid/3359236</v>
      </c>
    </row>
    <row r="441" spans="1:8" ht="30" customHeight="1" x14ac:dyDescent="0.15">
      <c r="A441" s="16" t="s">
        <v>91</v>
      </c>
      <c r="B441" s="17" t="s">
        <v>858</v>
      </c>
      <c r="C441" s="17" t="s">
        <v>479</v>
      </c>
      <c r="D441" s="25" t="s">
        <v>782</v>
      </c>
      <c r="E441" s="19" t="s">
        <v>795</v>
      </c>
      <c r="F441" s="19" t="s">
        <v>859</v>
      </c>
      <c r="G441" s="2" t="str">
        <f t="shared" si="38"/>
        <v>http://jsmh.umin.jp/journal/13-2/13-2.pdf</v>
      </c>
      <c r="H441" s="42" t="str">
        <f t="shared" si="39"/>
        <v>http://dl.ndl.go.jp/info:ndljp/pid/3359236</v>
      </c>
    </row>
    <row r="442" spans="1:8" ht="30" customHeight="1" x14ac:dyDescent="0.15">
      <c r="A442" s="16" t="s">
        <v>91</v>
      </c>
      <c r="B442" s="17" t="s">
        <v>860</v>
      </c>
      <c r="C442" s="17" t="s">
        <v>813</v>
      </c>
      <c r="D442" s="25" t="s">
        <v>782</v>
      </c>
      <c r="E442" s="19" t="s">
        <v>795</v>
      </c>
      <c r="F442" s="19" t="s">
        <v>861</v>
      </c>
      <c r="G442" s="2" t="str">
        <f t="shared" si="38"/>
        <v>http://jsmh.umin.jp/journal/13-2/13-2.pdf</v>
      </c>
      <c r="H442" s="42" t="str">
        <f t="shared" si="39"/>
        <v>http://dl.ndl.go.jp/info:ndljp/pid/3359236</v>
      </c>
    </row>
    <row r="443" spans="1:8" ht="30" customHeight="1" x14ac:dyDescent="0.15">
      <c r="A443" s="16" t="s">
        <v>91</v>
      </c>
      <c r="B443" s="17" t="s">
        <v>862</v>
      </c>
      <c r="C443" s="17" t="s">
        <v>781</v>
      </c>
      <c r="D443" s="25" t="s">
        <v>782</v>
      </c>
      <c r="E443" s="19" t="s">
        <v>795</v>
      </c>
      <c r="F443" s="19" t="s">
        <v>314</v>
      </c>
      <c r="G443" s="2" t="str">
        <f t="shared" si="38"/>
        <v>http://jsmh.umin.jp/journal/13-2/13-2.pdf</v>
      </c>
      <c r="H443" s="42" t="str">
        <f t="shared" si="39"/>
        <v>http://dl.ndl.go.jp/info:ndljp/pid/3359236</v>
      </c>
    </row>
    <row r="444" spans="1:8" ht="30" customHeight="1" x14ac:dyDescent="0.15">
      <c r="A444" s="16" t="s">
        <v>91</v>
      </c>
      <c r="B444" s="17" t="s">
        <v>863</v>
      </c>
      <c r="C444" s="17" t="s">
        <v>134</v>
      </c>
      <c r="D444" s="25" t="s">
        <v>782</v>
      </c>
      <c r="E444" s="19" t="s">
        <v>795</v>
      </c>
      <c r="F444" s="19" t="s">
        <v>175</v>
      </c>
      <c r="G444" s="2" t="str">
        <f t="shared" si="38"/>
        <v>http://jsmh.umin.jp/journal/13-2/13-2.pdf</v>
      </c>
      <c r="H444" s="42" t="str">
        <f t="shared" si="39"/>
        <v>http://dl.ndl.go.jp/info:ndljp/pid/3359236</v>
      </c>
    </row>
    <row r="445" spans="1:8" ht="30" customHeight="1" x14ac:dyDescent="0.15">
      <c r="A445" s="16" t="s">
        <v>17</v>
      </c>
      <c r="B445" s="17" t="s">
        <v>864</v>
      </c>
      <c r="C445" s="17" t="s">
        <v>781</v>
      </c>
      <c r="D445" s="25" t="s">
        <v>782</v>
      </c>
      <c r="E445" s="19" t="s">
        <v>865</v>
      </c>
      <c r="F445" s="19" t="s">
        <v>866</v>
      </c>
      <c r="G445" s="2" t="str">
        <f t="shared" ref="G445:G450" si="40">HYPERLINK("http://jsmh.umin.jp/journal/13-3/13-3.pdf")</f>
        <v>http://jsmh.umin.jp/journal/13-3/13-3.pdf</v>
      </c>
      <c r="H445" s="42" t="str">
        <f>HYPERLINK("http://dl.ndl.go.jp/info:ndljp/pid/3359237")</f>
        <v>http://dl.ndl.go.jp/info:ndljp/pid/3359237</v>
      </c>
    </row>
    <row r="446" spans="1:8" ht="30" customHeight="1" x14ac:dyDescent="0.15">
      <c r="A446" s="16" t="s">
        <v>17</v>
      </c>
      <c r="B446" s="17" t="s">
        <v>867</v>
      </c>
      <c r="C446" s="17" t="s">
        <v>790</v>
      </c>
      <c r="D446" s="25" t="s">
        <v>782</v>
      </c>
      <c r="E446" s="19" t="s">
        <v>865</v>
      </c>
      <c r="F446" s="19" t="s">
        <v>868</v>
      </c>
      <c r="G446" s="2" t="str">
        <f t="shared" si="40"/>
        <v>http://jsmh.umin.jp/journal/13-3/13-3.pdf</v>
      </c>
      <c r="H446" s="42" t="str">
        <f t="shared" ref="H446:H450" si="41">HYPERLINK("http://dl.ndl.go.jp/info:ndljp/pid/3359237")</f>
        <v>http://dl.ndl.go.jp/info:ndljp/pid/3359237</v>
      </c>
    </row>
    <row r="447" spans="1:8" ht="30" customHeight="1" x14ac:dyDescent="0.15">
      <c r="A447" s="16" t="s">
        <v>17</v>
      </c>
      <c r="B447" s="17" t="s">
        <v>869</v>
      </c>
      <c r="C447" s="17" t="s">
        <v>790</v>
      </c>
      <c r="D447" s="25" t="s">
        <v>782</v>
      </c>
      <c r="E447" s="19" t="s">
        <v>865</v>
      </c>
      <c r="F447" s="19" t="s">
        <v>870</v>
      </c>
      <c r="G447" s="2" t="str">
        <f t="shared" si="40"/>
        <v>http://jsmh.umin.jp/journal/13-3/13-3.pdf</v>
      </c>
      <c r="H447" s="42" t="str">
        <f t="shared" si="41"/>
        <v>http://dl.ndl.go.jp/info:ndljp/pid/3359237</v>
      </c>
    </row>
    <row r="448" spans="1:8" ht="30" customHeight="1" x14ac:dyDescent="0.15">
      <c r="A448" s="16" t="s">
        <v>81</v>
      </c>
      <c r="B448" s="17" t="s">
        <v>704</v>
      </c>
      <c r="C448" s="17"/>
      <c r="D448" s="25" t="s">
        <v>782</v>
      </c>
      <c r="E448" s="19" t="s">
        <v>865</v>
      </c>
      <c r="F448" s="19" t="s">
        <v>871</v>
      </c>
      <c r="G448" s="2" t="str">
        <f t="shared" si="40"/>
        <v>http://jsmh.umin.jp/journal/13-3/13-3.pdf</v>
      </c>
      <c r="H448" s="42" t="str">
        <f t="shared" si="41"/>
        <v>http://dl.ndl.go.jp/info:ndljp/pid/3359237</v>
      </c>
    </row>
    <row r="449" spans="1:8" ht="30" customHeight="1" x14ac:dyDescent="0.15">
      <c r="A449" s="16" t="s">
        <v>81</v>
      </c>
      <c r="B449" s="17" t="s">
        <v>872</v>
      </c>
      <c r="C449" s="17" t="s">
        <v>198</v>
      </c>
      <c r="D449" s="25" t="s">
        <v>782</v>
      </c>
      <c r="E449" s="19" t="s">
        <v>865</v>
      </c>
      <c r="F449" s="19" t="s">
        <v>873</v>
      </c>
      <c r="G449" s="2" t="str">
        <f t="shared" si="40"/>
        <v>http://jsmh.umin.jp/journal/13-3/13-3.pdf</v>
      </c>
      <c r="H449" s="42" t="str">
        <f t="shared" si="41"/>
        <v>http://dl.ndl.go.jp/info:ndljp/pid/3359237</v>
      </c>
    </row>
    <row r="450" spans="1:8" ht="30" customHeight="1" x14ac:dyDescent="0.15">
      <c r="A450" s="16" t="s">
        <v>81</v>
      </c>
      <c r="B450" s="17" t="s">
        <v>874</v>
      </c>
      <c r="C450" s="17"/>
      <c r="D450" s="25" t="s">
        <v>782</v>
      </c>
      <c r="E450" s="19" t="s">
        <v>865</v>
      </c>
      <c r="F450" s="19" t="s">
        <v>875</v>
      </c>
      <c r="G450" s="2" t="str">
        <f t="shared" si="40"/>
        <v>http://jsmh.umin.jp/journal/13-3/13-3.pdf</v>
      </c>
      <c r="H450" s="42" t="str">
        <f t="shared" si="41"/>
        <v>http://dl.ndl.go.jp/info:ndljp/pid/3359237</v>
      </c>
    </row>
    <row r="451" spans="1:8" ht="30" customHeight="1" x14ac:dyDescent="0.15">
      <c r="A451" s="16" t="s">
        <v>17</v>
      </c>
      <c r="B451" s="17" t="s">
        <v>876</v>
      </c>
      <c r="C451" s="17" t="s">
        <v>830</v>
      </c>
      <c r="D451" s="18" t="s">
        <v>877</v>
      </c>
      <c r="E451" s="19" t="s">
        <v>878</v>
      </c>
      <c r="F451" s="19" t="s">
        <v>879</v>
      </c>
      <c r="G451" s="2" t="str">
        <f t="shared" ref="G451:G458" si="42">HYPERLINK("http://jsmh.umin.jp/journal/13-4/13-4.pdf")</f>
        <v>http://jsmh.umin.jp/journal/13-4/13-4.pdf</v>
      </c>
      <c r="H451" s="42" t="str">
        <f>HYPERLINK("http://dl.ndl.go.jp/info:ndljp/pid/3359238")</f>
        <v>http://dl.ndl.go.jp/info:ndljp/pid/3359238</v>
      </c>
    </row>
    <row r="452" spans="1:8" ht="30" customHeight="1" x14ac:dyDescent="0.15">
      <c r="A452" s="16" t="s">
        <v>17</v>
      </c>
      <c r="B452" s="17" t="s">
        <v>880</v>
      </c>
      <c r="C452" s="17" t="s">
        <v>303</v>
      </c>
      <c r="D452" s="25" t="s">
        <v>877</v>
      </c>
      <c r="E452" s="19" t="s">
        <v>878</v>
      </c>
      <c r="F452" s="19" t="s">
        <v>796</v>
      </c>
      <c r="G452" s="2" t="str">
        <f t="shared" si="42"/>
        <v>http://jsmh.umin.jp/journal/13-4/13-4.pdf</v>
      </c>
      <c r="H452" s="42" t="str">
        <f t="shared" ref="H452:H458" si="43">HYPERLINK("http://dl.ndl.go.jp/info:ndljp/pid/3359238")</f>
        <v>http://dl.ndl.go.jp/info:ndljp/pid/3359238</v>
      </c>
    </row>
    <row r="453" spans="1:8" ht="30" customHeight="1" x14ac:dyDescent="0.15">
      <c r="A453" s="16" t="s">
        <v>17</v>
      </c>
      <c r="B453" s="17" t="s">
        <v>881</v>
      </c>
      <c r="C453" s="17" t="s">
        <v>781</v>
      </c>
      <c r="D453" s="25" t="s">
        <v>877</v>
      </c>
      <c r="E453" s="19" t="s">
        <v>878</v>
      </c>
      <c r="F453" s="19" t="s">
        <v>882</v>
      </c>
      <c r="G453" s="2" t="str">
        <f t="shared" si="42"/>
        <v>http://jsmh.umin.jp/journal/13-4/13-4.pdf</v>
      </c>
      <c r="H453" s="42" t="str">
        <f t="shared" si="43"/>
        <v>http://dl.ndl.go.jp/info:ndljp/pid/3359238</v>
      </c>
    </row>
    <row r="454" spans="1:8" ht="30" customHeight="1" x14ac:dyDescent="0.15">
      <c r="A454" s="16" t="s">
        <v>17</v>
      </c>
      <c r="B454" s="17" t="s">
        <v>883</v>
      </c>
      <c r="C454" s="17" t="s">
        <v>790</v>
      </c>
      <c r="D454" s="25" t="s">
        <v>877</v>
      </c>
      <c r="E454" s="19" t="s">
        <v>878</v>
      </c>
      <c r="F454" s="19" t="s">
        <v>884</v>
      </c>
      <c r="G454" s="2" t="str">
        <f t="shared" si="42"/>
        <v>http://jsmh.umin.jp/journal/13-4/13-4.pdf</v>
      </c>
      <c r="H454" s="42" t="str">
        <f t="shared" si="43"/>
        <v>http://dl.ndl.go.jp/info:ndljp/pid/3359238</v>
      </c>
    </row>
    <row r="455" spans="1:8" ht="30" customHeight="1" x14ac:dyDescent="0.15">
      <c r="A455" s="16" t="s">
        <v>17</v>
      </c>
      <c r="B455" s="17" t="s">
        <v>885</v>
      </c>
      <c r="C455" s="17" t="s">
        <v>291</v>
      </c>
      <c r="D455" s="25" t="s">
        <v>877</v>
      </c>
      <c r="E455" s="19" t="s">
        <v>878</v>
      </c>
      <c r="F455" s="19" t="s">
        <v>886</v>
      </c>
      <c r="G455" s="2" t="str">
        <f t="shared" si="42"/>
        <v>http://jsmh.umin.jp/journal/13-4/13-4.pdf</v>
      </c>
      <c r="H455" s="42" t="str">
        <f t="shared" si="43"/>
        <v>http://dl.ndl.go.jp/info:ndljp/pid/3359238</v>
      </c>
    </row>
    <row r="456" spans="1:8" ht="30" customHeight="1" x14ac:dyDescent="0.15">
      <c r="A456" s="16" t="s">
        <v>81</v>
      </c>
      <c r="B456" s="17" t="s">
        <v>704</v>
      </c>
      <c r="C456" s="17"/>
      <c r="D456" s="25" t="s">
        <v>877</v>
      </c>
      <c r="E456" s="19" t="s">
        <v>878</v>
      </c>
      <c r="F456" s="19" t="s">
        <v>887</v>
      </c>
      <c r="G456" s="2" t="str">
        <f t="shared" si="42"/>
        <v>http://jsmh.umin.jp/journal/13-4/13-4.pdf</v>
      </c>
      <c r="H456" s="42" t="str">
        <f t="shared" si="43"/>
        <v>http://dl.ndl.go.jp/info:ndljp/pid/3359238</v>
      </c>
    </row>
    <row r="457" spans="1:8" ht="30" customHeight="1" x14ac:dyDescent="0.15">
      <c r="A457" s="16" t="s">
        <v>81</v>
      </c>
      <c r="B457" s="17" t="s">
        <v>888</v>
      </c>
      <c r="C457" s="17"/>
      <c r="D457" s="25" t="s">
        <v>877</v>
      </c>
      <c r="E457" s="19" t="s">
        <v>878</v>
      </c>
      <c r="F457" s="19" t="s">
        <v>889</v>
      </c>
      <c r="G457" s="2" t="str">
        <f t="shared" si="42"/>
        <v>http://jsmh.umin.jp/journal/13-4/13-4.pdf</v>
      </c>
      <c r="H457" s="42" t="str">
        <f t="shared" si="43"/>
        <v>http://dl.ndl.go.jp/info:ndljp/pid/3359238</v>
      </c>
    </row>
    <row r="458" spans="1:8" ht="30" customHeight="1" x14ac:dyDescent="0.15">
      <c r="A458" s="16" t="s">
        <v>81</v>
      </c>
      <c r="B458" s="17" t="s">
        <v>890</v>
      </c>
      <c r="C458" s="17"/>
      <c r="D458" s="25" t="s">
        <v>877</v>
      </c>
      <c r="E458" s="19" t="s">
        <v>878</v>
      </c>
      <c r="F458" s="19" t="s">
        <v>167</v>
      </c>
      <c r="G458" s="2" t="str">
        <f t="shared" si="42"/>
        <v>http://jsmh.umin.jp/journal/13-4/13-4.pdf</v>
      </c>
      <c r="H458" s="42" t="str">
        <f t="shared" si="43"/>
        <v>http://dl.ndl.go.jp/info:ndljp/pid/3359238</v>
      </c>
    </row>
    <row r="459" spans="1:8" ht="30" customHeight="1" x14ac:dyDescent="0.15">
      <c r="A459" s="16" t="s">
        <v>88</v>
      </c>
      <c r="B459" s="17" t="s">
        <v>891</v>
      </c>
      <c r="C459" s="17" t="s">
        <v>892</v>
      </c>
      <c r="D459" s="18" t="s">
        <v>877</v>
      </c>
      <c r="E459" s="19" t="s">
        <v>893</v>
      </c>
      <c r="F459" s="19" t="s">
        <v>894</v>
      </c>
      <c r="G459" s="2" t="str">
        <f t="shared" ref="G459:G494" si="44">HYPERLINK("http://jsmh.umin.jp/journal/14-1/14-1.pdf")</f>
        <v>http://jsmh.umin.jp/journal/14-1/14-1.pdf</v>
      </c>
      <c r="H459" s="42" t="str">
        <f>HYPERLINK("http://dl.ndl.go.jp/info:ndljp/pid/3359239")</f>
        <v>http://dl.ndl.go.jp/info:ndljp/pid/3359239</v>
      </c>
    </row>
    <row r="460" spans="1:8" ht="30" customHeight="1" x14ac:dyDescent="0.15">
      <c r="A460" s="16" t="s">
        <v>895</v>
      </c>
      <c r="B460" s="17" t="s">
        <v>896</v>
      </c>
      <c r="C460" s="17" t="s">
        <v>627</v>
      </c>
      <c r="D460" s="25" t="s">
        <v>877</v>
      </c>
      <c r="E460" s="19" t="s">
        <v>893</v>
      </c>
      <c r="F460" s="19" t="s">
        <v>411</v>
      </c>
      <c r="G460" s="2" t="str">
        <f t="shared" si="44"/>
        <v>http://jsmh.umin.jp/journal/14-1/14-1.pdf</v>
      </c>
      <c r="H460" s="42" t="str">
        <f t="shared" ref="H460:H494" si="45">HYPERLINK("http://dl.ndl.go.jp/info:ndljp/pid/3359239")</f>
        <v>http://dl.ndl.go.jp/info:ndljp/pid/3359239</v>
      </c>
    </row>
    <row r="461" spans="1:8" ht="30" customHeight="1" x14ac:dyDescent="0.15">
      <c r="A461" s="16" t="s">
        <v>895</v>
      </c>
      <c r="B461" s="17" t="s">
        <v>897</v>
      </c>
      <c r="C461" s="17" t="s">
        <v>444</v>
      </c>
      <c r="D461" s="25" t="s">
        <v>877</v>
      </c>
      <c r="E461" s="19" t="s">
        <v>893</v>
      </c>
      <c r="F461" s="19" t="s">
        <v>898</v>
      </c>
      <c r="G461" s="2" t="str">
        <f t="shared" si="44"/>
        <v>http://jsmh.umin.jp/journal/14-1/14-1.pdf</v>
      </c>
      <c r="H461" s="42" t="str">
        <f t="shared" si="45"/>
        <v>http://dl.ndl.go.jp/info:ndljp/pid/3359239</v>
      </c>
    </row>
    <row r="462" spans="1:8" ht="30" customHeight="1" x14ac:dyDescent="0.15">
      <c r="A462" s="16" t="s">
        <v>895</v>
      </c>
      <c r="B462" s="17" t="s">
        <v>899</v>
      </c>
      <c r="C462" s="17" t="s">
        <v>900</v>
      </c>
      <c r="D462" s="25" t="s">
        <v>877</v>
      </c>
      <c r="E462" s="19" t="s">
        <v>893</v>
      </c>
      <c r="F462" s="19" t="s">
        <v>901</v>
      </c>
      <c r="G462" s="2" t="str">
        <f t="shared" si="44"/>
        <v>http://jsmh.umin.jp/journal/14-1/14-1.pdf</v>
      </c>
      <c r="H462" s="42" t="str">
        <f t="shared" si="45"/>
        <v>http://dl.ndl.go.jp/info:ndljp/pid/3359239</v>
      </c>
    </row>
    <row r="463" spans="1:8" ht="30" customHeight="1" x14ac:dyDescent="0.15">
      <c r="A463" s="16" t="s">
        <v>895</v>
      </c>
      <c r="B463" s="17" t="s">
        <v>902</v>
      </c>
      <c r="C463" s="17" t="s">
        <v>790</v>
      </c>
      <c r="D463" s="25" t="s">
        <v>877</v>
      </c>
      <c r="E463" s="19" t="s">
        <v>893</v>
      </c>
      <c r="F463" s="19" t="s">
        <v>903</v>
      </c>
      <c r="G463" s="2" t="str">
        <f t="shared" si="44"/>
        <v>http://jsmh.umin.jp/journal/14-1/14-1.pdf</v>
      </c>
      <c r="H463" s="42" t="str">
        <f t="shared" si="45"/>
        <v>http://dl.ndl.go.jp/info:ndljp/pid/3359239</v>
      </c>
    </row>
    <row r="464" spans="1:8" ht="30" customHeight="1" x14ac:dyDescent="0.15">
      <c r="A464" s="16" t="s">
        <v>91</v>
      </c>
      <c r="B464" s="17" t="s">
        <v>904</v>
      </c>
      <c r="C464" s="17" t="s">
        <v>905</v>
      </c>
      <c r="D464" s="25" t="s">
        <v>877</v>
      </c>
      <c r="E464" s="19" t="s">
        <v>893</v>
      </c>
      <c r="F464" s="19" t="s">
        <v>906</v>
      </c>
      <c r="G464" s="2" t="str">
        <f t="shared" si="44"/>
        <v>http://jsmh.umin.jp/journal/14-1/14-1.pdf</v>
      </c>
      <c r="H464" s="42" t="str">
        <f t="shared" si="45"/>
        <v>http://dl.ndl.go.jp/info:ndljp/pid/3359239</v>
      </c>
    </row>
    <row r="465" spans="1:8" ht="30" customHeight="1" x14ac:dyDescent="0.15">
      <c r="A465" s="16" t="s">
        <v>91</v>
      </c>
      <c r="B465" s="17" t="s">
        <v>907</v>
      </c>
      <c r="C465" s="17" t="s">
        <v>672</v>
      </c>
      <c r="D465" s="25" t="s">
        <v>877</v>
      </c>
      <c r="E465" s="19" t="s">
        <v>893</v>
      </c>
      <c r="F465" s="19" t="s">
        <v>700</v>
      </c>
      <c r="G465" s="2" t="str">
        <f t="shared" si="44"/>
        <v>http://jsmh.umin.jp/journal/14-1/14-1.pdf</v>
      </c>
      <c r="H465" s="42" t="str">
        <f t="shared" si="45"/>
        <v>http://dl.ndl.go.jp/info:ndljp/pid/3359239</v>
      </c>
    </row>
    <row r="466" spans="1:8" ht="30" customHeight="1" x14ac:dyDescent="0.15">
      <c r="A466" s="16" t="s">
        <v>91</v>
      </c>
      <c r="B466" s="17" t="s">
        <v>908</v>
      </c>
      <c r="C466" s="17" t="s">
        <v>830</v>
      </c>
      <c r="D466" s="25" t="s">
        <v>877</v>
      </c>
      <c r="E466" s="19" t="s">
        <v>893</v>
      </c>
      <c r="F466" s="19" t="s">
        <v>703</v>
      </c>
      <c r="G466" s="2" t="str">
        <f t="shared" si="44"/>
        <v>http://jsmh.umin.jp/journal/14-1/14-1.pdf</v>
      </c>
      <c r="H466" s="42" t="str">
        <f t="shared" si="45"/>
        <v>http://dl.ndl.go.jp/info:ndljp/pid/3359239</v>
      </c>
    </row>
    <row r="467" spans="1:8" ht="30" customHeight="1" x14ac:dyDescent="0.15">
      <c r="A467" s="16" t="s">
        <v>91</v>
      </c>
      <c r="B467" s="17" t="s">
        <v>909</v>
      </c>
      <c r="C467" s="17" t="s">
        <v>485</v>
      </c>
      <c r="D467" s="25" t="s">
        <v>877</v>
      </c>
      <c r="E467" s="19" t="s">
        <v>893</v>
      </c>
      <c r="F467" s="19" t="s">
        <v>167</v>
      </c>
      <c r="G467" s="2" t="str">
        <f t="shared" si="44"/>
        <v>http://jsmh.umin.jp/journal/14-1/14-1.pdf</v>
      </c>
      <c r="H467" s="42" t="str">
        <f t="shared" si="45"/>
        <v>http://dl.ndl.go.jp/info:ndljp/pid/3359239</v>
      </c>
    </row>
    <row r="468" spans="1:8" ht="30" customHeight="1" x14ac:dyDescent="0.15">
      <c r="A468" s="16" t="s">
        <v>91</v>
      </c>
      <c r="B468" s="17" t="s">
        <v>910</v>
      </c>
      <c r="C468" s="17" t="s">
        <v>134</v>
      </c>
      <c r="D468" s="25" t="s">
        <v>877</v>
      </c>
      <c r="E468" s="19" t="s">
        <v>893</v>
      </c>
      <c r="F468" s="19" t="s">
        <v>714</v>
      </c>
      <c r="G468" s="2" t="str">
        <f t="shared" si="44"/>
        <v>http://jsmh.umin.jp/journal/14-1/14-1.pdf</v>
      </c>
      <c r="H468" s="42" t="str">
        <f t="shared" si="45"/>
        <v>http://dl.ndl.go.jp/info:ndljp/pid/3359239</v>
      </c>
    </row>
    <row r="469" spans="1:8" ht="30" customHeight="1" x14ac:dyDescent="0.15">
      <c r="A469" s="16" t="s">
        <v>91</v>
      </c>
      <c r="B469" s="17" t="s">
        <v>911</v>
      </c>
      <c r="C469" s="17" t="s">
        <v>912</v>
      </c>
      <c r="D469" s="25" t="s">
        <v>877</v>
      </c>
      <c r="E469" s="19" t="s">
        <v>893</v>
      </c>
      <c r="F469" s="19" t="s">
        <v>913</v>
      </c>
      <c r="G469" s="2" t="str">
        <f t="shared" si="44"/>
        <v>http://jsmh.umin.jp/journal/14-1/14-1.pdf</v>
      </c>
      <c r="H469" s="42" t="str">
        <f t="shared" si="45"/>
        <v>http://dl.ndl.go.jp/info:ndljp/pid/3359239</v>
      </c>
    </row>
    <row r="470" spans="1:8" ht="30" customHeight="1" x14ac:dyDescent="0.15">
      <c r="A470" s="16" t="s">
        <v>91</v>
      </c>
      <c r="B470" s="17" t="s">
        <v>914</v>
      </c>
      <c r="C470" s="17" t="s">
        <v>767</v>
      </c>
      <c r="D470" s="25" t="s">
        <v>877</v>
      </c>
      <c r="E470" s="19" t="s">
        <v>893</v>
      </c>
      <c r="F470" s="19" t="s">
        <v>555</v>
      </c>
      <c r="G470" s="2" t="str">
        <f t="shared" si="44"/>
        <v>http://jsmh.umin.jp/journal/14-1/14-1.pdf</v>
      </c>
      <c r="H470" s="42" t="str">
        <f t="shared" si="45"/>
        <v>http://dl.ndl.go.jp/info:ndljp/pid/3359239</v>
      </c>
    </row>
    <row r="471" spans="1:8" ht="30" customHeight="1" x14ac:dyDescent="0.15">
      <c r="A471" s="16" t="s">
        <v>91</v>
      </c>
      <c r="B471" s="17" t="s">
        <v>915</v>
      </c>
      <c r="C471" s="17" t="s">
        <v>916</v>
      </c>
      <c r="D471" s="25" t="s">
        <v>877</v>
      </c>
      <c r="E471" s="19" t="s">
        <v>893</v>
      </c>
      <c r="F471" s="19" t="s">
        <v>819</v>
      </c>
      <c r="G471" s="2" t="str">
        <f t="shared" si="44"/>
        <v>http://jsmh.umin.jp/journal/14-1/14-1.pdf</v>
      </c>
      <c r="H471" s="42" t="str">
        <f t="shared" si="45"/>
        <v>http://dl.ndl.go.jp/info:ndljp/pid/3359239</v>
      </c>
    </row>
    <row r="472" spans="1:8" ht="30" customHeight="1" x14ac:dyDescent="0.15">
      <c r="A472" s="16" t="s">
        <v>91</v>
      </c>
      <c r="B472" s="17" t="s">
        <v>917</v>
      </c>
      <c r="C472" s="17" t="s">
        <v>48</v>
      </c>
      <c r="D472" s="25" t="s">
        <v>877</v>
      </c>
      <c r="E472" s="19" t="s">
        <v>893</v>
      </c>
      <c r="F472" s="19" t="s">
        <v>570</v>
      </c>
      <c r="G472" s="2" t="str">
        <f t="shared" si="44"/>
        <v>http://jsmh.umin.jp/journal/14-1/14-1.pdf</v>
      </c>
      <c r="H472" s="42" t="str">
        <f t="shared" si="45"/>
        <v>http://dl.ndl.go.jp/info:ndljp/pid/3359239</v>
      </c>
    </row>
    <row r="473" spans="1:8" ht="30" customHeight="1" x14ac:dyDescent="0.15">
      <c r="A473" s="16" t="s">
        <v>91</v>
      </c>
      <c r="B473" s="17" t="s">
        <v>918</v>
      </c>
      <c r="C473" s="17" t="s">
        <v>479</v>
      </c>
      <c r="D473" s="25" t="s">
        <v>877</v>
      </c>
      <c r="E473" s="19" t="s">
        <v>893</v>
      </c>
      <c r="F473" s="19" t="s">
        <v>919</v>
      </c>
      <c r="G473" s="2" t="str">
        <f t="shared" si="44"/>
        <v>http://jsmh.umin.jp/journal/14-1/14-1.pdf</v>
      </c>
      <c r="H473" s="42" t="str">
        <f t="shared" si="45"/>
        <v>http://dl.ndl.go.jp/info:ndljp/pid/3359239</v>
      </c>
    </row>
    <row r="474" spans="1:8" ht="30" customHeight="1" x14ac:dyDescent="0.15">
      <c r="A474" s="16" t="s">
        <v>91</v>
      </c>
      <c r="B474" s="17" t="s">
        <v>920</v>
      </c>
      <c r="C474" s="17" t="s">
        <v>123</v>
      </c>
      <c r="D474" s="25" t="s">
        <v>877</v>
      </c>
      <c r="E474" s="19" t="s">
        <v>893</v>
      </c>
      <c r="F474" s="19" t="s">
        <v>921</v>
      </c>
      <c r="G474" s="2" t="str">
        <f t="shared" si="44"/>
        <v>http://jsmh.umin.jp/journal/14-1/14-1.pdf</v>
      </c>
      <c r="H474" s="42" t="str">
        <f t="shared" si="45"/>
        <v>http://dl.ndl.go.jp/info:ndljp/pid/3359239</v>
      </c>
    </row>
    <row r="475" spans="1:8" ht="30" customHeight="1" x14ac:dyDescent="0.15">
      <c r="A475" s="16" t="s">
        <v>91</v>
      </c>
      <c r="B475" s="17" t="s">
        <v>922</v>
      </c>
      <c r="C475" s="17" t="s">
        <v>11</v>
      </c>
      <c r="D475" s="25" t="s">
        <v>877</v>
      </c>
      <c r="E475" s="19" t="s">
        <v>893</v>
      </c>
      <c r="F475" s="19" t="s">
        <v>923</v>
      </c>
      <c r="G475" s="2" t="str">
        <f t="shared" si="44"/>
        <v>http://jsmh.umin.jp/journal/14-1/14-1.pdf</v>
      </c>
      <c r="H475" s="42" t="str">
        <f t="shared" si="45"/>
        <v>http://dl.ndl.go.jp/info:ndljp/pid/3359239</v>
      </c>
    </row>
    <row r="476" spans="1:8" ht="30" customHeight="1" x14ac:dyDescent="0.15">
      <c r="A476" s="16" t="s">
        <v>91</v>
      </c>
      <c r="B476" s="17" t="s">
        <v>924</v>
      </c>
      <c r="C476" s="17" t="s">
        <v>925</v>
      </c>
      <c r="D476" s="25" t="s">
        <v>877</v>
      </c>
      <c r="E476" s="19" t="s">
        <v>893</v>
      </c>
      <c r="F476" s="19" t="s">
        <v>926</v>
      </c>
      <c r="G476" s="2" t="str">
        <f t="shared" si="44"/>
        <v>http://jsmh.umin.jp/journal/14-1/14-1.pdf</v>
      </c>
      <c r="H476" s="42" t="str">
        <f t="shared" si="45"/>
        <v>http://dl.ndl.go.jp/info:ndljp/pid/3359239</v>
      </c>
    </row>
    <row r="477" spans="1:8" ht="30" customHeight="1" x14ac:dyDescent="0.15">
      <c r="A477" s="16" t="s">
        <v>91</v>
      </c>
      <c r="B477" s="17" t="s">
        <v>927</v>
      </c>
      <c r="C477" s="17" t="s">
        <v>928</v>
      </c>
      <c r="D477" s="25" t="s">
        <v>877</v>
      </c>
      <c r="E477" s="19" t="s">
        <v>893</v>
      </c>
      <c r="F477" s="19" t="s">
        <v>929</v>
      </c>
      <c r="G477" s="2" t="str">
        <f t="shared" si="44"/>
        <v>http://jsmh.umin.jp/journal/14-1/14-1.pdf</v>
      </c>
      <c r="H477" s="42" t="str">
        <f t="shared" si="45"/>
        <v>http://dl.ndl.go.jp/info:ndljp/pid/3359239</v>
      </c>
    </row>
    <row r="478" spans="1:8" ht="30" customHeight="1" x14ac:dyDescent="0.15">
      <c r="A478" s="16" t="s">
        <v>91</v>
      </c>
      <c r="B478" s="17" t="s">
        <v>930</v>
      </c>
      <c r="C478" s="17" t="s">
        <v>663</v>
      </c>
      <c r="D478" s="25" t="s">
        <v>877</v>
      </c>
      <c r="E478" s="19" t="s">
        <v>893</v>
      </c>
      <c r="F478" s="19" t="s">
        <v>851</v>
      </c>
      <c r="G478" s="2" t="str">
        <f t="shared" si="44"/>
        <v>http://jsmh.umin.jp/journal/14-1/14-1.pdf</v>
      </c>
      <c r="H478" s="42" t="str">
        <f t="shared" si="45"/>
        <v>http://dl.ndl.go.jp/info:ndljp/pid/3359239</v>
      </c>
    </row>
    <row r="479" spans="1:8" ht="30" customHeight="1" x14ac:dyDescent="0.15">
      <c r="A479" s="16" t="s">
        <v>91</v>
      </c>
      <c r="B479" s="17" t="s">
        <v>931</v>
      </c>
      <c r="C479" s="17" t="s">
        <v>932</v>
      </c>
      <c r="D479" s="25" t="s">
        <v>877</v>
      </c>
      <c r="E479" s="19" t="s">
        <v>893</v>
      </c>
      <c r="F479" s="19" t="s">
        <v>933</v>
      </c>
      <c r="G479" s="2" t="str">
        <f t="shared" si="44"/>
        <v>http://jsmh.umin.jp/journal/14-1/14-1.pdf</v>
      </c>
      <c r="H479" s="42" t="str">
        <f t="shared" si="45"/>
        <v>http://dl.ndl.go.jp/info:ndljp/pid/3359239</v>
      </c>
    </row>
    <row r="480" spans="1:8" ht="30" customHeight="1" x14ac:dyDescent="0.15">
      <c r="A480" s="16" t="s">
        <v>91</v>
      </c>
      <c r="B480" s="17" t="s">
        <v>934</v>
      </c>
      <c r="C480" s="17" t="s">
        <v>790</v>
      </c>
      <c r="D480" s="25" t="s">
        <v>877</v>
      </c>
      <c r="E480" s="19" t="s">
        <v>893</v>
      </c>
      <c r="F480" s="19" t="s">
        <v>935</v>
      </c>
      <c r="G480" s="2" t="str">
        <f t="shared" si="44"/>
        <v>http://jsmh.umin.jp/journal/14-1/14-1.pdf</v>
      </c>
      <c r="H480" s="42" t="str">
        <f t="shared" si="45"/>
        <v>http://dl.ndl.go.jp/info:ndljp/pid/3359239</v>
      </c>
    </row>
    <row r="481" spans="1:8" ht="30" customHeight="1" x14ac:dyDescent="0.15">
      <c r="A481" s="16" t="s">
        <v>91</v>
      </c>
      <c r="B481" s="17" t="s">
        <v>936</v>
      </c>
      <c r="C481" s="17" t="s">
        <v>937</v>
      </c>
      <c r="D481" s="25" t="s">
        <v>877</v>
      </c>
      <c r="E481" s="19" t="s">
        <v>893</v>
      </c>
      <c r="F481" s="19" t="s">
        <v>471</v>
      </c>
      <c r="G481" s="2" t="str">
        <f t="shared" si="44"/>
        <v>http://jsmh.umin.jp/journal/14-1/14-1.pdf</v>
      </c>
      <c r="H481" s="42" t="str">
        <f t="shared" si="45"/>
        <v>http://dl.ndl.go.jp/info:ndljp/pid/3359239</v>
      </c>
    </row>
    <row r="482" spans="1:8" ht="30" customHeight="1" x14ac:dyDescent="0.15">
      <c r="A482" s="16" t="s">
        <v>91</v>
      </c>
      <c r="B482" s="17" t="s">
        <v>938</v>
      </c>
      <c r="C482" s="17" t="s">
        <v>925</v>
      </c>
      <c r="D482" s="25" t="s">
        <v>877</v>
      </c>
      <c r="E482" s="19" t="s">
        <v>893</v>
      </c>
      <c r="F482" s="19" t="s">
        <v>939</v>
      </c>
      <c r="G482" s="2" t="str">
        <f t="shared" si="44"/>
        <v>http://jsmh.umin.jp/journal/14-1/14-1.pdf</v>
      </c>
      <c r="H482" s="42" t="str">
        <f t="shared" si="45"/>
        <v>http://dl.ndl.go.jp/info:ndljp/pid/3359239</v>
      </c>
    </row>
    <row r="483" spans="1:8" ht="30" customHeight="1" x14ac:dyDescent="0.15">
      <c r="A483" s="16" t="s">
        <v>91</v>
      </c>
      <c r="B483" s="17" t="s">
        <v>940</v>
      </c>
      <c r="C483" s="17" t="s">
        <v>198</v>
      </c>
      <c r="D483" s="25" t="s">
        <v>877</v>
      </c>
      <c r="E483" s="19" t="s">
        <v>893</v>
      </c>
      <c r="F483" s="19" t="s">
        <v>941</v>
      </c>
      <c r="G483" s="2" t="str">
        <f t="shared" si="44"/>
        <v>http://jsmh.umin.jp/journal/14-1/14-1.pdf</v>
      </c>
      <c r="H483" s="42" t="str">
        <f t="shared" si="45"/>
        <v>http://dl.ndl.go.jp/info:ndljp/pid/3359239</v>
      </c>
    </row>
    <row r="484" spans="1:8" ht="30" customHeight="1" x14ac:dyDescent="0.15">
      <c r="A484" s="16" t="s">
        <v>91</v>
      </c>
      <c r="B484" s="17" t="s">
        <v>942</v>
      </c>
      <c r="C484" s="17" t="s">
        <v>191</v>
      </c>
      <c r="D484" s="25" t="s">
        <v>877</v>
      </c>
      <c r="E484" s="19" t="s">
        <v>893</v>
      </c>
      <c r="F484" s="19" t="s">
        <v>943</v>
      </c>
      <c r="G484" s="2" t="str">
        <f t="shared" si="44"/>
        <v>http://jsmh.umin.jp/journal/14-1/14-1.pdf</v>
      </c>
      <c r="H484" s="42" t="str">
        <f t="shared" si="45"/>
        <v>http://dl.ndl.go.jp/info:ndljp/pid/3359239</v>
      </c>
    </row>
    <row r="485" spans="1:8" ht="30" customHeight="1" x14ac:dyDescent="0.15">
      <c r="A485" s="16" t="s">
        <v>91</v>
      </c>
      <c r="B485" s="17" t="s">
        <v>944</v>
      </c>
      <c r="C485" s="17" t="s">
        <v>945</v>
      </c>
      <c r="D485" s="25" t="s">
        <v>877</v>
      </c>
      <c r="E485" s="19" t="s">
        <v>893</v>
      </c>
      <c r="F485" s="19" t="s">
        <v>946</v>
      </c>
      <c r="G485" s="2" t="str">
        <f t="shared" si="44"/>
        <v>http://jsmh.umin.jp/journal/14-1/14-1.pdf</v>
      </c>
      <c r="H485" s="42" t="str">
        <f t="shared" si="45"/>
        <v>http://dl.ndl.go.jp/info:ndljp/pid/3359239</v>
      </c>
    </row>
    <row r="486" spans="1:8" ht="30" customHeight="1" x14ac:dyDescent="0.15">
      <c r="A486" s="16" t="s">
        <v>91</v>
      </c>
      <c r="B486" s="17" t="s">
        <v>947</v>
      </c>
      <c r="C486" s="17" t="s">
        <v>948</v>
      </c>
      <c r="D486" s="25" t="s">
        <v>877</v>
      </c>
      <c r="E486" s="19" t="s">
        <v>893</v>
      </c>
      <c r="F486" s="19" t="s">
        <v>949</v>
      </c>
      <c r="G486" s="2" t="str">
        <f t="shared" si="44"/>
        <v>http://jsmh.umin.jp/journal/14-1/14-1.pdf</v>
      </c>
      <c r="H486" s="42" t="str">
        <f t="shared" si="45"/>
        <v>http://dl.ndl.go.jp/info:ndljp/pid/3359239</v>
      </c>
    </row>
    <row r="487" spans="1:8" ht="30" customHeight="1" x14ac:dyDescent="0.15">
      <c r="A487" s="16" t="s">
        <v>91</v>
      </c>
      <c r="B487" s="17" t="s">
        <v>950</v>
      </c>
      <c r="C487" s="17" t="s">
        <v>273</v>
      </c>
      <c r="D487" s="25" t="s">
        <v>877</v>
      </c>
      <c r="E487" s="19" t="s">
        <v>893</v>
      </c>
      <c r="F487" s="19" t="s">
        <v>951</v>
      </c>
      <c r="G487" s="2" t="str">
        <f t="shared" si="44"/>
        <v>http://jsmh.umin.jp/journal/14-1/14-1.pdf</v>
      </c>
      <c r="H487" s="42" t="str">
        <f t="shared" si="45"/>
        <v>http://dl.ndl.go.jp/info:ndljp/pid/3359239</v>
      </c>
    </row>
    <row r="488" spans="1:8" ht="30" customHeight="1" x14ac:dyDescent="0.15">
      <c r="A488" s="16" t="s">
        <v>91</v>
      </c>
      <c r="B488" s="17" t="s">
        <v>952</v>
      </c>
      <c r="C488" s="17" t="s">
        <v>953</v>
      </c>
      <c r="D488" s="25" t="s">
        <v>877</v>
      </c>
      <c r="E488" s="19" t="s">
        <v>893</v>
      </c>
      <c r="F488" s="19" t="s">
        <v>194</v>
      </c>
      <c r="G488" s="2" t="str">
        <f t="shared" si="44"/>
        <v>http://jsmh.umin.jp/journal/14-1/14-1.pdf</v>
      </c>
      <c r="H488" s="42" t="str">
        <f t="shared" si="45"/>
        <v>http://dl.ndl.go.jp/info:ndljp/pid/3359239</v>
      </c>
    </row>
    <row r="489" spans="1:8" ht="30" customHeight="1" x14ac:dyDescent="0.15">
      <c r="A489" s="16" t="s">
        <v>91</v>
      </c>
      <c r="B489" s="17" t="s">
        <v>954</v>
      </c>
      <c r="C489" s="17" t="s">
        <v>955</v>
      </c>
      <c r="D489" s="25" t="s">
        <v>877</v>
      </c>
      <c r="E489" s="19" t="s">
        <v>893</v>
      </c>
      <c r="F489" s="19" t="s">
        <v>956</v>
      </c>
      <c r="G489" s="2" t="str">
        <f t="shared" si="44"/>
        <v>http://jsmh.umin.jp/journal/14-1/14-1.pdf</v>
      </c>
      <c r="H489" s="42" t="str">
        <f t="shared" si="45"/>
        <v>http://dl.ndl.go.jp/info:ndljp/pid/3359239</v>
      </c>
    </row>
    <row r="490" spans="1:8" ht="30" customHeight="1" x14ac:dyDescent="0.15">
      <c r="A490" s="16" t="s">
        <v>91</v>
      </c>
      <c r="B490" s="17" t="s">
        <v>957</v>
      </c>
      <c r="C490" s="17" t="s">
        <v>479</v>
      </c>
      <c r="D490" s="25" t="s">
        <v>877</v>
      </c>
      <c r="E490" s="19" t="s">
        <v>893</v>
      </c>
      <c r="F490" s="19" t="s">
        <v>202</v>
      </c>
      <c r="G490" s="2" t="str">
        <f t="shared" si="44"/>
        <v>http://jsmh.umin.jp/journal/14-1/14-1.pdf</v>
      </c>
      <c r="H490" s="42" t="str">
        <f t="shared" si="45"/>
        <v>http://dl.ndl.go.jp/info:ndljp/pid/3359239</v>
      </c>
    </row>
    <row r="491" spans="1:8" ht="30" customHeight="1" x14ac:dyDescent="0.15">
      <c r="A491" s="16" t="s">
        <v>91</v>
      </c>
      <c r="B491" s="17" t="s">
        <v>958</v>
      </c>
      <c r="C491" s="17" t="s">
        <v>627</v>
      </c>
      <c r="D491" s="25" t="s">
        <v>877</v>
      </c>
      <c r="E491" s="19" t="s">
        <v>893</v>
      </c>
      <c r="F491" s="19" t="s">
        <v>959</v>
      </c>
      <c r="G491" s="2" t="str">
        <f t="shared" si="44"/>
        <v>http://jsmh.umin.jp/journal/14-1/14-1.pdf</v>
      </c>
      <c r="H491" s="42" t="str">
        <f t="shared" si="45"/>
        <v>http://dl.ndl.go.jp/info:ndljp/pid/3359239</v>
      </c>
    </row>
    <row r="492" spans="1:8" ht="30" customHeight="1" x14ac:dyDescent="0.15">
      <c r="A492" s="16" t="s">
        <v>91</v>
      </c>
      <c r="B492" s="17" t="s">
        <v>960</v>
      </c>
      <c r="C492" s="17" t="s">
        <v>212</v>
      </c>
      <c r="D492" s="25" t="s">
        <v>877</v>
      </c>
      <c r="E492" s="19" t="s">
        <v>893</v>
      </c>
      <c r="F492" s="19" t="s">
        <v>961</v>
      </c>
      <c r="G492" s="2" t="str">
        <f t="shared" si="44"/>
        <v>http://jsmh.umin.jp/journal/14-1/14-1.pdf</v>
      </c>
      <c r="H492" s="42" t="str">
        <f t="shared" si="45"/>
        <v>http://dl.ndl.go.jp/info:ndljp/pid/3359239</v>
      </c>
    </row>
    <row r="493" spans="1:8" ht="30" customHeight="1" x14ac:dyDescent="0.15">
      <c r="A493" s="16" t="s">
        <v>91</v>
      </c>
      <c r="B493" s="17" t="s">
        <v>962</v>
      </c>
      <c r="C493" s="17" t="s">
        <v>963</v>
      </c>
      <c r="D493" s="25" t="s">
        <v>877</v>
      </c>
      <c r="E493" s="19" t="s">
        <v>893</v>
      </c>
      <c r="F493" s="19" t="s">
        <v>964</v>
      </c>
      <c r="G493" s="2" t="str">
        <f t="shared" si="44"/>
        <v>http://jsmh.umin.jp/journal/14-1/14-1.pdf</v>
      </c>
      <c r="H493" s="42" t="str">
        <f t="shared" si="45"/>
        <v>http://dl.ndl.go.jp/info:ndljp/pid/3359239</v>
      </c>
    </row>
    <row r="494" spans="1:8" ht="30" customHeight="1" x14ac:dyDescent="0.15">
      <c r="A494" s="16" t="s">
        <v>91</v>
      </c>
      <c r="B494" s="17" t="s">
        <v>965</v>
      </c>
      <c r="C494" s="17" t="s">
        <v>966</v>
      </c>
      <c r="D494" s="25" t="s">
        <v>877</v>
      </c>
      <c r="E494" s="19" t="s">
        <v>893</v>
      </c>
      <c r="F494" s="19" t="s">
        <v>967</v>
      </c>
      <c r="G494" s="2" t="str">
        <f t="shared" si="44"/>
        <v>http://jsmh.umin.jp/journal/14-1/14-1.pdf</v>
      </c>
      <c r="H494" s="42" t="str">
        <f t="shared" si="45"/>
        <v>http://dl.ndl.go.jp/info:ndljp/pid/3359239</v>
      </c>
    </row>
    <row r="495" spans="1:8" ht="30" customHeight="1" x14ac:dyDescent="0.15">
      <c r="A495" s="16" t="s">
        <v>17</v>
      </c>
      <c r="B495" s="17" t="s">
        <v>968</v>
      </c>
      <c r="C495" s="17" t="s">
        <v>303</v>
      </c>
      <c r="D495" s="25" t="s">
        <v>877</v>
      </c>
      <c r="E495" s="19" t="s">
        <v>969</v>
      </c>
      <c r="F495" s="19" t="s">
        <v>970</v>
      </c>
      <c r="G495" s="2" t="str">
        <f t="shared" ref="G495:G509" si="46">HYPERLINK("http://jsmh.umin.jp/journal/14-2/14-2.pdf")</f>
        <v>http://jsmh.umin.jp/journal/14-2/14-2.pdf</v>
      </c>
      <c r="H495" s="42" t="str">
        <f>HYPERLINK("http://dl.ndl.go.jp/info:ndljp/pid/3359240")</f>
        <v>http://dl.ndl.go.jp/info:ndljp/pid/3359240</v>
      </c>
    </row>
    <row r="496" spans="1:8" ht="30" customHeight="1" x14ac:dyDescent="0.15">
      <c r="A496" s="16" t="s">
        <v>17</v>
      </c>
      <c r="B496" s="17" t="s">
        <v>971</v>
      </c>
      <c r="C496" s="17" t="s">
        <v>303</v>
      </c>
      <c r="D496" s="25" t="s">
        <v>877</v>
      </c>
      <c r="E496" s="19" t="s">
        <v>969</v>
      </c>
      <c r="F496" s="19" t="s">
        <v>972</v>
      </c>
      <c r="G496" s="2" t="str">
        <f t="shared" si="46"/>
        <v>http://jsmh.umin.jp/journal/14-2/14-2.pdf</v>
      </c>
      <c r="H496" s="42" t="str">
        <f t="shared" ref="H496:H509" si="47">HYPERLINK("http://dl.ndl.go.jp/info:ndljp/pid/3359240")</f>
        <v>http://dl.ndl.go.jp/info:ndljp/pid/3359240</v>
      </c>
    </row>
    <row r="497" spans="1:8" ht="30" customHeight="1" x14ac:dyDescent="0.15">
      <c r="A497" s="16" t="s">
        <v>17</v>
      </c>
      <c r="B497" s="17" t="s">
        <v>973</v>
      </c>
      <c r="C497" s="17" t="s">
        <v>781</v>
      </c>
      <c r="D497" s="25" t="s">
        <v>877</v>
      </c>
      <c r="E497" s="19" t="s">
        <v>969</v>
      </c>
      <c r="F497" s="19" t="s">
        <v>974</v>
      </c>
      <c r="G497" s="2" t="str">
        <f t="shared" si="46"/>
        <v>http://jsmh.umin.jp/journal/14-2/14-2.pdf</v>
      </c>
      <c r="H497" s="42" t="str">
        <f t="shared" si="47"/>
        <v>http://dl.ndl.go.jp/info:ndljp/pid/3359240</v>
      </c>
    </row>
    <row r="498" spans="1:8" ht="30" customHeight="1" x14ac:dyDescent="0.15">
      <c r="A498" s="16" t="s">
        <v>704</v>
      </c>
      <c r="B498" s="17" t="s">
        <v>975</v>
      </c>
      <c r="C498" s="17" t="s">
        <v>781</v>
      </c>
      <c r="D498" s="25" t="s">
        <v>877</v>
      </c>
      <c r="E498" s="19" t="s">
        <v>969</v>
      </c>
      <c r="F498" s="19" t="s">
        <v>976</v>
      </c>
      <c r="G498" s="2" t="str">
        <f t="shared" si="46"/>
        <v>http://jsmh.umin.jp/journal/14-2/14-2.pdf</v>
      </c>
      <c r="H498" s="42" t="str">
        <f t="shared" si="47"/>
        <v>http://dl.ndl.go.jp/info:ndljp/pid/3359240</v>
      </c>
    </row>
    <row r="499" spans="1:8" ht="30" customHeight="1" x14ac:dyDescent="0.15">
      <c r="A499" s="16" t="s">
        <v>704</v>
      </c>
      <c r="B499" s="17" t="s">
        <v>977</v>
      </c>
      <c r="C499" s="17" t="s">
        <v>978</v>
      </c>
      <c r="D499" s="25" t="s">
        <v>877</v>
      </c>
      <c r="E499" s="19" t="s">
        <v>969</v>
      </c>
      <c r="F499" s="19" t="s">
        <v>979</v>
      </c>
      <c r="G499" s="2" t="str">
        <f t="shared" si="46"/>
        <v>http://jsmh.umin.jp/journal/14-2/14-2.pdf</v>
      </c>
      <c r="H499" s="42" t="str">
        <f t="shared" si="47"/>
        <v>http://dl.ndl.go.jp/info:ndljp/pid/3359240</v>
      </c>
    </row>
    <row r="500" spans="1:8" ht="30" customHeight="1" x14ac:dyDescent="0.15">
      <c r="A500" s="16" t="s">
        <v>704</v>
      </c>
      <c r="B500" s="17" t="s">
        <v>980</v>
      </c>
      <c r="C500" s="17" t="s">
        <v>198</v>
      </c>
      <c r="D500" s="25" t="s">
        <v>877</v>
      </c>
      <c r="E500" s="19" t="s">
        <v>969</v>
      </c>
      <c r="F500" s="19" t="s">
        <v>981</v>
      </c>
      <c r="G500" s="2" t="str">
        <f t="shared" si="46"/>
        <v>http://jsmh.umin.jp/journal/14-2/14-2.pdf</v>
      </c>
      <c r="H500" s="42" t="str">
        <f t="shared" si="47"/>
        <v>http://dl.ndl.go.jp/info:ndljp/pid/3359240</v>
      </c>
    </row>
    <row r="501" spans="1:8" ht="30" customHeight="1" x14ac:dyDescent="0.15">
      <c r="A501" s="16" t="s">
        <v>704</v>
      </c>
      <c r="B501" s="17" t="s">
        <v>982</v>
      </c>
      <c r="C501" s="17" t="s">
        <v>18</v>
      </c>
      <c r="D501" s="25" t="s">
        <v>877</v>
      </c>
      <c r="E501" s="19" t="s">
        <v>969</v>
      </c>
      <c r="F501" s="19" t="s">
        <v>983</v>
      </c>
      <c r="G501" s="2" t="str">
        <f t="shared" si="46"/>
        <v>http://jsmh.umin.jp/journal/14-2/14-2.pdf</v>
      </c>
      <c r="H501" s="42" t="str">
        <f t="shared" si="47"/>
        <v>http://dl.ndl.go.jp/info:ndljp/pid/3359240</v>
      </c>
    </row>
    <row r="502" spans="1:8" ht="30" customHeight="1" x14ac:dyDescent="0.15">
      <c r="A502" s="16" t="s">
        <v>704</v>
      </c>
      <c r="B502" s="17" t="s">
        <v>984</v>
      </c>
      <c r="C502" s="17" t="s">
        <v>985</v>
      </c>
      <c r="D502" s="25" t="s">
        <v>877</v>
      </c>
      <c r="E502" s="19" t="s">
        <v>969</v>
      </c>
      <c r="F502" s="19" t="s">
        <v>986</v>
      </c>
      <c r="G502" s="2" t="str">
        <f t="shared" si="46"/>
        <v>http://jsmh.umin.jp/journal/14-2/14-2.pdf</v>
      </c>
      <c r="H502" s="42" t="str">
        <f t="shared" si="47"/>
        <v>http://dl.ndl.go.jp/info:ndljp/pid/3359240</v>
      </c>
    </row>
    <row r="503" spans="1:8" ht="30" customHeight="1" x14ac:dyDescent="0.15">
      <c r="A503" s="16" t="s">
        <v>704</v>
      </c>
      <c r="B503" s="17" t="s">
        <v>987</v>
      </c>
      <c r="C503" s="17" t="s">
        <v>690</v>
      </c>
      <c r="D503" s="25" t="s">
        <v>877</v>
      </c>
      <c r="E503" s="19" t="s">
        <v>969</v>
      </c>
      <c r="F503" s="19" t="s">
        <v>988</v>
      </c>
      <c r="G503" s="2" t="str">
        <f t="shared" si="46"/>
        <v>http://jsmh.umin.jp/journal/14-2/14-2.pdf</v>
      </c>
      <c r="H503" s="42" t="str">
        <f t="shared" si="47"/>
        <v>http://dl.ndl.go.jp/info:ndljp/pid/3359240</v>
      </c>
    </row>
    <row r="504" spans="1:8" ht="30" customHeight="1" x14ac:dyDescent="0.15">
      <c r="A504" s="16" t="s">
        <v>704</v>
      </c>
      <c r="B504" s="17" t="s">
        <v>989</v>
      </c>
      <c r="C504" s="17" t="s">
        <v>57</v>
      </c>
      <c r="D504" s="25" t="s">
        <v>877</v>
      </c>
      <c r="E504" s="19" t="s">
        <v>969</v>
      </c>
      <c r="F504" s="19" t="s">
        <v>990</v>
      </c>
      <c r="G504" s="2" t="str">
        <f t="shared" si="46"/>
        <v>http://jsmh.umin.jp/journal/14-2/14-2.pdf</v>
      </c>
      <c r="H504" s="42" t="str">
        <f t="shared" si="47"/>
        <v>http://dl.ndl.go.jp/info:ndljp/pid/3359240</v>
      </c>
    </row>
    <row r="505" spans="1:8" ht="30" customHeight="1" x14ac:dyDescent="0.15">
      <c r="A505" s="16" t="s">
        <v>704</v>
      </c>
      <c r="B505" s="17" t="s">
        <v>991</v>
      </c>
      <c r="C505" s="17" t="s">
        <v>992</v>
      </c>
      <c r="D505" s="25" t="s">
        <v>877</v>
      </c>
      <c r="E505" s="19" t="s">
        <v>969</v>
      </c>
      <c r="F505" s="19" t="s">
        <v>993</v>
      </c>
      <c r="G505" s="2" t="str">
        <f t="shared" si="46"/>
        <v>http://jsmh.umin.jp/journal/14-2/14-2.pdf</v>
      </c>
      <c r="H505" s="42" t="str">
        <f t="shared" si="47"/>
        <v>http://dl.ndl.go.jp/info:ndljp/pid/3359240</v>
      </c>
    </row>
    <row r="506" spans="1:8" ht="30" customHeight="1" x14ac:dyDescent="0.15">
      <c r="A506" s="16" t="s">
        <v>704</v>
      </c>
      <c r="B506" s="17" t="s">
        <v>994</v>
      </c>
      <c r="C506" s="17" t="s">
        <v>444</v>
      </c>
      <c r="D506" s="25" t="s">
        <v>877</v>
      </c>
      <c r="E506" s="19" t="s">
        <v>969</v>
      </c>
      <c r="F506" s="19" t="s">
        <v>995</v>
      </c>
      <c r="G506" s="2" t="str">
        <f t="shared" si="46"/>
        <v>http://jsmh.umin.jp/journal/14-2/14-2.pdf</v>
      </c>
      <c r="H506" s="42" t="str">
        <f t="shared" si="47"/>
        <v>http://dl.ndl.go.jp/info:ndljp/pid/3359240</v>
      </c>
    </row>
    <row r="507" spans="1:8" ht="30" customHeight="1" x14ac:dyDescent="0.15">
      <c r="A507" s="16" t="s">
        <v>996</v>
      </c>
      <c r="B507" s="17" t="s">
        <v>997</v>
      </c>
      <c r="C507" s="17" t="s">
        <v>998</v>
      </c>
      <c r="D507" s="25" t="s">
        <v>877</v>
      </c>
      <c r="E507" s="19" t="s">
        <v>969</v>
      </c>
      <c r="F507" s="19" t="s">
        <v>999</v>
      </c>
      <c r="G507" s="2" t="str">
        <f t="shared" si="46"/>
        <v>http://jsmh.umin.jp/journal/14-2/14-2.pdf</v>
      </c>
      <c r="H507" s="42" t="str">
        <f t="shared" si="47"/>
        <v>http://dl.ndl.go.jp/info:ndljp/pid/3359240</v>
      </c>
    </row>
    <row r="508" spans="1:8" ht="30" customHeight="1" x14ac:dyDescent="0.15">
      <c r="A508" s="16" t="s">
        <v>81</v>
      </c>
      <c r="B508" s="17" t="s">
        <v>1000</v>
      </c>
      <c r="C508" s="17" t="s">
        <v>139</v>
      </c>
      <c r="D508" s="25" t="s">
        <v>877</v>
      </c>
      <c r="E508" s="19" t="s">
        <v>969</v>
      </c>
      <c r="F508" s="19" t="s">
        <v>1001</v>
      </c>
      <c r="G508" s="2" t="str">
        <f t="shared" si="46"/>
        <v>http://jsmh.umin.jp/journal/14-2/14-2.pdf</v>
      </c>
      <c r="H508" s="42" t="str">
        <f t="shared" si="47"/>
        <v>http://dl.ndl.go.jp/info:ndljp/pid/3359240</v>
      </c>
    </row>
    <row r="509" spans="1:8" ht="30" customHeight="1" x14ac:dyDescent="0.15">
      <c r="A509" s="16" t="s">
        <v>996</v>
      </c>
      <c r="B509" s="17" t="s">
        <v>1002</v>
      </c>
      <c r="C509" s="17" t="s">
        <v>1003</v>
      </c>
      <c r="D509" s="25" t="s">
        <v>877</v>
      </c>
      <c r="E509" s="19" t="s">
        <v>969</v>
      </c>
      <c r="F509" s="19" t="s">
        <v>1004</v>
      </c>
      <c r="G509" s="2" t="str">
        <f t="shared" si="46"/>
        <v>http://jsmh.umin.jp/journal/14-2/14-2.pdf</v>
      </c>
      <c r="H509" s="42" t="str">
        <f t="shared" si="47"/>
        <v>http://dl.ndl.go.jp/info:ndljp/pid/3359240</v>
      </c>
    </row>
    <row r="510" spans="1:8" ht="30" customHeight="1" x14ac:dyDescent="0.15">
      <c r="A510" s="16" t="s">
        <v>17</v>
      </c>
      <c r="B510" s="17" t="s">
        <v>1005</v>
      </c>
      <c r="C510" s="17" t="s">
        <v>303</v>
      </c>
      <c r="D510" s="25" t="s">
        <v>877</v>
      </c>
      <c r="E510" s="19" t="s">
        <v>1006</v>
      </c>
      <c r="F510" s="19" t="s">
        <v>1007</v>
      </c>
      <c r="G510" s="2" t="str">
        <f t="shared" ref="G510:G523" si="48">HYPERLINK("http://jsmh.umin.jp/journal/14-3/14-3.pdf")</f>
        <v>http://jsmh.umin.jp/journal/14-3/14-3.pdf</v>
      </c>
      <c r="H510" s="42" t="str">
        <f>HYPERLINK("http://dl.ndl.go.jp/info:ndljp/pid/3359241")</f>
        <v>http://dl.ndl.go.jp/info:ndljp/pid/3359241</v>
      </c>
    </row>
    <row r="511" spans="1:8" ht="30" customHeight="1" x14ac:dyDescent="0.15">
      <c r="A511" s="16" t="s">
        <v>17</v>
      </c>
      <c r="B511" s="17" t="s">
        <v>1008</v>
      </c>
      <c r="C511" s="17" t="s">
        <v>291</v>
      </c>
      <c r="D511" s="25" t="s">
        <v>877</v>
      </c>
      <c r="E511" s="19" t="s">
        <v>1006</v>
      </c>
      <c r="F511" s="19" t="s">
        <v>1009</v>
      </c>
      <c r="G511" s="2" t="str">
        <f t="shared" si="48"/>
        <v>http://jsmh.umin.jp/journal/14-3/14-3.pdf</v>
      </c>
      <c r="H511" s="42" t="str">
        <f t="shared" ref="H511:H523" si="49">HYPERLINK("http://dl.ndl.go.jp/info:ndljp/pid/3359241")</f>
        <v>http://dl.ndl.go.jp/info:ndljp/pid/3359241</v>
      </c>
    </row>
    <row r="512" spans="1:8" ht="30" customHeight="1" x14ac:dyDescent="0.15">
      <c r="A512" s="16" t="s">
        <v>704</v>
      </c>
      <c r="B512" s="17" t="s">
        <v>1010</v>
      </c>
      <c r="C512" s="17" t="s">
        <v>198</v>
      </c>
      <c r="D512" s="25" t="s">
        <v>877</v>
      </c>
      <c r="E512" s="19" t="s">
        <v>1006</v>
      </c>
      <c r="F512" s="19" t="s">
        <v>1011</v>
      </c>
      <c r="G512" s="2" t="str">
        <f t="shared" si="48"/>
        <v>http://jsmh.umin.jp/journal/14-3/14-3.pdf</v>
      </c>
      <c r="H512" s="42" t="str">
        <f t="shared" si="49"/>
        <v>http://dl.ndl.go.jp/info:ndljp/pid/3359241</v>
      </c>
    </row>
    <row r="513" spans="1:8" ht="30" customHeight="1" x14ac:dyDescent="0.15">
      <c r="A513" s="16" t="s">
        <v>704</v>
      </c>
      <c r="B513" s="17" t="s">
        <v>1012</v>
      </c>
      <c r="C513" s="17" t="s">
        <v>209</v>
      </c>
      <c r="D513" s="25" t="s">
        <v>877</v>
      </c>
      <c r="E513" s="19" t="s">
        <v>1006</v>
      </c>
      <c r="F513" s="19" t="s">
        <v>1013</v>
      </c>
      <c r="G513" s="2" t="str">
        <f t="shared" si="48"/>
        <v>http://jsmh.umin.jp/journal/14-3/14-3.pdf</v>
      </c>
      <c r="H513" s="42" t="str">
        <f t="shared" si="49"/>
        <v>http://dl.ndl.go.jp/info:ndljp/pid/3359241</v>
      </c>
    </row>
    <row r="514" spans="1:8" ht="30" customHeight="1" x14ac:dyDescent="0.15">
      <c r="A514" s="16" t="s">
        <v>704</v>
      </c>
      <c r="B514" s="17" t="s">
        <v>1014</v>
      </c>
      <c r="C514" s="17" t="s">
        <v>48</v>
      </c>
      <c r="D514" s="25" t="s">
        <v>877</v>
      </c>
      <c r="E514" s="19" t="s">
        <v>1006</v>
      </c>
      <c r="F514" s="19" t="s">
        <v>1015</v>
      </c>
      <c r="G514" s="2" t="str">
        <f t="shared" si="48"/>
        <v>http://jsmh.umin.jp/journal/14-3/14-3.pdf</v>
      </c>
      <c r="H514" s="42" t="str">
        <f t="shared" si="49"/>
        <v>http://dl.ndl.go.jp/info:ndljp/pid/3359241</v>
      </c>
    </row>
    <row r="515" spans="1:8" ht="30" customHeight="1" x14ac:dyDescent="0.15">
      <c r="A515" s="16" t="s">
        <v>704</v>
      </c>
      <c r="B515" s="17" t="s">
        <v>1016</v>
      </c>
      <c r="C515" s="17" t="s">
        <v>57</v>
      </c>
      <c r="D515" s="25" t="s">
        <v>877</v>
      </c>
      <c r="E515" s="19" t="s">
        <v>1006</v>
      </c>
      <c r="F515" s="19" t="s">
        <v>1017</v>
      </c>
      <c r="G515" s="2" t="str">
        <f t="shared" si="48"/>
        <v>http://jsmh.umin.jp/journal/14-3/14-3.pdf</v>
      </c>
      <c r="H515" s="42" t="str">
        <f t="shared" si="49"/>
        <v>http://dl.ndl.go.jp/info:ndljp/pid/3359241</v>
      </c>
    </row>
    <row r="516" spans="1:8" ht="30" customHeight="1" x14ac:dyDescent="0.15">
      <c r="A516" s="16" t="s">
        <v>704</v>
      </c>
      <c r="B516" s="17" t="s">
        <v>1018</v>
      </c>
      <c r="C516" s="17" t="s">
        <v>18</v>
      </c>
      <c r="D516" s="25" t="s">
        <v>877</v>
      </c>
      <c r="E516" s="19" t="s">
        <v>1006</v>
      </c>
      <c r="F516" s="19" t="s">
        <v>1019</v>
      </c>
      <c r="G516" s="2" t="str">
        <f t="shared" si="48"/>
        <v>http://jsmh.umin.jp/journal/14-3/14-3.pdf</v>
      </c>
      <c r="H516" s="42" t="str">
        <f t="shared" si="49"/>
        <v>http://dl.ndl.go.jp/info:ndljp/pid/3359241</v>
      </c>
    </row>
    <row r="517" spans="1:8" ht="30" customHeight="1" x14ac:dyDescent="0.15">
      <c r="A517" s="16" t="s">
        <v>996</v>
      </c>
      <c r="B517" s="17" t="s">
        <v>1020</v>
      </c>
      <c r="C517" s="17" t="s">
        <v>1003</v>
      </c>
      <c r="D517" s="25" t="s">
        <v>877</v>
      </c>
      <c r="E517" s="19" t="s">
        <v>1006</v>
      </c>
      <c r="F517" s="19" t="s">
        <v>1021</v>
      </c>
      <c r="G517" s="2" t="str">
        <f t="shared" si="48"/>
        <v>http://jsmh.umin.jp/journal/14-3/14-3.pdf</v>
      </c>
      <c r="H517" s="42" t="str">
        <f t="shared" si="49"/>
        <v>http://dl.ndl.go.jp/info:ndljp/pid/3359241</v>
      </c>
    </row>
    <row r="518" spans="1:8" ht="30" customHeight="1" x14ac:dyDescent="0.15">
      <c r="A518" s="16" t="s">
        <v>81</v>
      </c>
      <c r="B518" s="17" t="s">
        <v>1022</v>
      </c>
      <c r="C518" s="17" t="s">
        <v>690</v>
      </c>
      <c r="D518" s="25" t="s">
        <v>877</v>
      </c>
      <c r="E518" s="19" t="s">
        <v>1006</v>
      </c>
      <c r="F518" s="19" t="s">
        <v>1023</v>
      </c>
      <c r="G518" s="2" t="str">
        <f t="shared" si="48"/>
        <v>http://jsmh.umin.jp/journal/14-3/14-3.pdf</v>
      </c>
      <c r="H518" s="42" t="str">
        <f t="shared" si="49"/>
        <v>http://dl.ndl.go.jp/info:ndljp/pid/3359241</v>
      </c>
    </row>
    <row r="519" spans="1:8" ht="30" customHeight="1" x14ac:dyDescent="0.15">
      <c r="A519" s="16" t="s">
        <v>996</v>
      </c>
      <c r="B519" s="17" t="s">
        <v>1024</v>
      </c>
      <c r="C519" s="17" t="s">
        <v>1025</v>
      </c>
      <c r="D519" s="25" t="s">
        <v>877</v>
      </c>
      <c r="E519" s="19" t="s">
        <v>1006</v>
      </c>
      <c r="F519" s="19" t="s">
        <v>1026</v>
      </c>
      <c r="G519" s="2" t="str">
        <f t="shared" si="48"/>
        <v>http://jsmh.umin.jp/journal/14-3/14-3.pdf</v>
      </c>
      <c r="H519" s="42" t="str">
        <f t="shared" si="49"/>
        <v>http://dl.ndl.go.jp/info:ndljp/pid/3359241</v>
      </c>
    </row>
    <row r="520" spans="1:8" ht="30" customHeight="1" x14ac:dyDescent="0.15">
      <c r="A520" s="16" t="s">
        <v>996</v>
      </c>
      <c r="B520" s="17" t="s">
        <v>1027</v>
      </c>
      <c r="C520" s="17" t="s">
        <v>198</v>
      </c>
      <c r="D520" s="25" t="s">
        <v>877</v>
      </c>
      <c r="E520" s="19" t="s">
        <v>1006</v>
      </c>
      <c r="F520" s="19" t="s">
        <v>1028</v>
      </c>
      <c r="G520" s="2" t="str">
        <f t="shared" si="48"/>
        <v>http://jsmh.umin.jp/journal/14-3/14-3.pdf</v>
      </c>
      <c r="H520" s="42" t="str">
        <f t="shared" si="49"/>
        <v>http://dl.ndl.go.jp/info:ndljp/pid/3359241</v>
      </c>
    </row>
    <row r="521" spans="1:8" ht="30" customHeight="1" x14ac:dyDescent="0.15">
      <c r="A521" s="16" t="s">
        <v>996</v>
      </c>
      <c r="B521" s="17" t="s">
        <v>1029</v>
      </c>
      <c r="C521" s="17" t="s">
        <v>1030</v>
      </c>
      <c r="D521" s="25" t="s">
        <v>877</v>
      </c>
      <c r="E521" s="19" t="s">
        <v>1006</v>
      </c>
      <c r="F521" s="19" t="s">
        <v>1031</v>
      </c>
      <c r="G521" s="2" t="str">
        <f t="shared" si="48"/>
        <v>http://jsmh.umin.jp/journal/14-3/14-3.pdf</v>
      </c>
      <c r="H521" s="42" t="str">
        <f t="shared" si="49"/>
        <v>http://dl.ndl.go.jp/info:ndljp/pid/3359241</v>
      </c>
    </row>
    <row r="522" spans="1:8" ht="30" customHeight="1" x14ac:dyDescent="0.15">
      <c r="A522" s="16" t="s">
        <v>996</v>
      </c>
      <c r="B522" s="17" t="s">
        <v>1032</v>
      </c>
      <c r="C522" s="17" t="s">
        <v>1030</v>
      </c>
      <c r="D522" s="25" t="s">
        <v>877</v>
      </c>
      <c r="E522" s="19" t="s">
        <v>1006</v>
      </c>
      <c r="F522" s="19" t="s">
        <v>1033</v>
      </c>
      <c r="G522" s="2" t="str">
        <f t="shared" si="48"/>
        <v>http://jsmh.umin.jp/journal/14-3/14-3.pdf</v>
      </c>
      <c r="H522" s="42" t="str">
        <f t="shared" si="49"/>
        <v>http://dl.ndl.go.jp/info:ndljp/pid/3359241</v>
      </c>
    </row>
    <row r="523" spans="1:8" ht="30" customHeight="1" x14ac:dyDescent="0.15">
      <c r="A523" s="16" t="s">
        <v>81</v>
      </c>
      <c r="B523" s="17" t="s">
        <v>1034</v>
      </c>
      <c r="C523" s="17" t="s">
        <v>291</v>
      </c>
      <c r="D523" s="25" t="s">
        <v>877</v>
      </c>
      <c r="E523" s="19" t="s">
        <v>1006</v>
      </c>
      <c r="F523" s="19" t="s">
        <v>1035</v>
      </c>
      <c r="G523" s="2" t="str">
        <f t="shared" si="48"/>
        <v>http://jsmh.umin.jp/journal/14-3/14-3.pdf</v>
      </c>
      <c r="H523" s="42" t="str">
        <f t="shared" si="49"/>
        <v>http://dl.ndl.go.jp/info:ndljp/pid/3359241</v>
      </c>
    </row>
    <row r="524" spans="1:8" ht="30" customHeight="1" x14ac:dyDescent="0.15">
      <c r="A524" s="16" t="s">
        <v>17</v>
      </c>
      <c r="B524" s="17" t="s">
        <v>1036</v>
      </c>
      <c r="C524" s="17" t="s">
        <v>303</v>
      </c>
      <c r="D524" s="25" t="s">
        <v>877</v>
      </c>
      <c r="E524" s="19" t="s">
        <v>1037</v>
      </c>
      <c r="F524" s="19" t="s">
        <v>1038</v>
      </c>
      <c r="G524" s="2" t="str">
        <f t="shared" ref="G524:G539" si="50">HYPERLINK("http://jsmh.umin.jp/journal/14-4/14-4.pdf")</f>
        <v>http://jsmh.umin.jp/journal/14-4/14-4.pdf</v>
      </c>
      <c r="H524" s="42" t="str">
        <f>HYPERLINK("http://dl.ndl.go.jp/info:ndljp/pid/3359242")</f>
        <v>http://dl.ndl.go.jp/info:ndljp/pid/3359242</v>
      </c>
    </row>
    <row r="525" spans="1:8" ht="30" customHeight="1" x14ac:dyDescent="0.15">
      <c r="A525" s="16" t="s">
        <v>17</v>
      </c>
      <c r="B525" s="17" t="s">
        <v>1039</v>
      </c>
      <c r="C525" s="17" t="s">
        <v>1040</v>
      </c>
      <c r="D525" s="25" t="s">
        <v>877</v>
      </c>
      <c r="E525" s="19" t="s">
        <v>1037</v>
      </c>
      <c r="F525" s="19" t="s">
        <v>1041</v>
      </c>
      <c r="G525" s="2" t="str">
        <f t="shared" si="50"/>
        <v>http://jsmh.umin.jp/journal/14-4/14-4.pdf</v>
      </c>
      <c r="H525" s="42" t="str">
        <f t="shared" ref="H525:H539" si="51">HYPERLINK("http://dl.ndl.go.jp/info:ndljp/pid/3359242")</f>
        <v>http://dl.ndl.go.jp/info:ndljp/pid/3359242</v>
      </c>
    </row>
    <row r="526" spans="1:8" ht="30" customHeight="1" x14ac:dyDescent="0.15">
      <c r="A526" s="16" t="s">
        <v>17</v>
      </c>
      <c r="B526" s="17" t="s">
        <v>1042</v>
      </c>
      <c r="C526" s="17" t="s">
        <v>790</v>
      </c>
      <c r="D526" s="25" t="s">
        <v>877</v>
      </c>
      <c r="E526" s="19" t="s">
        <v>1037</v>
      </c>
      <c r="F526" s="19" t="s">
        <v>1043</v>
      </c>
      <c r="G526" s="2" t="str">
        <f t="shared" si="50"/>
        <v>http://jsmh.umin.jp/journal/14-4/14-4.pdf</v>
      </c>
      <c r="H526" s="42" t="str">
        <f t="shared" si="51"/>
        <v>http://dl.ndl.go.jp/info:ndljp/pid/3359242</v>
      </c>
    </row>
    <row r="527" spans="1:8" ht="30" customHeight="1" x14ac:dyDescent="0.15">
      <c r="A527" s="16" t="s">
        <v>17</v>
      </c>
      <c r="B527" s="17" t="s">
        <v>1044</v>
      </c>
      <c r="C527" s="17" t="s">
        <v>690</v>
      </c>
      <c r="D527" s="25" t="s">
        <v>877</v>
      </c>
      <c r="E527" s="19" t="s">
        <v>1037</v>
      </c>
      <c r="F527" s="19" t="s">
        <v>1045</v>
      </c>
      <c r="G527" s="2" t="str">
        <f t="shared" si="50"/>
        <v>http://jsmh.umin.jp/journal/14-4/14-4.pdf</v>
      </c>
      <c r="H527" s="42" t="str">
        <f t="shared" si="51"/>
        <v>http://dl.ndl.go.jp/info:ndljp/pid/3359242</v>
      </c>
    </row>
    <row r="528" spans="1:8" ht="30" customHeight="1" x14ac:dyDescent="0.15">
      <c r="A528" s="16" t="s">
        <v>704</v>
      </c>
      <c r="B528" s="17" t="s">
        <v>1046</v>
      </c>
      <c r="C528" s="17" t="s">
        <v>291</v>
      </c>
      <c r="D528" s="25" t="s">
        <v>877</v>
      </c>
      <c r="E528" s="19" t="s">
        <v>1037</v>
      </c>
      <c r="F528" s="19" t="s">
        <v>1047</v>
      </c>
      <c r="G528" s="2" t="str">
        <f t="shared" si="50"/>
        <v>http://jsmh.umin.jp/journal/14-4/14-4.pdf</v>
      </c>
      <c r="H528" s="42" t="str">
        <f t="shared" si="51"/>
        <v>http://dl.ndl.go.jp/info:ndljp/pid/3359242</v>
      </c>
    </row>
    <row r="529" spans="1:8" ht="30" customHeight="1" x14ac:dyDescent="0.15">
      <c r="A529" s="16" t="s">
        <v>704</v>
      </c>
      <c r="B529" s="17" t="s">
        <v>1048</v>
      </c>
      <c r="C529" s="17" t="s">
        <v>966</v>
      </c>
      <c r="D529" s="25" t="s">
        <v>877</v>
      </c>
      <c r="E529" s="19" t="s">
        <v>1037</v>
      </c>
      <c r="F529" s="19" t="s">
        <v>1047</v>
      </c>
      <c r="G529" s="2" t="str">
        <f t="shared" si="50"/>
        <v>http://jsmh.umin.jp/journal/14-4/14-4.pdf</v>
      </c>
      <c r="H529" s="42" t="str">
        <f t="shared" si="51"/>
        <v>http://dl.ndl.go.jp/info:ndljp/pid/3359242</v>
      </c>
    </row>
    <row r="530" spans="1:8" ht="30" customHeight="1" x14ac:dyDescent="0.15">
      <c r="A530" s="16" t="s">
        <v>704</v>
      </c>
      <c r="B530" s="17" t="s">
        <v>1049</v>
      </c>
      <c r="C530" s="17" t="s">
        <v>303</v>
      </c>
      <c r="D530" s="25" t="s">
        <v>877</v>
      </c>
      <c r="E530" s="19" t="s">
        <v>1037</v>
      </c>
      <c r="F530" s="19" t="s">
        <v>1050</v>
      </c>
      <c r="G530" s="2" t="str">
        <f t="shared" si="50"/>
        <v>http://jsmh.umin.jp/journal/14-4/14-4.pdf</v>
      </c>
      <c r="H530" s="42" t="str">
        <f t="shared" si="51"/>
        <v>http://dl.ndl.go.jp/info:ndljp/pid/3359242</v>
      </c>
    </row>
    <row r="531" spans="1:8" ht="30" customHeight="1" x14ac:dyDescent="0.15">
      <c r="A531" s="16" t="s">
        <v>704</v>
      </c>
      <c r="B531" s="17" t="s">
        <v>1051</v>
      </c>
      <c r="C531" s="17" t="s">
        <v>479</v>
      </c>
      <c r="D531" s="25" t="s">
        <v>877</v>
      </c>
      <c r="E531" s="19" t="s">
        <v>1037</v>
      </c>
      <c r="F531" s="19" t="s">
        <v>1052</v>
      </c>
      <c r="G531" s="2" t="str">
        <f t="shared" si="50"/>
        <v>http://jsmh.umin.jp/journal/14-4/14-4.pdf</v>
      </c>
      <c r="H531" s="42" t="str">
        <f t="shared" si="51"/>
        <v>http://dl.ndl.go.jp/info:ndljp/pid/3359242</v>
      </c>
    </row>
    <row r="532" spans="1:8" ht="30" customHeight="1" x14ac:dyDescent="0.15">
      <c r="A532" s="16" t="s">
        <v>704</v>
      </c>
      <c r="B532" s="17" t="s">
        <v>1053</v>
      </c>
      <c r="C532" s="17" t="s">
        <v>830</v>
      </c>
      <c r="D532" s="25" t="s">
        <v>877</v>
      </c>
      <c r="E532" s="19" t="s">
        <v>1037</v>
      </c>
      <c r="F532" s="19" t="s">
        <v>1054</v>
      </c>
      <c r="G532" s="2" t="str">
        <f t="shared" si="50"/>
        <v>http://jsmh.umin.jp/journal/14-4/14-4.pdf</v>
      </c>
      <c r="H532" s="42" t="str">
        <f t="shared" si="51"/>
        <v>http://dl.ndl.go.jp/info:ndljp/pid/3359242</v>
      </c>
    </row>
    <row r="533" spans="1:8" ht="30" customHeight="1" x14ac:dyDescent="0.15">
      <c r="A533" s="16" t="s">
        <v>704</v>
      </c>
      <c r="B533" s="17" t="s">
        <v>1055</v>
      </c>
      <c r="C533" s="17" t="s">
        <v>1056</v>
      </c>
      <c r="D533" s="25" t="s">
        <v>877</v>
      </c>
      <c r="E533" s="19" t="s">
        <v>1037</v>
      </c>
      <c r="F533" s="19" t="s">
        <v>1057</v>
      </c>
      <c r="G533" s="2" t="str">
        <f t="shared" si="50"/>
        <v>http://jsmh.umin.jp/journal/14-4/14-4.pdf</v>
      </c>
      <c r="H533" s="42" t="str">
        <f t="shared" si="51"/>
        <v>http://dl.ndl.go.jp/info:ndljp/pid/3359242</v>
      </c>
    </row>
    <row r="534" spans="1:8" ht="30" customHeight="1" x14ac:dyDescent="0.15">
      <c r="A534" s="16" t="s">
        <v>704</v>
      </c>
      <c r="B534" s="17" t="s">
        <v>1058</v>
      </c>
      <c r="C534" s="17" t="s">
        <v>663</v>
      </c>
      <c r="D534" s="25" t="s">
        <v>877</v>
      </c>
      <c r="E534" s="19" t="s">
        <v>1037</v>
      </c>
      <c r="F534" s="19" t="s">
        <v>1059</v>
      </c>
      <c r="G534" s="2" t="str">
        <f t="shared" si="50"/>
        <v>http://jsmh.umin.jp/journal/14-4/14-4.pdf</v>
      </c>
      <c r="H534" s="42" t="str">
        <f t="shared" si="51"/>
        <v>http://dl.ndl.go.jp/info:ndljp/pid/3359242</v>
      </c>
    </row>
    <row r="535" spans="1:8" ht="30" customHeight="1" x14ac:dyDescent="0.15">
      <c r="A535" s="16" t="s">
        <v>704</v>
      </c>
      <c r="B535" s="17" t="s">
        <v>1060</v>
      </c>
      <c r="C535" s="17" t="s">
        <v>198</v>
      </c>
      <c r="D535" s="25" t="s">
        <v>877</v>
      </c>
      <c r="E535" s="19" t="s">
        <v>1037</v>
      </c>
      <c r="F535" s="19" t="s">
        <v>1061</v>
      </c>
      <c r="G535" s="2" t="str">
        <f t="shared" si="50"/>
        <v>http://jsmh.umin.jp/journal/14-4/14-4.pdf</v>
      </c>
      <c r="H535" s="42" t="str">
        <f t="shared" si="51"/>
        <v>http://dl.ndl.go.jp/info:ndljp/pid/3359242</v>
      </c>
    </row>
    <row r="536" spans="1:8" ht="30" customHeight="1" x14ac:dyDescent="0.15">
      <c r="A536" s="16" t="s">
        <v>704</v>
      </c>
      <c r="B536" s="17" t="s">
        <v>1062</v>
      </c>
      <c r="C536" s="17" t="s">
        <v>1063</v>
      </c>
      <c r="D536" s="25" t="s">
        <v>877</v>
      </c>
      <c r="E536" s="19" t="s">
        <v>1037</v>
      </c>
      <c r="F536" s="19" t="s">
        <v>1064</v>
      </c>
      <c r="G536" s="2" t="str">
        <f t="shared" si="50"/>
        <v>http://jsmh.umin.jp/journal/14-4/14-4.pdf</v>
      </c>
      <c r="H536" s="42" t="str">
        <f t="shared" si="51"/>
        <v>http://dl.ndl.go.jp/info:ndljp/pid/3359242</v>
      </c>
    </row>
    <row r="537" spans="1:8" ht="30" customHeight="1" x14ac:dyDescent="0.15">
      <c r="A537" s="16" t="s">
        <v>996</v>
      </c>
      <c r="B537" s="17" t="s">
        <v>1065</v>
      </c>
      <c r="C537" s="17" t="s">
        <v>1025</v>
      </c>
      <c r="D537" s="25" t="s">
        <v>877</v>
      </c>
      <c r="E537" s="19" t="s">
        <v>1037</v>
      </c>
      <c r="F537" s="19" t="s">
        <v>1066</v>
      </c>
      <c r="G537" s="2" t="str">
        <f t="shared" si="50"/>
        <v>http://jsmh.umin.jp/journal/14-4/14-4.pdf</v>
      </c>
      <c r="H537" s="42" t="str">
        <f t="shared" si="51"/>
        <v>http://dl.ndl.go.jp/info:ndljp/pid/3359242</v>
      </c>
    </row>
    <row r="538" spans="1:8" ht="30" customHeight="1" x14ac:dyDescent="0.15">
      <c r="A538" s="16" t="s">
        <v>81</v>
      </c>
      <c r="B538" s="17" t="s">
        <v>1067</v>
      </c>
      <c r="C538" s="17" t="s">
        <v>134</v>
      </c>
      <c r="D538" s="25" t="s">
        <v>877</v>
      </c>
      <c r="E538" s="19" t="s">
        <v>1037</v>
      </c>
      <c r="F538" s="19" t="s">
        <v>1068</v>
      </c>
      <c r="G538" s="2" t="str">
        <f t="shared" si="50"/>
        <v>http://jsmh.umin.jp/journal/14-4/14-4.pdf</v>
      </c>
      <c r="H538" s="42" t="str">
        <f t="shared" si="51"/>
        <v>http://dl.ndl.go.jp/info:ndljp/pid/3359242</v>
      </c>
    </row>
    <row r="539" spans="1:8" ht="30" customHeight="1" x14ac:dyDescent="0.15">
      <c r="A539" s="16" t="s">
        <v>81</v>
      </c>
      <c r="B539" s="17" t="s">
        <v>1069</v>
      </c>
      <c r="C539" s="17" t="s">
        <v>1070</v>
      </c>
      <c r="D539" s="25" t="s">
        <v>877</v>
      </c>
      <c r="E539" s="19" t="s">
        <v>1037</v>
      </c>
      <c r="F539" s="19" t="s">
        <v>1068</v>
      </c>
      <c r="G539" s="2" t="str">
        <f t="shared" si="50"/>
        <v>http://jsmh.umin.jp/journal/14-4/14-4.pdf</v>
      </c>
      <c r="H539" s="42" t="str">
        <f t="shared" si="51"/>
        <v>http://dl.ndl.go.jp/info:ndljp/pid/3359242</v>
      </c>
    </row>
    <row r="540" spans="1:8" ht="30" customHeight="1" x14ac:dyDescent="0.15">
      <c r="A540" s="16" t="s">
        <v>17</v>
      </c>
      <c r="B540" s="17" t="s">
        <v>1071</v>
      </c>
      <c r="C540" s="17" t="s">
        <v>198</v>
      </c>
      <c r="D540" s="18" t="s">
        <v>1072</v>
      </c>
      <c r="E540" s="19" t="s">
        <v>1073</v>
      </c>
      <c r="F540" s="19" t="s">
        <v>1074</v>
      </c>
      <c r="G540" s="2" t="str">
        <f t="shared" ref="G540:G561" si="52">HYPERLINK("http://jsmh.umin.jp/journal/15-1/15-1.pdf")</f>
        <v>http://jsmh.umin.jp/journal/15-1/15-1.pdf</v>
      </c>
      <c r="H540" s="42" t="str">
        <f>HYPERLINK("http://dl.ndl.go.jp/info:ndljp/pid/3359243")</f>
        <v>http://dl.ndl.go.jp/info:ndljp/pid/3359243</v>
      </c>
    </row>
    <row r="541" spans="1:8" ht="30" customHeight="1" x14ac:dyDescent="0.15">
      <c r="A541" s="16" t="s">
        <v>17</v>
      </c>
      <c r="B541" s="17" t="s">
        <v>1075</v>
      </c>
      <c r="C541" s="17" t="s">
        <v>690</v>
      </c>
      <c r="D541" s="25" t="s">
        <v>1072</v>
      </c>
      <c r="E541" s="19" t="s">
        <v>1073</v>
      </c>
      <c r="F541" s="19" t="s">
        <v>1076</v>
      </c>
      <c r="G541" s="2" t="str">
        <f t="shared" si="52"/>
        <v>http://jsmh.umin.jp/journal/15-1/15-1.pdf</v>
      </c>
      <c r="H541" s="42" t="str">
        <f t="shared" ref="H541:H561" si="53">HYPERLINK("http://dl.ndl.go.jp/info:ndljp/pid/3359243")</f>
        <v>http://dl.ndl.go.jp/info:ndljp/pid/3359243</v>
      </c>
    </row>
    <row r="542" spans="1:8" ht="30" customHeight="1" x14ac:dyDescent="0.15">
      <c r="A542" s="16" t="s">
        <v>17</v>
      </c>
      <c r="B542" s="17" t="s">
        <v>1077</v>
      </c>
      <c r="C542" s="17" t="s">
        <v>690</v>
      </c>
      <c r="D542" s="25" t="s">
        <v>1072</v>
      </c>
      <c r="E542" s="19" t="s">
        <v>1073</v>
      </c>
      <c r="F542" s="19" t="s">
        <v>1078</v>
      </c>
      <c r="G542" s="2" t="str">
        <f t="shared" si="52"/>
        <v>http://jsmh.umin.jp/journal/15-1/15-1.pdf</v>
      </c>
      <c r="H542" s="42" t="str">
        <f t="shared" si="53"/>
        <v>http://dl.ndl.go.jp/info:ndljp/pid/3359243</v>
      </c>
    </row>
    <row r="543" spans="1:8" ht="30" customHeight="1" x14ac:dyDescent="0.15">
      <c r="A543" s="16" t="s">
        <v>17</v>
      </c>
      <c r="B543" s="17" t="s">
        <v>1079</v>
      </c>
      <c r="C543" s="17" t="s">
        <v>790</v>
      </c>
      <c r="D543" s="25" t="s">
        <v>1072</v>
      </c>
      <c r="E543" s="19" t="s">
        <v>1073</v>
      </c>
      <c r="F543" s="19" t="s">
        <v>1080</v>
      </c>
      <c r="G543" s="2" t="str">
        <f t="shared" si="52"/>
        <v>http://jsmh.umin.jp/journal/15-1/15-1.pdf</v>
      </c>
      <c r="H543" s="42" t="str">
        <f t="shared" si="53"/>
        <v>http://dl.ndl.go.jp/info:ndljp/pid/3359243</v>
      </c>
    </row>
    <row r="544" spans="1:8" ht="30" customHeight="1" x14ac:dyDescent="0.15">
      <c r="A544" s="16" t="s">
        <v>17</v>
      </c>
      <c r="B544" s="17" t="s">
        <v>1081</v>
      </c>
      <c r="C544" s="17" t="s">
        <v>1082</v>
      </c>
      <c r="D544" s="25" t="s">
        <v>1072</v>
      </c>
      <c r="E544" s="19" t="s">
        <v>1073</v>
      </c>
      <c r="F544" s="19" t="s">
        <v>1083</v>
      </c>
      <c r="G544" s="2" t="str">
        <f t="shared" si="52"/>
        <v>http://jsmh.umin.jp/journal/15-1/15-1.pdf</v>
      </c>
      <c r="H544" s="42" t="str">
        <f t="shared" si="53"/>
        <v>http://dl.ndl.go.jp/info:ndljp/pid/3359243</v>
      </c>
    </row>
    <row r="545" spans="1:8" ht="30" customHeight="1" x14ac:dyDescent="0.15">
      <c r="A545" s="16" t="s">
        <v>692</v>
      </c>
      <c r="B545" s="17" t="s">
        <v>1084</v>
      </c>
      <c r="C545" s="17" t="s">
        <v>1085</v>
      </c>
      <c r="D545" s="25" t="s">
        <v>1072</v>
      </c>
      <c r="E545" s="19" t="s">
        <v>1073</v>
      </c>
      <c r="F545" s="19" t="s">
        <v>1086</v>
      </c>
      <c r="G545" s="2" t="str">
        <f t="shared" si="52"/>
        <v>http://jsmh.umin.jp/journal/15-1/15-1.pdf</v>
      </c>
      <c r="H545" s="42" t="str">
        <f t="shared" si="53"/>
        <v>http://dl.ndl.go.jp/info:ndljp/pid/3359243</v>
      </c>
    </row>
    <row r="546" spans="1:8" ht="30" customHeight="1" x14ac:dyDescent="0.15">
      <c r="A546" s="16" t="s">
        <v>81</v>
      </c>
      <c r="B546" s="17" t="s">
        <v>1087</v>
      </c>
      <c r="C546" s="17" t="s">
        <v>1088</v>
      </c>
      <c r="D546" s="25" t="s">
        <v>1072</v>
      </c>
      <c r="E546" s="19" t="s">
        <v>1073</v>
      </c>
      <c r="F546" s="19" t="s">
        <v>536</v>
      </c>
      <c r="G546" s="2" t="str">
        <f t="shared" si="52"/>
        <v>http://jsmh.umin.jp/journal/15-1/15-1.pdf</v>
      </c>
      <c r="H546" s="42" t="str">
        <f t="shared" si="53"/>
        <v>http://dl.ndl.go.jp/info:ndljp/pid/3359243</v>
      </c>
    </row>
    <row r="547" spans="1:8" ht="30" customHeight="1" x14ac:dyDescent="0.15">
      <c r="A547" s="16" t="s">
        <v>704</v>
      </c>
      <c r="B547" s="17" t="s">
        <v>1089</v>
      </c>
      <c r="C547" s="17" t="s">
        <v>1090</v>
      </c>
      <c r="D547" s="25" t="s">
        <v>1072</v>
      </c>
      <c r="E547" s="19" t="s">
        <v>1073</v>
      </c>
      <c r="F547" s="19" t="s">
        <v>1091</v>
      </c>
      <c r="G547" s="2" t="str">
        <f t="shared" si="52"/>
        <v>http://jsmh.umin.jp/journal/15-1/15-1.pdf</v>
      </c>
      <c r="H547" s="42" t="str">
        <f t="shared" si="53"/>
        <v>http://dl.ndl.go.jp/info:ndljp/pid/3359243</v>
      </c>
    </row>
    <row r="548" spans="1:8" ht="30" customHeight="1" x14ac:dyDescent="0.15">
      <c r="A548" s="16" t="s">
        <v>704</v>
      </c>
      <c r="B548" s="17" t="s">
        <v>1092</v>
      </c>
      <c r="C548" s="17" t="s">
        <v>1093</v>
      </c>
      <c r="D548" s="25" t="s">
        <v>1072</v>
      </c>
      <c r="E548" s="19" t="s">
        <v>1073</v>
      </c>
      <c r="F548" s="19" t="s">
        <v>542</v>
      </c>
      <c r="G548" s="2" t="str">
        <f t="shared" si="52"/>
        <v>http://jsmh.umin.jp/journal/15-1/15-1.pdf</v>
      </c>
      <c r="H548" s="42" t="str">
        <f t="shared" si="53"/>
        <v>http://dl.ndl.go.jp/info:ndljp/pid/3359243</v>
      </c>
    </row>
    <row r="549" spans="1:8" ht="30" customHeight="1" x14ac:dyDescent="0.15">
      <c r="A549" s="16" t="s">
        <v>704</v>
      </c>
      <c r="B549" s="17" t="s">
        <v>1094</v>
      </c>
      <c r="C549" s="17" t="s">
        <v>1095</v>
      </c>
      <c r="D549" s="25" t="s">
        <v>1072</v>
      </c>
      <c r="E549" s="19" t="s">
        <v>1073</v>
      </c>
      <c r="F549" s="19" t="s">
        <v>542</v>
      </c>
      <c r="G549" s="2" t="str">
        <f t="shared" si="52"/>
        <v>http://jsmh.umin.jp/journal/15-1/15-1.pdf</v>
      </c>
      <c r="H549" s="42" t="str">
        <f t="shared" si="53"/>
        <v>http://dl.ndl.go.jp/info:ndljp/pid/3359243</v>
      </c>
    </row>
    <row r="550" spans="1:8" ht="30" customHeight="1" x14ac:dyDescent="0.15">
      <c r="A550" s="16" t="s">
        <v>704</v>
      </c>
      <c r="B550" s="17" t="s">
        <v>1096</v>
      </c>
      <c r="C550" s="17" t="s">
        <v>1097</v>
      </c>
      <c r="D550" s="25" t="s">
        <v>1072</v>
      </c>
      <c r="E550" s="19" t="s">
        <v>1073</v>
      </c>
      <c r="F550" s="19" t="s">
        <v>542</v>
      </c>
      <c r="G550" s="2" t="str">
        <f t="shared" si="52"/>
        <v>http://jsmh.umin.jp/journal/15-1/15-1.pdf</v>
      </c>
      <c r="H550" s="42" t="str">
        <f t="shared" si="53"/>
        <v>http://dl.ndl.go.jp/info:ndljp/pid/3359243</v>
      </c>
    </row>
    <row r="551" spans="1:8" ht="30" customHeight="1" x14ac:dyDescent="0.15">
      <c r="A551" s="16" t="s">
        <v>704</v>
      </c>
      <c r="B551" s="17" t="s">
        <v>1098</v>
      </c>
      <c r="C551" s="17" t="s">
        <v>212</v>
      </c>
      <c r="D551" s="25" t="s">
        <v>1072</v>
      </c>
      <c r="E551" s="19" t="s">
        <v>1073</v>
      </c>
      <c r="F551" s="19" t="s">
        <v>1099</v>
      </c>
      <c r="G551" s="2" t="str">
        <f t="shared" si="52"/>
        <v>http://jsmh.umin.jp/journal/15-1/15-1.pdf</v>
      </c>
      <c r="H551" s="42" t="str">
        <f t="shared" si="53"/>
        <v>http://dl.ndl.go.jp/info:ndljp/pid/3359243</v>
      </c>
    </row>
    <row r="552" spans="1:8" ht="30" customHeight="1" x14ac:dyDescent="0.15">
      <c r="A552" s="16" t="s">
        <v>704</v>
      </c>
      <c r="B552" s="17" t="s">
        <v>1100</v>
      </c>
      <c r="C552" s="17" t="s">
        <v>57</v>
      </c>
      <c r="D552" s="25" t="s">
        <v>1072</v>
      </c>
      <c r="E552" s="19" t="s">
        <v>1073</v>
      </c>
      <c r="F552" s="19" t="s">
        <v>1101</v>
      </c>
      <c r="G552" s="2" t="str">
        <f t="shared" si="52"/>
        <v>http://jsmh.umin.jp/journal/15-1/15-1.pdf</v>
      </c>
      <c r="H552" s="42" t="str">
        <f t="shared" si="53"/>
        <v>http://dl.ndl.go.jp/info:ndljp/pid/3359243</v>
      </c>
    </row>
    <row r="553" spans="1:8" ht="30" customHeight="1" x14ac:dyDescent="0.15">
      <c r="A553" s="16" t="s">
        <v>1102</v>
      </c>
      <c r="B553" s="17" t="s">
        <v>1103</v>
      </c>
      <c r="C553" s="17" t="s">
        <v>1030</v>
      </c>
      <c r="D553" s="25" t="s">
        <v>1072</v>
      </c>
      <c r="E553" s="19" t="s">
        <v>1073</v>
      </c>
      <c r="F553" s="19" t="s">
        <v>1104</v>
      </c>
      <c r="G553" s="2" t="str">
        <f t="shared" si="52"/>
        <v>http://jsmh.umin.jp/journal/15-1/15-1.pdf</v>
      </c>
      <c r="H553" s="42" t="str">
        <f t="shared" si="53"/>
        <v>http://dl.ndl.go.jp/info:ndljp/pid/3359243</v>
      </c>
    </row>
    <row r="554" spans="1:8" ht="30" customHeight="1" x14ac:dyDescent="0.15">
      <c r="A554" s="16" t="s">
        <v>1102</v>
      </c>
      <c r="B554" s="17" t="s">
        <v>1105</v>
      </c>
      <c r="C554" s="17" t="s">
        <v>198</v>
      </c>
      <c r="D554" s="25" t="s">
        <v>1072</v>
      </c>
      <c r="E554" s="19" t="s">
        <v>1073</v>
      </c>
      <c r="F554" s="19" t="s">
        <v>1106</v>
      </c>
      <c r="G554" s="2" t="str">
        <f t="shared" si="52"/>
        <v>http://jsmh.umin.jp/journal/15-1/15-1.pdf</v>
      </c>
      <c r="H554" s="42" t="str">
        <f t="shared" si="53"/>
        <v>http://dl.ndl.go.jp/info:ndljp/pid/3359243</v>
      </c>
    </row>
    <row r="555" spans="1:8" ht="30" customHeight="1" x14ac:dyDescent="0.15">
      <c r="A555" s="16" t="s">
        <v>1102</v>
      </c>
      <c r="B555" s="17" t="s">
        <v>1107</v>
      </c>
      <c r="C555" s="17" t="s">
        <v>830</v>
      </c>
      <c r="D555" s="25" t="s">
        <v>1072</v>
      </c>
      <c r="E555" s="19" t="s">
        <v>1073</v>
      </c>
      <c r="F555" s="19" t="s">
        <v>1108</v>
      </c>
      <c r="G555" s="2" t="str">
        <f t="shared" si="52"/>
        <v>http://jsmh.umin.jp/journal/15-1/15-1.pdf</v>
      </c>
      <c r="H555" s="42" t="str">
        <f t="shared" si="53"/>
        <v>http://dl.ndl.go.jp/info:ndljp/pid/3359243</v>
      </c>
    </row>
    <row r="556" spans="1:8" ht="30" customHeight="1" x14ac:dyDescent="0.15">
      <c r="A556" s="16" t="s">
        <v>996</v>
      </c>
      <c r="B556" s="17" t="s">
        <v>1109</v>
      </c>
      <c r="C556" s="17" t="s">
        <v>1110</v>
      </c>
      <c r="D556" s="25" t="s">
        <v>1072</v>
      </c>
      <c r="E556" s="19" t="s">
        <v>1073</v>
      </c>
      <c r="F556" s="19" t="s">
        <v>889</v>
      </c>
      <c r="G556" s="2" t="str">
        <f t="shared" si="52"/>
        <v>http://jsmh.umin.jp/journal/15-1/15-1.pdf</v>
      </c>
      <c r="H556" s="42" t="str">
        <f t="shared" si="53"/>
        <v>http://dl.ndl.go.jp/info:ndljp/pid/3359243</v>
      </c>
    </row>
    <row r="557" spans="1:8" ht="30" customHeight="1" x14ac:dyDescent="0.15">
      <c r="A557" s="16" t="s">
        <v>996</v>
      </c>
      <c r="B557" s="17" t="s">
        <v>1111</v>
      </c>
      <c r="C557" s="17" t="s">
        <v>1110</v>
      </c>
      <c r="D557" s="25" t="s">
        <v>1072</v>
      </c>
      <c r="E557" s="19" t="s">
        <v>1073</v>
      </c>
      <c r="F557" s="19" t="s">
        <v>709</v>
      </c>
      <c r="G557" s="2" t="str">
        <f t="shared" si="52"/>
        <v>http://jsmh.umin.jp/journal/15-1/15-1.pdf</v>
      </c>
      <c r="H557" s="42" t="str">
        <f t="shared" si="53"/>
        <v>http://dl.ndl.go.jp/info:ndljp/pid/3359243</v>
      </c>
    </row>
    <row r="558" spans="1:8" ht="30" customHeight="1" x14ac:dyDescent="0.15">
      <c r="A558" s="16" t="s">
        <v>996</v>
      </c>
      <c r="B558" s="17" t="s">
        <v>1112</v>
      </c>
      <c r="C558" s="17" t="s">
        <v>1025</v>
      </c>
      <c r="D558" s="25" t="s">
        <v>1072</v>
      </c>
      <c r="E558" s="19" t="s">
        <v>1073</v>
      </c>
      <c r="F558" s="19" t="s">
        <v>338</v>
      </c>
      <c r="G558" s="2" t="str">
        <f t="shared" si="52"/>
        <v>http://jsmh.umin.jp/journal/15-1/15-1.pdf</v>
      </c>
      <c r="H558" s="42" t="str">
        <f t="shared" si="53"/>
        <v>http://dl.ndl.go.jp/info:ndljp/pid/3359243</v>
      </c>
    </row>
    <row r="559" spans="1:8" ht="30" customHeight="1" x14ac:dyDescent="0.15">
      <c r="A559" s="16" t="s">
        <v>996</v>
      </c>
      <c r="B559" s="17" t="s">
        <v>1113</v>
      </c>
      <c r="C559" s="17" t="s">
        <v>1025</v>
      </c>
      <c r="D559" s="25" t="s">
        <v>1072</v>
      </c>
      <c r="E559" s="19" t="s">
        <v>1073</v>
      </c>
      <c r="F559" s="19" t="s">
        <v>167</v>
      </c>
      <c r="G559" s="2" t="str">
        <f t="shared" si="52"/>
        <v>http://jsmh.umin.jp/journal/15-1/15-1.pdf</v>
      </c>
      <c r="H559" s="42" t="str">
        <f t="shared" si="53"/>
        <v>http://dl.ndl.go.jp/info:ndljp/pid/3359243</v>
      </c>
    </row>
    <row r="560" spans="1:8" ht="30" customHeight="1" x14ac:dyDescent="0.15">
      <c r="A560" s="16" t="s">
        <v>81</v>
      </c>
      <c r="B560" s="17" t="s">
        <v>1114</v>
      </c>
      <c r="C560" s="17"/>
      <c r="D560" s="25" t="s">
        <v>1072</v>
      </c>
      <c r="E560" s="19" t="s">
        <v>1073</v>
      </c>
      <c r="F560" s="19" t="s">
        <v>550</v>
      </c>
      <c r="G560" s="2" t="str">
        <f t="shared" si="52"/>
        <v>http://jsmh.umin.jp/journal/15-1/15-1.pdf</v>
      </c>
      <c r="H560" s="42" t="str">
        <f t="shared" si="53"/>
        <v>http://dl.ndl.go.jp/info:ndljp/pid/3359243</v>
      </c>
    </row>
    <row r="561" spans="1:8" ht="30" customHeight="1" x14ac:dyDescent="0.15">
      <c r="A561" s="16" t="s">
        <v>1115</v>
      </c>
      <c r="B561" s="17" t="s">
        <v>1116</v>
      </c>
      <c r="C561" s="17" t="s">
        <v>798</v>
      </c>
      <c r="D561" s="25" t="s">
        <v>1072</v>
      </c>
      <c r="E561" s="19" t="s">
        <v>1073</v>
      </c>
      <c r="F561" s="19" t="s">
        <v>1117</v>
      </c>
      <c r="G561" s="2" t="str">
        <f t="shared" si="52"/>
        <v>http://jsmh.umin.jp/journal/15-1/15-1.pdf</v>
      </c>
      <c r="H561" s="42" t="str">
        <f t="shared" si="53"/>
        <v>http://dl.ndl.go.jp/info:ndljp/pid/3359243</v>
      </c>
    </row>
    <row r="562" spans="1:8" ht="30" customHeight="1" x14ac:dyDescent="0.15">
      <c r="A562" s="16" t="s">
        <v>88</v>
      </c>
      <c r="B562" s="17" t="s">
        <v>1118</v>
      </c>
      <c r="C562" s="17" t="s">
        <v>1119</v>
      </c>
      <c r="D562" s="25" t="s">
        <v>1072</v>
      </c>
      <c r="E562" s="19" t="s">
        <v>1120</v>
      </c>
      <c r="F562" s="19" t="s">
        <v>1121</v>
      </c>
      <c r="G562" s="2" t="str">
        <f t="shared" ref="G562:G593" si="54">HYPERLINK("http://jsmh.umin.jp/journal/15-2/15-2.pdf")</f>
        <v>http://jsmh.umin.jp/journal/15-2/15-2.pdf</v>
      </c>
      <c r="H562" s="42" t="str">
        <f>HYPERLINK("http://dl.ndl.go.jp/info:ndljp/pid/3359244")</f>
        <v>http://dl.ndl.go.jp/info:ndljp/pid/3359244</v>
      </c>
    </row>
    <row r="563" spans="1:8" ht="30" customHeight="1" x14ac:dyDescent="0.15">
      <c r="A563" s="16" t="s">
        <v>88</v>
      </c>
      <c r="B563" s="17" t="s">
        <v>1122</v>
      </c>
      <c r="C563" s="17" t="s">
        <v>303</v>
      </c>
      <c r="D563" s="25" t="s">
        <v>1072</v>
      </c>
      <c r="E563" s="19" t="s">
        <v>1120</v>
      </c>
      <c r="F563" s="19" t="s">
        <v>1123</v>
      </c>
      <c r="G563" s="2" t="str">
        <f t="shared" si="54"/>
        <v>http://jsmh.umin.jp/journal/15-2/15-2.pdf</v>
      </c>
      <c r="H563" s="42" t="str">
        <f t="shared" ref="H563:H610" si="55">HYPERLINK("http://dl.ndl.go.jp/info:ndljp/pid/3359244")</f>
        <v>http://dl.ndl.go.jp/info:ndljp/pid/3359244</v>
      </c>
    </row>
    <row r="564" spans="1:8" ht="30" customHeight="1" x14ac:dyDescent="0.15">
      <c r="A564" s="16" t="s">
        <v>88</v>
      </c>
      <c r="B564" s="17" t="s">
        <v>1124</v>
      </c>
      <c r="C564" s="17" t="s">
        <v>1125</v>
      </c>
      <c r="D564" s="25" t="s">
        <v>1072</v>
      </c>
      <c r="E564" s="19" t="s">
        <v>1120</v>
      </c>
      <c r="F564" s="19" t="s">
        <v>1126</v>
      </c>
      <c r="G564" s="2" t="str">
        <f t="shared" si="54"/>
        <v>http://jsmh.umin.jp/journal/15-2/15-2.pdf</v>
      </c>
      <c r="H564" s="42" t="str">
        <f t="shared" si="55"/>
        <v>http://dl.ndl.go.jp/info:ndljp/pid/3359244</v>
      </c>
    </row>
    <row r="565" spans="1:8" ht="30" customHeight="1" x14ac:dyDescent="0.15">
      <c r="A565" s="16" t="s">
        <v>88</v>
      </c>
      <c r="B565" s="17" t="s">
        <v>1127</v>
      </c>
      <c r="C565" s="17" t="s">
        <v>18</v>
      </c>
      <c r="D565" s="25" t="s">
        <v>1072</v>
      </c>
      <c r="E565" s="19" t="s">
        <v>1120</v>
      </c>
      <c r="F565" s="19" t="s">
        <v>1128</v>
      </c>
      <c r="G565" s="2" t="str">
        <f t="shared" si="54"/>
        <v>http://jsmh.umin.jp/journal/15-2/15-2.pdf</v>
      </c>
      <c r="H565" s="42" t="str">
        <f t="shared" si="55"/>
        <v>http://dl.ndl.go.jp/info:ndljp/pid/3359244</v>
      </c>
    </row>
    <row r="566" spans="1:8" ht="30" customHeight="1" x14ac:dyDescent="0.15">
      <c r="A566" s="16" t="s">
        <v>1129</v>
      </c>
      <c r="B566" s="17" t="s">
        <v>1077</v>
      </c>
      <c r="C566" s="17" t="s">
        <v>690</v>
      </c>
      <c r="D566" s="25" t="s">
        <v>1072</v>
      </c>
      <c r="E566" s="19" t="s">
        <v>1120</v>
      </c>
      <c r="F566" s="19" t="s">
        <v>393</v>
      </c>
      <c r="G566" s="2" t="str">
        <f t="shared" si="54"/>
        <v>http://jsmh.umin.jp/journal/15-2/15-2.pdf</v>
      </c>
      <c r="H566" s="42" t="str">
        <f t="shared" si="55"/>
        <v>http://dl.ndl.go.jp/info:ndljp/pid/3359244</v>
      </c>
    </row>
    <row r="567" spans="1:8" ht="30" customHeight="1" x14ac:dyDescent="0.15">
      <c r="A567" s="16" t="s">
        <v>1129</v>
      </c>
      <c r="B567" s="17" t="s">
        <v>1130</v>
      </c>
      <c r="C567" s="17" t="s">
        <v>1131</v>
      </c>
      <c r="D567" s="25" t="s">
        <v>1072</v>
      </c>
      <c r="E567" s="19" t="s">
        <v>1120</v>
      </c>
      <c r="F567" s="19" t="s">
        <v>1132</v>
      </c>
      <c r="G567" s="2" t="str">
        <f t="shared" si="54"/>
        <v>http://jsmh.umin.jp/journal/15-2/15-2.pdf</v>
      </c>
      <c r="H567" s="42" t="str">
        <f t="shared" si="55"/>
        <v>http://dl.ndl.go.jp/info:ndljp/pid/3359244</v>
      </c>
    </row>
    <row r="568" spans="1:8" ht="30" customHeight="1" x14ac:dyDescent="0.15">
      <c r="A568" s="16" t="s">
        <v>1129</v>
      </c>
      <c r="B568" s="17" t="s">
        <v>1133</v>
      </c>
      <c r="C568" s="17" t="s">
        <v>1134</v>
      </c>
      <c r="D568" s="25" t="s">
        <v>1072</v>
      </c>
      <c r="E568" s="19" t="s">
        <v>1120</v>
      </c>
      <c r="F568" s="19" t="s">
        <v>521</v>
      </c>
      <c r="G568" s="2" t="str">
        <f t="shared" si="54"/>
        <v>http://jsmh.umin.jp/journal/15-2/15-2.pdf</v>
      </c>
      <c r="H568" s="42" t="str">
        <f t="shared" si="55"/>
        <v>http://dl.ndl.go.jp/info:ndljp/pid/3359244</v>
      </c>
    </row>
    <row r="569" spans="1:8" ht="30" customHeight="1" x14ac:dyDescent="0.15">
      <c r="A569" s="16" t="s">
        <v>1129</v>
      </c>
      <c r="B569" s="17" t="s">
        <v>1135</v>
      </c>
      <c r="C569" s="17" t="s">
        <v>1136</v>
      </c>
      <c r="D569" s="25" t="s">
        <v>1072</v>
      </c>
      <c r="E569" s="19" t="s">
        <v>1120</v>
      </c>
      <c r="F569" s="19" t="s">
        <v>397</v>
      </c>
      <c r="G569" s="2" t="str">
        <f t="shared" si="54"/>
        <v>http://jsmh.umin.jp/journal/15-2/15-2.pdf</v>
      </c>
      <c r="H569" s="42" t="str">
        <f t="shared" si="55"/>
        <v>http://dl.ndl.go.jp/info:ndljp/pid/3359244</v>
      </c>
    </row>
    <row r="570" spans="1:8" ht="30" customHeight="1" x14ac:dyDescent="0.15">
      <c r="A570" s="16" t="s">
        <v>1129</v>
      </c>
      <c r="B570" s="17" t="s">
        <v>1137</v>
      </c>
      <c r="C570" s="17" t="s">
        <v>838</v>
      </c>
      <c r="D570" s="25" t="s">
        <v>1072</v>
      </c>
      <c r="E570" s="19" t="s">
        <v>1120</v>
      </c>
      <c r="F570" s="19" t="s">
        <v>401</v>
      </c>
      <c r="G570" s="2" t="str">
        <f t="shared" si="54"/>
        <v>http://jsmh.umin.jp/journal/15-2/15-2.pdf</v>
      </c>
      <c r="H570" s="42" t="str">
        <f t="shared" si="55"/>
        <v>http://dl.ndl.go.jp/info:ndljp/pid/3359244</v>
      </c>
    </row>
    <row r="571" spans="1:8" ht="30" customHeight="1" x14ac:dyDescent="0.15">
      <c r="A571" s="16" t="s">
        <v>1129</v>
      </c>
      <c r="B571" s="17" t="s">
        <v>1138</v>
      </c>
      <c r="C571" s="17" t="s">
        <v>1139</v>
      </c>
      <c r="D571" s="25" t="s">
        <v>1072</v>
      </c>
      <c r="E571" s="19" t="s">
        <v>1120</v>
      </c>
      <c r="F571" s="19" t="s">
        <v>744</v>
      </c>
      <c r="G571" s="2" t="str">
        <f t="shared" si="54"/>
        <v>http://jsmh.umin.jp/journal/15-2/15-2.pdf</v>
      </c>
      <c r="H571" s="42" t="str">
        <f t="shared" si="55"/>
        <v>http://dl.ndl.go.jp/info:ndljp/pid/3359244</v>
      </c>
    </row>
    <row r="572" spans="1:8" ht="30" customHeight="1" x14ac:dyDescent="0.15">
      <c r="A572" s="16" t="s">
        <v>1129</v>
      </c>
      <c r="B572" s="17" t="s">
        <v>1140</v>
      </c>
      <c r="C572" s="17" t="s">
        <v>937</v>
      </c>
      <c r="D572" s="25" t="s">
        <v>1072</v>
      </c>
      <c r="E572" s="19" t="s">
        <v>1120</v>
      </c>
      <c r="F572" s="19" t="s">
        <v>746</v>
      </c>
      <c r="G572" s="2" t="str">
        <f t="shared" si="54"/>
        <v>http://jsmh.umin.jp/journal/15-2/15-2.pdf</v>
      </c>
      <c r="H572" s="42" t="str">
        <f t="shared" si="55"/>
        <v>http://dl.ndl.go.jp/info:ndljp/pid/3359244</v>
      </c>
    </row>
    <row r="573" spans="1:8" ht="30" customHeight="1" x14ac:dyDescent="0.15">
      <c r="A573" s="16" t="s">
        <v>1129</v>
      </c>
      <c r="B573" s="17" t="s">
        <v>1141</v>
      </c>
      <c r="C573" s="17" t="s">
        <v>24</v>
      </c>
      <c r="D573" s="25" t="s">
        <v>1072</v>
      </c>
      <c r="E573" s="19" t="s">
        <v>1120</v>
      </c>
      <c r="F573" s="19" t="s">
        <v>1142</v>
      </c>
      <c r="G573" s="2" t="str">
        <f t="shared" si="54"/>
        <v>http://jsmh.umin.jp/journal/15-2/15-2.pdf</v>
      </c>
      <c r="H573" s="42" t="str">
        <f t="shared" si="55"/>
        <v>http://dl.ndl.go.jp/info:ndljp/pid/3359244</v>
      </c>
    </row>
    <row r="574" spans="1:8" ht="30" customHeight="1" x14ac:dyDescent="0.15">
      <c r="A574" s="16" t="s">
        <v>1129</v>
      </c>
      <c r="B574" s="17" t="s">
        <v>1143</v>
      </c>
      <c r="C574" s="17" t="s">
        <v>191</v>
      </c>
      <c r="D574" s="25" t="s">
        <v>1072</v>
      </c>
      <c r="E574" s="19" t="s">
        <v>1120</v>
      </c>
      <c r="F574" s="19" t="s">
        <v>758</v>
      </c>
      <c r="G574" s="2" t="str">
        <f t="shared" si="54"/>
        <v>http://jsmh.umin.jp/journal/15-2/15-2.pdf</v>
      </c>
      <c r="H574" s="42" t="str">
        <f t="shared" si="55"/>
        <v>http://dl.ndl.go.jp/info:ndljp/pid/3359244</v>
      </c>
    </row>
    <row r="575" spans="1:8" ht="30" customHeight="1" x14ac:dyDescent="0.15">
      <c r="A575" s="16" t="s">
        <v>1129</v>
      </c>
      <c r="B575" s="17" t="s">
        <v>1144</v>
      </c>
      <c r="C575" s="17" t="s">
        <v>1145</v>
      </c>
      <c r="D575" s="25" t="s">
        <v>1072</v>
      </c>
      <c r="E575" s="19" t="s">
        <v>1120</v>
      </c>
      <c r="F575" s="19" t="s">
        <v>763</v>
      </c>
      <c r="G575" s="2" t="str">
        <f t="shared" si="54"/>
        <v>http://jsmh.umin.jp/journal/15-2/15-2.pdf</v>
      </c>
      <c r="H575" s="42" t="str">
        <f t="shared" si="55"/>
        <v>http://dl.ndl.go.jp/info:ndljp/pid/3359244</v>
      </c>
    </row>
    <row r="576" spans="1:8" ht="30" customHeight="1" x14ac:dyDescent="0.15">
      <c r="A576" s="16" t="s">
        <v>91</v>
      </c>
      <c r="B576" s="17" t="s">
        <v>1146</v>
      </c>
      <c r="C576" s="17" t="s">
        <v>1147</v>
      </c>
      <c r="D576" s="25" t="s">
        <v>1072</v>
      </c>
      <c r="E576" s="19" t="s">
        <v>1120</v>
      </c>
      <c r="F576" s="19" t="s">
        <v>768</v>
      </c>
      <c r="G576" s="2" t="str">
        <f t="shared" si="54"/>
        <v>http://jsmh.umin.jp/journal/15-2/15-2.pdf</v>
      </c>
      <c r="H576" s="42" t="str">
        <f t="shared" si="55"/>
        <v>http://dl.ndl.go.jp/info:ndljp/pid/3359244</v>
      </c>
    </row>
    <row r="577" spans="1:8" ht="30" customHeight="1" x14ac:dyDescent="0.15">
      <c r="A577" s="16" t="s">
        <v>91</v>
      </c>
      <c r="B577" s="17" t="s">
        <v>1148</v>
      </c>
      <c r="C577" s="17" t="s">
        <v>444</v>
      </c>
      <c r="D577" s="25" t="s">
        <v>1072</v>
      </c>
      <c r="E577" s="19" t="s">
        <v>1120</v>
      </c>
      <c r="F577" s="19" t="s">
        <v>695</v>
      </c>
      <c r="G577" s="2" t="str">
        <f t="shared" si="54"/>
        <v>http://jsmh.umin.jp/journal/15-2/15-2.pdf</v>
      </c>
      <c r="H577" s="42" t="str">
        <f t="shared" si="55"/>
        <v>http://dl.ndl.go.jp/info:ndljp/pid/3359244</v>
      </c>
    </row>
    <row r="578" spans="1:8" ht="30" customHeight="1" x14ac:dyDescent="0.15">
      <c r="A578" s="16" t="s">
        <v>91</v>
      </c>
      <c r="B578" s="17" t="s">
        <v>1149</v>
      </c>
      <c r="C578" s="17" t="s">
        <v>198</v>
      </c>
      <c r="D578" s="25" t="s">
        <v>1072</v>
      </c>
      <c r="E578" s="19" t="s">
        <v>1120</v>
      </c>
      <c r="F578" s="19" t="s">
        <v>770</v>
      </c>
      <c r="G578" s="2" t="str">
        <f t="shared" si="54"/>
        <v>http://jsmh.umin.jp/journal/15-2/15-2.pdf</v>
      </c>
      <c r="H578" s="42" t="str">
        <f t="shared" si="55"/>
        <v>http://dl.ndl.go.jp/info:ndljp/pid/3359244</v>
      </c>
    </row>
    <row r="579" spans="1:8" ht="30" customHeight="1" x14ac:dyDescent="0.15">
      <c r="A579" s="16" t="s">
        <v>91</v>
      </c>
      <c r="B579" s="17" t="s">
        <v>1150</v>
      </c>
      <c r="C579" s="17" t="s">
        <v>656</v>
      </c>
      <c r="D579" s="25" t="s">
        <v>1072</v>
      </c>
      <c r="E579" s="19" t="s">
        <v>1120</v>
      </c>
      <c r="F579" s="19" t="s">
        <v>332</v>
      </c>
      <c r="G579" s="2" t="str">
        <f t="shared" si="54"/>
        <v>http://jsmh.umin.jp/journal/15-2/15-2.pdf</v>
      </c>
      <c r="H579" s="42" t="str">
        <f t="shared" si="55"/>
        <v>http://dl.ndl.go.jp/info:ndljp/pid/3359244</v>
      </c>
    </row>
    <row r="580" spans="1:8" ht="30" customHeight="1" x14ac:dyDescent="0.15">
      <c r="A580" s="16" t="s">
        <v>91</v>
      </c>
      <c r="B580" s="17" t="s">
        <v>1151</v>
      </c>
      <c r="C580" s="17" t="s">
        <v>1152</v>
      </c>
      <c r="D580" s="25" t="s">
        <v>1072</v>
      </c>
      <c r="E580" s="19" t="s">
        <v>1120</v>
      </c>
      <c r="F580" s="19" t="s">
        <v>1153</v>
      </c>
      <c r="G580" s="2" t="str">
        <f t="shared" si="54"/>
        <v>http://jsmh.umin.jp/journal/15-2/15-2.pdf</v>
      </c>
      <c r="H580" s="42" t="str">
        <f t="shared" si="55"/>
        <v>http://dl.ndl.go.jp/info:ndljp/pid/3359244</v>
      </c>
    </row>
    <row r="581" spans="1:8" ht="30" customHeight="1" x14ac:dyDescent="0.15">
      <c r="A581" s="16" t="s">
        <v>91</v>
      </c>
      <c r="B581" s="17" t="s">
        <v>1154</v>
      </c>
      <c r="C581" s="17" t="s">
        <v>24</v>
      </c>
      <c r="D581" s="25" t="s">
        <v>1072</v>
      </c>
      <c r="E581" s="19" t="s">
        <v>1120</v>
      </c>
      <c r="F581" s="19" t="s">
        <v>31</v>
      </c>
      <c r="G581" s="2" t="str">
        <f t="shared" si="54"/>
        <v>http://jsmh.umin.jp/journal/15-2/15-2.pdf</v>
      </c>
      <c r="H581" s="42" t="str">
        <f t="shared" si="55"/>
        <v>http://dl.ndl.go.jp/info:ndljp/pid/3359244</v>
      </c>
    </row>
    <row r="582" spans="1:8" ht="30" customHeight="1" x14ac:dyDescent="0.15">
      <c r="A582" s="16" t="s">
        <v>91</v>
      </c>
      <c r="B582" s="17" t="s">
        <v>1155</v>
      </c>
      <c r="C582" s="17" t="s">
        <v>191</v>
      </c>
      <c r="D582" s="25" t="s">
        <v>1072</v>
      </c>
      <c r="E582" s="19" t="s">
        <v>1120</v>
      </c>
      <c r="F582" s="19" t="s">
        <v>1156</v>
      </c>
      <c r="G582" s="2" t="str">
        <f t="shared" si="54"/>
        <v>http://jsmh.umin.jp/journal/15-2/15-2.pdf</v>
      </c>
      <c r="H582" s="42" t="str">
        <f t="shared" si="55"/>
        <v>http://dl.ndl.go.jp/info:ndljp/pid/3359244</v>
      </c>
    </row>
    <row r="583" spans="1:8" ht="30" customHeight="1" x14ac:dyDescent="0.15">
      <c r="A583" s="16" t="s">
        <v>91</v>
      </c>
      <c r="B583" s="17" t="s">
        <v>1157</v>
      </c>
      <c r="C583" s="17" t="s">
        <v>1158</v>
      </c>
      <c r="D583" s="25" t="s">
        <v>1072</v>
      </c>
      <c r="E583" s="19" t="s">
        <v>1120</v>
      </c>
      <c r="F583" s="19" t="s">
        <v>1159</v>
      </c>
      <c r="G583" s="2" t="str">
        <f t="shared" si="54"/>
        <v>http://jsmh.umin.jp/journal/15-2/15-2.pdf</v>
      </c>
      <c r="H583" s="42" t="str">
        <f t="shared" si="55"/>
        <v>http://dl.ndl.go.jp/info:ndljp/pid/3359244</v>
      </c>
    </row>
    <row r="584" spans="1:8" ht="30" customHeight="1" x14ac:dyDescent="0.15">
      <c r="A584" s="16" t="s">
        <v>91</v>
      </c>
      <c r="B584" s="17" t="s">
        <v>1160</v>
      </c>
      <c r="C584" s="17" t="s">
        <v>507</v>
      </c>
      <c r="D584" s="25" t="s">
        <v>1072</v>
      </c>
      <c r="E584" s="19" t="s">
        <v>1120</v>
      </c>
      <c r="F584" s="19" t="s">
        <v>1161</v>
      </c>
      <c r="G584" s="2" t="str">
        <f t="shared" si="54"/>
        <v>http://jsmh.umin.jp/journal/15-2/15-2.pdf</v>
      </c>
      <c r="H584" s="42" t="str">
        <f t="shared" si="55"/>
        <v>http://dl.ndl.go.jp/info:ndljp/pid/3359244</v>
      </c>
    </row>
    <row r="585" spans="1:8" ht="30" customHeight="1" x14ac:dyDescent="0.15">
      <c r="A585" s="16" t="s">
        <v>91</v>
      </c>
      <c r="B585" s="17" t="s">
        <v>1162</v>
      </c>
      <c r="C585" s="17" t="s">
        <v>790</v>
      </c>
      <c r="D585" s="25" t="s">
        <v>1072</v>
      </c>
      <c r="E585" s="19" t="s">
        <v>1120</v>
      </c>
      <c r="F585" s="19" t="s">
        <v>1163</v>
      </c>
      <c r="G585" s="2" t="str">
        <f t="shared" si="54"/>
        <v>http://jsmh.umin.jp/journal/15-2/15-2.pdf</v>
      </c>
      <c r="H585" s="42" t="str">
        <f t="shared" si="55"/>
        <v>http://dl.ndl.go.jp/info:ndljp/pid/3359244</v>
      </c>
    </row>
    <row r="586" spans="1:8" ht="30" customHeight="1" x14ac:dyDescent="0.15">
      <c r="A586" s="16" t="s">
        <v>91</v>
      </c>
      <c r="B586" s="17" t="s">
        <v>1164</v>
      </c>
      <c r="C586" s="17" t="s">
        <v>790</v>
      </c>
      <c r="D586" s="25" t="s">
        <v>1072</v>
      </c>
      <c r="E586" s="19" t="s">
        <v>1120</v>
      </c>
      <c r="F586" s="19" t="s">
        <v>875</v>
      </c>
      <c r="G586" s="2" t="str">
        <f t="shared" si="54"/>
        <v>http://jsmh.umin.jp/journal/15-2/15-2.pdf</v>
      </c>
      <c r="H586" s="42" t="str">
        <f t="shared" si="55"/>
        <v>http://dl.ndl.go.jp/info:ndljp/pid/3359244</v>
      </c>
    </row>
    <row r="587" spans="1:8" ht="30" customHeight="1" x14ac:dyDescent="0.15">
      <c r="A587" s="16" t="s">
        <v>91</v>
      </c>
      <c r="B587" s="17" t="s">
        <v>1165</v>
      </c>
      <c r="C587" s="17" t="s">
        <v>485</v>
      </c>
      <c r="D587" s="25" t="s">
        <v>1072</v>
      </c>
      <c r="E587" s="19" t="s">
        <v>1120</v>
      </c>
      <c r="F587" s="19" t="s">
        <v>1166</v>
      </c>
      <c r="G587" s="2" t="str">
        <f t="shared" si="54"/>
        <v>http://jsmh.umin.jp/journal/15-2/15-2.pdf</v>
      </c>
      <c r="H587" s="42" t="str">
        <f t="shared" si="55"/>
        <v>http://dl.ndl.go.jp/info:ndljp/pid/3359244</v>
      </c>
    </row>
    <row r="588" spans="1:8" ht="30" customHeight="1" x14ac:dyDescent="0.15">
      <c r="A588" s="16" t="s">
        <v>91</v>
      </c>
      <c r="B588" s="17" t="s">
        <v>1167</v>
      </c>
      <c r="C588" s="17" t="s">
        <v>134</v>
      </c>
      <c r="D588" s="25" t="s">
        <v>1072</v>
      </c>
      <c r="E588" s="19" t="s">
        <v>1120</v>
      </c>
      <c r="F588" s="19" t="s">
        <v>1166</v>
      </c>
      <c r="G588" s="2" t="str">
        <f t="shared" si="54"/>
        <v>http://jsmh.umin.jp/journal/15-2/15-2.pdf</v>
      </c>
      <c r="H588" s="42" t="str">
        <f t="shared" si="55"/>
        <v>http://dl.ndl.go.jp/info:ndljp/pid/3359244</v>
      </c>
    </row>
    <row r="589" spans="1:8" ht="30" customHeight="1" x14ac:dyDescent="0.15">
      <c r="A589" s="16" t="s">
        <v>91</v>
      </c>
      <c r="B589" s="17" t="s">
        <v>1168</v>
      </c>
      <c r="C589" s="17" t="s">
        <v>212</v>
      </c>
      <c r="D589" s="25" t="s">
        <v>1072</v>
      </c>
      <c r="E589" s="19" t="s">
        <v>1120</v>
      </c>
      <c r="F589" s="19" t="s">
        <v>1101</v>
      </c>
      <c r="G589" s="2" t="str">
        <f t="shared" si="54"/>
        <v>http://jsmh.umin.jp/journal/15-2/15-2.pdf</v>
      </c>
      <c r="H589" s="42" t="str">
        <f t="shared" si="55"/>
        <v>http://dl.ndl.go.jp/info:ndljp/pid/3359244</v>
      </c>
    </row>
    <row r="590" spans="1:8" ht="30" customHeight="1" x14ac:dyDescent="0.15">
      <c r="A590" s="16" t="s">
        <v>91</v>
      </c>
      <c r="B590" s="17" t="s">
        <v>1169</v>
      </c>
      <c r="C590" s="17" t="s">
        <v>830</v>
      </c>
      <c r="D590" s="25" t="s">
        <v>1072</v>
      </c>
      <c r="E590" s="19" t="s">
        <v>1120</v>
      </c>
      <c r="F590" s="19" t="s">
        <v>1170</v>
      </c>
      <c r="G590" s="2" t="str">
        <f t="shared" si="54"/>
        <v>http://jsmh.umin.jp/journal/15-2/15-2.pdf</v>
      </c>
      <c r="H590" s="42" t="str">
        <f t="shared" si="55"/>
        <v>http://dl.ndl.go.jp/info:ndljp/pid/3359244</v>
      </c>
    </row>
    <row r="591" spans="1:8" ht="30" customHeight="1" x14ac:dyDescent="0.15">
      <c r="A591" s="16" t="s">
        <v>91</v>
      </c>
      <c r="B591" s="17" t="s">
        <v>1171</v>
      </c>
      <c r="C591" s="17" t="s">
        <v>1172</v>
      </c>
      <c r="D591" s="25" t="s">
        <v>1072</v>
      </c>
      <c r="E591" s="19" t="s">
        <v>1120</v>
      </c>
      <c r="F591" s="19" t="s">
        <v>1104</v>
      </c>
      <c r="G591" s="2" t="str">
        <f t="shared" si="54"/>
        <v>http://jsmh.umin.jp/journal/15-2/15-2.pdf</v>
      </c>
      <c r="H591" s="42" t="str">
        <f t="shared" si="55"/>
        <v>http://dl.ndl.go.jp/info:ndljp/pid/3359244</v>
      </c>
    </row>
    <row r="592" spans="1:8" ht="30" customHeight="1" x14ac:dyDescent="0.15">
      <c r="A592" s="16" t="s">
        <v>91</v>
      </c>
      <c r="B592" s="17" t="s">
        <v>1173</v>
      </c>
      <c r="C592" s="17" t="s">
        <v>925</v>
      </c>
      <c r="D592" s="25" t="s">
        <v>1072</v>
      </c>
      <c r="E592" s="19" t="s">
        <v>1120</v>
      </c>
      <c r="F592" s="19" t="s">
        <v>887</v>
      </c>
      <c r="G592" s="2" t="str">
        <f t="shared" si="54"/>
        <v>http://jsmh.umin.jp/journal/15-2/15-2.pdf</v>
      </c>
      <c r="H592" s="42" t="str">
        <f t="shared" si="55"/>
        <v>http://dl.ndl.go.jp/info:ndljp/pid/3359244</v>
      </c>
    </row>
    <row r="593" spans="1:8" ht="30" customHeight="1" x14ac:dyDescent="0.15">
      <c r="A593" s="16" t="s">
        <v>91</v>
      </c>
      <c r="B593" s="17" t="s">
        <v>1174</v>
      </c>
      <c r="C593" s="17" t="s">
        <v>1175</v>
      </c>
      <c r="D593" s="25" t="s">
        <v>1072</v>
      </c>
      <c r="E593" s="19" t="s">
        <v>1120</v>
      </c>
      <c r="F593" s="19" t="s">
        <v>1106</v>
      </c>
      <c r="G593" s="2" t="str">
        <f t="shared" si="54"/>
        <v>http://jsmh.umin.jp/journal/15-2/15-2.pdf</v>
      </c>
      <c r="H593" s="42" t="str">
        <f t="shared" si="55"/>
        <v>http://dl.ndl.go.jp/info:ndljp/pid/3359244</v>
      </c>
    </row>
    <row r="594" spans="1:8" ht="30" customHeight="1" x14ac:dyDescent="0.15">
      <c r="A594" s="16" t="s">
        <v>91</v>
      </c>
      <c r="B594" s="17" t="s">
        <v>1176</v>
      </c>
      <c r="C594" s="17" t="s">
        <v>1177</v>
      </c>
      <c r="D594" s="25" t="s">
        <v>1072</v>
      </c>
      <c r="E594" s="19" t="s">
        <v>1120</v>
      </c>
      <c r="F594" s="19" t="s">
        <v>889</v>
      </c>
      <c r="G594" s="2" t="str">
        <f t="shared" ref="G594:G610" si="56">HYPERLINK("http://jsmh.umin.jp/journal/15-2/15-2.pdf")</f>
        <v>http://jsmh.umin.jp/journal/15-2/15-2.pdf</v>
      </c>
      <c r="H594" s="42" t="str">
        <f t="shared" si="55"/>
        <v>http://dl.ndl.go.jp/info:ndljp/pid/3359244</v>
      </c>
    </row>
    <row r="595" spans="1:8" ht="30" customHeight="1" x14ac:dyDescent="0.15">
      <c r="A595" s="16" t="s">
        <v>91</v>
      </c>
      <c r="B595" s="17" t="s">
        <v>1178</v>
      </c>
      <c r="C595" s="17" t="s">
        <v>663</v>
      </c>
      <c r="D595" s="25" t="s">
        <v>1072</v>
      </c>
      <c r="E595" s="19" t="s">
        <v>1120</v>
      </c>
      <c r="F595" s="19" t="s">
        <v>338</v>
      </c>
      <c r="G595" s="2" t="str">
        <f t="shared" si="56"/>
        <v>http://jsmh.umin.jp/journal/15-2/15-2.pdf</v>
      </c>
      <c r="H595" s="42" t="str">
        <f t="shared" si="55"/>
        <v>http://dl.ndl.go.jp/info:ndljp/pid/3359244</v>
      </c>
    </row>
    <row r="596" spans="1:8" ht="30" customHeight="1" x14ac:dyDescent="0.15">
      <c r="A596" s="16" t="s">
        <v>91</v>
      </c>
      <c r="B596" s="17" t="s">
        <v>10073</v>
      </c>
      <c r="C596" s="17" t="s">
        <v>188</v>
      </c>
      <c r="D596" s="25" t="s">
        <v>1072</v>
      </c>
      <c r="E596" s="19" t="s">
        <v>1120</v>
      </c>
      <c r="F596" s="19" t="s">
        <v>167</v>
      </c>
      <c r="G596" s="2" t="str">
        <f t="shared" si="56"/>
        <v>http://jsmh.umin.jp/journal/15-2/15-2.pdf</v>
      </c>
      <c r="H596" s="42" t="str">
        <f t="shared" si="55"/>
        <v>http://dl.ndl.go.jp/info:ndljp/pid/3359244</v>
      </c>
    </row>
    <row r="597" spans="1:8" ht="30" customHeight="1" x14ac:dyDescent="0.15">
      <c r="A597" s="16" t="s">
        <v>91</v>
      </c>
      <c r="B597" s="17" t="s">
        <v>1179</v>
      </c>
      <c r="C597" s="17" t="s">
        <v>1070</v>
      </c>
      <c r="D597" s="25" t="s">
        <v>1072</v>
      </c>
      <c r="E597" s="19" t="s">
        <v>1120</v>
      </c>
      <c r="F597" s="19" t="s">
        <v>1180</v>
      </c>
      <c r="G597" s="2" t="str">
        <f t="shared" si="56"/>
        <v>http://jsmh.umin.jp/journal/15-2/15-2.pdf</v>
      </c>
      <c r="H597" s="42" t="str">
        <f t="shared" si="55"/>
        <v>http://dl.ndl.go.jp/info:ndljp/pid/3359244</v>
      </c>
    </row>
    <row r="598" spans="1:8" ht="30" customHeight="1" x14ac:dyDescent="0.15">
      <c r="A598" s="16" t="s">
        <v>91</v>
      </c>
      <c r="B598" s="17" t="s">
        <v>1181</v>
      </c>
      <c r="C598" s="17" t="s">
        <v>790</v>
      </c>
      <c r="D598" s="25" t="s">
        <v>1072</v>
      </c>
      <c r="E598" s="19" t="s">
        <v>1120</v>
      </c>
      <c r="F598" s="19" t="s">
        <v>1182</v>
      </c>
      <c r="G598" s="2" t="str">
        <f t="shared" si="56"/>
        <v>http://jsmh.umin.jp/journal/15-2/15-2.pdf</v>
      </c>
      <c r="H598" s="42" t="str">
        <f t="shared" si="55"/>
        <v>http://dl.ndl.go.jp/info:ndljp/pid/3359244</v>
      </c>
    </row>
    <row r="599" spans="1:8" ht="30" customHeight="1" x14ac:dyDescent="0.15">
      <c r="A599" s="16" t="s">
        <v>91</v>
      </c>
      <c r="B599" s="17" t="s">
        <v>1183</v>
      </c>
      <c r="C599" s="17" t="s">
        <v>273</v>
      </c>
      <c r="D599" s="25" t="s">
        <v>1072</v>
      </c>
      <c r="E599" s="19" t="s">
        <v>1120</v>
      </c>
      <c r="F599" s="19" t="s">
        <v>1184</v>
      </c>
      <c r="G599" s="2" t="str">
        <f t="shared" si="56"/>
        <v>http://jsmh.umin.jp/journal/15-2/15-2.pdf</v>
      </c>
      <c r="H599" s="42" t="str">
        <f t="shared" si="55"/>
        <v>http://dl.ndl.go.jp/info:ndljp/pid/3359244</v>
      </c>
    </row>
    <row r="600" spans="1:8" ht="30" customHeight="1" x14ac:dyDescent="0.15">
      <c r="A600" s="16" t="s">
        <v>91</v>
      </c>
      <c r="B600" s="17" t="s">
        <v>1185</v>
      </c>
      <c r="C600" s="17" t="s">
        <v>627</v>
      </c>
      <c r="D600" s="25" t="s">
        <v>1072</v>
      </c>
      <c r="E600" s="19" t="s">
        <v>1120</v>
      </c>
      <c r="F600" s="19" t="s">
        <v>705</v>
      </c>
      <c r="G600" s="2" t="str">
        <f t="shared" si="56"/>
        <v>http://jsmh.umin.jp/journal/15-2/15-2.pdf</v>
      </c>
      <c r="H600" s="42" t="str">
        <f t="shared" si="55"/>
        <v>http://dl.ndl.go.jp/info:ndljp/pid/3359244</v>
      </c>
    </row>
    <row r="601" spans="1:8" ht="30" customHeight="1" x14ac:dyDescent="0.15">
      <c r="A601" s="16" t="s">
        <v>91</v>
      </c>
      <c r="B601" s="17" t="s">
        <v>1186</v>
      </c>
      <c r="C601" s="17" t="s">
        <v>1187</v>
      </c>
      <c r="D601" s="25" t="s">
        <v>1072</v>
      </c>
      <c r="E601" s="19" t="s">
        <v>1120</v>
      </c>
      <c r="F601" s="19" t="s">
        <v>913</v>
      </c>
      <c r="G601" s="2" t="str">
        <f t="shared" si="56"/>
        <v>http://jsmh.umin.jp/journal/15-2/15-2.pdf</v>
      </c>
      <c r="H601" s="42" t="str">
        <f t="shared" si="55"/>
        <v>http://dl.ndl.go.jp/info:ndljp/pid/3359244</v>
      </c>
    </row>
    <row r="602" spans="1:8" ht="30" customHeight="1" x14ac:dyDescent="0.15">
      <c r="A602" s="16" t="s">
        <v>91</v>
      </c>
      <c r="B602" s="17" t="s">
        <v>1188</v>
      </c>
      <c r="C602" s="17" t="s">
        <v>204</v>
      </c>
      <c r="D602" s="25" t="s">
        <v>1072</v>
      </c>
      <c r="E602" s="19" t="s">
        <v>1120</v>
      </c>
      <c r="F602" s="19" t="s">
        <v>427</v>
      </c>
      <c r="G602" s="2" t="str">
        <f t="shared" si="56"/>
        <v>http://jsmh.umin.jp/journal/15-2/15-2.pdf</v>
      </c>
      <c r="H602" s="42" t="str">
        <f t="shared" si="55"/>
        <v>http://dl.ndl.go.jp/info:ndljp/pid/3359244</v>
      </c>
    </row>
    <row r="603" spans="1:8" ht="30" customHeight="1" x14ac:dyDescent="0.15">
      <c r="A603" s="16" t="s">
        <v>91</v>
      </c>
      <c r="B603" s="17" t="s">
        <v>1189</v>
      </c>
      <c r="C603" s="17" t="s">
        <v>66</v>
      </c>
      <c r="D603" s="25" t="s">
        <v>1072</v>
      </c>
      <c r="E603" s="19" t="s">
        <v>1120</v>
      </c>
      <c r="F603" s="19" t="s">
        <v>792</v>
      </c>
      <c r="G603" s="2" t="str">
        <f t="shared" si="56"/>
        <v>http://jsmh.umin.jp/journal/15-2/15-2.pdf</v>
      </c>
      <c r="H603" s="42" t="str">
        <f t="shared" si="55"/>
        <v>http://dl.ndl.go.jp/info:ndljp/pid/3359244</v>
      </c>
    </row>
    <row r="604" spans="1:8" ht="30" customHeight="1" x14ac:dyDescent="0.15">
      <c r="A604" s="16" t="s">
        <v>91</v>
      </c>
      <c r="B604" s="17" t="s">
        <v>1190</v>
      </c>
      <c r="C604" s="17" t="s">
        <v>1191</v>
      </c>
      <c r="D604" s="25" t="s">
        <v>1072</v>
      </c>
      <c r="E604" s="19" t="s">
        <v>1120</v>
      </c>
      <c r="F604" s="19" t="s">
        <v>432</v>
      </c>
      <c r="G604" s="2" t="str">
        <f t="shared" si="56"/>
        <v>http://jsmh.umin.jp/journal/15-2/15-2.pdf</v>
      </c>
      <c r="H604" s="42" t="str">
        <f t="shared" si="55"/>
        <v>http://dl.ndl.go.jp/info:ndljp/pid/3359244</v>
      </c>
    </row>
    <row r="605" spans="1:8" ht="30" customHeight="1" x14ac:dyDescent="0.15">
      <c r="A605" s="16" t="s">
        <v>91</v>
      </c>
      <c r="B605" s="17" t="s">
        <v>10074</v>
      </c>
      <c r="C605" s="17" t="s">
        <v>672</v>
      </c>
      <c r="D605" s="25" t="s">
        <v>1072</v>
      </c>
      <c r="E605" s="19" t="s">
        <v>1120</v>
      </c>
      <c r="F605" s="19" t="s">
        <v>1192</v>
      </c>
      <c r="G605" s="2" t="str">
        <f t="shared" si="56"/>
        <v>http://jsmh.umin.jp/journal/15-2/15-2.pdf</v>
      </c>
      <c r="H605" s="42" t="str">
        <f t="shared" si="55"/>
        <v>http://dl.ndl.go.jp/info:ndljp/pid/3359244</v>
      </c>
    </row>
    <row r="606" spans="1:8" ht="30" customHeight="1" x14ac:dyDescent="0.15">
      <c r="A606" s="16" t="s">
        <v>91</v>
      </c>
      <c r="B606" s="17" t="s">
        <v>1193</v>
      </c>
      <c r="C606" s="17" t="s">
        <v>1194</v>
      </c>
      <c r="D606" s="25" t="s">
        <v>1072</v>
      </c>
      <c r="E606" s="19" t="s">
        <v>1120</v>
      </c>
      <c r="F606" s="19" t="s">
        <v>1195</v>
      </c>
      <c r="G606" s="2" t="str">
        <f t="shared" si="56"/>
        <v>http://jsmh.umin.jp/journal/15-2/15-2.pdf</v>
      </c>
      <c r="H606" s="42" t="str">
        <f t="shared" si="55"/>
        <v>http://dl.ndl.go.jp/info:ndljp/pid/3359244</v>
      </c>
    </row>
    <row r="607" spans="1:8" ht="30" customHeight="1" x14ac:dyDescent="0.15">
      <c r="A607" s="16" t="s">
        <v>91</v>
      </c>
      <c r="B607" s="17" t="s">
        <v>1196</v>
      </c>
      <c r="C607" s="17" t="s">
        <v>48</v>
      </c>
      <c r="D607" s="25" t="s">
        <v>1072</v>
      </c>
      <c r="E607" s="19" t="s">
        <v>1120</v>
      </c>
      <c r="F607" s="19" t="s">
        <v>819</v>
      </c>
      <c r="G607" s="2" t="str">
        <f t="shared" si="56"/>
        <v>http://jsmh.umin.jp/journal/15-2/15-2.pdf</v>
      </c>
      <c r="H607" s="42" t="str">
        <f t="shared" si="55"/>
        <v>http://dl.ndl.go.jp/info:ndljp/pid/3359244</v>
      </c>
    </row>
    <row r="608" spans="1:8" ht="30" customHeight="1" x14ac:dyDescent="0.15">
      <c r="A608" s="16" t="s">
        <v>91</v>
      </c>
      <c r="B608" s="17" t="s">
        <v>1197</v>
      </c>
      <c r="C608" s="17" t="s">
        <v>479</v>
      </c>
      <c r="D608" s="25" t="s">
        <v>1072</v>
      </c>
      <c r="E608" s="19" t="s">
        <v>1120</v>
      </c>
      <c r="F608" s="19" t="s">
        <v>570</v>
      </c>
      <c r="G608" s="2" t="str">
        <f t="shared" si="56"/>
        <v>http://jsmh.umin.jp/journal/15-2/15-2.pdf</v>
      </c>
      <c r="H608" s="42" t="str">
        <f t="shared" si="55"/>
        <v>http://dl.ndl.go.jp/info:ndljp/pid/3359244</v>
      </c>
    </row>
    <row r="609" spans="1:8" ht="30" customHeight="1" x14ac:dyDescent="0.15">
      <c r="A609" s="16" t="s">
        <v>81</v>
      </c>
      <c r="B609" s="17" t="s">
        <v>1198</v>
      </c>
      <c r="C609" s="17"/>
      <c r="D609" s="25" t="s">
        <v>1072</v>
      </c>
      <c r="E609" s="19" t="s">
        <v>1120</v>
      </c>
      <c r="F609" s="19" t="s">
        <v>1199</v>
      </c>
      <c r="G609" s="2" t="str">
        <f t="shared" si="56"/>
        <v>http://jsmh.umin.jp/journal/15-2/15-2.pdf</v>
      </c>
      <c r="H609" s="42" t="str">
        <f t="shared" si="55"/>
        <v>http://dl.ndl.go.jp/info:ndljp/pid/3359244</v>
      </c>
    </row>
    <row r="610" spans="1:8" ht="30" customHeight="1" x14ac:dyDescent="0.15">
      <c r="A610" s="16" t="s">
        <v>91</v>
      </c>
      <c r="B610" s="17" t="s">
        <v>1200</v>
      </c>
      <c r="C610" s="17" t="s">
        <v>76</v>
      </c>
      <c r="D610" s="25" t="s">
        <v>1072</v>
      </c>
      <c r="E610" s="19" t="s">
        <v>1120</v>
      </c>
      <c r="F610" s="19" t="s">
        <v>576</v>
      </c>
      <c r="G610" s="2" t="str">
        <f t="shared" si="56"/>
        <v>http://jsmh.umin.jp/journal/15-2/15-2.pdf</v>
      </c>
      <c r="H610" s="42" t="str">
        <f t="shared" si="55"/>
        <v>http://dl.ndl.go.jp/info:ndljp/pid/3359244</v>
      </c>
    </row>
    <row r="611" spans="1:8" ht="30" customHeight="1" x14ac:dyDescent="0.15">
      <c r="A611" s="16" t="s">
        <v>17</v>
      </c>
      <c r="B611" s="17" t="s">
        <v>1201</v>
      </c>
      <c r="C611" s="17" t="s">
        <v>444</v>
      </c>
      <c r="D611" s="25" t="s">
        <v>1072</v>
      </c>
      <c r="E611" s="19" t="s">
        <v>1202</v>
      </c>
      <c r="F611" s="19" t="s">
        <v>1203</v>
      </c>
      <c r="G611" s="2" t="str">
        <f t="shared" ref="G611:G629" si="57">HYPERLINK("http://jsmh.umin.jp/journal/15-3/15-3.pdf")</f>
        <v>http://jsmh.umin.jp/journal/15-3/15-3.pdf</v>
      </c>
      <c r="H611" s="42" t="str">
        <f>HYPERLINK("http://dl.ndl.go.jp/info:ndljp/pid/3359245")</f>
        <v>http://dl.ndl.go.jp/info:ndljp/pid/3359245</v>
      </c>
    </row>
    <row r="612" spans="1:8" ht="30" customHeight="1" x14ac:dyDescent="0.15">
      <c r="A612" s="16" t="s">
        <v>17</v>
      </c>
      <c r="B612" s="17" t="s">
        <v>1204</v>
      </c>
      <c r="C612" s="17" t="s">
        <v>1040</v>
      </c>
      <c r="D612" s="25" t="s">
        <v>1072</v>
      </c>
      <c r="E612" s="19" t="s">
        <v>1202</v>
      </c>
      <c r="F612" s="19" t="s">
        <v>1205</v>
      </c>
      <c r="G612" s="2" t="str">
        <f t="shared" si="57"/>
        <v>http://jsmh.umin.jp/journal/15-3/15-3.pdf</v>
      </c>
      <c r="H612" s="42" t="str">
        <f t="shared" ref="H612:H629" si="58">HYPERLINK("http://dl.ndl.go.jp/info:ndljp/pid/3359245")</f>
        <v>http://dl.ndl.go.jp/info:ndljp/pid/3359245</v>
      </c>
    </row>
    <row r="613" spans="1:8" ht="30" customHeight="1" x14ac:dyDescent="0.15">
      <c r="A613" s="16" t="s">
        <v>17</v>
      </c>
      <c r="B613" s="17" t="s">
        <v>1094</v>
      </c>
      <c r="C613" s="17" t="s">
        <v>1095</v>
      </c>
      <c r="D613" s="25" t="s">
        <v>1072</v>
      </c>
      <c r="E613" s="19" t="s">
        <v>1202</v>
      </c>
      <c r="F613" s="19" t="s">
        <v>1206</v>
      </c>
      <c r="G613" s="2" t="str">
        <f t="shared" si="57"/>
        <v>http://jsmh.umin.jp/journal/15-3/15-3.pdf</v>
      </c>
      <c r="H613" s="42" t="str">
        <f t="shared" si="58"/>
        <v>http://dl.ndl.go.jp/info:ndljp/pid/3359245</v>
      </c>
    </row>
    <row r="614" spans="1:8" ht="30" customHeight="1" x14ac:dyDescent="0.15">
      <c r="A614" s="16" t="s">
        <v>17</v>
      </c>
      <c r="B614" s="17" t="s">
        <v>1207</v>
      </c>
      <c r="C614" s="17" t="s">
        <v>841</v>
      </c>
      <c r="D614" s="25" t="s">
        <v>1072</v>
      </c>
      <c r="E614" s="19" t="s">
        <v>1202</v>
      </c>
      <c r="F614" s="19" t="s">
        <v>1208</v>
      </c>
      <c r="G614" s="2" t="str">
        <f t="shared" si="57"/>
        <v>http://jsmh.umin.jp/journal/15-3/15-3.pdf</v>
      </c>
      <c r="H614" s="42" t="str">
        <f t="shared" si="58"/>
        <v>http://dl.ndl.go.jp/info:ndljp/pid/3359245</v>
      </c>
    </row>
    <row r="615" spans="1:8" ht="30" customHeight="1" x14ac:dyDescent="0.15">
      <c r="A615" s="16" t="s">
        <v>17</v>
      </c>
      <c r="B615" s="17" t="s">
        <v>1209</v>
      </c>
      <c r="C615" s="17" t="s">
        <v>1210</v>
      </c>
      <c r="D615" s="25" t="s">
        <v>1072</v>
      </c>
      <c r="E615" s="19" t="s">
        <v>1202</v>
      </c>
      <c r="F615" s="19" t="s">
        <v>1211</v>
      </c>
      <c r="G615" s="2" t="str">
        <f t="shared" si="57"/>
        <v>http://jsmh.umin.jp/journal/15-3/15-3.pdf</v>
      </c>
      <c r="H615" s="42" t="str">
        <f t="shared" si="58"/>
        <v>http://dl.ndl.go.jp/info:ndljp/pid/3359245</v>
      </c>
    </row>
    <row r="616" spans="1:8" ht="30" customHeight="1" x14ac:dyDescent="0.15">
      <c r="A616" s="16" t="s">
        <v>704</v>
      </c>
      <c r="B616" s="17" t="s">
        <v>1212</v>
      </c>
      <c r="C616" s="17" t="s">
        <v>18</v>
      </c>
      <c r="D616" s="25" t="s">
        <v>1072</v>
      </c>
      <c r="E616" s="19" t="s">
        <v>1202</v>
      </c>
      <c r="F616" s="19" t="s">
        <v>1213</v>
      </c>
      <c r="G616" s="2" t="str">
        <f t="shared" si="57"/>
        <v>http://jsmh.umin.jp/journal/15-3/15-3.pdf</v>
      </c>
      <c r="H616" s="42" t="str">
        <f t="shared" si="58"/>
        <v>http://dl.ndl.go.jp/info:ndljp/pid/3359245</v>
      </c>
    </row>
    <row r="617" spans="1:8" ht="30" customHeight="1" x14ac:dyDescent="0.15">
      <c r="A617" s="16" t="s">
        <v>704</v>
      </c>
      <c r="B617" s="17" t="s">
        <v>1207</v>
      </c>
      <c r="C617" s="17" t="s">
        <v>841</v>
      </c>
      <c r="D617" s="25" t="s">
        <v>1072</v>
      </c>
      <c r="E617" s="19" t="s">
        <v>1202</v>
      </c>
      <c r="F617" s="19" t="s">
        <v>1214</v>
      </c>
      <c r="G617" s="2" t="str">
        <f t="shared" si="57"/>
        <v>http://jsmh.umin.jp/journal/15-3/15-3.pdf</v>
      </c>
      <c r="H617" s="42" t="str">
        <f t="shared" si="58"/>
        <v>http://dl.ndl.go.jp/info:ndljp/pid/3359245</v>
      </c>
    </row>
    <row r="618" spans="1:8" ht="30" customHeight="1" x14ac:dyDescent="0.15">
      <c r="A618" s="16" t="s">
        <v>704</v>
      </c>
      <c r="B618" s="17" t="s">
        <v>1215</v>
      </c>
      <c r="C618" s="17" t="s">
        <v>198</v>
      </c>
      <c r="D618" s="25" t="s">
        <v>1072</v>
      </c>
      <c r="E618" s="19" t="s">
        <v>1202</v>
      </c>
      <c r="F618" s="19" t="s">
        <v>1214</v>
      </c>
      <c r="G618" s="2" t="str">
        <f t="shared" si="57"/>
        <v>http://jsmh.umin.jp/journal/15-3/15-3.pdf</v>
      </c>
      <c r="H618" s="42" t="str">
        <f t="shared" si="58"/>
        <v>http://dl.ndl.go.jp/info:ndljp/pid/3359245</v>
      </c>
    </row>
    <row r="619" spans="1:8" ht="30" customHeight="1" x14ac:dyDescent="0.15">
      <c r="A619" s="16" t="s">
        <v>704</v>
      </c>
      <c r="B619" s="17" t="s">
        <v>1216</v>
      </c>
      <c r="C619" s="17" t="s">
        <v>18</v>
      </c>
      <c r="D619" s="25" t="s">
        <v>1072</v>
      </c>
      <c r="E619" s="19" t="s">
        <v>1202</v>
      </c>
      <c r="F619" s="19" t="s">
        <v>1214</v>
      </c>
      <c r="G619" s="2" t="str">
        <f t="shared" si="57"/>
        <v>http://jsmh.umin.jp/journal/15-3/15-3.pdf</v>
      </c>
      <c r="H619" s="42" t="str">
        <f t="shared" si="58"/>
        <v>http://dl.ndl.go.jp/info:ndljp/pid/3359245</v>
      </c>
    </row>
    <row r="620" spans="1:8" ht="30" customHeight="1" x14ac:dyDescent="0.15">
      <c r="A620" s="16" t="s">
        <v>704</v>
      </c>
      <c r="B620" s="17" t="s">
        <v>1217</v>
      </c>
      <c r="C620" s="17" t="s">
        <v>209</v>
      </c>
      <c r="D620" s="25" t="s">
        <v>1072</v>
      </c>
      <c r="E620" s="19" t="s">
        <v>1202</v>
      </c>
      <c r="F620" s="19" t="s">
        <v>1218</v>
      </c>
      <c r="G620" s="2" t="str">
        <f t="shared" si="57"/>
        <v>http://jsmh.umin.jp/journal/15-3/15-3.pdf</v>
      </c>
      <c r="H620" s="42" t="str">
        <f t="shared" si="58"/>
        <v>http://dl.ndl.go.jp/info:ndljp/pid/3359245</v>
      </c>
    </row>
    <row r="621" spans="1:8" ht="30" customHeight="1" x14ac:dyDescent="0.15">
      <c r="A621" s="16" t="s">
        <v>996</v>
      </c>
      <c r="B621" s="17" t="s">
        <v>1219</v>
      </c>
      <c r="C621" s="17" t="s">
        <v>1110</v>
      </c>
      <c r="D621" s="25" t="s">
        <v>1072</v>
      </c>
      <c r="E621" s="19" t="s">
        <v>1202</v>
      </c>
      <c r="F621" s="19" t="s">
        <v>1220</v>
      </c>
      <c r="G621" s="2" t="str">
        <f t="shared" si="57"/>
        <v>http://jsmh.umin.jp/journal/15-3/15-3.pdf</v>
      </c>
      <c r="H621" s="42" t="str">
        <f t="shared" si="58"/>
        <v>http://dl.ndl.go.jp/info:ndljp/pid/3359245</v>
      </c>
    </row>
    <row r="622" spans="1:8" ht="30" customHeight="1" x14ac:dyDescent="0.15">
      <c r="A622" s="16" t="s">
        <v>996</v>
      </c>
      <c r="B622" s="17" t="s">
        <v>1221</v>
      </c>
      <c r="C622" s="17" t="s">
        <v>1025</v>
      </c>
      <c r="D622" s="25" t="s">
        <v>1072</v>
      </c>
      <c r="E622" s="19" t="s">
        <v>1202</v>
      </c>
      <c r="F622" s="19" t="s">
        <v>1222</v>
      </c>
      <c r="G622" s="2" t="str">
        <f t="shared" si="57"/>
        <v>http://jsmh.umin.jp/journal/15-3/15-3.pdf</v>
      </c>
      <c r="H622" s="42" t="str">
        <f t="shared" si="58"/>
        <v>http://dl.ndl.go.jp/info:ndljp/pid/3359245</v>
      </c>
    </row>
    <row r="623" spans="1:8" ht="30" customHeight="1" x14ac:dyDescent="0.15">
      <c r="A623" s="16" t="s">
        <v>996</v>
      </c>
      <c r="B623" s="17" t="s">
        <v>1223</v>
      </c>
      <c r="C623" s="17" t="s">
        <v>1224</v>
      </c>
      <c r="D623" s="25" t="s">
        <v>1072</v>
      </c>
      <c r="E623" s="19" t="s">
        <v>1202</v>
      </c>
      <c r="F623" s="19" t="s">
        <v>1225</v>
      </c>
      <c r="G623" s="2" t="str">
        <f t="shared" si="57"/>
        <v>http://jsmh.umin.jp/journal/15-3/15-3.pdf</v>
      </c>
      <c r="H623" s="42" t="str">
        <f t="shared" si="58"/>
        <v>http://dl.ndl.go.jp/info:ndljp/pid/3359245</v>
      </c>
    </row>
    <row r="624" spans="1:8" ht="30" customHeight="1" x14ac:dyDescent="0.15">
      <c r="A624" s="16" t="s">
        <v>996</v>
      </c>
      <c r="B624" s="17" t="s">
        <v>1226</v>
      </c>
      <c r="C624" s="17" t="s">
        <v>1025</v>
      </c>
      <c r="D624" s="25" t="s">
        <v>1072</v>
      </c>
      <c r="E624" s="19" t="s">
        <v>1202</v>
      </c>
      <c r="F624" s="19" t="s">
        <v>1227</v>
      </c>
      <c r="G624" s="2" t="str">
        <f t="shared" si="57"/>
        <v>http://jsmh.umin.jp/journal/15-3/15-3.pdf</v>
      </c>
      <c r="H624" s="42" t="str">
        <f t="shared" si="58"/>
        <v>http://dl.ndl.go.jp/info:ndljp/pid/3359245</v>
      </c>
    </row>
    <row r="625" spans="1:8" ht="30" customHeight="1" x14ac:dyDescent="0.15">
      <c r="A625" s="16" t="s">
        <v>1102</v>
      </c>
      <c r="B625" s="17" t="s">
        <v>1228</v>
      </c>
      <c r="C625" s="17" t="s">
        <v>479</v>
      </c>
      <c r="D625" s="25" t="s">
        <v>1072</v>
      </c>
      <c r="E625" s="19" t="s">
        <v>1202</v>
      </c>
      <c r="F625" s="19" t="s">
        <v>1229</v>
      </c>
      <c r="G625" s="2" t="str">
        <f t="shared" si="57"/>
        <v>http://jsmh.umin.jp/journal/15-3/15-3.pdf</v>
      </c>
      <c r="H625" s="42" t="str">
        <f t="shared" si="58"/>
        <v>http://dl.ndl.go.jp/info:ndljp/pid/3359245</v>
      </c>
    </row>
    <row r="626" spans="1:8" ht="30" customHeight="1" x14ac:dyDescent="0.15">
      <c r="A626" s="16" t="s">
        <v>1102</v>
      </c>
      <c r="B626" s="17" t="s">
        <v>1230</v>
      </c>
      <c r="C626" s="17" t="s">
        <v>1231</v>
      </c>
      <c r="D626" s="25" t="s">
        <v>1072</v>
      </c>
      <c r="E626" s="19" t="s">
        <v>1202</v>
      </c>
      <c r="F626" s="19" t="s">
        <v>1232</v>
      </c>
      <c r="G626" s="2" t="str">
        <f t="shared" si="57"/>
        <v>http://jsmh.umin.jp/journal/15-3/15-3.pdf</v>
      </c>
      <c r="H626" s="42" t="str">
        <f t="shared" si="58"/>
        <v>http://dl.ndl.go.jp/info:ndljp/pid/3359245</v>
      </c>
    </row>
    <row r="627" spans="1:8" ht="30" customHeight="1" x14ac:dyDescent="0.15">
      <c r="A627" s="16" t="s">
        <v>17</v>
      </c>
      <c r="B627" s="17" t="s">
        <v>1233</v>
      </c>
      <c r="C627" s="17" t="s">
        <v>1234</v>
      </c>
      <c r="D627" s="25" t="s">
        <v>1072</v>
      </c>
      <c r="E627" s="19" t="s">
        <v>1202</v>
      </c>
      <c r="F627" s="19" t="s">
        <v>1235</v>
      </c>
      <c r="G627" s="2" t="str">
        <f t="shared" si="57"/>
        <v>http://jsmh.umin.jp/journal/15-3/15-3.pdf</v>
      </c>
      <c r="H627" s="42" t="str">
        <f t="shared" si="58"/>
        <v>http://dl.ndl.go.jp/info:ndljp/pid/3359245</v>
      </c>
    </row>
    <row r="628" spans="1:8" ht="30" customHeight="1" x14ac:dyDescent="0.15">
      <c r="A628" s="16" t="s">
        <v>704</v>
      </c>
      <c r="B628" s="17" t="s">
        <v>1216</v>
      </c>
      <c r="C628" s="17"/>
      <c r="D628" s="25" t="s">
        <v>1072</v>
      </c>
      <c r="E628" s="19" t="s">
        <v>1202</v>
      </c>
      <c r="F628" s="19" t="s">
        <v>5</v>
      </c>
      <c r="G628" s="2" t="str">
        <f t="shared" si="57"/>
        <v>http://jsmh.umin.jp/journal/15-3/15-3.pdf</v>
      </c>
      <c r="H628" s="42" t="str">
        <f t="shared" si="58"/>
        <v>http://dl.ndl.go.jp/info:ndljp/pid/3359245</v>
      </c>
    </row>
    <row r="629" spans="1:8" ht="30" customHeight="1" x14ac:dyDescent="0.15">
      <c r="A629" s="16" t="s">
        <v>1236</v>
      </c>
      <c r="B629" s="17" t="s">
        <v>1237</v>
      </c>
      <c r="C629" s="17"/>
      <c r="D629" s="25" t="s">
        <v>1072</v>
      </c>
      <c r="E629" s="19" t="s">
        <v>1202</v>
      </c>
      <c r="F629" s="19" t="s">
        <v>5</v>
      </c>
      <c r="G629" s="2" t="str">
        <f t="shared" si="57"/>
        <v>http://jsmh.umin.jp/journal/15-3/15-3.pdf</v>
      </c>
      <c r="H629" s="42" t="str">
        <f t="shared" si="58"/>
        <v>http://dl.ndl.go.jp/info:ndljp/pid/3359245</v>
      </c>
    </row>
    <row r="630" spans="1:8" ht="30" customHeight="1" x14ac:dyDescent="0.15">
      <c r="A630" s="16" t="s">
        <v>17</v>
      </c>
      <c r="B630" s="17" t="s">
        <v>1238</v>
      </c>
      <c r="C630" s="17" t="s">
        <v>1097</v>
      </c>
      <c r="D630" s="25" t="s">
        <v>1072</v>
      </c>
      <c r="E630" s="19" t="s">
        <v>1239</v>
      </c>
      <c r="F630" s="19" t="s">
        <v>1240</v>
      </c>
      <c r="G630" s="2" t="str">
        <f t="shared" ref="G630:G649" si="59">HYPERLINK("http://jsmh.umin.jp/journal/15-4/15-4.pdf")</f>
        <v>http://jsmh.umin.jp/journal/15-4/15-4.pdf</v>
      </c>
      <c r="H630" s="42" t="str">
        <f>HYPERLINK("http://dl.ndl.go.jp/info:ndljp/pid/3359246")</f>
        <v>http://dl.ndl.go.jp/info:ndljp/pid/3359246</v>
      </c>
    </row>
    <row r="631" spans="1:8" ht="30" customHeight="1" x14ac:dyDescent="0.15">
      <c r="A631" s="16" t="s">
        <v>17</v>
      </c>
      <c r="B631" s="17" t="s">
        <v>1241</v>
      </c>
      <c r="C631" s="17" t="s">
        <v>841</v>
      </c>
      <c r="D631" s="25" t="s">
        <v>1072</v>
      </c>
      <c r="E631" s="19" t="s">
        <v>1239</v>
      </c>
      <c r="F631" s="19" t="s">
        <v>1242</v>
      </c>
      <c r="G631" s="2" t="str">
        <f t="shared" si="59"/>
        <v>http://jsmh.umin.jp/journal/15-4/15-4.pdf</v>
      </c>
      <c r="H631" s="42" t="str">
        <f t="shared" ref="H631:H649" si="60">HYPERLINK("http://dl.ndl.go.jp/info:ndljp/pid/3359246")</f>
        <v>http://dl.ndl.go.jp/info:ndljp/pid/3359246</v>
      </c>
    </row>
    <row r="632" spans="1:8" ht="30" customHeight="1" x14ac:dyDescent="0.15">
      <c r="A632" s="16" t="s">
        <v>17</v>
      </c>
      <c r="B632" s="17" t="s">
        <v>1243</v>
      </c>
      <c r="C632" s="17" t="s">
        <v>1244</v>
      </c>
      <c r="D632" s="25" t="s">
        <v>1072</v>
      </c>
      <c r="E632" s="19" t="s">
        <v>1239</v>
      </c>
      <c r="F632" s="19" t="s">
        <v>1245</v>
      </c>
      <c r="G632" s="2" t="str">
        <f t="shared" si="59"/>
        <v>http://jsmh.umin.jp/journal/15-4/15-4.pdf</v>
      </c>
      <c r="H632" s="42" t="str">
        <f t="shared" si="60"/>
        <v>http://dl.ndl.go.jp/info:ndljp/pid/3359246</v>
      </c>
    </row>
    <row r="633" spans="1:8" ht="30" customHeight="1" x14ac:dyDescent="0.15">
      <c r="A633" s="16" t="s">
        <v>17</v>
      </c>
      <c r="B633" s="17" t="s">
        <v>1246</v>
      </c>
      <c r="C633" s="17" t="s">
        <v>1247</v>
      </c>
      <c r="D633" s="25" t="s">
        <v>1072</v>
      </c>
      <c r="E633" s="19" t="s">
        <v>1239</v>
      </c>
      <c r="F633" s="19" t="s">
        <v>1248</v>
      </c>
      <c r="G633" s="2" t="str">
        <f t="shared" si="59"/>
        <v>http://jsmh.umin.jp/journal/15-4/15-4.pdf</v>
      </c>
      <c r="H633" s="42" t="str">
        <f t="shared" si="60"/>
        <v>http://dl.ndl.go.jp/info:ndljp/pid/3359246</v>
      </c>
    </row>
    <row r="634" spans="1:8" ht="30" customHeight="1" x14ac:dyDescent="0.15">
      <c r="A634" s="16" t="s">
        <v>17</v>
      </c>
      <c r="B634" s="17" t="s">
        <v>1249</v>
      </c>
      <c r="C634" s="17" t="s">
        <v>303</v>
      </c>
      <c r="D634" s="25" t="s">
        <v>1072</v>
      </c>
      <c r="E634" s="19" t="s">
        <v>1239</v>
      </c>
      <c r="F634" s="19" t="s">
        <v>1250</v>
      </c>
      <c r="G634" s="2" t="str">
        <f t="shared" si="59"/>
        <v>http://jsmh.umin.jp/journal/15-4/15-4.pdf</v>
      </c>
      <c r="H634" s="42" t="str">
        <f t="shared" si="60"/>
        <v>http://dl.ndl.go.jp/info:ndljp/pid/3359246</v>
      </c>
    </row>
    <row r="635" spans="1:8" ht="30" customHeight="1" x14ac:dyDescent="0.15">
      <c r="A635" s="16" t="s">
        <v>17</v>
      </c>
      <c r="B635" s="17" t="s">
        <v>1251</v>
      </c>
      <c r="C635" s="17" t="s">
        <v>1040</v>
      </c>
      <c r="D635" s="25" t="s">
        <v>1072</v>
      </c>
      <c r="E635" s="19" t="s">
        <v>1239</v>
      </c>
      <c r="F635" s="19" t="s">
        <v>1252</v>
      </c>
      <c r="G635" s="2" t="str">
        <f t="shared" si="59"/>
        <v>http://jsmh.umin.jp/journal/15-4/15-4.pdf</v>
      </c>
      <c r="H635" s="42" t="str">
        <f t="shared" si="60"/>
        <v>http://dl.ndl.go.jp/info:ndljp/pid/3359246</v>
      </c>
    </row>
    <row r="636" spans="1:8" ht="30" customHeight="1" x14ac:dyDescent="0.15">
      <c r="A636" s="16" t="s">
        <v>704</v>
      </c>
      <c r="B636" s="17" t="s">
        <v>1253</v>
      </c>
      <c r="C636" s="17" t="s">
        <v>1097</v>
      </c>
      <c r="D636" s="25" t="s">
        <v>1072</v>
      </c>
      <c r="E636" s="19" t="s">
        <v>1239</v>
      </c>
      <c r="F636" s="19" t="s">
        <v>1254</v>
      </c>
      <c r="G636" s="2" t="str">
        <f t="shared" si="59"/>
        <v>http://jsmh.umin.jp/journal/15-4/15-4.pdf</v>
      </c>
      <c r="H636" s="42" t="str">
        <f t="shared" si="60"/>
        <v>http://dl.ndl.go.jp/info:ndljp/pid/3359246</v>
      </c>
    </row>
    <row r="637" spans="1:8" ht="30" customHeight="1" x14ac:dyDescent="0.15">
      <c r="A637" s="16" t="s">
        <v>704</v>
      </c>
      <c r="B637" s="17" t="s">
        <v>1255</v>
      </c>
      <c r="C637" s="17" t="s">
        <v>841</v>
      </c>
      <c r="D637" s="25" t="s">
        <v>1072</v>
      </c>
      <c r="E637" s="19" t="s">
        <v>1239</v>
      </c>
      <c r="F637" s="19" t="s">
        <v>1254</v>
      </c>
      <c r="G637" s="2" t="str">
        <f t="shared" si="59"/>
        <v>http://jsmh.umin.jp/journal/15-4/15-4.pdf</v>
      </c>
      <c r="H637" s="42" t="str">
        <f t="shared" si="60"/>
        <v>http://dl.ndl.go.jp/info:ndljp/pid/3359246</v>
      </c>
    </row>
    <row r="638" spans="1:8" ht="30" customHeight="1" x14ac:dyDescent="0.15">
      <c r="A638" s="16" t="s">
        <v>704</v>
      </c>
      <c r="B638" s="17" t="s">
        <v>1256</v>
      </c>
      <c r="C638" s="17" t="s">
        <v>212</v>
      </c>
      <c r="D638" s="25" t="s">
        <v>1072</v>
      </c>
      <c r="E638" s="19" t="s">
        <v>1239</v>
      </c>
      <c r="F638" s="19" t="s">
        <v>1254</v>
      </c>
      <c r="G638" s="2" t="str">
        <f t="shared" si="59"/>
        <v>http://jsmh.umin.jp/journal/15-4/15-4.pdf</v>
      </c>
      <c r="H638" s="42" t="str">
        <f t="shared" si="60"/>
        <v>http://dl.ndl.go.jp/info:ndljp/pid/3359246</v>
      </c>
    </row>
    <row r="639" spans="1:8" ht="30" customHeight="1" x14ac:dyDescent="0.15">
      <c r="A639" s="16" t="s">
        <v>704</v>
      </c>
      <c r="B639" s="17" t="s">
        <v>1257</v>
      </c>
      <c r="C639" s="17" t="s">
        <v>1258</v>
      </c>
      <c r="D639" s="25" t="s">
        <v>1072</v>
      </c>
      <c r="E639" s="19" t="s">
        <v>1239</v>
      </c>
      <c r="F639" s="19" t="s">
        <v>1254</v>
      </c>
      <c r="G639" s="2" t="str">
        <f t="shared" si="59"/>
        <v>http://jsmh.umin.jp/journal/15-4/15-4.pdf</v>
      </c>
      <c r="H639" s="42" t="str">
        <f t="shared" si="60"/>
        <v>http://dl.ndl.go.jp/info:ndljp/pid/3359246</v>
      </c>
    </row>
    <row r="640" spans="1:8" ht="30" customHeight="1" x14ac:dyDescent="0.15">
      <c r="A640" s="16" t="s">
        <v>704</v>
      </c>
      <c r="B640" s="17" t="s">
        <v>1259</v>
      </c>
      <c r="C640" s="17" t="s">
        <v>365</v>
      </c>
      <c r="D640" s="25" t="s">
        <v>1072</v>
      </c>
      <c r="E640" s="19" t="s">
        <v>1239</v>
      </c>
      <c r="F640" s="19" t="s">
        <v>1254</v>
      </c>
      <c r="G640" s="2" t="str">
        <f t="shared" si="59"/>
        <v>http://jsmh.umin.jp/journal/15-4/15-4.pdf</v>
      </c>
      <c r="H640" s="42" t="str">
        <f t="shared" si="60"/>
        <v>http://dl.ndl.go.jp/info:ndljp/pid/3359246</v>
      </c>
    </row>
    <row r="641" spans="1:8" ht="30" customHeight="1" x14ac:dyDescent="0.15">
      <c r="A641" s="16" t="s">
        <v>704</v>
      </c>
      <c r="B641" s="17" t="s">
        <v>1260</v>
      </c>
      <c r="C641" s="17" t="s">
        <v>18</v>
      </c>
      <c r="D641" s="25" t="s">
        <v>1072</v>
      </c>
      <c r="E641" s="19" t="s">
        <v>1239</v>
      </c>
      <c r="F641" s="19" t="s">
        <v>1261</v>
      </c>
      <c r="G641" s="2" t="str">
        <f t="shared" si="59"/>
        <v>http://jsmh.umin.jp/journal/15-4/15-4.pdf</v>
      </c>
      <c r="H641" s="42" t="str">
        <f t="shared" si="60"/>
        <v>http://dl.ndl.go.jp/info:ndljp/pid/3359246</v>
      </c>
    </row>
    <row r="642" spans="1:8" ht="30" customHeight="1" x14ac:dyDescent="0.15">
      <c r="A642" s="16" t="s">
        <v>704</v>
      </c>
      <c r="B642" s="17" t="s">
        <v>1262</v>
      </c>
      <c r="C642" s="17" t="s">
        <v>303</v>
      </c>
      <c r="D642" s="25" t="s">
        <v>1072</v>
      </c>
      <c r="E642" s="19" t="s">
        <v>1239</v>
      </c>
      <c r="F642" s="19" t="s">
        <v>1263</v>
      </c>
      <c r="G642" s="2" t="str">
        <f t="shared" si="59"/>
        <v>http://jsmh.umin.jp/journal/15-4/15-4.pdf</v>
      </c>
      <c r="H642" s="42" t="str">
        <f t="shared" si="60"/>
        <v>http://dl.ndl.go.jp/info:ndljp/pid/3359246</v>
      </c>
    </row>
    <row r="643" spans="1:8" ht="30" customHeight="1" x14ac:dyDescent="0.15">
      <c r="A643" s="16" t="s">
        <v>704</v>
      </c>
      <c r="B643" s="17" t="s">
        <v>1264</v>
      </c>
      <c r="C643" s="17" t="s">
        <v>1070</v>
      </c>
      <c r="D643" s="25" t="s">
        <v>1072</v>
      </c>
      <c r="E643" s="19" t="s">
        <v>1239</v>
      </c>
      <c r="F643" s="19" t="s">
        <v>1265</v>
      </c>
      <c r="G643" s="2" t="str">
        <f t="shared" si="59"/>
        <v>http://jsmh.umin.jp/journal/15-4/15-4.pdf</v>
      </c>
      <c r="H643" s="42" t="str">
        <f t="shared" si="60"/>
        <v>http://dl.ndl.go.jp/info:ndljp/pid/3359246</v>
      </c>
    </row>
    <row r="644" spans="1:8" ht="30" customHeight="1" x14ac:dyDescent="0.15">
      <c r="A644" s="16" t="s">
        <v>704</v>
      </c>
      <c r="B644" s="17" t="s">
        <v>1266</v>
      </c>
      <c r="C644" s="17" t="s">
        <v>830</v>
      </c>
      <c r="D644" s="25" t="s">
        <v>1072</v>
      </c>
      <c r="E644" s="19" t="s">
        <v>1239</v>
      </c>
      <c r="F644" s="19" t="s">
        <v>1265</v>
      </c>
      <c r="G644" s="2" t="str">
        <f t="shared" si="59"/>
        <v>http://jsmh.umin.jp/journal/15-4/15-4.pdf</v>
      </c>
      <c r="H644" s="42" t="str">
        <f t="shared" si="60"/>
        <v>http://dl.ndl.go.jp/info:ndljp/pid/3359246</v>
      </c>
    </row>
    <row r="645" spans="1:8" ht="30" customHeight="1" x14ac:dyDescent="0.15">
      <c r="A645" s="16" t="s">
        <v>704</v>
      </c>
      <c r="B645" s="17" t="s">
        <v>1267</v>
      </c>
      <c r="C645" s="17" t="s">
        <v>1268</v>
      </c>
      <c r="D645" s="25" t="s">
        <v>1072</v>
      </c>
      <c r="E645" s="19" t="s">
        <v>1239</v>
      </c>
      <c r="F645" s="19" t="s">
        <v>1265</v>
      </c>
      <c r="G645" s="2" t="str">
        <f t="shared" si="59"/>
        <v>http://jsmh.umin.jp/journal/15-4/15-4.pdf</v>
      </c>
      <c r="H645" s="42" t="str">
        <f t="shared" si="60"/>
        <v>http://dl.ndl.go.jp/info:ndljp/pid/3359246</v>
      </c>
    </row>
    <row r="646" spans="1:8" ht="30" customHeight="1" x14ac:dyDescent="0.15">
      <c r="A646" s="16" t="s">
        <v>704</v>
      </c>
      <c r="B646" s="17" t="s">
        <v>1269</v>
      </c>
      <c r="C646" s="17" t="s">
        <v>303</v>
      </c>
      <c r="D646" s="25" t="s">
        <v>1072</v>
      </c>
      <c r="E646" s="19" t="s">
        <v>1239</v>
      </c>
      <c r="F646" s="19" t="s">
        <v>1265</v>
      </c>
      <c r="G646" s="2" t="str">
        <f t="shared" si="59"/>
        <v>http://jsmh.umin.jp/journal/15-4/15-4.pdf</v>
      </c>
      <c r="H646" s="42" t="str">
        <f t="shared" si="60"/>
        <v>http://dl.ndl.go.jp/info:ndljp/pid/3359246</v>
      </c>
    </row>
    <row r="647" spans="1:8" ht="30" customHeight="1" x14ac:dyDescent="0.15">
      <c r="A647" s="16" t="s">
        <v>81</v>
      </c>
      <c r="B647" s="17" t="s">
        <v>1270</v>
      </c>
      <c r="C647" s="17" t="s">
        <v>1271</v>
      </c>
      <c r="D647" s="25" t="s">
        <v>1072</v>
      </c>
      <c r="E647" s="19" t="s">
        <v>1239</v>
      </c>
      <c r="F647" s="19" t="s">
        <v>94</v>
      </c>
      <c r="G647" s="2" t="str">
        <f t="shared" si="59"/>
        <v>http://jsmh.umin.jp/journal/15-4/15-4.pdf</v>
      </c>
      <c r="H647" s="42" t="str">
        <f t="shared" si="60"/>
        <v>http://dl.ndl.go.jp/info:ndljp/pid/3359246</v>
      </c>
    </row>
    <row r="648" spans="1:8" ht="30" customHeight="1" x14ac:dyDescent="0.15">
      <c r="A648" s="16" t="s">
        <v>81</v>
      </c>
      <c r="B648" s="17" t="s">
        <v>1272</v>
      </c>
      <c r="C648" s="17" t="s">
        <v>1271</v>
      </c>
      <c r="D648" s="25" t="s">
        <v>1072</v>
      </c>
      <c r="E648" s="19" t="s">
        <v>1239</v>
      </c>
      <c r="F648" s="19" t="s">
        <v>99</v>
      </c>
      <c r="G648" s="2" t="str">
        <f t="shared" si="59"/>
        <v>http://jsmh.umin.jp/journal/15-4/15-4.pdf</v>
      </c>
      <c r="H648" s="42" t="str">
        <f t="shared" si="60"/>
        <v>http://dl.ndl.go.jp/info:ndljp/pid/3359246</v>
      </c>
    </row>
    <row r="649" spans="1:8" ht="30" customHeight="1" x14ac:dyDescent="0.15">
      <c r="A649" s="16" t="s">
        <v>17</v>
      </c>
      <c r="B649" s="17" t="s">
        <v>1273</v>
      </c>
      <c r="C649" s="17" t="s">
        <v>1274</v>
      </c>
      <c r="D649" s="25" t="s">
        <v>1072</v>
      </c>
      <c r="E649" s="19" t="s">
        <v>1239</v>
      </c>
      <c r="F649" s="19" t="s">
        <v>1275</v>
      </c>
      <c r="G649" s="2" t="str">
        <f t="shared" si="59"/>
        <v>http://jsmh.umin.jp/journal/15-4/15-4.pdf</v>
      </c>
      <c r="H649" s="42" t="str">
        <f t="shared" si="60"/>
        <v>http://dl.ndl.go.jp/info:ndljp/pid/3359246</v>
      </c>
    </row>
    <row r="650" spans="1:8" ht="30" customHeight="1" x14ac:dyDescent="0.15">
      <c r="A650" s="16" t="s">
        <v>88</v>
      </c>
      <c r="B650" s="17" t="s">
        <v>1276</v>
      </c>
      <c r="C650" s="17" t="s">
        <v>479</v>
      </c>
      <c r="D650" s="18" t="s">
        <v>1277</v>
      </c>
      <c r="E650" s="19" t="s">
        <v>1278</v>
      </c>
      <c r="F650" s="19" t="s">
        <v>1279</v>
      </c>
      <c r="G650" s="2" t="str">
        <f t="shared" ref="G650:G687" si="61">HYPERLINK("http://jsmh.umin.jp/journal/16-1/16-1.pdf")</f>
        <v>http://jsmh.umin.jp/journal/16-1/16-1.pdf</v>
      </c>
      <c r="H650" s="42" t="str">
        <f>HYPERLINK("http://dl.ndl.go.jp/info:ndljp/pid/3359247")</f>
        <v>http://dl.ndl.go.jp/info:ndljp/pid/3359247</v>
      </c>
    </row>
    <row r="651" spans="1:8" ht="30" customHeight="1" x14ac:dyDescent="0.15">
      <c r="A651" s="16" t="s">
        <v>88</v>
      </c>
      <c r="B651" s="17" t="s">
        <v>1280</v>
      </c>
      <c r="C651" s="17" t="s">
        <v>1281</v>
      </c>
      <c r="D651" s="25" t="s">
        <v>1277</v>
      </c>
      <c r="E651" s="19" t="s">
        <v>1278</v>
      </c>
      <c r="F651" s="19" t="s">
        <v>804</v>
      </c>
      <c r="G651" s="2" t="str">
        <f t="shared" si="61"/>
        <v>http://jsmh.umin.jp/journal/16-1/16-1.pdf</v>
      </c>
      <c r="H651" s="42" t="str">
        <f t="shared" ref="H651:H687" si="62">HYPERLINK("http://dl.ndl.go.jp/info:ndljp/pid/3359247")</f>
        <v>http://dl.ndl.go.jp/info:ndljp/pid/3359247</v>
      </c>
    </row>
    <row r="652" spans="1:8" ht="30" customHeight="1" x14ac:dyDescent="0.15">
      <c r="A652" s="16" t="s">
        <v>499</v>
      </c>
      <c r="B652" s="17" t="s">
        <v>1282</v>
      </c>
      <c r="C652" s="17" t="s">
        <v>1283</v>
      </c>
      <c r="D652" s="25" t="s">
        <v>1277</v>
      </c>
      <c r="E652" s="19" t="s">
        <v>1278</v>
      </c>
      <c r="F652" s="19" t="s">
        <v>1099</v>
      </c>
      <c r="G652" s="2" t="str">
        <f t="shared" si="61"/>
        <v>http://jsmh.umin.jp/journal/16-1/16-1.pdf</v>
      </c>
      <c r="H652" s="42" t="str">
        <f t="shared" si="62"/>
        <v>http://dl.ndl.go.jp/info:ndljp/pid/3359247</v>
      </c>
    </row>
    <row r="653" spans="1:8" ht="30" customHeight="1" x14ac:dyDescent="0.15">
      <c r="A653" s="16" t="s">
        <v>91</v>
      </c>
      <c r="B653" s="17" t="s">
        <v>1284</v>
      </c>
      <c r="C653" s="17" t="s">
        <v>209</v>
      </c>
      <c r="D653" s="25" t="s">
        <v>1277</v>
      </c>
      <c r="E653" s="19" t="s">
        <v>1278</v>
      </c>
      <c r="F653" s="19" t="s">
        <v>1104</v>
      </c>
      <c r="G653" s="2" t="str">
        <f t="shared" si="61"/>
        <v>http://jsmh.umin.jp/journal/16-1/16-1.pdf</v>
      </c>
      <c r="H653" s="42" t="str">
        <f t="shared" si="62"/>
        <v>http://dl.ndl.go.jp/info:ndljp/pid/3359247</v>
      </c>
    </row>
    <row r="654" spans="1:8" ht="30" customHeight="1" x14ac:dyDescent="0.15">
      <c r="A654" s="16" t="s">
        <v>91</v>
      </c>
      <c r="B654" s="17" t="s">
        <v>1285</v>
      </c>
      <c r="C654" s="17" t="s">
        <v>830</v>
      </c>
      <c r="D654" s="25" t="s">
        <v>1277</v>
      </c>
      <c r="E654" s="19" t="s">
        <v>1278</v>
      </c>
      <c r="F654" s="19" t="s">
        <v>417</v>
      </c>
      <c r="G654" s="2" t="str">
        <f t="shared" si="61"/>
        <v>http://jsmh.umin.jp/journal/16-1/16-1.pdf</v>
      </c>
      <c r="H654" s="42" t="str">
        <f t="shared" si="62"/>
        <v>http://dl.ndl.go.jp/info:ndljp/pid/3359247</v>
      </c>
    </row>
    <row r="655" spans="1:8" ht="30" customHeight="1" x14ac:dyDescent="0.15">
      <c r="A655" s="16" t="s">
        <v>91</v>
      </c>
      <c r="B655" s="17" t="s">
        <v>1286</v>
      </c>
      <c r="C655" s="17" t="s">
        <v>18</v>
      </c>
      <c r="D655" s="25" t="s">
        <v>1277</v>
      </c>
      <c r="E655" s="19" t="s">
        <v>1278</v>
      </c>
      <c r="F655" s="19" t="s">
        <v>1287</v>
      </c>
      <c r="G655" s="2" t="str">
        <f t="shared" si="61"/>
        <v>http://jsmh.umin.jp/journal/16-1/16-1.pdf</v>
      </c>
      <c r="H655" s="42" t="str">
        <f t="shared" si="62"/>
        <v>http://dl.ndl.go.jp/info:ndljp/pid/3359247</v>
      </c>
    </row>
    <row r="656" spans="1:8" ht="30" customHeight="1" x14ac:dyDescent="0.15">
      <c r="A656" s="16" t="s">
        <v>91</v>
      </c>
      <c r="B656" s="17" t="s">
        <v>1288</v>
      </c>
      <c r="C656" s="17" t="s">
        <v>1289</v>
      </c>
      <c r="D656" s="25" t="s">
        <v>1277</v>
      </c>
      <c r="E656" s="19" t="s">
        <v>1278</v>
      </c>
      <c r="F656" s="19" t="s">
        <v>700</v>
      </c>
      <c r="G656" s="2" t="str">
        <f t="shared" si="61"/>
        <v>http://jsmh.umin.jp/journal/16-1/16-1.pdf</v>
      </c>
      <c r="H656" s="42" t="str">
        <f t="shared" si="62"/>
        <v>http://dl.ndl.go.jp/info:ndljp/pid/3359247</v>
      </c>
    </row>
    <row r="657" spans="1:8" ht="30" customHeight="1" x14ac:dyDescent="0.15">
      <c r="A657" s="16" t="s">
        <v>91</v>
      </c>
      <c r="B657" s="17" t="s">
        <v>1290</v>
      </c>
      <c r="C657" s="17" t="s">
        <v>1097</v>
      </c>
      <c r="D657" s="25" t="s">
        <v>1277</v>
      </c>
      <c r="E657" s="19" t="s">
        <v>1278</v>
      </c>
      <c r="F657" s="19" t="s">
        <v>1108</v>
      </c>
      <c r="G657" s="2" t="str">
        <f t="shared" si="61"/>
        <v>http://jsmh.umin.jp/journal/16-1/16-1.pdf</v>
      </c>
      <c r="H657" s="42" t="str">
        <f t="shared" si="62"/>
        <v>http://dl.ndl.go.jp/info:ndljp/pid/3359247</v>
      </c>
    </row>
    <row r="658" spans="1:8" ht="30" customHeight="1" x14ac:dyDescent="0.15">
      <c r="A658" s="16" t="s">
        <v>91</v>
      </c>
      <c r="B658" s="17" t="s">
        <v>1291</v>
      </c>
      <c r="C658" s="17" t="s">
        <v>1292</v>
      </c>
      <c r="D658" s="25" t="s">
        <v>1277</v>
      </c>
      <c r="E658" s="19" t="s">
        <v>1278</v>
      </c>
      <c r="F658" s="19" t="s">
        <v>889</v>
      </c>
      <c r="G658" s="2" t="str">
        <f t="shared" si="61"/>
        <v>http://jsmh.umin.jp/journal/16-1/16-1.pdf</v>
      </c>
      <c r="H658" s="42" t="str">
        <f t="shared" si="62"/>
        <v>http://dl.ndl.go.jp/info:ndljp/pid/3359247</v>
      </c>
    </row>
    <row r="659" spans="1:8" ht="30" customHeight="1" x14ac:dyDescent="0.15">
      <c r="A659" s="16" t="s">
        <v>91</v>
      </c>
      <c r="B659" s="17" t="s">
        <v>1293</v>
      </c>
      <c r="C659" s="17" t="s">
        <v>76</v>
      </c>
      <c r="D659" s="25" t="s">
        <v>1277</v>
      </c>
      <c r="E659" s="19" t="s">
        <v>1278</v>
      </c>
      <c r="F659" s="19" t="s">
        <v>338</v>
      </c>
      <c r="G659" s="2" t="str">
        <f t="shared" si="61"/>
        <v>http://jsmh.umin.jp/journal/16-1/16-1.pdf</v>
      </c>
      <c r="H659" s="42" t="str">
        <f t="shared" si="62"/>
        <v>http://dl.ndl.go.jp/info:ndljp/pid/3359247</v>
      </c>
    </row>
    <row r="660" spans="1:8" ht="30" customHeight="1" x14ac:dyDescent="0.15">
      <c r="A660" s="16" t="s">
        <v>91</v>
      </c>
      <c r="B660" s="17" t="s">
        <v>1294</v>
      </c>
      <c r="C660" s="17" t="s">
        <v>627</v>
      </c>
      <c r="D660" s="25" t="s">
        <v>1277</v>
      </c>
      <c r="E660" s="19" t="s">
        <v>1278</v>
      </c>
      <c r="F660" s="19" t="s">
        <v>1180</v>
      </c>
      <c r="G660" s="2" t="str">
        <f t="shared" si="61"/>
        <v>http://jsmh.umin.jp/journal/16-1/16-1.pdf</v>
      </c>
      <c r="H660" s="42" t="str">
        <f t="shared" si="62"/>
        <v>http://dl.ndl.go.jp/info:ndljp/pid/3359247</v>
      </c>
    </row>
    <row r="661" spans="1:8" ht="30" customHeight="1" x14ac:dyDescent="0.15">
      <c r="A661" s="16" t="s">
        <v>91</v>
      </c>
      <c r="B661" s="17" t="s">
        <v>1295</v>
      </c>
      <c r="C661" s="17" t="s">
        <v>905</v>
      </c>
      <c r="D661" s="25" t="s">
        <v>1277</v>
      </c>
      <c r="E661" s="19" t="s">
        <v>1278</v>
      </c>
      <c r="F661" s="19" t="s">
        <v>1182</v>
      </c>
      <c r="G661" s="2" t="str">
        <f t="shared" si="61"/>
        <v>http://jsmh.umin.jp/journal/16-1/16-1.pdf</v>
      </c>
      <c r="H661" s="42" t="str">
        <f t="shared" si="62"/>
        <v>http://dl.ndl.go.jp/info:ndljp/pid/3359247</v>
      </c>
    </row>
    <row r="662" spans="1:8" ht="30" customHeight="1" x14ac:dyDescent="0.15">
      <c r="A662" s="16" t="s">
        <v>91</v>
      </c>
      <c r="B662" s="17" t="s">
        <v>1296</v>
      </c>
      <c r="C662" s="17" t="s">
        <v>507</v>
      </c>
      <c r="D662" s="25" t="s">
        <v>1277</v>
      </c>
      <c r="E662" s="19" t="s">
        <v>1278</v>
      </c>
      <c r="F662" s="19" t="s">
        <v>714</v>
      </c>
      <c r="G662" s="2" t="str">
        <f t="shared" si="61"/>
        <v>http://jsmh.umin.jp/journal/16-1/16-1.pdf</v>
      </c>
      <c r="H662" s="42" t="str">
        <f t="shared" si="62"/>
        <v>http://dl.ndl.go.jp/info:ndljp/pid/3359247</v>
      </c>
    </row>
    <row r="663" spans="1:8" ht="30" customHeight="1" x14ac:dyDescent="0.15">
      <c r="A663" s="16" t="s">
        <v>91</v>
      </c>
      <c r="B663" s="17" t="s">
        <v>1297</v>
      </c>
      <c r="C663" s="17" t="s">
        <v>444</v>
      </c>
      <c r="D663" s="25" t="s">
        <v>1277</v>
      </c>
      <c r="E663" s="19" t="s">
        <v>1278</v>
      </c>
      <c r="F663" s="19" t="s">
        <v>1184</v>
      </c>
      <c r="G663" s="2" t="str">
        <f t="shared" si="61"/>
        <v>http://jsmh.umin.jp/journal/16-1/16-1.pdf</v>
      </c>
      <c r="H663" s="42" t="str">
        <f t="shared" si="62"/>
        <v>http://dl.ndl.go.jp/info:ndljp/pid/3359247</v>
      </c>
    </row>
    <row r="664" spans="1:8" ht="30" customHeight="1" x14ac:dyDescent="0.15">
      <c r="A664" s="16" t="s">
        <v>91</v>
      </c>
      <c r="B664" s="17" t="s">
        <v>1298</v>
      </c>
      <c r="C664" s="17" t="s">
        <v>1299</v>
      </c>
      <c r="D664" s="25" t="s">
        <v>1277</v>
      </c>
      <c r="E664" s="19" t="s">
        <v>1278</v>
      </c>
      <c r="F664" s="19" t="s">
        <v>705</v>
      </c>
      <c r="G664" s="2" t="str">
        <f t="shared" si="61"/>
        <v>http://jsmh.umin.jp/journal/16-1/16-1.pdf</v>
      </c>
      <c r="H664" s="42" t="str">
        <f t="shared" si="62"/>
        <v>http://dl.ndl.go.jp/info:ndljp/pid/3359247</v>
      </c>
    </row>
    <row r="665" spans="1:8" ht="30" customHeight="1" x14ac:dyDescent="0.15">
      <c r="A665" s="16" t="s">
        <v>91</v>
      </c>
      <c r="B665" s="17" t="s">
        <v>1300</v>
      </c>
      <c r="C665" s="17" t="s">
        <v>1301</v>
      </c>
      <c r="D665" s="25" t="s">
        <v>1277</v>
      </c>
      <c r="E665" s="19" t="s">
        <v>1278</v>
      </c>
      <c r="F665" s="19" t="s">
        <v>422</v>
      </c>
      <c r="G665" s="2" t="str">
        <f t="shared" si="61"/>
        <v>http://jsmh.umin.jp/journal/16-1/16-1.pdf</v>
      </c>
      <c r="H665" s="42" t="str">
        <f t="shared" si="62"/>
        <v>http://dl.ndl.go.jp/info:ndljp/pid/3359247</v>
      </c>
    </row>
    <row r="666" spans="1:8" ht="30" customHeight="1" x14ac:dyDescent="0.15">
      <c r="A666" s="16" t="s">
        <v>91</v>
      </c>
      <c r="B666" s="17" t="s">
        <v>1302</v>
      </c>
      <c r="C666" s="17" t="s">
        <v>790</v>
      </c>
      <c r="D666" s="25" t="s">
        <v>1277</v>
      </c>
      <c r="E666" s="19" t="s">
        <v>1278</v>
      </c>
      <c r="F666" s="19" t="s">
        <v>913</v>
      </c>
      <c r="G666" s="2" t="str">
        <f t="shared" si="61"/>
        <v>http://jsmh.umin.jp/journal/16-1/16-1.pdf</v>
      </c>
      <c r="H666" s="42" t="str">
        <f t="shared" si="62"/>
        <v>http://dl.ndl.go.jp/info:ndljp/pid/3359247</v>
      </c>
    </row>
    <row r="667" spans="1:8" ht="30" customHeight="1" x14ac:dyDescent="0.15">
      <c r="A667" s="16" t="s">
        <v>91</v>
      </c>
      <c r="B667" s="17" t="s">
        <v>1303</v>
      </c>
      <c r="C667" s="17" t="s">
        <v>690</v>
      </c>
      <c r="D667" s="25" t="s">
        <v>1277</v>
      </c>
      <c r="E667" s="19" t="s">
        <v>1278</v>
      </c>
      <c r="F667" s="19" t="s">
        <v>427</v>
      </c>
      <c r="G667" s="2" t="str">
        <f t="shared" si="61"/>
        <v>http://jsmh.umin.jp/journal/16-1/16-1.pdf</v>
      </c>
      <c r="H667" s="42" t="str">
        <f t="shared" si="62"/>
        <v>http://dl.ndl.go.jp/info:ndljp/pid/3359247</v>
      </c>
    </row>
    <row r="668" spans="1:8" ht="30" customHeight="1" x14ac:dyDescent="0.15">
      <c r="A668" s="16" t="s">
        <v>91</v>
      </c>
      <c r="B668" s="17" t="s">
        <v>1304</v>
      </c>
      <c r="C668" s="17" t="s">
        <v>66</v>
      </c>
      <c r="D668" s="25" t="s">
        <v>1277</v>
      </c>
      <c r="E668" s="19" t="s">
        <v>1278</v>
      </c>
      <c r="F668" s="19" t="s">
        <v>792</v>
      </c>
      <c r="G668" s="2" t="str">
        <f t="shared" si="61"/>
        <v>http://jsmh.umin.jp/journal/16-1/16-1.pdf</v>
      </c>
      <c r="H668" s="42" t="str">
        <f t="shared" si="62"/>
        <v>http://dl.ndl.go.jp/info:ndljp/pid/3359247</v>
      </c>
    </row>
    <row r="669" spans="1:8" ht="30" customHeight="1" x14ac:dyDescent="0.15">
      <c r="A669" s="16" t="s">
        <v>91</v>
      </c>
      <c r="B669" s="17" t="s">
        <v>1305</v>
      </c>
      <c r="C669" s="17" t="s">
        <v>916</v>
      </c>
      <c r="D669" s="25" t="s">
        <v>1277</v>
      </c>
      <c r="E669" s="19" t="s">
        <v>1278</v>
      </c>
      <c r="F669" s="19" t="s">
        <v>432</v>
      </c>
      <c r="G669" s="2" t="str">
        <f t="shared" si="61"/>
        <v>http://jsmh.umin.jp/journal/16-1/16-1.pdf</v>
      </c>
      <c r="H669" s="42" t="str">
        <f t="shared" si="62"/>
        <v>http://dl.ndl.go.jp/info:ndljp/pid/3359247</v>
      </c>
    </row>
    <row r="670" spans="1:8" ht="30" customHeight="1" x14ac:dyDescent="0.15">
      <c r="A670" s="16" t="s">
        <v>91</v>
      </c>
      <c r="B670" s="17" t="s">
        <v>1306</v>
      </c>
      <c r="C670" s="17" t="s">
        <v>134</v>
      </c>
      <c r="D670" s="25" t="s">
        <v>1277</v>
      </c>
      <c r="E670" s="19" t="s">
        <v>1278</v>
      </c>
      <c r="F670" s="19" t="s">
        <v>1192</v>
      </c>
      <c r="G670" s="2" t="str">
        <f t="shared" si="61"/>
        <v>http://jsmh.umin.jp/journal/16-1/16-1.pdf</v>
      </c>
      <c r="H670" s="42" t="str">
        <f t="shared" si="62"/>
        <v>http://dl.ndl.go.jp/info:ndljp/pid/3359247</v>
      </c>
    </row>
    <row r="671" spans="1:8" ht="30" customHeight="1" x14ac:dyDescent="0.15">
      <c r="A671" s="16" t="s">
        <v>91</v>
      </c>
      <c r="B671" s="17" t="s">
        <v>1307</v>
      </c>
      <c r="C671" s="17" t="s">
        <v>24</v>
      </c>
      <c r="D671" s="25" t="s">
        <v>1277</v>
      </c>
      <c r="E671" s="19" t="s">
        <v>1278</v>
      </c>
      <c r="F671" s="19" t="s">
        <v>434</v>
      </c>
      <c r="G671" s="2" t="str">
        <f t="shared" si="61"/>
        <v>http://jsmh.umin.jp/journal/16-1/16-1.pdf</v>
      </c>
      <c r="H671" s="42" t="str">
        <f t="shared" si="62"/>
        <v>http://dl.ndl.go.jp/info:ndljp/pid/3359247</v>
      </c>
    </row>
    <row r="672" spans="1:8" ht="30" customHeight="1" x14ac:dyDescent="0.15">
      <c r="A672" s="16" t="s">
        <v>91</v>
      </c>
      <c r="B672" s="17" t="s">
        <v>1308</v>
      </c>
      <c r="C672" s="17" t="s">
        <v>439</v>
      </c>
      <c r="D672" s="25" t="s">
        <v>1277</v>
      </c>
      <c r="E672" s="19" t="s">
        <v>1278</v>
      </c>
      <c r="F672" s="19" t="s">
        <v>565</v>
      </c>
      <c r="G672" s="2" t="str">
        <f t="shared" si="61"/>
        <v>http://jsmh.umin.jp/journal/16-1/16-1.pdf</v>
      </c>
      <c r="H672" s="42" t="str">
        <f t="shared" si="62"/>
        <v>http://dl.ndl.go.jp/info:ndljp/pid/3359247</v>
      </c>
    </row>
    <row r="673" spans="1:8" ht="30" customHeight="1" x14ac:dyDescent="0.15">
      <c r="A673" s="16" t="s">
        <v>91</v>
      </c>
      <c r="B673" s="17" t="s">
        <v>1309</v>
      </c>
      <c r="C673" s="17" t="s">
        <v>191</v>
      </c>
      <c r="D673" s="25" t="s">
        <v>1277</v>
      </c>
      <c r="E673" s="19" t="s">
        <v>1278</v>
      </c>
      <c r="F673" s="19" t="s">
        <v>1310</v>
      </c>
      <c r="G673" s="2" t="str">
        <f t="shared" si="61"/>
        <v>http://jsmh.umin.jp/journal/16-1/16-1.pdf</v>
      </c>
      <c r="H673" s="42" t="str">
        <f t="shared" si="62"/>
        <v>http://dl.ndl.go.jp/info:ndljp/pid/3359247</v>
      </c>
    </row>
    <row r="674" spans="1:8" ht="30" customHeight="1" x14ac:dyDescent="0.15">
      <c r="A674" s="16" t="s">
        <v>91</v>
      </c>
      <c r="B674" s="17" t="s">
        <v>1311</v>
      </c>
      <c r="C674" s="17" t="s">
        <v>992</v>
      </c>
      <c r="D674" s="25" t="s">
        <v>1277</v>
      </c>
      <c r="E674" s="19" t="s">
        <v>1278</v>
      </c>
      <c r="F674" s="19" t="s">
        <v>567</v>
      </c>
      <c r="G674" s="2" t="str">
        <f t="shared" si="61"/>
        <v>http://jsmh.umin.jp/journal/16-1/16-1.pdf</v>
      </c>
      <c r="H674" s="42" t="str">
        <f t="shared" si="62"/>
        <v>http://dl.ndl.go.jp/info:ndljp/pid/3359247</v>
      </c>
    </row>
    <row r="675" spans="1:8" ht="30" customHeight="1" x14ac:dyDescent="0.15">
      <c r="A675" s="16" t="s">
        <v>91</v>
      </c>
      <c r="B675" s="17" t="s">
        <v>1312</v>
      </c>
      <c r="C675" s="17" t="s">
        <v>303</v>
      </c>
      <c r="D675" s="25" t="s">
        <v>1277</v>
      </c>
      <c r="E675" s="19" t="s">
        <v>1278</v>
      </c>
      <c r="F675" s="19" t="s">
        <v>557</v>
      </c>
      <c r="G675" s="2" t="str">
        <f t="shared" si="61"/>
        <v>http://jsmh.umin.jp/journal/16-1/16-1.pdf</v>
      </c>
      <c r="H675" s="42" t="str">
        <f t="shared" si="62"/>
        <v>http://dl.ndl.go.jp/info:ndljp/pid/3359247</v>
      </c>
    </row>
    <row r="676" spans="1:8" ht="30" customHeight="1" x14ac:dyDescent="0.15">
      <c r="A676" s="16" t="s">
        <v>91</v>
      </c>
      <c r="B676" s="17" t="s">
        <v>1313</v>
      </c>
      <c r="C676" s="17" t="s">
        <v>485</v>
      </c>
      <c r="D676" s="25" t="s">
        <v>1277</v>
      </c>
      <c r="E676" s="19" t="s">
        <v>1278</v>
      </c>
      <c r="F676" s="19" t="s">
        <v>570</v>
      </c>
      <c r="G676" s="2" t="str">
        <f t="shared" si="61"/>
        <v>http://jsmh.umin.jp/journal/16-1/16-1.pdf</v>
      </c>
      <c r="H676" s="42" t="str">
        <f t="shared" si="62"/>
        <v>http://dl.ndl.go.jp/info:ndljp/pid/3359247</v>
      </c>
    </row>
    <row r="677" spans="1:8" ht="30" customHeight="1" x14ac:dyDescent="0.15">
      <c r="A677" s="16" t="s">
        <v>91</v>
      </c>
      <c r="B677" s="17" t="s">
        <v>1314</v>
      </c>
      <c r="C677" s="17" t="s">
        <v>212</v>
      </c>
      <c r="D677" s="25" t="s">
        <v>1277</v>
      </c>
      <c r="E677" s="19" t="s">
        <v>1278</v>
      </c>
      <c r="F677" s="19" t="s">
        <v>560</v>
      </c>
      <c r="G677" s="2" t="str">
        <f t="shared" si="61"/>
        <v>http://jsmh.umin.jp/journal/16-1/16-1.pdf</v>
      </c>
      <c r="H677" s="42" t="str">
        <f t="shared" si="62"/>
        <v>http://dl.ndl.go.jp/info:ndljp/pid/3359247</v>
      </c>
    </row>
    <row r="678" spans="1:8" ht="30" customHeight="1" x14ac:dyDescent="0.15">
      <c r="A678" s="16" t="s">
        <v>91</v>
      </c>
      <c r="B678" s="17" t="s">
        <v>1315</v>
      </c>
      <c r="C678" s="17" t="s">
        <v>188</v>
      </c>
      <c r="D678" s="25" t="s">
        <v>1277</v>
      </c>
      <c r="E678" s="19" t="s">
        <v>1278</v>
      </c>
      <c r="F678" s="19" t="s">
        <v>576</v>
      </c>
      <c r="G678" s="2" t="str">
        <f t="shared" si="61"/>
        <v>http://jsmh.umin.jp/journal/16-1/16-1.pdf</v>
      </c>
      <c r="H678" s="42" t="str">
        <f t="shared" si="62"/>
        <v>http://dl.ndl.go.jp/info:ndljp/pid/3359247</v>
      </c>
    </row>
    <row r="679" spans="1:8" ht="30" customHeight="1" x14ac:dyDescent="0.15">
      <c r="A679" s="16" t="s">
        <v>91</v>
      </c>
      <c r="B679" s="17" t="s">
        <v>1316</v>
      </c>
      <c r="C679" s="17" t="s">
        <v>841</v>
      </c>
      <c r="D679" s="25" t="s">
        <v>1277</v>
      </c>
      <c r="E679" s="19" t="s">
        <v>1278</v>
      </c>
      <c r="F679" s="19" t="s">
        <v>577</v>
      </c>
      <c r="G679" s="2" t="str">
        <f t="shared" si="61"/>
        <v>http://jsmh.umin.jp/journal/16-1/16-1.pdf</v>
      </c>
      <c r="H679" s="42" t="str">
        <f t="shared" si="62"/>
        <v>http://dl.ndl.go.jp/info:ndljp/pid/3359247</v>
      </c>
    </row>
    <row r="680" spans="1:8" ht="30" customHeight="1" x14ac:dyDescent="0.15">
      <c r="A680" s="16" t="s">
        <v>91</v>
      </c>
      <c r="B680" s="17" t="s">
        <v>1317</v>
      </c>
      <c r="C680" s="17" t="s">
        <v>273</v>
      </c>
      <c r="D680" s="25" t="s">
        <v>1277</v>
      </c>
      <c r="E680" s="19" t="s">
        <v>1278</v>
      </c>
      <c r="F680" s="19" t="s">
        <v>579</v>
      </c>
      <c r="G680" s="2" t="str">
        <f t="shared" si="61"/>
        <v>http://jsmh.umin.jp/journal/16-1/16-1.pdf</v>
      </c>
      <c r="H680" s="42" t="str">
        <f t="shared" si="62"/>
        <v>http://dl.ndl.go.jp/info:ndljp/pid/3359247</v>
      </c>
    </row>
    <row r="681" spans="1:8" ht="30" customHeight="1" x14ac:dyDescent="0.15">
      <c r="A681" s="16" t="s">
        <v>91</v>
      </c>
      <c r="B681" s="17" t="s">
        <v>1318</v>
      </c>
      <c r="C681" s="17" t="s">
        <v>198</v>
      </c>
      <c r="D681" s="25" t="s">
        <v>1277</v>
      </c>
      <c r="E681" s="19" t="s">
        <v>1278</v>
      </c>
      <c r="F681" s="19" t="s">
        <v>583</v>
      </c>
      <c r="G681" s="2" t="str">
        <f t="shared" si="61"/>
        <v>http://jsmh.umin.jp/journal/16-1/16-1.pdf</v>
      </c>
      <c r="H681" s="42" t="str">
        <f t="shared" si="62"/>
        <v>http://dl.ndl.go.jp/info:ndljp/pid/3359247</v>
      </c>
    </row>
    <row r="682" spans="1:8" ht="30" customHeight="1" x14ac:dyDescent="0.15">
      <c r="A682" s="16" t="s">
        <v>91</v>
      </c>
      <c r="B682" s="17" t="s">
        <v>1319</v>
      </c>
      <c r="C682" s="17" t="s">
        <v>1320</v>
      </c>
      <c r="D682" s="25" t="s">
        <v>1277</v>
      </c>
      <c r="E682" s="19" t="s">
        <v>1278</v>
      </c>
      <c r="F682" s="19" t="s">
        <v>586</v>
      </c>
      <c r="G682" s="2" t="str">
        <f t="shared" si="61"/>
        <v>http://jsmh.umin.jp/journal/16-1/16-1.pdf</v>
      </c>
      <c r="H682" s="42" t="str">
        <f t="shared" si="62"/>
        <v>http://dl.ndl.go.jp/info:ndljp/pid/3359247</v>
      </c>
    </row>
    <row r="683" spans="1:8" ht="30" customHeight="1" x14ac:dyDescent="0.15">
      <c r="A683" s="16" t="s">
        <v>91</v>
      </c>
      <c r="B683" s="17" t="s">
        <v>1321</v>
      </c>
      <c r="C683" s="17" t="s">
        <v>48</v>
      </c>
      <c r="D683" s="25" t="s">
        <v>1277</v>
      </c>
      <c r="E683" s="19" t="s">
        <v>1278</v>
      </c>
      <c r="F683" s="19" t="s">
        <v>588</v>
      </c>
      <c r="G683" s="2" t="str">
        <f t="shared" si="61"/>
        <v>http://jsmh.umin.jp/journal/16-1/16-1.pdf</v>
      </c>
      <c r="H683" s="42" t="str">
        <f t="shared" si="62"/>
        <v>http://dl.ndl.go.jp/info:ndljp/pid/3359247</v>
      </c>
    </row>
    <row r="684" spans="1:8" ht="30" customHeight="1" x14ac:dyDescent="0.15">
      <c r="A684" s="16" t="s">
        <v>91</v>
      </c>
      <c r="B684" s="17" t="s">
        <v>1322</v>
      </c>
      <c r="C684" s="17" t="s">
        <v>57</v>
      </c>
      <c r="D684" s="25" t="s">
        <v>1277</v>
      </c>
      <c r="E684" s="19" t="s">
        <v>1278</v>
      </c>
      <c r="F684" s="19" t="s">
        <v>723</v>
      </c>
      <c r="G684" s="2" t="str">
        <f t="shared" si="61"/>
        <v>http://jsmh.umin.jp/journal/16-1/16-1.pdf</v>
      </c>
      <c r="H684" s="42" t="str">
        <f t="shared" si="62"/>
        <v>http://dl.ndl.go.jp/info:ndljp/pid/3359247</v>
      </c>
    </row>
    <row r="685" spans="1:8" ht="30" customHeight="1" x14ac:dyDescent="0.15">
      <c r="A685" s="16" t="s">
        <v>91</v>
      </c>
      <c r="B685" s="17" t="s">
        <v>1323</v>
      </c>
      <c r="C685" s="17" t="s">
        <v>444</v>
      </c>
      <c r="D685" s="25" t="s">
        <v>1277</v>
      </c>
      <c r="E685" s="19" t="s">
        <v>1278</v>
      </c>
      <c r="F685" s="19" t="s">
        <v>831</v>
      </c>
      <c r="G685" s="2" t="str">
        <f t="shared" si="61"/>
        <v>http://jsmh.umin.jp/journal/16-1/16-1.pdf</v>
      </c>
      <c r="H685" s="42" t="str">
        <f t="shared" si="62"/>
        <v>http://dl.ndl.go.jp/info:ndljp/pid/3359247</v>
      </c>
    </row>
    <row r="686" spans="1:8" ht="30" customHeight="1" x14ac:dyDescent="0.15">
      <c r="A686" s="16" t="s">
        <v>91</v>
      </c>
      <c r="B686" s="17" t="s">
        <v>1324</v>
      </c>
      <c r="C686" s="17" t="s">
        <v>1070</v>
      </c>
      <c r="D686" s="25" t="s">
        <v>1277</v>
      </c>
      <c r="E686" s="19" t="s">
        <v>1278</v>
      </c>
      <c r="F686" s="19" t="s">
        <v>593</v>
      </c>
      <c r="G686" s="2" t="str">
        <f t="shared" si="61"/>
        <v>http://jsmh.umin.jp/journal/16-1/16-1.pdf</v>
      </c>
      <c r="H686" s="42" t="str">
        <f t="shared" si="62"/>
        <v>http://dl.ndl.go.jp/info:ndljp/pid/3359247</v>
      </c>
    </row>
    <row r="687" spans="1:8" ht="30" customHeight="1" x14ac:dyDescent="0.15">
      <c r="A687" s="16" t="s">
        <v>91</v>
      </c>
      <c r="B687" s="17" t="s">
        <v>1325</v>
      </c>
      <c r="C687" s="17" t="s">
        <v>790</v>
      </c>
      <c r="D687" s="25" t="s">
        <v>1277</v>
      </c>
      <c r="E687" s="19" t="s">
        <v>1278</v>
      </c>
      <c r="F687" s="19" t="s">
        <v>595</v>
      </c>
      <c r="G687" s="2" t="str">
        <f t="shared" si="61"/>
        <v>http://jsmh.umin.jp/journal/16-1/16-1.pdf</v>
      </c>
      <c r="H687" s="42" t="str">
        <f t="shared" si="62"/>
        <v>http://dl.ndl.go.jp/info:ndljp/pid/3359247</v>
      </c>
    </row>
    <row r="688" spans="1:8" ht="30" customHeight="1" x14ac:dyDescent="0.15">
      <c r="A688" s="16" t="s">
        <v>17</v>
      </c>
      <c r="B688" s="17" t="s">
        <v>1326</v>
      </c>
      <c r="C688" s="17" t="s">
        <v>925</v>
      </c>
      <c r="D688" s="25" t="s">
        <v>1277</v>
      </c>
      <c r="E688" s="19" t="s">
        <v>1327</v>
      </c>
      <c r="F688" s="19" t="s">
        <v>1328</v>
      </c>
      <c r="G688" s="2" t="str">
        <f t="shared" ref="G688:G709" si="63">HYPERLINK("http://jsmh.umin.jp/journal/16-2/16-2.pdf")</f>
        <v>http://jsmh.umin.jp/journal/16-2/16-2.pdf</v>
      </c>
      <c r="H688" s="42" t="str">
        <f>HYPERLINK("http://dl.ndl.go.jp/info:ndljp/pid/3359248")</f>
        <v>http://dl.ndl.go.jp/info:ndljp/pid/3359248</v>
      </c>
    </row>
    <row r="689" spans="1:8" ht="30" customHeight="1" x14ac:dyDescent="0.15">
      <c r="A689" s="16" t="s">
        <v>17</v>
      </c>
      <c r="B689" s="17" t="s">
        <v>1329</v>
      </c>
      <c r="C689" s="17" t="s">
        <v>444</v>
      </c>
      <c r="D689" s="25" t="s">
        <v>1277</v>
      </c>
      <c r="E689" s="19" t="s">
        <v>1327</v>
      </c>
      <c r="F689" s="19" t="s">
        <v>1330</v>
      </c>
      <c r="G689" s="2" t="str">
        <f t="shared" si="63"/>
        <v>http://jsmh.umin.jp/journal/16-2/16-2.pdf</v>
      </c>
      <c r="H689" s="42" t="str">
        <f t="shared" ref="H689:H709" si="64">HYPERLINK("http://dl.ndl.go.jp/info:ndljp/pid/3359248")</f>
        <v>http://dl.ndl.go.jp/info:ndljp/pid/3359248</v>
      </c>
    </row>
    <row r="690" spans="1:8" ht="30" customHeight="1" x14ac:dyDescent="0.15">
      <c r="A690" s="16" t="s">
        <v>17</v>
      </c>
      <c r="B690" s="17" t="s">
        <v>1331</v>
      </c>
      <c r="C690" s="17" t="s">
        <v>790</v>
      </c>
      <c r="D690" s="25" t="s">
        <v>1277</v>
      </c>
      <c r="E690" s="19" t="s">
        <v>1327</v>
      </c>
      <c r="F690" s="19" t="s">
        <v>1332</v>
      </c>
      <c r="G690" s="2" t="str">
        <f t="shared" si="63"/>
        <v>http://jsmh.umin.jp/journal/16-2/16-2.pdf</v>
      </c>
      <c r="H690" s="42" t="str">
        <f t="shared" si="64"/>
        <v>http://dl.ndl.go.jp/info:ndljp/pid/3359248</v>
      </c>
    </row>
    <row r="691" spans="1:8" ht="30" customHeight="1" x14ac:dyDescent="0.15">
      <c r="A691" s="16" t="s">
        <v>17</v>
      </c>
      <c r="B691" s="17" t="s">
        <v>1333</v>
      </c>
      <c r="C691" s="17" t="s">
        <v>790</v>
      </c>
      <c r="D691" s="25" t="s">
        <v>1277</v>
      </c>
      <c r="E691" s="19" t="s">
        <v>1327</v>
      </c>
      <c r="F691" s="19" t="s">
        <v>1334</v>
      </c>
      <c r="G691" s="2" t="str">
        <f t="shared" si="63"/>
        <v>http://jsmh.umin.jp/journal/16-2/16-2.pdf</v>
      </c>
      <c r="H691" s="42" t="str">
        <f t="shared" si="64"/>
        <v>http://dl.ndl.go.jp/info:ndljp/pid/3359248</v>
      </c>
    </row>
    <row r="692" spans="1:8" ht="30" customHeight="1" x14ac:dyDescent="0.15">
      <c r="A692" s="16" t="s">
        <v>17</v>
      </c>
      <c r="B692" s="17" t="s">
        <v>1335</v>
      </c>
      <c r="C692" s="17" t="s">
        <v>1299</v>
      </c>
      <c r="D692" s="25" t="s">
        <v>1277</v>
      </c>
      <c r="E692" s="19" t="s">
        <v>1327</v>
      </c>
      <c r="F692" s="19" t="s">
        <v>1336</v>
      </c>
      <c r="G692" s="2" t="str">
        <f t="shared" si="63"/>
        <v>http://jsmh.umin.jp/journal/16-2/16-2.pdf</v>
      </c>
      <c r="H692" s="42" t="str">
        <f t="shared" si="64"/>
        <v>http://dl.ndl.go.jp/info:ndljp/pid/3359248</v>
      </c>
    </row>
    <row r="693" spans="1:8" ht="30" customHeight="1" x14ac:dyDescent="0.15">
      <c r="A693" s="16" t="s">
        <v>17</v>
      </c>
      <c r="B693" s="17" t="s">
        <v>1337</v>
      </c>
      <c r="C693" s="17" t="s">
        <v>1338</v>
      </c>
      <c r="D693" s="25" t="s">
        <v>1277</v>
      </c>
      <c r="E693" s="19" t="s">
        <v>1327</v>
      </c>
      <c r="F693" s="19" t="s">
        <v>1339</v>
      </c>
      <c r="G693" s="2" t="str">
        <f t="shared" si="63"/>
        <v>http://jsmh.umin.jp/journal/16-2/16-2.pdf</v>
      </c>
      <c r="H693" s="42" t="str">
        <f t="shared" si="64"/>
        <v>http://dl.ndl.go.jp/info:ndljp/pid/3359248</v>
      </c>
    </row>
    <row r="694" spans="1:8" ht="30" customHeight="1" x14ac:dyDescent="0.15">
      <c r="A694" s="16" t="s">
        <v>17</v>
      </c>
      <c r="B694" s="17" t="s">
        <v>1340</v>
      </c>
      <c r="C694" s="17" t="s">
        <v>303</v>
      </c>
      <c r="D694" s="25" t="s">
        <v>1277</v>
      </c>
      <c r="E694" s="19" t="s">
        <v>1327</v>
      </c>
      <c r="F694" s="19" t="s">
        <v>1341</v>
      </c>
      <c r="G694" s="2" t="str">
        <f t="shared" si="63"/>
        <v>http://jsmh.umin.jp/journal/16-2/16-2.pdf</v>
      </c>
      <c r="H694" s="42" t="str">
        <f t="shared" si="64"/>
        <v>http://dl.ndl.go.jp/info:ndljp/pid/3359248</v>
      </c>
    </row>
    <row r="695" spans="1:8" ht="30" customHeight="1" x14ac:dyDescent="0.15">
      <c r="A695" s="16" t="s">
        <v>17</v>
      </c>
      <c r="B695" s="17" t="s">
        <v>1342</v>
      </c>
      <c r="C695" s="17" t="s">
        <v>1040</v>
      </c>
      <c r="D695" s="25" t="s">
        <v>1277</v>
      </c>
      <c r="E695" s="19" t="s">
        <v>1327</v>
      </c>
      <c r="F695" s="19" t="s">
        <v>1343</v>
      </c>
      <c r="G695" s="2" t="str">
        <f t="shared" si="63"/>
        <v>http://jsmh.umin.jp/journal/16-2/16-2.pdf</v>
      </c>
      <c r="H695" s="42" t="str">
        <f t="shared" si="64"/>
        <v>http://dl.ndl.go.jp/info:ndljp/pid/3359248</v>
      </c>
    </row>
    <row r="696" spans="1:8" ht="30" customHeight="1" x14ac:dyDescent="0.15">
      <c r="A696" s="16" t="s">
        <v>704</v>
      </c>
      <c r="B696" s="17" t="s">
        <v>1344</v>
      </c>
      <c r="C696" s="17" t="s">
        <v>57</v>
      </c>
      <c r="D696" s="25" t="s">
        <v>1277</v>
      </c>
      <c r="E696" s="19" t="s">
        <v>1327</v>
      </c>
      <c r="F696" s="19" t="s">
        <v>1345</v>
      </c>
      <c r="G696" s="2" t="str">
        <f t="shared" si="63"/>
        <v>http://jsmh.umin.jp/journal/16-2/16-2.pdf</v>
      </c>
      <c r="H696" s="42" t="str">
        <f t="shared" si="64"/>
        <v>http://dl.ndl.go.jp/info:ndljp/pid/3359248</v>
      </c>
    </row>
    <row r="697" spans="1:8" ht="30" customHeight="1" x14ac:dyDescent="0.15">
      <c r="A697" s="16" t="s">
        <v>704</v>
      </c>
      <c r="B697" s="17" t="s">
        <v>1346</v>
      </c>
      <c r="C697" s="17" t="s">
        <v>365</v>
      </c>
      <c r="D697" s="25" t="s">
        <v>1277</v>
      </c>
      <c r="E697" s="19" t="s">
        <v>1327</v>
      </c>
      <c r="F697" s="19" t="s">
        <v>1347</v>
      </c>
      <c r="G697" s="2" t="str">
        <f t="shared" si="63"/>
        <v>http://jsmh.umin.jp/journal/16-2/16-2.pdf</v>
      </c>
      <c r="H697" s="42" t="str">
        <f t="shared" si="64"/>
        <v>http://dl.ndl.go.jp/info:ndljp/pid/3359248</v>
      </c>
    </row>
    <row r="698" spans="1:8" ht="30" customHeight="1" x14ac:dyDescent="0.15">
      <c r="A698" s="16" t="s">
        <v>704</v>
      </c>
      <c r="B698" s="17" t="s">
        <v>1348</v>
      </c>
      <c r="C698" s="17" t="s">
        <v>198</v>
      </c>
      <c r="D698" s="25" t="s">
        <v>1277</v>
      </c>
      <c r="E698" s="19" t="s">
        <v>1327</v>
      </c>
      <c r="F698" s="19" t="s">
        <v>1349</v>
      </c>
      <c r="G698" s="2" t="str">
        <f t="shared" si="63"/>
        <v>http://jsmh.umin.jp/journal/16-2/16-2.pdf</v>
      </c>
      <c r="H698" s="42" t="str">
        <f t="shared" si="64"/>
        <v>http://dl.ndl.go.jp/info:ndljp/pid/3359248</v>
      </c>
    </row>
    <row r="699" spans="1:8" ht="30" customHeight="1" x14ac:dyDescent="0.15">
      <c r="A699" s="16" t="s">
        <v>704</v>
      </c>
      <c r="B699" s="17" t="s">
        <v>1350</v>
      </c>
      <c r="C699" s="17" t="s">
        <v>830</v>
      </c>
      <c r="D699" s="25" t="s">
        <v>1277</v>
      </c>
      <c r="E699" s="19" t="s">
        <v>1327</v>
      </c>
      <c r="F699" s="19" t="s">
        <v>1351</v>
      </c>
      <c r="G699" s="2" t="str">
        <f t="shared" si="63"/>
        <v>http://jsmh.umin.jp/journal/16-2/16-2.pdf</v>
      </c>
      <c r="H699" s="42" t="str">
        <f t="shared" si="64"/>
        <v>http://dl.ndl.go.jp/info:ndljp/pid/3359248</v>
      </c>
    </row>
    <row r="700" spans="1:8" ht="30" customHeight="1" x14ac:dyDescent="0.15">
      <c r="A700" s="16" t="s">
        <v>704</v>
      </c>
      <c r="B700" s="17" t="s">
        <v>1352</v>
      </c>
      <c r="C700" s="17" t="s">
        <v>1338</v>
      </c>
      <c r="D700" s="25" t="s">
        <v>1277</v>
      </c>
      <c r="E700" s="19" t="s">
        <v>1327</v>
      </c>
      <c r="F700" s="19" t="s">
        <v>1353</v>
      </c>
      <c r="G700" s="2" t="str">
        <f t="shared" si="63"/>
        <v>http://jsmh.umin.jp/journal/16-2/16-2.pdf</v>
      </c>
      <c r="H700" s="42" t="str">
        <f t="shared" si="64"/>
        <v>http://dl.ndl.go.jp/info:ndljp/pid/3359248</v>
      </c>
    </row>
    <row r="701" spans="1:8" ht="30" customHeight="1" x14ac:dyDescent="0.15">
      <c r="A701" s="16" t="s">
        <v>704</v>
      </c>
      <c r="B701" s="17" t="s">
        <v>1354</v>
      </c>
      <c r="C701" s="17" t="s">
        <v>18</v>
      </c>
      <c r="D701" s="25" t="s">
        <v>1277</v>
      </c>
      <c r="E701" s="19" t="s">
        <v>1327</v>
      </c>
      <c r="F701" s="19" t="s">
        <v>1353</v>
      </c>
      <c r="G701" s="2" t="str">
        <f t="shared" si="63"/>
        <v>http://jsmh.umin.jp/journal/16-2/16-2.pdf</v>
      </c>
      <c r="H701" s="42" t="str">
        <f t="shared" si="64"/>
        <v>http://dl.ndl.go.jp/info:ndljp/pid/3359248</v>
      </c>
    </row>
    <row r="702" spans="1:8" ht="30" customHeight="1" x14ac:dyDescent="0.15">
      <c r="A702" s="16" t="s">
        <v>704</v>
      </c>
      <c r="B702" s="17" t="s">
        <v>1355</v>
      </c>
      <c r="C702" s="17" t="s">
        <v>18</v>
      </c>
      <c r="D702" s="25" t="s">
        <v>1277</v>
      </c>
      <c r="E702" s="19" t="s">
        <v>1327</v>
      </c>
      <c r="F702" s="19" t="s">
        <v>1356</v>
      </c>
      <c r="G702" s="2" t="str">
        <f t="shared" si="63"/>
        <v>http://jsmh.umin.jp/journal/16-2/16-2.pdf</v>
      </c>
      <c r="H702" s="42" t="str">
        <f t="shared" si="64"/>
        <v>http://dl.ndl.go.jp/info:ndljp/pid/3359248</v>
      </c>
    </row>
    <row r="703" spans="1:8" ht="30" customHeight="1" x14ac:dyDescent="0.15">
      <c r="A703" s="16" t="s">
        <v>704</v>
      </c>
      <c r="B703" s="17" t="s">
        <v>1357</v>
      </c>
      <c r="C703" s="17" t="s">
        <v>1070</v>
      </c>
      <c r="D703" s="25" t="s">
        <v>1277</v>
      </c>
      <c r="E703" s="19" t="s">
        <v>1327</v>
      </c>
      <c r="F703" s="19" t="s">
        <v>1358</v>
      </c>
      <c r="G703" s="2" t="str">
        <f t="shared" si="63"/>
        <v>http://jsmh.umin.jp/journal/16-2/16-2.pdf</v>
      </c>
      <c r="H703" s="42" t="str">
        <f t="shared" si="64"/>
        <v>http://dl.ndl.go.jp/info:ndljp/pid/3359248</v>
      </c>
    </row>
    <row r="704" spans="1:8" ht="30" customHeight="1" x14ac:dyDescent="0.15">
      <c r="A704" s="16" t="s">
        <v>704</v>
      </c>
      <c r="B704" s="17" t="s">
        <v>1359</v>
      </c>
      <c r="C704" s="17" t="s">
        <v>830</v>
      </c>
      <c r="D704" s="25" t="s">
        <v>1277</v>
      </c>
      <c r="E704" s="19" t="s">
        <v>1327</v>
      </c>
      <c r="F704" s="19" t="s">
        <v>1358</v>
      </c>
      <c r="G704" s="2" t="str">
        <f t="shared" si="63"/>
        <v>http://jsmh.umin.jp/journal/16-2/16-2.pdf</v>
      </c>
      <c r="H704" s="42" t="str">
        <f t="shared" si="64"/>
        <v>http://dl.ndl.go.jp/info:ndljp/pid/3359248</v>
      </c>
    </row>
    <row r="705" spans="1:8" ht="30" customHeight="1" x14ac:dyDescent="0.15">
      <c r="A705" s="16" t="s">
        <v>704</v>
      </c>
      <c r="B705" s="17" t="s">
        <v>1360</v>
      </c>
      <c r="C705" s="17" t="s">
        <v>303</v>
      </c>
      <c r="D705" s="25" t="s">
        <v>1277</v>
      </c>
      <c r="E705" s="19" t="s">
        <v>1327</v>
      </c>
      <c r="F705" s="19" t="s">
        <v>1361</v>
      </c>
      <c r="G705" s="2" t="str">
        <f t="shared" si="63"/>
        <v>http://jsmh.umin.jp/journal/16-2/16-2.pdf</v>
      </c>
      <c r="H705" s="42" t="str">
        <f t="shared" si="64"/>
        <v>http://dl.ndl.go.jp/info:ndljp/pid/3359248</v>
      </c>
    </row>
    <row r="706" spans="1:8" ht="30" customHeight="1" x14ac:dyDescent="0.15">
      <c r="A706" s="16" t="s">
        <v>81</v>
      </c>
      <c r="B706" s="17" t="s">
        <v>1362</v>
      </c>
      <c r="C706" s="17"/>
      <c r="D706" s="25" t="s">
        <v>1277</v>
      </c>
      <c r="E706" s="19" t="s">
        <v>1327</v>
      </c>
      <c r="F706" s="19" t="s">
        <v>1363</v>
      </c>
      <c r="G706" s="2" t="str">
        <f t="shared" si="63"/>
        <v>http://jsmh.umin.jp/journal/16-2/16-2.pdf</v>
      </c>
      <c r="H706" s="42" t="str">
        <f t="shared" si="64"/>
        <v>http://dl.ndl.go.jp/info:ndljp/pid/3359248</v>
      </c>
    </row>
    <row r="707" spans="1:8" ht="30" customHeight="1" x14ac:dyDescent="0.15">
      <c r="A707" s="16" t="s">
        <v>81</v>
      </c>
      <c r="B707" s="17" t="s">
        <v>1364</v>
      </c>
      <c r="C707" s="17"/>
      <c r="D707" s="25" t="s">
        <v>1277</v>
      </c>
      <c r="E707" s="19" t="s">
        <v>1327</v>
      </c>
      <c r="F707" s="19" t="s">
        <v>1363</v>
      </c>
      <c r="G707" s="2" t="str">
        <f t="shared" si="63"/>
        <v>http://jsmh.umin.jp/journal/16-2/16-2.pdf</v>
      </c>
      <c r="H707" s="42" t="str">
        <f t="shared" si="64"/>
        <v>http://dl.ndl.go.jp/info:ndljp/pid/3359248</v>
      </c>
    </row>
    <row r="708" spans="1:8" ht="30" customHeight="1" x14ac:dyDescent="0.15">
      <c r="A708" s="16" t="s">
        <v>996</v>
      </c>
      <c r="B708" s="17" t="s">
        <v>1365</v>
      </c>
      <c r="C708" s="17" t="s">
        <v>1366</v>
      </c>
      <c r="D708" s="25" t="s">
        <v>1277</v>
      </c>
      <c r="E708" s="19" t="s">
        <v>1327</v>
      </c>
      <c r="F708" s="19" t="s">
        <v>1367</v>
      </c>
      <c r="G708" s="2" t="str">
        <f t="shared" si="63"/>
        <v>http://jsmh.umin.jp/journal/16-2/16-2.pdf</v>
      </c>
      <c r="H708" s="42" t="str">
        <f t="shared" si="64"/>
        <v>http://dl.ndl.go.jp/info:ndljp/pid/3359248</v>
      </c>
    </row>
    <row r="709" spans="1:8" ht="30" customHeight="1" x14ac:dyDescent="0.15">
      <c r="A709" s="16" t="s">
        <v>81</v>
      </c>
      <c r="B709" s="17" t="s">
        <v>1368</v>
      </c>
      <c r="C709" s="17"/>
      <c r="D709" s="25" t="s">
        <v>1277</v>
      </c>
      <c r="E709" s="19" t="s">
        <v>1327</v>
      </c>
      <c r="F709" s="19" t="s">
        <v>1369</v>
      </c>
      <c r="G709" s="2" t="str">
        <f t="shared" si="63"/>
        <v>http://jsmh.umin.jp/journal/16-2/16-2.pdf</v>
      </c>
      <c r="H709" s="42" t="str">
        <f t="shared" si="64"/>
        <v>http://dl.ndl.go.jp/info:ndljp/pid/3359248</v>
      </c>
    </row>
    <row r="710" spans="1:8" ht="30" customHeight="1" x14ac:dyDescent="0.15">
      <c r="A710" s="16" t="s">
        <v>17</v>
      </c>
      <c r="B710" s="17" t="s">
        <v>1370</v>
      </c>
      <c r="C710" s="17" t="s">
        <v>303</v>
      </c>
      <c r="D710" s="25" t="s">
        <v>1277</v>
      </c>
      <c r="E710" s="19" t="s">
        <v>1371</v>
      </c>
      <c r="F710" s="19" t="s">
        <v>1372</v>
      </c>
      <c r="G710" s="2" t="str">
        <f t="shared" ref="G710:G725" si="65">HYPERLINK("http://jsmh.umin.jp/journal/16-3/16-3.pdf")</f>
        <v>http://jsmh.umin.jp/journal/16-3/16-3.pdf</v>
      </c>
      <c r="H710" s="42" t="str">
        <f>HYPERLINK("http://dl.ndl.go.jp/info:ndljp/pid/3359249")</f>
        <v>http://dl.ndl.go.jp/info:ndljp/pid/3359249</v>
      </c>
    </row>
    <row r="711" spans="1:8" ht="30" customHeight="1" x14ac:dyDescent="0.15">
      <c r="A711" s="16" t="s">
        <v>17</v>
      </c>
      <c r="B711" s="17" t="s">
        <v>1373</v>
      </c>
      <c r="C711" s="17" t="s">
        <v>101</v>
      </c>
      <c r="D711" s="25" t="s">
        <v>1277</v>
      </c>
      <c r="E711" s="19" t="s">
        <v>1371</v>
      </c>
      <c r="F711" s="19" t="s">
        <v>1374</v>
      </c>
      <c r="G711" s="2" t="str">
        <f t="shared" si="65"/>
        <v>http://jsmh.umin.jp/journal/16-3/16-3.pdf</v>
      </c>
      <c r="H711" s="42" t="str">
        <f t="shared" ref="H711:H725" si="66">HYPERLINK("http://dl.ndl.go.jp/info:ndljp/pid/3359249")</f>
        <v>http://dl.ndl.go.jp/info:ndljp/pid/3359249</v>
      </c>
    </row>
    <row r="712" spans="1:8" ht="30" customHeight="1" x14ac:dyDescent="0.15">
      <c r="A712" s="16" t="s">
        <v>17</v>
      </c>
      <c r="B712" s="17" t="s">
        <v>1375</v>
      </c>
      <c r="C712" s="17" t="s">
        <v>992</v>
      </c>
      <c r="D712" s="25" t="s">
        <v>1277</v>
      </c>
      <c r="E712" s="19" t="s">
        <v>1371</v>
      </c>
      <c r="F712" s="19" t="s">
        <v>1376</v>
      </c>
      <c r="G712" s="2" t="str">
        <f t="shared" si="65"/>
        <v>http://jsmh.umin.jp/journal/16-3/16-3.pdf</v>
      </c>
      <c r="H712" s="42" t="str">
        <f t="shared" si="66"/>
        <v>http://dl.ndl.go.jp/info:ndljp/pid/3359249</v>
      </c>
    </row>
    <row r="713" spans="1:8" ht="30" customHeight="1" x14ac:dyDescent="0.15">
      <c r="A713" s="16" t="s">
        <v>17</v>
      </c>
      <c r="B713" s="17" t="s">
        <v>1377</v>
      </c>
      <c r="C713" s="17" t="s">
        <v>790</v>
      </c>
      <c r="D713" s="25" t="s">
        <v>1277</v>
      </c>
      <c r="E713" s="19" t="s">
        <v>1371</v>
      </c>
      <c r="F713" s="19" t="s">
        <v>1378</v>
      </c>
      <c r="G713" s="2" t="str">
        <f t="shared" si="65"/>
        <v>http://jsmh.umin.jp/journal/16-3/16-3.pdf</v>
      </c>
      <c r="H713" s="42" t="str">
        <f t="shared" si="66"/>
        <v>http://dl.ndl.go.jp/info:ndljp/pid/3359249</v>
      </c>
    </row>
    <row r="714" spans="1:8" ht="30" customHeight="1" x14ac:dyDescent="0.15">
      <c r="A714" s="16" t="s">
        <v>17</v>
      </c>
      <c r="B714" s="17" t="s">
        <v>1379</v>
      </c>
      <c r="C714" s="17" t="s">
        <v>790</v>
      </c>
      <c r="D714" s="25" t="s">
        <v>1277</v>
      </c>
      <c r="E714" s="19" t="s">
        <v>1371</v>
      </c>
      <c r="F714" s="19" t="s">
        <v>1380</v>
      </c>
      <c r="G714" s="2" t="str">
        <f t="shared" si="65"/>
        <v>http://jsmh.umin.jp/journal/16-3/16-3.pdf</v>
      </c>
      <c r="H714" s="42" t="str">
        <f t="shared" si="66"/>
        <v>http://dl.ndl.go.jp/info:ndljp/pid/3359249</v>
      </c>
    </row>
    <row r="715" spans="1:8" ht="30" customHeight="1" x14ac:dyDescent="0.15">
      <c r="A715" s="16" t="s">
        <v>17</v>
      </c>
      <c r="B715" s="17" t="s">
        <v>10075</v>
      </c>
      <c r="C715" s="17" t="s">
        <v>1040</v>
      </c>
      <c r="D715" s="25" t="s">
        <v>1277</v>
      </c>
      <c r="E715" s="19" t="s">
        <v>1371</v>
      </c>
      <c r="F715" s="19" t="s">
        <v>1381</v>
      </c>
      <c r="G715" s="2" t="str">
        <f t="shared" si="65"/>
        <v>http://jsmh.umin.jp/journal/16-3/16-3.pdf</v>
      </c>
      <c r="H715" s="42" t="str">
        <f t="shared" si="66"/>
        <v>http://dl.ndl.go.jp/info:ndljp/pid/3359249</v>
      </c>
    </row>
    <row r="716" spans="1:8" ht="30" customHeight="1" x14ac:dyDescent="0.15">
      <c r="A716" s="16" t="s">
        <v>1382</v>
      </c>
      <c r="B716" s="17" t="s">
        <v>1383</v>
      </c>
      <c r="C716" s="17" t="s">
        <v>1070</v>
      </c>
      <c r="D716" s="25" t="s">
        <v>1277</v>
      </c>
      <c r="E716" s="19" t="s">
        <v>1371</v>
      </c>
      <c r="F716" s="19" t="s">
        <v>1384</v>
      </c>
      <c r="G716" s="2" t="str">
        <f t="shared" si="65"/>
        <v>http://jsmh.umin.jp/journal/16-3/16-3.pdf</v>
      </c>
      <c r="H716" s="42" t="str">
        <f t="shared" si="66"/>
        <v>http://dl.ndl.go.jp/info:ndljp/pid/3359249</v>
      </c>
    </row>
    <row r="717" spans="1:8" ht="30" customHeight="1" x14ac:dyDescent="0.15">
      <c r="A717" s="16" t="s">
        <v>1385</v>
      </c>
      <c r="B717" s="17" t="s">
        <v>1386</v>
      </c>
      <c r="C717" s="17" t="s">
        <v>1387</v>
      </c>
      <c r="D717" s="25" t="s">
        <v>1277</v>
      </c>
      <c r="E717" s="19" t="s">
        <v>1371</v>
      </c>
      <c r="F717" s="19" t="s">
        <v>1388</v>
      </c>
      <c r="G717" s="2" t="str">
        <f t="shared" si="65"/>
        <v>http://jsmh.umin.jp/journal/16-3/16-3.pdf</v>
      </c>
      <c r="H717" s="42" t="str">
        <f t="shared" si="66"/>
        <v>http://dl.ndl.go.jp/info:ndljp/pid/3359249</v>
      </c>
    </row>
    <row r="718" spans="1:8" ht="30" customHeight="1" x14ac:dyDescent="0.15">
      <c r="A718" s="16" t="s">
        <v>704</v>
      </c>
      <c r="B718" s="17" t="s">
        <v>1389</v>
      </c>
      <c r="C718" s="17" t="s">
        <v>365</v>
      </c>
      <c r="D718" s="25" t="s">
        <v>1277</v>
      </c>
      <c r="E718" s="19" t="s">
        <v>1371</v>
      </c>
      <c r="F718" s="19" t="s">
        <v>1390</v>
      </c>
      <c r="G718" s="2" t="str">
        <f t="shared" si="65"/>
        <v>http://jsmh.umin.jp/journal/16-3/16-3.pdf</v>
      </c>
      <c r="H718" s="42" t="str">
        <f t="shared" si="66"/>
        <v>http://dl.ndl.go.jp/info:ndljp/pid/3359249</v>
      </c>
    </row>
    <row r="719" spans="1:8" ht="30" customHeight="1" x14ac:dyDescent="0.15">
      <c r="A719" s="16" t="s">
        <v>704</v>
      </c>
      <c r="B719" s="17" t="s">
        <v>1391</v>
      </c>
      <c r="C719" s="17" t="s">
        <v>57</v>
      </c>
      <c r="D719" s="25" t="s">
        <v>1277</v>
      </c>
      <c r="E719" s="19" t="s">
        <v>1371</v>
      </c>
      <c r="F719" s="19" t="s">
        <v>1254</v>
      </c>
      <c r="G719" s="2" t="str">
        <f t="shared" si="65"/>
        <v>http://jsmh.umin.jp/journal/16-3/16-3.pdf</v>
      </c>
      <c r="H719" s="42" t="str">
        <f t="shared" si="66"/>
        <v>http://dl.ndl.go.jp/info:ndljp/pid/3359249</v>
      </c>
    </row>
    <row r="720" spans="1:8" ht="30" customHeight="1" x14ac:dyDescent="0.15">
      <c r="A720" s="16" t="s">
        <v>704</v>
      </c>
      <c r="B720" s="17" t="s">
        <v>1392</v>
      </c>
      <c r="C720" s="17" t="s">
        <v>303</v>
      </c>
      <c r="D720" s="25" t="s">
        <v>1277</v>
      </c>
      <c r="E720" s="19" t="s">
        <v>1371</v>
      </c>
      <c r="F720" s="19" t="s">
        <v>1261</v>
      </c>
      <c r="G720" s="2" t="str">
        <f t="shared" si="65"/>
        <v>http://jsmh.umin.jp/journal/16-3/16-3.pdf</v>
      </c>
      <c r="H720" s="42" t="str">
        <f t="shared" si="66"/>
        <v>http://dl.ndl.go.jp/info:ndljp/pid/3359249</v>
      </c>
    </row>
    <row r="721" spans="1:8" ht="30" customHeight="1" x14ac:dyDescent="0.15">
      <c r="A721" s="16" t="s">
        <v>704</v>
      </c>
      <c r="B721" s="17" t="s">
        <v>10076</v>
      </c>
      <c r="C721" s="17" t="s">
        <v>1338</v>
      </c>
      <c r="D721" s="25" t="s">
        <v>1277</v>
      </c>
      <c r="E721" s="19" t="s">
        <v>1371</v>
      </c>
      <c r="F721" s="19" t="s">
        <v>1393</v>
      </c>
      <c r="G721" s="2" t="str">
        <f t="shared" si="65"/>
        <v>http://jsmh.umin.jp/journal/16-3/16-3.pdf</v>
      </c>
      <c r="H721" s="42" t="str">
        <f t="shared" si="66"/>
        <v>http://dl.ndl.go.jp/info:ndljp/pid/3359249</v>
      </c>
    </row>
    <row r="722" spans="1:8" ht="30" customHeight="1" x14ac:dyDescent="0.15">
      <c r="A722" s="16" t="s">
        <v>704</v>
      </c>
      <c r="B722" s="17" t="s">
        <v>1394</v>
      </c>
      <c r="C722" s="17" t="s">
        <v>303</v>
      </c>
      <c r="D722" s="25" t="s">
        <v>1277</v>
      </c>
      <c r="E722" s="19" t="s">
        <v>1371</v>
      </c>
      <c r="F722" s="19" t="s">
        <v>94</v>
      </c>
      <c r="G722" s="2" t="str">
        <f t="shared" si="65"/>
        <v>http://jsmh.umin.jp/journal/16-3/16-3.pdf</v>
      </c>
      <c r="H722" s="42" t="str">
        <f t="shared" si="66"/>
        <v>http://dl.ndl.go.jp/info:ndljp/pid/3359249</v>
      </c>
    </row>
    <row r="723" spans="1:8" ht="30" customHeight="1" x14ac:dyDescent="0.15">
      <c r="A723" s="16" t="s">
        <v>704</v>
      </c>
      <c r="B723" s="17" t="s">
        <v>1395</v>
      </c>
      <c r="C723" s="17" t="s">
        <v>48</v>
      </c>
      <c r="D723" s="25" t="s">
        <v>1277</v>
      </c>
      <c r="E723" s="19" t="s">
        <v>1371</v>
      </c>
      <c r="F723" s="19" t="s">
        <v>97</v>
      </c>
      <c r="G723" s="2" t="str">
        <f t="shared" si="65"/>
        <v>http://jsmh.umin.jp/journal/16-3/16-3.pdf</v>
      </c>
      <c r="H723" s="42" t="str">
        <f t="shared" si="66"/>
        <v>http://dl.ndl.go.jp/info:ndljp/pid/3359249</v>
      </c>
    </row>
    <row r="724" spans="1:8" ht="30" customHeight="1" x14ac:dyDescent="0.15">
      <c r="A724" s="16" t="s">
        <v>81</v>
      </c>
      <c r="B724" s="17" t="s">
        <v>1396</v>
      </c>
      <c r="C724" s="17"/>
      <c r="D724" s="25" t="s">
        <v>1277</v>
      </c>
      <c r="E724" s="19" t="s">
        <v>1371</v>
      </c>
      <c r="F724" s="19" t="s">
        <v>105</v>
      </c>
      <c r="G724" s="2" t="str">
        <f t="shared" si="65"/>
        <v>http://jsmh.umin.jp/journal/16-3/16-3.pdf</v>
      </c>
      <c r="H724" s="42" t="str">
        <f t="shared" si="66"/>
        <v>http://dl.ndl.go.jp/info:ndljp/pid/3359249</v>
      </c>
    </row>
    <row r="725" spans="1:8" ht="30" customHeight="1" x14ac:dyDescent="0.15">
      <c r="A725" s="16" t="s">
        <v>81</v>
      </c>
      <c r="B725" s="17" t="s">
        <v>1397</v>
      </c>
      <c r="C725" s="17"/>
      <c r="D725" s="25" t="s">
        <v>1277</v>
      </c>
      <c r="E725" s="19" t="s">
        <v>1371</v>
      </c>
      <c r="F725" s="19" t="s">
        <v>105</v>
      </c>
      <c r="G725" s="2" t="str">
        <f t="shared" si="65"/>
        <v>http://jsmh.umin.jp/journal/16-3/16-3.pdf</v>
      </c>
      <c r="H725" s="42" t="str">
        <f t="shared" si="66"/>
        <v>http://dl.ndl.go.jp/info:ndljp/pid/3359249</v>
      </c>
    </row>
    <row r="726" spans="1:8" ht="30" customHeight="1" x14ac:dyDescent="0.15">
      <c r="A726" s="16" t="s">
        <v>17</v>
      </c>
      <c r="B726" s="17" t="s">
        <v>1398</v>
      </c>
      <c r="C726" s="17" t="s">
        <v>1299</v>
      </c>
      <c r="D726" s="25" t="s">
        <v>1277</v>
      </c>
      <c r="E726" s="19" t="s">
        <v>1399</v>
      </c>
      <c r="F726" s="19" t="s">
        <v>1400</v>
      </c>
      <c r="G726" s="2" t="str">
        <f t="shared" ref="G726:G744" si="67">HYPERLINK("http://jsmh.umin.jp/journal/16-4/16-4.pdf")</f>
        <v>http://jsmh.umin.jp/journal/16-4/16-4.pdf</v>
      </c>
      <c r="H726" s="42" t="str">
        <f>HYPERLINK("http://dl.ndl.go.jp/info:ndljp/pid/3359250")</f>
        <v>http://dl.ndl.go.jp/info:ndljp/pid/3359250</v>
      </c>
    </row>
    <row r="727" spans="1:8" ht="30" customHeight="1" x14ac:dyDescent="0.15">
      <c r="A727" s="16" t="s">
        <v>17</v>
      </c>
      <c r="B727" s="17" t="s">
        <v>1401</v>
      </c>
      <c r="C727" s="17" t="s">
        <v>303</v>
      </c>
      <c r="D727" s="25" t="s">
        <v>1277</v>
      </c>
      <c r="E727" s="19" t="s">
        <v>1399</v>
      </c>
      <c r="F727" s="19" t="s">
        <v>1402</v>
      </c>
      <c r="G727" s="2" t="str">
        <f t="shared" si="67"/>
        <v>http://jsmh.umin.jp/journal/16-4/16-4.pdf</v>
      </c>
      <c r="H727" s="42" t="str">
        <f t="shared" ref="H727:H744" si="68">HYPERLINK("http://dl.ndl.go.jp/info:ndljp/pid/3359250")</f>
        <v>http://dl.ndl.go.jp/info:ndljp/pid/3359250</v>
      </c>
    </row>
    <row r="728" spans="1:8" ht="30" customHeight="1" x14ac:dyDescent="0.15">
      <c r="A728" s="16" t="s">
        <v>17</v>
      </c>
      <c r="B728" s="17" t="s">
        <v>1403</v>
      </c>
      <c r="C728" s="17" t="s">
        <v>1338</v>
      </c>
      <c r="D728" s="25" t="s">
        <v>1277</v>
      </c>
      <c r="E728" s="19" t="s">
        <v>1399</v>
      </c>
      <c r="F728" s="19" t="s">
        <v>1404</v>
      </c>
      <c r="G728" s="2" t="str">
        <f t="shared" si="67"/>
        <v>http://jsmh.umin.jp/journal/16-4/16-4.pdf</v>
      </c>
      <c r="H728" s="42" t="str">
        <f t="shared" si="68"/>
        <v>http://dl.ndl.go.jp/info:ndljp/pid/3359250</v>
      </c>
    </row>
    <row r="729" spans="1:8" ht="30" customHeight="1" x14ac:dyDescent="0.15">
      <c r="A729" s="16" t="s">
        <v>17</v>
      </c>
      <c r="B729" s="17" t="s">
        <v>1405</v>
      </c>
      <c r="C729" s="17" t="s">
        <v>48</v>
      </c>
      <c r="D729" s="25" t="s">
        <v>1277</v>
      </c>
      <c r="E729" s="19" t="s">
        <v>1399</v>
      </c>
      <c r="F729" s="19" t="s">
        <v>1406</v>
      </c>
      <c r="G729" s="2" t="str">
        <f t="shared" si="67"/>
        <v>http://jsmh.umin.jp/journal/16-4/16-4.pdf</v>
      </c>
      <c r="H729" s="42" t="str">
        <f t="shared" si="68"/>
        <v>http://dl.ndl.go.jp/info:ndljp/pid/3359250</v>
      </c>
    </row>
    <row r="730" spans="1:8" ht="30" customHeight="1" x14ac:dyDescent="0.15">
      <c r="A730" s="16" t="s">
        <v>17</v>
      </c>
      <c r="B730" s="17" t="s">
        <v>1407</v>
      </c>
      <c r="C730" s="17" t="s">
        <v>790</v>
      </c>
      <c r="D730" s="25" t="s">
        <v>1277</v>
      </c>
      <c r="E730" s="19" t="s">
        <v>1399</v>
      </c>
      <c r="F730" s="19" t="s">
        <v>1408</v>
      </c>
      <c r="G730" s="2" t="str">
        <f t="shared" si="67"/>
        <v>http://jsmh.umin.jp/journal/16-4/16-4.pdf</v>
      </c>
      <c r="H730" s="42" t="str">
        <f t="shared" si="68"/>
        <v>http://dl.ndl.go.jp/info:ndljp/pid/3359250</v>
      </c>
    </row>
    <row r="731" spans="1:8" ht="30" customHeight="1" x14ac:dyDescent="0.15">
      <c r="A731" s="16" t="s">
        <v>17</v>
      </c>
      <c r="B731" s="17" t="s">
        <v>1409</v>
      </c>
      <c r="C731" s="17" t="s">
        <v>790</v>
      </c>
      <c r="D731" s="25" t="s">
        <v>1277</v>
      </c>
      <c r="E731" s="19" t="s">
        <v>1399</v>
      </c>
      <c r="F731" s="19" t="s">
        <v>1045</v>
      </c>
      <c r="G731" s="2" t="str">
        <f t="shared" si="67"/>
        <v>http://jsmh.umin.jp/journal/16-4/16-4.pdf</v>
      </c>
      <c r="H731" s="42" t="str">
        <f t="shared" si="68"/>
        <v>http://dl.ndl.go.jp/info:ndljp/pid/3359250</v>
      </c>
    </row>
    <row r="732" spans="1:8" ht="30" customHeight="1" x14ac:dyDescent="0.15">
      <c r="A732" s="16" t="s">
        <v>692</v>
      </c>
      <c r="B732" s="17" t="s">
        <v>1410</v>
      </c>
      <c r="C732" s="17" t="s">
        <v>690</v>
      </c>
      <c r="D732" s="25" t="s">
        <v>1277</v>
      </c>
      <c r="E732" s="19" t="s">
        <v>1399</v>
      </c>
      <c r="F732" s="19" t="s">
        <v>1411</v>
      </c>
      <c r="G732" s="2" t="str">
        <f t="shared" si="67"/>
        <v>http://jsmh.umin.jp/journal/16-4/16-4.pdf</v>
      </c>
      <c r="H732" s="42" t="str">
        <f t="shared" si="68"/>
        <v>http://dl.ndl.go.jp/info:ndljp/pid/3359250</v>
      </c>
    </row>
    <row r="733" spans="1:8" ht="30" customHeight="1" x14ac:dyDescent="0.15">
      <c r="A733" s="16" t="s">
        <v>692</v>
      </c>
      <c r="B733" s="17" t="s">
        <v>1412</v>
      </c>
      <c r="C733" s="17"/>
      <c r="D733" s="25" t="s">
        <v>1277</v>
      </c>
      <c r="E733" s="19" t="s">
        <v>1399</v>
      </c>
      <c r="F733" s="19" t="s">
        <v>1413</v>
      </c>
      <c r="G733" s="2" t="str">
        <f t="shared" si="67"/>
        <v>http://jsmh.umin.jp/journal/16-4/16-4.pdf</v>
      </c>
      <c r="H733" s="42" t="str">
        <f t="shared" si="68"/>
        <v>http://dl.ndl.go.jp/info:ndljp/pid/3359250</v>
      </c>
    </row>
    <row r="734" spans="1:8" ht="30" customHeight="1" x14ac:dyDescent="0.15">
      <c r="A734" s="16" t="s">
        <v>704</v>
      </c>
      <c r="B734" s="17" t="s">
        <v>1414</v>
      </c>
      <c r="C734" s="17" t="s">
        <v>365</v>
      </c>
      <c r="D734" s="25" t="s">
        <v>1277</v>
      </c>
      <c r="E734" s="19" t="s">
        <v>1399</v>
      </c>
      <c r="F734" s="19" t="s">
        <v>1415</v>
      </c>
      <c r="G734" s="2" t="str">
        <f t="shared" si="67"/>
        <v>http://jsmh.umin.jp/journal/16-4/16-4.pdf</v>
      </c>
      <c r="H734" s="42" t="str">
        <f t="shared" si="68"/>
        <v>http://dl.ndl.go.jp/info:ndljp/pid/3359250</v>
      </c>
    </row>
    <row r="735" spans="1:8" ht="30" customHeight="1" x14ac:dyDescent="0.15">
      <c r="A735" s="16" t="s">
        <v>704</v>
      </c>
      <c r="B735" s="17" t="s">
        <v>1416</v>
      </c>
      <c r="C735" s="17" t="s">
        <v>303</v>
      </c>
      <c r="D735" s="25" t="s">
        <v>1277</v>
      </c>
      <c r="E735" s="19" t="s">
        <v>1399</v>
      </c>
      <c r="F735" s="19" t="s">
        <v>1417</v>
      </c>
      <c r="G735" s="2" t="str">
        <f t="shared" si="67"/>
        <v>http://jsmh.umin.jp/journal/16-4/16-4.pdf</v>
      </c>
      <c r="H735" s="42" t="str">
        <f t="shared" si="68"/>
        <v>http://dl.ndl.go.jp/info:ndljp/pid/3359250</v>
      </c>
    </row>
    <row r="736" spans="1:8" ht="30" customHeight="1" x14ac:dyDescent="0.15">
      <c r="A736" s="16" t="s">
        <v>704</v>
      </c>
      <c r="B736" s="17" t="s">
        <v>1418</v>
      </c>
      <c r="C736" s="17" t="s">
        <v>57</v>
      </c>
      <c r="D736" s="25" t="s">
        <v>1277</v>
      </c>
      <c r="E736" s="19" t="s">
        <v>1399</v>
      </c>
      <c r="F736" s="19" t="s">
        <v>1419</v>
      </c>
      <c r="G736" s="2" t="str">
        <f t="shared" si="67"/>
        <v>http://jsmh.umin.jp/journal/16-4/16-4.pdf</v>
      </c>
      <c r="H736" s="42" t="str">
        <f t="shared" si="68"/>
        <v>http://dl.ndl.go.jp/info:ndljp/pid/3359250</v>
      </c>
    </row>
    <row r="737" spans="1:8" ht="30" customHeight="1" x14ac:dyDescent="0.15">
      <c r="A737" s="16" t="s">
        <v>704</v>
      </c>
      <c r="B737" s="17" t="s">
        <v>1420</v>
      </c>
      <c r="C737" s="17" t="s">
        <v>303</v>
      </c>
      <c r="D737" s="25" t="s">
        <v>1277</v>
      </c>
      <c r="E737" s="19" t="s">
        <v>1399</v>
      </c>
      <c r="F737" s="19" t="s">
        <v>1421</v>
      </c>
      <c r="G737" s="2" t="str">
        <f t="shared" si="67"/>
        <v>http://jsmh.umin.jp/journal/16-4/16-4.pdf</v>
      </c>
      <c r="H737" s="42" t="str">
        <f t="shared" si="68"/>
        <v>http://dl.ndl.go.jp/info:ndljp/pid/3359250</v>
      </c>
    </row>
    <row r="738" spans="1:8" ht="30" customHeight="1" x14ac:dyDescent="0.15">
      <c r="A738" s="16" t="s">
        <v>704</v>
      </c>
      <c r="B738" s="17" t="s">
        <v>1422</v>
      </c>
      <c r="C738" s="17" t="s">
        <v>1423</v>
      </c>
      <c r="D738" s="25" t="s">
        <v>1277</v>
      </c>
      <c r="E738" s="19" t="s">
        <v>1399</v>
      </c>
      <c r="F738" s="19" t="s">
        <v>1424</v>
      </c>
      <c r="G738" s="2" t="str">
        <f t="shared" si="67"/>
        <v>http://jsmh.umin.jp/journal/16-4/16-4.pdf</v>
      </c>
      <c r="H738" s="42" t="str">
        <f t="shared" si="68"/>
        <v>http://dl.ndl.go.jp/info:ndljp/pid/3359250</v>
      </c>
    </row>
    <row r="739" spans="1:8" ht="30" customHeight="1" x14ac:dyDescent="0.15">
      <c r="A739" s="16" t="s">
        <v>704</v>
      </c>
      <c r="B739" s="17" t="s">
        <v>1425</v>
      </c>
      <c r="C739" s="17" t="s">
        <v>507</v>
      </c>
      <c r="D739" s="25" t="s">
        <v>1277</v>
      </c>
      <c r="E739" s="19" t="s">
        <v>1399</v>
      </c>
      <c r="F739" s="19" t="s">
        <v>1426</v>
      </c>
      <c r="G739" s="2" t="str">
        <f t="shared" si="67"/>
        <v>http://jsmh.umin.jp/journal/16-4/16-4.pdf</v>
      </c>
      <c r="H739" s="42" t="str">
        <f t="shared" si="68"/>
        <v>http://dl.ndl.go.jp/info:ndljp/pid/3359250</v>
      </c>
    </row>
    <row r="740" spans="1:8" ht="30" customHeight="1" x14ac:dyDescent="0.15">
      <c r="A740" s="16" t="s">
        <v>704</v>
      </c>
      <c r="B740" s="17" t="s">
        <v>1427</v>
      </c>
      <c r="C740" s="17" t="s">
        <v>1428</v>
      </c>
      <c r="D740" s="25" t="s">
        <v>1277</v>
      </c>
      <c r="E740" s="19" t="s">
        <v>1399</v>
      </c>
      <c r="F740" s="19" t="s">
        <v>1429</v>
      </c>
      <c r="G740" s="2" t="str">
        <f t="shared" si="67"/>
        <v>http://jsmh.umin.jp/journal/16-4/16-4.pdf</v>
      </c>
      <c r="H740" s="42" t="str">
        <f t="shared" si="68"/>
        <v>http://dl.ndl.go.jp/info:ndljp/pid/3359250</v>
      </c>
    </row>
    <row r="741" spans="1:8" ht="30" customHeight="1" x14ac:dyDescent="0.15">
      <c r="A741" s="16" t="s">
        <v>704</v>
      </c>
      <c r="B741" s="17" t="s">
        <v>1430</v>
      </c>
      <c r="C741" s="17" t="s">
        <v>1431</v>
      </c>
      <c r="D741" s="25" t="s">
        <v>1277</v>
      </c>
      <c r="E741" s="19" t="s">
        <v>1399</v>
      </c>
      <c r="F741" s="19" t="s">
        <v>1432</v>
      </c>
      <c r="G741" s="2" t="str">
        <f t="shared" si="67"/>
        <v>http://jsmh.umin.jp/journal/16-4/16-4.pdf</v>
      </c>
      <c r="H741" s="42" t="str">
        <f t="shared" si="68"/>
        <v>http://dl.ndl.go.jp/info:ndljp/pid/3359250</v>
      </c>
    </row>
    <row r="742" spans="1:8" ht="30" customHeight="1" x14ac:dyDescent="0.15">
      <c r="A742" s="16" t="s">
        <v>81</v>
      </c>
      <c r="B742" s="17" t="s">
        <v>1433</v>
      </c>
      <c r="C742" s="17" t="s">
        <v>790</v>
      </c>
      <c r="D742" s="25" t="s">
        <v>1277</v>
      </c>
      <c r="E742" s="19" t="s">
        <v>1399</v>
      </c>
      <c r="F742" s="19" t="s">
        <v>1434</v>
      </c>
      <c r="G742" s="2" t="str">
        <f t="shared" si="67"/>
        <v>http://jsmh.umin.jp/journal/16-4/16-4.pdf</v>
      </c>
      <c r="H742" s="42" t="str">
        <f t="shared" si="68"/>
        <v>http://dl.ndl.go.jp/info:ndljp/pid/3359250</v>
      </c>
    </row>
    <row r="743" spans="1:8" ht="30" customHeight="1" x14ac:dyDescent="0.15">
      <c r="A743" s="16" t="s">
        <v>81</v>
      </c>
      <c r="B743" s="17" t="s">
        <v>1435</v>
      </c>
      <c r="C743" s="17"/>
      <c r="D743" s="25" t="s">
        <v>1277</v>
      </c>
      <c r="E743" s="19" t="s">
        <v>1399</v>
      </c>
      <c r="F743" s="19" t="s">
        <v>1436</v>
      </c>
      <c r="G743" s="2" t="str">
        <f t="shared" si="67"/>
        <v>http://jsmh.umin.jp/journal/16-4/16-4.pdf</v>
      </c>
      <c r="H743" s="42" t="str">
        <f t="shared" si="68"/>
        <v>http://dl.ndl.go.jp/info:ndljp/pid/3359250</v>
      </c>
    </row>
    <row r="744" spans="1:8" ht="30" customHeight="1" x14ac:dyDescent="0.15">
      <c r="A744" s="16" t="s">
        <v>81</v>
      </c>
      <c r="B744" s="17" t="s">
        <v>1437</v>
      </c>
      <c r="C744" s="17"/>
      <c r="D744" s="25" t="s">
        <v>1277</v>
      </c>
      <c r="E744" s="19" t="s">
        <v>1399</v>
      </c>
      <c r="F744" s="19" t="s">
        <v>1436</v>
      </c>
      <c r="G744" s="2" t="str">
        <f t="shared" si="67"/>
        <v>http://jsmh.umin.jp/journal/16-4/16-4.pdf</v>
      </c>
      <c r="H744" s="42" t="str">
        <f t="shared" si="68"/>
        <v>http://dl.ndl.go.jp/info:ndljp/pid/3359250</v>
      </c>
    </row>
    <row r="745" spans="1:8" ht="30" customHeight="1" x14ac:dyDescent="0.15">
      <c r="A745" s="16" t="s">
        <v>88</v>
      </c>
      <c r="B745" s="17" t="s">
        <v>1438</v>
      </c>
      <c r="C745" s="17" t="s">
        <v>76</v>
      </c>
      <c r="D745" s="18" t="s">
        <v>1439</v>
      </c>
      <c r="E745" s="19" t="s">
        <v>1440</v>
      </c>
      <c r="F745" s="19" t="s">
        <v>1441</v>
      </c>
      <c r="G745" s="2" t="str">
        <f t="shared" ref="G745:G777" si="69">HYPERLINK("http://jsmh.umin.jp/journal/17-1/17-1.pdf")</f>
        <v>http://jsmh.umin.jp/journal/17-1/17-1.pdf</v>
      </c>
      <c r="H745" s="42" t="str">
        <f>HYPERLINK("http://dl.ndl.go.jp/info:ndljp/pid/3359251")</f>
        <v>http://dl.ndl.go.jp/info:ndljp/pid/3359251</v>
      </c>
    </row>
    <row r="746" spans="1:8" ht="30" customHeight="1" x14ac:dyDescent="0.15">
      <c r="A746" s="16" t="s">
        <v>88</v>
      </c>
      <c r="B746" s="17" t="s">
        <v>1442</v>
      </c>
      <c r="C746" s="17" t="s">
        <v>101</v>
      </c>
      <c r="D746" s="25" t="s">
        <v>1439</v>
      </c>
      <c r="E746" s="19" t="s">
        <v>1440</v>
      </c>
      <c r="F746" s="19" t="s">
        <v>1443</v>
      </c>
      <c r="G746" s="2" t="str">
        <f t="shared" si="69"/>
        <v>http://jsmh.umin.jp/journal/17-1/17-1.pdf</v>
      </c>
      <c r="H746" s="42" t="str">
        <f t="shared" ref="H746:H777" si="70">HYPERLINK("http://dl.ndl.go.jp/info:ndljp/pid/3359251")</f>
        <v>http://dl.ndl.go.jp/info:ndljp/pid/3359251</v>
      </c>
    </row>
    <row r="747" spans="1:8" ht="30" customHeight="1" x14ac:dyDescent="0.15">
      <c r="A747" s="16" t="s">
        <v>91</v>
      </c>
      <c r="B747" s="17" t="s">
        <v>1444</v>
      </c>
      <c r="C747" s="17" t="s">
        <v>1299</v>
      </c>
      <c r="D747" s="25" t="s">
        <v>1439</v>
      </c>
      <c r="E747" s="19" t="s">
        <v>1440</v>
      </c>
      <c r="F747" s="19" t="s">
        <v>368</v>
      </c>
      <c r="G747" s="2" t="str">
        <f t="shared" si="69"/>
        <v>http://jsmh.umin.jp/journal/17-1/17-1.pdf</v>
      </c>
      <c r="H747" s="42" t="str">
        <f t="shared" si="70"/>
        <v>http://dl.ndl.go.jp/info:ndljp/pid/3359251</v>
      </c>
    </row>
    <row r="748" spans="1:8" ht="30" customHeight="1" x14ac:dyDescent="0.15">
      <c r="A748" s="16" t="s">
        <v>91</v>
      </c>
      <c r="B748" s="17" t="s">
        <v>1445</v>
      </c>
      <c r="C748" s="17" t="s">
        <v>444</v>
      </c>
      <c r="D748" s="25" t="s">
        <v>1439</v>
      </c>
      <c r="E748" s="19" t="s">
        <v>1440</v>
      </c>
      <c r="F748" s="19" t="s">
        <v>370</v>
      </c>
      <c r="G748" s="2" t="str">
        <f t="shared" si="69"/>
        <v>http://jsmh.umin.jp/journal/17-1/17-1.pdf</v>
      </c>
      <c r="H748" s="42" t="str">
        <f t="shared" si="70"/>
        <v>http://dl.ndl.go.jp/info:ndljp/pid/3359251</v>
      </c>
    </row>
    <row r="749" spans="1:8" ht="30" customHeight="1" x14ac:dyDescent="0.15">
      <c r="A749" s="16" t="s">
        <v>91</v>
      </c>
      <c r="B749" s="17" t="s">
        <v>1446</v>
      </c>
      <c r="C749" s="17" t="s">
        <v>1447</v>
      </c>
      <c r="D749" s="25" t="s">
        <v>1439</v>
      </c>
      <c r="E749" s="19" t="s">
        <v>1440</v>
      </c>
      <c r="F749" s="19" t="s">
        <v>508</v>
      </c>
      <c r="G749" s="2" t="str">
        <f t="shared" si="69"/>
        <v>http://jsmh.umin.jp/journal/17-1/17-1.pdf</v>
      </c>
      <c r="H749" s="42" t="str">
        <f t="shared" si="70"/>
        <v>http://dl.ndl.go.jp/info:ndljp/pid/3359251</v>
      </c>
    </row>
    <row r="750" spans="1:8" ht="30" customHeight="1" x14ac:dyDescent="0.15">
      <c r="A750" s="16" t="s">
        <v>91</v>
      </c>
      <c r="B750" s="17" t="s">
        <v>1448</v>
      </c>
      <c r="C750" s="17" t="s">
        <v>198</v>
      </c>
      <c r="D750" s="25" t="s">
        <v>1439</v>
      </c>
      <c r="E750" s="19" t="s">
        <v>1440</v>
      </c>
      <c r="F750" s="19" t="s">
        <v>379</v>
      </c>
      <c r="G750" s="2" t="str">
        <f t="shared" si="69"/>
        <v>http://jsmh.umin.jp/journal/17-1/17-1.pdf</v>
      </c>
      <c r="H750" s="42" t="str">
        <f t="shared" si="70"/>
        <v>http://dl.ndl.go.jp/info:ndljp/pid/3359251</v>
      </c>
    </row>
    <row r="751" spans="1:8" ht="30" customHeight="1" x14ac:dyDescent="0.15">
      <c r="A751" s="16" t="s">
        <v>91</v>
      </c>
      <c r="B751" s="17" t="s">
        <v>1449</v>
      </c>
      <c r="C751" s="17" t="s">
        <v>925</v>
      </c>
      <c r="D751" s="25" t="s">
        <v>1439</v>
      </c>
      <c r="E751" s="19" t="s">
        <v>1440</v>
      </c>
      <c r="F751" s="19" t="s">
        <v>511</v>
      </c>
      <c r="G751" s="2" t="str">
        <f t="shared" si="69"/>
        <v>http://jsmh.umin.jp/journal/17-1/17-1.pdf</v>
      </c>
      <c r="H751" s="42" t="str">
        <f t="shared" si="70"/>
        <v>http://dl.ndl.go.jp/info:ndljp/pid/3359251</v>
      </c>
    </row>
    <row r="752" spans="1:8" ht="30" customHeight="1" x14ac:dyDescent="0.15">
      <c r="A752" s="16" t="s">
        <v>91</v>
      </c>
      <c r="B752" s="17" t="s">
        <v>1450</v>
      </c>
      <c r="C752" s="17" t="s">
        <v>273</v>
      </c>
      <c r="D752" s="25" t="s">
        <v>1439</v>
      </c>
      <c r="E752" s="19" t="s">
        <v>1440</v>
      </c>
      <c r="F752" s="19" t="s">
        <v>1451</v>
      </c>
      <c r="G752" s="2" t="str">
        <f t="shared" si="69"/>
        <v>http://jsmh.umin.jp/journal/17-1/17-1.pdf</v>
      </c>
      <c r="H752" s="42" t="str">
        <f t="shared" si="70"/>
        <v>http://dl.ndl.go.jp/info:ndljp/pid/3359251</v>
      </c>
    </row>
    <row r="753" spans="1:8" ht="30" customHeight="1" x14ac:dyDescent="0.15">
      <c r="A753" s="16" t="s">
        <v>91</v>
      </c>
      <c r="B753" s="17" t="s">
        <v>1452</v>
      </c>
      <c r="C753" s="17" t="s">
        <v>191</v>
      </c>
      <c r="D753" s="25" t="s">
        <v>1439</v>
      </c>
      <c r="E753" s="19" t="s">
        <v>1440</v>
      </c>
      <c r="F753" s="19" t="s">
        <v>384</v>
      </c>
      <c r="G753" s="2" t="str">
        <f t="shared" si="69"/>
        <v>http://jsmh.umin.jp/journal/17-1/17-1.pdf</v>
      </c>
      <c r="H753" s="42" t="str">
        <f t="shared" si="70"/>
        <v>http://dl.ndl.go.jp/info:ndljp/pid/3359251</v>
      </c>
    </row>
    <row r="754" spans="1:8" ht="30" customHeight="1" x14ac:dyDescent="0.15">
      <c r="A754" s="16" t="s">
        <v>91</v>
      </c>
      <c r="B754" s="17" t="s">
        <v>1453</v>
      </c>
      <c r="C754" s="17" t="s">
        <v>188</v>
      </c>
      <c r="D754" s="25" t="s">
        <v>1439</v>
      </c>
      <c r="E754" s="19" t="s">
        <v>1440</v>
      </c>
      <c r="F754" s="19" t="s">
        <v>387</v>
      </c>
      <c r="G754" s="2" t="str">
        <f t="shared" si="69"/>
        <v>http://jsmh.umin.jp/journal/17-1/17-1.pdf</v>
      </c>
      <c r="H754" s="42" t="str">
        <f t="shared" si="70"/>
        <v>http://dl.ndl.go.jp/info:ndljp/pid/3359251</v>
      </c>
    </row>
    <row r="755" spans="1:8" ht="30" customHeight="1" x14ac:dyDescent="0.15">
      <c r="A755" s="16" t="s">
        <v>91</v>
      </c>
      <c r="B755" s="17" t="s">
        <v>1454</v>
      </c>
      <c r="C755" s="17" t="s">
        <v>790</v>
      </c>
      <c r="D755" s="25" t="s">
        <v>1439</v>
      </c>
      <c r="E755" s="19" t="s">
        <v>1440</v>
      </c>
      <c r="F755" s="19" t="s">
        <v>389</v>
      </c>
      <c r="G755" s="2" t="str">
        <f t="shared" si="69"/>
        <v>http://jsmh.umin.jp/journal/17-1/17-1.pdf</v>
      </c>
      <c r="H755" s="42" t="str">
        <f t="shared" si="70"/>
        <v>http://dl.ndl.go.jp/info:ndljp/pid/3359251</v>
      </c>
    </row>
    <row r="756" spans="1:8" ht="30" customHeight="1" x14ac:dyDescent="0.15">
      <c r="A756" s="16" t="s">
        <v>91</v>
      </c>
      <c r="B756" s="17" t="s">
        <v>1455</v>
      </c>
      <c r="C756" s="17" t="s">
        <v>838</v>
      </c>
      <c r="D756" s="25" t="s">
        <v>1439</v>
      </c>
      <c r="E756" s="19" t="s">
        <v>1440</v>
      </c>
      <c r="F756" s="19" t="s">
        <v>393</v>
      </c>
      <c r="G756" s="2" t="str">
        <f t="shared" si="69"/>
        <v>http://jsmh.umin.jp/journal/17-1/17-1.pdf</v>
      </c>
      <c r="H756" s="42" t="str">
        <f t="shared" si="70"/>
        <v>http://dl.ndl.go.jp/info:ndljp/pid/3359251</v>
      </c>
    </row>
    <row r="757" spans="1:8" ht="30" customHeight="1" x14ac:dyDescent="0.15">
      <c r="A757" s="16" t="s">
        <v>91</v>
      </c>
      <c r="B757" s="17" t="s">
        <v>1456</v>
      </c>
      <c r="C757" s="17" t="s">
        <v>1457</v>
      </c>
      <c r="D757" s="25" t="s">
        <v>1439</v>
      </c>
      <c r="E757" s="19" t="s">
        <v>1440</v>
      </c>
      <c r="F757" s="19" t="s">
        <v>26</v>
      </c>
      <c r="G757" s="2" t="str">
        <f t="shared" si="69"/>
        <v>http://jsmh.umin.jp/journal/17-1/17-1.pdf</v>
      </c>
      <c r="H757" s="42" t="str">
        <f t="shared" si="70"/>
        <v>http://dl.ndl.go.jp/info:ndljp/pid/3359251</v>
      </c>
    </row>
    <row r="758" spans="1:8" ht="30" customHeight="1" x14ac:dyDescent="0.15">
      <c r="A758" s="16" t="s">
        <v>91</v>
      </c>
      <c r="B758" s="17" t="s">
        <v>1458</v>
      </c>
      <c r="C758" s="17" t="s">
        <v>24</v>
      </c>
      <c r="D758" s="25" t="s">
        <v>1439</v>
      </c>
      <c r="E758" s="19" t="s">
        <v>1440</v>
      </c>
      <c r="F758" s="19" t="s">
        <v>397</v>
      </c>
      <c r="G758" s="2" t="str">
        <f t="shared" si="69"/>
        <v>http://jsmh.umin.jp/journal/17-1/17-1.pdf</v>
      </c>
      <c r="H758" s="42" t="str">
        <f t="shared" si="70"/>
        <v>http://dl.ndl.go.jp/info:ndljp/pid/3359251</v>
      </c>
    </row>
    <row r="759" spans="1:8" ht="30" customHeight="1" x14ac:dyDescent="0.15">
      <c r="A759" s="16" t="s">
        <v>91</v>
      </c>
      <c r="B759" s="17" t="s">
        <v>1459</v>
      </c>
      <c r="C759" s="17" t="s">
        <v>439</v>
      </c>
      <c r="D759" s="25" t="s">
        <v>1439</v>
      </c>
      <c r="E759" s="19" t="s">
        <v>1440</v>
      </c>
      <c r="F759" s="19" t="s">
        <v>399</v>
      </c>
      <c r="G759" s="2" t="str">
        <f t="shared" si="69"/>
        <v>http://jsmh.umin.jp/journal/17-1/17-1.pdf</v>
      </c>
      <c r="H759" s="42" t="str">
        <f t="shared" si="70"/>
        <v>http://dl.ndl.go.jp/info:ndljp/pid/3359251</v>
      </c>
    </row>
    <row r="760" spans="1:8" ht="30" customHeight="1" x14ac:dyDescent="0.15">
      <c r="A760" s="16" t="s">
        <v>91</v>
      </c>
      <c r="B760" s="17" t="s">
        <v>1460</v>
      </c>
      <c r="C760" s="17" t="s">
        <v>1461</v>
      </c>
      <c r="D760" s="25" t="s">
        <v>1439</v>
      </c>
      <c r="E760" s="19" t="s">
        <v>1440</v>
      </c>
      <c r="F760" s="19" t="s">
        <v>401</v>
      </c>
      <c r="G760" s="2" t="str">
        <f t="shared" si="69"/>
        <v>http://jsmh.umin.jp/journal/17-1/17-1.pdf</v>
      </c>
      <c r="H760" s="42" t="str">
        <f t="shared" si="70"/>
        <v>http://dl.ndl.go.jp/info:ndljp/pid/3359251</v>
      </c>
    </row>
    <row r="761" spans="1:8" ht="30" customHeight="1" x14ac:dyDescent="0.15">
      <c r="A761" s="16" t="s">
        <v>91</v>
      </c>
      <c r="B761" s="17" t="s">
        <v>1462</v>
      </c>
      <c r="C761" s="17" t="s">
        <v>937</v>
      </c>
      <c r="D761" s="25" t="s">
        <v>1439</v>
      </c>
      <c r="E761" s="19" t="s">
        <v>1440</v>
      </c>
      <c r="F761" s="19" t="s">
        <v>744</v>
      </c>
      <c r="G761" s="2" t="str">
        <f t="shared" si="69"/>
        <v>http://jsmh.umin.jp/journal/17-1/17-1.pdf</v>
      </c>
      <c r="H761" s="42" t="str">
        <f t="shared" si="70"/>
        <v>http://dl.ndl.go.jp/info:ndljp/pid/3359251</v>
      </c>
    </row>
    <row r="762" spans="1:8" ht="30" customHeight="1" x14ac:dyDescent="0.15">
      <c r="A762" s="16" t="s">
        <v>91</v>
      </c>
      <c r="B762" s="17" t="s">
        <v>1463</v>
      </c>
      <c r="C762" s="17" t="s">
        <v>134</v>
      </c>
      <c r="D762" s="25" t="s">
        <v>1439</v>
      </c>
      <c r="E762" s="19" t="s">
        <v>1440</v>
      </c>
      <c r="F762" s="19" t="s">
        <v>746</v>
      </c>
      <c r="G762" s="2" t="str">
        <f t="shared" si="69"/>
        <v>http://jsmh.umin.jp/journal/17-1/17-1.pdf</v>
      </c>
      <c r="H762" s="42" t="str">
        <f t="shared" si="70"/>
        <v>http://dl.ndl.go.jp/info:ndljp/pid/3359251</v>
      </c>
    </row>
    <row r="763" spans="1:8" ht="30" customHeight="1" x14ac:dyDescent="0.15">
      <c r="A763" s="16" t="s">
        <v>91</v>
      </c>
      <c r="B763" s="17" t="s">
        <v>1464</v>
      </c>
      <c r="C763" s="17" t="s">
        <v>963</v>
      </c>
      <c r="D763" s="25" t="s">
        <v>1439</v>
      </c>
      <c r="E763" s="19" t="s">
        <v>1440</v>
      </c>
      <c r="F763" s="19" t="s">
        <v>1465</v>
      </c>
      <c r="G763" s="2" t="str">
        <f t="shared" si="69"/>
        <v>http://jsmh.umin.jp/journal/17-1/17-1.pdf</v>
      </c>
      <c r="H763" s="42" t="str">
        <f t="shared" si="70"/>
        <v>http://dl.ndl.go.jp/info:ndljp/pid/3359251</v>
      </c>
    </row>
    <row r="764" spans="1:8" ht="30" customHeight="1" x14ac:dyDescent="0.15">
      <c r="A764" s="16" t="s">
        <v>91</v>
      </c>
      <c r="B764" s="17" t="s">
        <v>1466</v>
      </c>
      <c r="C764" s="17" t="s">
        <v>107</v>
      </c>
      <c r="D764" s="25" t="s">
        <v>1439</v>
      </c>
      <c r="E764" s="19" t="s">
        <v>1440</v>
      </c>
      <c r="F764" s="19" t="s">
        <v>747</v>
      </c>
      <c r="G764" s="2" t="str">
        <f t="shared" si="69"/>
        <v>http://jsmh.umin.jp/journal/17-1/17-1.pdf</v>
      </c>
      <c r="H764" s="42" t="str">
        <f t="shared" si="70"/>
        <v>http://dl.ndl.go.jp/info:ndljp/pid/3359251</v>
      </c>
    </row>
    <row r="765" spans="1:8" ht="30" customHeight="1" x14ac:dyDescent="0.15">
      <c r="A765" s="16" t="s">
        <v>91</v>
      </c>
      <c r="B765" s="17" t="s">
        <v>1467</v>
      </c>
      <c r="C765" s="17" t="s">
        <v>1468</v>
      </c>
      <c r="D765" s="25" t="s">
        <v>1439</v>
      </c>
      <c r="E765" s="19" t="s">
        <v>1440</v>
      </c>
      <c r="F765" s="19" t="s">
        <v>1469</v>
      </c>
      <c r="G765" s="2" t="str">
        <f t="shared" si="69"/>
        <v>http://jsmh.umin.jp/journal/17-1/17-1.pdf</v>
      </c>
      <c r="H765" s="42" t="str">
        <f t="shared" si="70"/>
        <v>http://dl.ndl.go.jp/info:ndljp/pid/3359251</v>
      </c>
    </row>
    <row r="766" spans="1:8" ht="30" customHeight="1" x14ac:dyDescent="0.15">
      <c r="A766" s="16" t="s">
        <v>91</v>
      </c>
      <c r="B766" s="17" t="s">
        <v>1470</v>
      </c>
      <c r="C766" s="17" t="s">
        <v>1471</v>
      </c>
      <c r="D766" s="25" t="s">
        <v>1439</v>
      </c>
      <c r="E766" s="19" t="s">
        <v>1440</v>
      </c>
      <c r="F766" s="19" t="s">
        <v>1472</v>
      </c>
      <c r="G766" s="2" t="str">
        <f t="shared" si="69"/>
        <v>http://jsmh.umin.jp/journal/17-1/17-1.pdf</v>
      </c>
      <c r="H766" s="42" t="str">
        <f t="shared" si="70"/>
        <v>http://dl.ndl.go.jp/info:ndljp/pid/3359251</v>
      </c>
    </row>
    <row r="767" spans="1:8" ht="30" customHeight="1" x14ac:dyDescent="0.15">
      <c r="A767" s="16" t="s">
        <v>91</v>
      </c>
      <c r="B767" s="17" t="s">
        <v>1473</v>
      </c>
      <c r="C767" s="17" t="s">
        <v>1338</v>
      </c>
      <c r="D767" s="25" t="s">
        <v>1439</v>
      </c>
      <c r="E767" s="19" t="s">
        <v>1440</v>
      </c>
      <c r="F767" s="19" t="s">
        <v>753</v>
      </c>
      <c r="G767" s="2" t="str">
        <f t="shared" si="69"/>
        <v>http://jsmh.umin.jp/journal/17-1/17-1.pdf</v>
      </c>
      <c r="H767" s="42" t="str">
        <f t="shared" si="70"/>
        <v>http://dl.ndl.go.jp/info:ndljp/pid/3359251</v>
      </c>
    </row>
    <row r="768" spans="1:8" ht="30" customHeight="1" x14ac:dyDescent="0.15">
      <c r="A768" s="16" t="s">
        <v>91</v>
      </c>
      <c r="B768" s="17" t="s">
        <v>1474</v>
      </c>
      <c r="C768" s="17" t="s">
        <v>479</v>
      </c>
      <c r="D768" s="25" t="s">
        <v>1439</v>
      </c>
      <c r="E768" s="19" t="s">
        <v>1440</v>
      </c>
      <c r="F768" s="19" t="s">
        <v>756</v>
      </c>
      <c r="G768" s="2" t="str">
        <f t="shared" si="69"/>
        <v>http://jsmh.umin.jp/journal/17-1/17-1.pdf</v>
      </c>
      <c r="H768" s="42" t="str">
        <f t="shared" si="70"/>
        <v>http://dl.ndl.go.jp/info:ndljp/pid/3359251</v>
      </c>
    </row>
    <row r="769" spans="1:8" ht="30" customHeight="1" x14ac:dyDescent="0.15">
      <c r="A769" s="16" t="s">
        <v>91</v>
      </c>
      <c r="B769" s="17" t="s">
        <v>1475</v>
      </c>
      <c r="C769" s="17" t="s">
        <v>1292</v>
      </c>
      <c r="D769" s="25" t="s">
        <v>1439</v>
      </c>
      <c r="E769" s="19" t="s">
        <v>1440</v>
      </c>
      <c r="F769" s="19" t="s">
        <v>758</v>
      </c>
      <c r="G769" s="2" t="str">
        <f t="shared" si="69"/>
        <v>http://jsmh.umin.jp/journal/17-1/17-1.pdf</v>
      </c>
      <c r="H769" s="42" t="str">
        <f t="shared" si="70"/>
        <v>http://dl.ndl.go.jp/info:ndljp/pid/3359251</v>
      </c>
    </row>
    <row r="770" spans="1:8" ht="30" customHeight="1" x14ac:dyDescent="0.15">
      <c r="A770" s="16" t="s">
        <v>91</v>
      </c>
      <c r="B770" s="17" t="s">
        <v>1476</v>
      </c>
      <c r="C770" s="17" t="s">
        <v>485</v>
      </c>
      <c r="D770" s="25" t="s">
        <v>1439</v>
      </c>
      <c r="E770" s="19" t="s">
        <v>1440</v>
      </c>
      <c r="F770" s="19" t="s">
        <v>763</v>
      </c>
      <c r="G770" s="2" t="str">
        <f t="shared" si="69"/>
        <v>http://jsmh.umin.jp/journal/17-1/17-1.pdf</v>
      </c>
      <c r="H770" s="42" t="str">
        <f t="shared" si="70"/>
        <v>http://dl.ndl.go.jp/info:ndljp/pid/3359251</v>
      </c>
    </row>
    <row r="771" spans="1:8" ht="30" customHeight="1" x14ac:dyDescent="0.15">
      <c r="A771" s="16" t="s">
        <v>91</v>
      </c>
      <c r="B771" s="17" t="s">
        <v>1477</v>
      </c>
      <c r="C771" s="17" t="s">
        <v>1478</v>
      </c>
      <c r="D771" s="25" t="s">
        <v>1439</v>
      </c>
      <c r="E771" s="19" t="s">
        <v>1440</v>
      </c>
      <c r="F771" s="19" t="s">
        <v>765</v>
      </c>
      <c r="G771" s="2" t="str">
        <f t="shared" si="69"/>
        <v>http://jsmh.umin.jp/journal/17-1/17-1.pdf</v>
      </c>
      <c r="H771" s="42" t="str">
        <f t="shared" si="70"/>
        <v>http://dl.ndl.go.jp/info:ndljp/pid/3359251</v>
      </c>
    </row>
    <row r="772" spans="1:8" ht="30" customHeight="1" x14ac:dyDescent="0.15">
      <c r="A772" s="16" t="s">
        <v>91</v>
      </c>
      <c r="B772" s="17" t="s">
        <v>1479</v>
      </c>
      <c r="C772" s="17" t="s">
        <v>892</v>
      </c>
      <c r="D772" s="25" t="s">
        <v>1439</v>
      </c>
      <c r="E772" s="19" t="s">
        <v>1440</v>
      </c>
      <c r="F772" s="19" t="s">
        <v>768</v>
      </c>
      <c r="G772" s="2" t="str">
        <f t="shared" si="69"/>
        <v>http://jsmh.umin.jp/journal/17-1/17-1.pdf</v>
      </c>
      <c r="H772" s="42" t="str">
        <f t="shared" si="70"/>
        <v>http://dl.ndl.go.jp/info:ndljp/pid/3359251</v>
      </c>
    </row>
    <row r="773" spans="1:8" ht="30" customHeight="1" x14ac:dyDescent="0.15">
      <c r="A773" s="16" t="s">
        <v>91</v>
      </c>
      <c r="B773" s="17" t="s">
        <v>1480</v>
      </c>
      <c r="C773" s="17" t="s">
        <v>627</v>
      </c>
      <c r="D773" s="25" t="s">
        <v>1439</v>
      </c>
      <c r="E773" s="19" t="s">
        <v>1440</v>
      </c>
      <c r="F773" s="19" t="s">
        <v>1481</v>
      </c>
      <c r="G773" s="2" t="str">
        <f t="shared" si="69"/>
        <v>http://jsmh.umin.jp/journal/17-1/17-1.pdf</v>
      </c>
      <c r="H773" s="42" t="str">
        <f t="shared" si="70"/>
        <v>http://dl.ndl.go.jp/info:ndljp/pid/3359251</v>
      </c>
    </row>
    <row r="774" spans="1:8" ht="30" customHeight="1" x14ac:dyDescent="0.15">
      <c r="A774" s="16" t="s">
        <v>91</v>
      </c>
      <c r="B774" s="17" t="s">
        <v>1482</v>
      </c>
      <c r="C774" s="17" t="s">
        <v>1097</v>
      </c>
      <c r="D774" s="25" t="s">
        <v>1439</v>
      </c>
      <c r="E774" s="19" t="s">
        <v>1440</v>
      </c>
      <c r="F774" s="19" t="s">
        <v>332</v>
      </c>
      <c r="G774" s="2" t="str">
        <f t="shared" si="69"/>
        <v>http://jsmh.umin.jp/journal/17-1/17-1.pdf</v>
      </c>
      <c r="H774" s="42" t="str">
        <f t="shared" si="70"/>
        <v>http://dl.ndl.go.jp/info:ndljp/pid/3359251</v>
      </c>
    </row>
    <row r="775" spans="1:8" ht="30" customHeight="1" x14ac:dyDescent="0.15">
      <c r="A775" s="16" t="s">
        <v>91</v>
      </c>
      <c r="B775" s="17" t="s">
        <v>1483</v>
      </c>
      <c r="C775" s="17" t="s">
        <v>781</v>
      </c>
      <c r="D775" s="25" t="s">
        <v>1439</v>
      </c>
      <c r="E775" s="19" t="s">
        <v>1440</v>
      </c>
      <c r="F775" s="19" t="s">
        <v>1153</v>
      </c>
      <c r="G775" s="2" t="str">
        <f t="shared" si="69"/>
        <v>http://jsmh.umin.jp/journal/17-1/17-1.pdf</v>
      </c>
      <c r="H775" s="42" t="str">
        <f t="shared" si="70"/>
        <v>http://dl.ndl.go.jp/info:ndljp/pid/3359251</v>
      </c>
    </row>
    <row r="776" spans="1:8" ht="30" customHeight="1" x14ac:dyDescent="0.15">
      <c r="A776" s="16" t="s">
        <v>91</v>
      </c>
      <c r="B776" s="17" t="s">
        <v>1484</v>
      </c>
      <c r="C776" s="17" t="s">
        <v>730</v>
      </c>
      <c r="D776" s="25" t="s">
        <v>1439</v>
      </c>
      <c r="E776" s="19" t="s">
        <v>1440</v>
      </c>
      <c r="F776" s="19" t="s">
        <v>1156</v>
      </c>
      <c r="G776" s="2" t="str">
        <f t="shared" si="69"/>
        <v>http://jsmh.umin.jp/journal/17-1/17-1.pdf</v>
      </c>
      <c r="H776" s="42" t="str">
        <f t="shared" si="70"/>
        <v>http://dl.ndl.go.jp/info:ndljp/pid/3359251</v>
      </c>
    </row>
    <row r="777" spans="1:8" ht="30" customHeight="1" x14ac:dyDescent="0.15">
      <c r="A777" s="16" t="s">
        <v>91</v>
      </c>
      <c r="B777" s="17" t="s">
        <v>1485</v>
      </c>
      <c r="C777" s="17" t="s">
        <v>830</v>
      </c>
      <c r="D777" s="25" t="s">
        <v>1439</v>
      </c>
      <c r="E777" s="19" t="s">
        <v>1440</v>
      </c>
      <c r="F777" s="19" t="s">
        <v>1159</v>
      </c>
      <c r="G777" s="2" t="str">
        <f t="shared" si="69"/>
        <v>http://jsmh.umin.jp/journal/17-1/17-1.pdf</v>
      </c>
      <c r="H777" s="42" t="str">
        <f t="shared" si="70"/>
        <v>http://dl.ndl.go.jp/info:ndljp/pid/3359251</v>
      </c>
    </row>
    <row r="778" spans="1:8" ht="30" customHeight="1" x14ac:dyDescent="0.15">
      <c r="A778" s="16" t="s">
        <v>17</v>
      </c>
      <c r="B778" s="17" t="s">
        <v>1445</v>
      </c>
      <c r="C778" s="17" t="s">
        <v>444</v>
      </c>
      <c r="D778" s="25" t="s">
        <v>1439</v>
      </c>
      <c r="E778" s="19" t="s">
        <v>1486</v>
      </c>
      <c r="F778" s="19" t="s">
        <v>1487</v>
      </c>
      <c r="G778" s="2" t="str">
        <f t="shared" ref="G778:G801" si="71">HYPERLINK("http://jsmh.umin.jp/journal/17-2/17-2.pdf")</f>
        <v>http://jsmh.umin.jp/journal/17-2/17-2.pdf</v>
      </c>
      <c r="H778" s="42" t="str">
        <f>HYPERLINK("http://dl.ndl.go.jp/info:ndljp/pid/3359252")</f>
        <v>http://dl.ndl.go.jp/info:ndljp/pid/3359252</v>
      </c>
    </row>
    <row r="779" spans="1:8" ht="30" customHeight="1" x14ac:dyDescent="0.15">
      <c r="A779" s="16" t="s">
        <v>17</v>
      </c>
      <c r="B779" s="17" t="s">
        <v>1488</v>
      </c>
      <c r="C779" s="17" t="s">
        <v>1299</v>
      </c>
      <c r="D779" s="25" t="s">
        <v>1439</v>
      </c>
      <c r="E779" s="19" t="s">
        <v>1486</v>
      </c>
      <c r="F779" s="19" t="s">
        <v>1489</v>
      </c>
      <c r="G779" s="2" t="str">
        <f t="shared" si="71"/>
        <v>http://jsmh.umin.jp/journal/17-2/17-2.pdf</v>
      </c>
      <c r="H779" s="42" t="str">
        <f t="shared" ref="H779:H801" si="72">HYPERLINK("http://dl.ndl.go.jp/info:ndljp/pid/3359252")</f>
        <v>http://dl.ndl.go.jp/info:ndljp/pid/3359252</v>
      </c>
    </row>
    <row r="780" spans="1:8" ht="30" customHeight="1" x14ac:dyDescent="0.15">
      <c r="A780" s="16" t="s">
        <v>17</v>
      </c>
      <c r="B780" s="17" t="s">
        <v>1490</v>
      </c>
      <c r="C780" s="17" t="s">
        <v>198</v>
      </c>
      <c r="D780" s="25" t="s">
        <v>1439</v>
      </c>
      <c r="E780" s="19" t="s">
        <v>1486</v>
      </c>
      <c r="F780" s="19" t="s">
        <v>1491</v>
      </c>
      <c r="G780" s="2" t="str">
        <f t="shared" si="71"/>
        <v>http://jsmh.umin.jp/journal/17-2/17-2.pdf</v>
      </c>
      <c r="H780" s="42" t="str">
        <f t="shared" si="72"/>
        <v>http://dl.ndl.go.jp/info:ndljp/pid/3359252</v>
      </c>
    </row>
    <row r="781" spans="1:8" ht="30" customHeight="1" x14ac:dyDescent="0.15">
      <c r="A781" s="16" t="s">
        <v>17</v>
      </c>
      <c r="B781" s="17" t="s">
        <v>1492</v>
      </c>
      <c r="C781" s="17" t="s">
        <v>790</v>
      </c>
      <c r="D781" s="25" t="s">
        <v>1439</v>
      </c>
      <c r="E781" s="19" t="s">
        <v>1486</v>
      </c>
      <c r="F781" s="19" t="s">
        <v>1493</v>
      </c>
      <c r="G781" s="2" t="str">
        <f t="shared" si="71"/>
        <v>http://jsmh.umin.jp/journal/17-2/17-2.pdf</v>
      </c>
      <c r="H781" s="42" t="str">
        <f t="shared" si="72"/>
        <v>http://dl.ndl.go.jp/info:ndljp/pid/3359252</v>
      </c>
    </row>
    <row r="782" spans="1:8" ht="30" customHeight="1" x14ac:dyDescent="0.15">
      <c r="A782" s="16" t="s">
        <v>17</v>
      </c>
      <c r="B782" s="17" t="s">
        <v>1454</v>
      </c>
      <c r="C782" s="17" t="s">
        <v>790</v>
      </c>
      <c r="D782" s="25" t="s">
        <v>1439</v>
      </c>
      <c r="E782" s="19" t="s">
        <v>1486</v>
      </c>
      <c r="F782" s="19" t="s">
        <v>1494</v>
      </c>
      <c r="G782" s="2" t="str">
        <f t="shared" si="71"/>
        <v>http://jsmh.umin.jp/journal/17-2/17-2.pdf</v>
      </c>
      <c r="H782" s="42" t="str">
        <f t="shared" si="72"/>
        <v>http://dl.ndl.go.jp/info:ndljp/pid/3359252</v>
      </c>
    </row>
    <row r="783" spans="1:8" ht="30" customHeight="1" x14ac:dyDescent="0.15">
      <c r="A783" s="16" t="s">
        <v>692</v>
      </c>
      <c r="B783" s="17" t="s">
        <v>1495</v>
      </c>
      <c r="C783" s="17" t="s">
        <v>690</v>
      </c>
      <c r="D783" s="25" t="s">
        <v>1439</v>
      </c>
      <c r="E783" s="19" t="s">
        <v>1486</v>
      </c>
      <c r="F783" s="19" t="s">
        <v>1496</v>
      </c>
      <c r="G783" s="2" t="str">
        <f t="shared" si="71"/>
        <v>http://jsmh.umin.jp/journal/17-2/17-2.pdf</v>
      </c>
      <c r="H783" s="42" t="str">
        <f t="shared" si="72"/>
        <v>http://dl.ndl.go.jp/info:ndljp/pid/3359252</v>
      </c>
    </row>
    <row r="784" spans="1:8" ht="30" customHeight="1" x14ac:dyDescent="0.15">
      <c r="A784" s="16" t="s">
        <v>704</v>
      </c>
      <c r="B784" s="17" t="s">
        <v>1497</v>
      </c>
      <c r="C784" s="17" t="s">
        <v>18</v>
      </c>
      <c r="D784" s="25" t="s">
        <v>1439</v>
      </c>
      <c r="E784" s="19" t="s">
        <v>1486</v>
      </c>
      <c r="F784" s="19" t="s">
        <v>1498</v>
      </c>
      <c r="G784" s="2" t="str">
        <f t="shared" si="71"/>
        <v>http://jsmh.umin.jp/journal/17-2/17-2.pdf</v>
      </c>
      <c r="H784" s="42" t="str">
        <f t="shared" si="72"/>
        <v>http://dl.ndl.go.jp/info:ndljp/pid/3359252</v>
      </c>
    </row>
    <row r="785" spans="1:8" ht="30" customHeight="1" x14ac:dyDescent="0.15">
      <c r="A785" s="16" t="s">
        <v>704</v>
      </c>
      <c r="B785" s="17" t="s">
        <v>1499</v>
      </c>
      <c r="C785" s="17" t="s">
        <v>18</v>
      </c>
      <c r="D785" s="25" t="s">
        <v>1439</v>
      </c>
      <c r="E785" s="19" t="s">
        <v>1486</v>
      </c>
      <c r="F785" s="19" t="s">
        <v>1500</v>
      </c>
      <c r="G785" s="2" t="str">
        <f t="shared" si="71"/>
        <v>http://jsmh.umin.jp/journal/17-2/17-2.pdf</v>
      </c>
      <c r="H785" s="42" t="str">
        <f t="shared" si="72"/>
        <v>http://dl.ndl.go.jp/info:ndljp/pid/3359252</v>
      </c>
    </row>
    <row r="786" spans="1:8" ht="30" customHeight="1" x14ac:dyDescent="0.15">
      <c r="A786" s="16" t="s">
        <v>704</v>
      </c>
      <c r="B786" s="17" t="s">
        <v>1501</v>
      </c>
      <c r="C786" s="17" t="s">
        <v>1502</v>
      </c>
      <c r="D786" s="25" t="s">
        <v>1439</v>
      </c>
      <c r="E786" s="19" t="s">
        <v>1486</v>
      </c>
      <c r="F786" s="19" t="s">
        <v>58</v>
      </c>
      <c r="G786" s="2" t="str">
        <f t="shared" si="71"/>
        <v>http://jsmh.umin.jp/journal/17-2/17-2.pdf</v>
      </c>
      <c r="H786" s="42" t="str">
        <f t="shared" si="72"/>
        <v>http://dl.ndl.go.jp/info:ndljp/pid/3359252</v>
      </c>
    </row>
    <row r="787" spans="1:8" ht="30" customHeight="1" x14ac:dyDescent="0.15">
      <c r="A787" s="16" t="s">
        <v>704</v>
      </c>
      <c r="B787" s="17" t="s">
        <v>1503</v>
      </c>
      <c r="C787" s="17" t="s">
        <v>1070</v>
      </c>
      <c r="D787" s="25" t="s">
        <v>1439</v>
      </c>
      <c r="E787" s="19" t="s">
        <v>1486</v>
      </c>
      <c r="F787" s="19" t="s">
        <v>1504</v>
      </c>
      <c r="G787" s="2" t="str">
        <f t="shared" si="71"/>
        <v>http://jsmh.umin.jp/journal/17-2/17-2.pdf</v>
      </c>
      <c r="H787" s="42" t="str">
        <f t="shared" si="72"/>
        <v>http://dl.ndl.go.jp/info:ndljp/pid/3359252</v>
      </c>
    </row>
    <row r="788" spans="1:8" ht="30" customHeight="1" x14ac:dyDescent="0.15">
      <c r="A788" s="16" t="s">
        <v>704</v>
      </c>
      <c r="B788" s="17" t="s">
        <v>1505</v>
      </c>
      <c r="C788" s="17" t="s">
        <v>303</v>
      </c>
      <c r="D788" s="25" t="s">
        <v>1439</v>
      </c>
      <c r="E788" s="19" t="s">
        <v>1486</v>
      </c>
      <c r="F788" s="19" t="s">
        <v>1506</v>
      </c>
      <c r="G788" s="2" t="str">
        <f t="shared" si="71"/>
        <v>http://jsmh.umin.jp/journal/17-2/17-2.pdf</v>
      </c>
      <c r="H788" s="42" t="str">
        <f t="shared" si="72"/>
        <v>http://dl.ndl.go.jp/info:ndljp/pid/3359252</v>
      </c>
    </row>
    <row r="789" spans="1:8" ht="30" customHeight="1" x14ac:dyDescent="0.15">
      <c r="A789" s="16" t="s">
        <v>704</v>
      </c>
      <c r="B789" s="17" t="s">
        <v>1507</v>
      </c>
      <c r="C789" s="17" t="s">
        <v>1508</v>
      </c>
      <c r="D789" s="25" t="s">
        <v>1439</v>
      </c>
      <c r="E789" s="19" t="s">
        <v>1486</v>
      </c>
      <c r="F789" s="19" t="s">
        <v>1506</v>
      </c>
      <c r="G789" s="2" t="str">
        <f t="shared" si="71"/>
        <v>http://jsmh.umin.jp/journal/17-2/17-2.pdf</v>
      </c>
      <c r="H789" s="42" t="str">
        <f t="shared" si="72"/>
        <v>http://dl.ndl.go.jp/info:ndljp/pid/3359252</v>
      </c>
    </row>
    <row r="790" spans="1:8" ht="30" customHeight="1" x14ac:dyDescent="0.15">
      <c r="A790" s="16" t="s">
        <v>704</v>
      </c>
      <c r="B790" s="17" t="s">
        <v>10077</v>
      </c>
      <c r="C790" s="17" t="s">
        <v>1509</v>
      </c>
      <c r="D790" s="25" t="s">
        <v>1439</v>
      </c>
      <c r="E790" s="19" t="s">
        <v>1486</v>
      </c>
      <c r="F790" s="19" t="s">
        <v>1506</v>
      </c>
      <c r="G790" s="2" t="str">
        <f t="shared" si="71"/>
        <v>http://jsmh.umin.jp/journal/17-2/17-2.pdf</v>
      </c>
      <c r="H790" s="42" t="str">
        <f t="shared" si="72"/>
        <v>http://dl.ndl.go.jp/info:ndljp/pid/3359252</v>
      </c>
    </row>
    <row r="791" spans="1:8" ht="30" customHeight="1" x14ac:dyDescent="0.15">
      <c r="A791" s="16" t="s">
        <v>704</v>
      </c>
      <c r="B791" s="17" t="s">
        <v>1510</v>
      </c>
      <c r="C791" s="17" t="s">
        <v>365</v>
      </c>
      <c r="D791" s="25" t="s">
        <v>1439</v>
      </c>
      <c r="E791" s="19" t="s">
        <v>1486</v>
      </c>
      <c r="F791" s="19" t="s">
        <v>1511</v>
      </c>
      <c r="G791" s="2" t="str">
        <f t="shared" si="71"/>
        <v>http://jsmh.umin.jp/journal/17-2/17-2.pdf</v>
      </c>
      <c r="H791" s="42" t="str">
        <f t="shared" si="72"/>
        <v>http://dl.ndl.go.jp/info:ndljp/pid/3359252</v>
      </c>
    </row>
    <row r="792" spans="1:8" ht="30" customHeight="1" x14ac:dyDescent="0.15">
      <c r="A792" s="16" t="s">
        <v>704</v>
      </c>
      <c r="B792" s="17" t="s">
        <v>1490</v>
      </c>
      <c r="C792" s="17" t="s">
        <v>198</v>
      </c>
      <c r="D792" s="25" t="s">
        <v>1439</v>
      </c>
      <c r="E792" s="19" t="s">
        <v>1486</v>
      </c>
      <c r="F792" s="19" t="s">
        <v>1347</v>
      </c>
      <c r="G792" s="2" t="str">
        <f t="shared" si="71"/>
        <v>http://jsmh.umin.jp/journal/17-2/17-2.pdf</v>
      </c>
      <c r="H792" s="42" t="str">
        <f t="shared" si="72"/>
        <v>http://dl.ndl.go.jp/info:ndljp/pid/3359252</v>
      </c>
    </row>
    <row r="793" spans="1:8" ht="30" customHeight="1" x14ac:dyDescent="0.15">
      <c r="A793" s="16" t="s">
        <v>558</v>
      </c>
      <c r="B793" s="17" t="s">
        <v>1512</v>
      </c>
      <c r="C793" s="17"/>
      <c r="D793" s="25" t="s">
        <v>1439</v>
      </c>
      <c r="E793" s="19" t="s">
        <v>1486</v>
      </c>
      <c r="F793" s="19" t="s">
        <v>1356</v>
      </c>
      <c r="G793" s="2" t="str">
        <f t="shared" si="71"/>
        <v>http://jsmh.umin.jp/journal/17-2/17-2.pdf</v>
      </c>
      <c r="H793" s="42" t="str">
        <f t="shared" si="72"/>
        <v>http://dl.ndl.go.jp/info:ndljp/pid/3359252</v>
      </c>
    </row>
    <row r="794" spans="1:8" ht="30" customHeight="1" x14ac:dyDescent="0.15">
      <c r="A794" s="16" t="s">
        <v>1102</v>
      </c>
      <c r="B794" s="17" t="s">
        <v>1513</v>
      </c>
      <c r="C794" s="17" t="s">
        <v>830</v>
      </c>
      <c r="D794" s="25" t="s">
        <v>1439</v>
      </c>
      <c r="E794" s="19" t="s">
        <v>1486</v>
      </c>
      <c r="F794" s="19" t="s">
        <v>1514</v>
      </c>
      <c r="G794" s="2" t="str">
        <f t="shared" si="71"/>
        <v>http://jsmh.umin.jp/journal/17-2/17-2.pdf</v>
      </c>
      <c r="H794" s="42" t="str">
        <f t="shared" si="72"/>
        <v>http://dl.ndl.go.jp/info:ndljp/pid/3359252</v>
      </c>
    </row>
    <row r="795" spans="1:8" ht="30" customHeight="1" x14ac:dyDescent="0.15">
      <c r="A795" s="16" t="s">
        <v>1102</v>
      </c>
      <c r="B795" s="17" t="s">
        <v>1515</v>
      </c>
      <c r="C795" s="17" t="s">
        <v>830</v>
      </c>
      <c r="D795" s="25" t="s">
        <v>1439</v>
      </c>
      <c r="E795" s="19" t="s">
        <v>1486</v>
      </c>
      <c r="F795" s="19" t="s">
        <v>1516</v>
      </c>
      <c r="G795" s="2" t="str">
        <f t="shared" si="71"/>
        <v>http://jsmh.umin.jp/journal/17-2/17-2.pdf</v>
      </c>
      <c r="H795" s="42" t="str">
        <f t="shared" si="72"/>
        <v>http://dl.ndl.go.jp/info:ndljp/pid/3359252</v>
      </c>
    </row>
    <row r="796" spans="1:8" ht="30" customHeight="1" x14ac:dyDescent="0.15">
      <c r="A796" s="16" t="s">
        <v>1102</v>
      </c>
      <c r="B796" s="17" t="s">
        <v>1517</v>
      </c>
      <c r="C796" s="17" t="s">
        <v>48</v>
      </c>
      <c r="D796" s="25" t="s">
        <v>1439</v>
      </c>
      <c r="E796" s="19" t="s">
        <v>1486</v>
      </c>
      <c r="F796" s="19" t="s">
        <v>1369</v>
      </c>
      <c r="G796" s="2" t="str">
        <f t="shared" si="71"/>
        <v>http://jsmh.umin.jp/journal/17-2/17-2.pdf</v>
      </c>
      <c r="H796" s="42" t="str">
        <f t="shared" si="72"/>
        <v>http://dl.ndl.go.jp/info:ndljp/pid/3359252</v>
      </c>
    </row>
    <row r="797" spans="1:8" ht="30" customHeight="1" x14ac:dyDescent="0.15">
      <c r="A797" s="16" t="s">
        <v>1518</v>
      </c>
      <c r="B797" s="17" t="s">
        <v>1519</v>
      </c>
      <c r="C797" s="17" t="s">
        <v>209</v>
      </c>
      <c r="D797" s="25" t="s">
        <v>1439</v>
      </c>
      <c r="E797" s="19" t="s">
        <v>1486</v>
      </c>
      <c r="F797" s="19" t="s">
        <v>1520</v>
      </c>
      <c r="G797" s="2" t="str">
        <f t="shared" si="71"/>
        <v>http://jsmh.umin.jp/journal/17-2/17-2.pdf</v>
      </c>
      <c r="H797" s="42" t="str">
        <f t="shared" si="72"/>
        <v>http://dl.ndl.go.jp/info:ndljp/pid/3359252</v>
      </c>
    </row>
    <row r="798" spans="1:8" ht="30" customHeight="1" x14ac:dyDescent="0.15">
      <c r="A798" s="16" t="s">
        <v>1102</v>
      </c>
      <c r="B798" s="17" t="s">
        <v>1521</v>
      </c>
      <c r="C798" s="17" t="s">
        <v>1070</v>
      </c>
      <c r="D798" s="25" t="s">
        <v>1439</v>
      </c>
      <c r="E798" s="19" t="s">
        <v>1486</v>
      </c>
      <c r="F798" s="19" t="s">
        <v>1522</v>
      </c>
      <c r="G798" s="2" t="str">
        <f t="shared" si="71"/>
        <v>http://jsmh.umin.jp/journal/17-2/17-2.pdf</v>
      </c>
      <c r="H798" s="42" t="str">
        <f t="shared" si="72"/>
        <v>http://dl.ndl.go.jp/info:ndljp/pid/3359252</v>
      </c>
    </row>
    <row r="799" spans="1:8" ht="30" customHeight="1" x14ac:dyDescent="0.15">
      <c r="A799" s="16" t="s">
        <v>1102</v>
      </c>
      <c r="B799" s="17" t="s">
        <v>1523</v>
      </c>
      <c r="C799" s="17" t="s">
        <v>273</v>
      </c>
      <c r="D799" s="25" t="s">
        <v>1439</v>
      </c>
      <c r="E799" s="19" t="s">
        <v>1486</v>
      </c>
      <c r="F799" s="19" t="s">
        <v>1524</v>
      </c>
      <c r="G799" s="2" t="str">
        <f t="shared" si="71"/>
        <v>http://jsmh.umin.jp/journal/17-2/17-2.pdf</v>
      </c>
      <c r="H799" s="42" t="str">
        <f t="shared" si="72"/>
        <v>http://dl.ndl.go.jp/info:ndljp/pid/3359252</v>
      </c>
    </row>
    <row r="800" spans="1:8" ht="30" customHeight="1" x14ac:dyDescent="0.15">
      <c r="A800" s="16" t="s">
        <v>81</v>
      </c>
      <c r="B800" s="17" t="s">
        <v>1525</v>
      </c>
      <c r="C800" s="17"/>
      <c r="D800" s="25" t="s">
        <v>1439</v>
      </c>
      <c r="E800" s="19" t="s">
        <v>1486</v>
      </c>
      <c r="F800" s="19" t="s">
        <v>1526</v>
      </c>
      <c r="G800" s="2" t="str">
        <f t="shared" si="71"/>
        <v>http://jsmh.umin.jp/journal/17-2/17-2.pdf</v>
      </c>
      <c r="H800" s="42" t="str">
        <f t="shared" si="72"/>
        <v>http://dl.ndl.go.jp/info:ndljp/pid/3359252</v>
      </c>
    </row>
    <row r="801" spans="1:8" ht="30" customHeight="1" x14ac:dyDescent="0.15">
      <c r="A801" s="16" t="s">
        <v>17</v>
      </c>
      <c r="B801" s="17" t="s">
        <v>1527</v>
      </c>
      <c r="C801" s="17" t="s">
        <v>1528</v>
      </c>
      <c r="D801" s="25" t="s">
        <v>1439</v>
      </c>
      <c r="E801" s="19" t="s">
        <v>1486</v>
      </c>
      <c r="F801" s="19" t="s">
        <v>1529</v>
      </c>
      <c r="G801" s="2" t="str">
        <f t="shared" si="71"/>
        <v>http://jsmh.umin.jp/journal/17-2/17-2.pdf</v>
      </c>
      <c r="H801" s="42" t="str">
        <f t="shared" si="72"/>
        <v>http://dl.ndl.go.jp/info:ndljp/pid/3359252</v>
      </c>
    </row>
    <row r="802" spans="1:8" ht="30" customHeight="1" x14ac:dyDescent="0.15">
      <c r="A802" s="16" t="s">
        <v>17</v>
      </c>
      <c r="B802" s="17" t="s">
        <v>1530</v>
      </c>
      <c r="C802" s="17" t="s">
        <v>507</v>
      </c>
      <c r="D802" s="25" t="s">
        <v>1439</v>
      </c>
      <c r="E802" s="19" t="s">
        <v>1531</v>
      </c>
      <c r="F802" s="19" t="s">
        <v>1532</v>
      </c>
      <c r="G802" s="2" t="str">
        <f t="shared" ref="G802:G828" si="73">HYPERLINK("http://jsmh.umin.jp/journal/17-3/17-3.pdf")</f>
        <v>http://jsmh.umin.jp/journal/17-3/17-3.pdf</v>
      </c>
      <c r="H802" s="42" t="str">
        <f>HYPERLINK("http://dl.ndl.go.jp/info:ndljp/pid/3359253")</f>
        <v>http://dl.ndl.go.jp/info:ndljp/pid/3359253</v>
      </c>
    </row>
    <row r="803" spans="1:8" ht="30" customHeight="1" x14ac:dyDescent="0.15">
      <c r="A803" s="16" t="s">
        <v>17</v>
      </c>
      <c r="B803" s="17" t="s">
        <v>1533</v>
      </c>
      <c r="C803" s="17" t="s">
        <v>1534</v>
      </c>
      <c r="D803" s="25" t="s">
        <v>1439</v>
      </c>
      <c r="E803" s="19" t="s">
        <v>1531</v>
      </c>
      <c r="F803" s="19" t="s">
        <v>1376</v>
      </c>
      <c r="G803" s="2" t="str">
        <f t="shared" si="73"/>
        <v>http://jsmh.umin.jp/journal/17-3/17-3.pdf</v>
      </c>
      <c r="H803" s="42" t="str">
        <f t="shared" ref="H803:H828" si="74">HYPERLINK("http://dl.ndl.go.jp/info:ndljp/pid/3359253")</f>
        <v>http://dl.ndl.go.jp/info:ndljp/pid/3359253</v>
      </c>
    </row>
    <row r="804" spans="1:8" ht="30" customHeight="1" x14ac:dyDescent="0.15">
      <c r="A804" s="16" t="s">
        <v>17</v>
      </c>
      <c r="B804" s="17" t="s">
        <v>1535</v>
      </c>
      <c r="C804" s="17" t="s">
        <v>198</v>
      </c>
      <c r="D804" s="25" t="s">
        <v>1439</v>
      </c>
      <c r="E804" s="19" t="s">
        <v>1531</v>
      </c>
      <c r="F804" s="19" t="s">
        <v>1536</v>
      </c>
      <c r="G804" s="2" t="str">
        <f t="shared" si="73"/>
        <v>http://jsmh.umin.jp/journal/17-3/17-3.pdf</v>
      </c>
      <c r="H804" s="42" t="str">
        <f t="shared" si="74"/>
        <v>http://dl.ndl.go.jp/info:ndljp/pid/3359253</v>
      </c>
    </row>
    <row r="805" spans="1:8" ht="30" customHeight="1" x14ac:dyDescent="0.15">
      <c r="A805" s="16" t="s">
        <v>17</v>
      </c>
      <c r="B805" s="17" t="s">
        <v>1537</v>
      </c>
      <c r="C805" s="17" t="s">
        <v>790</v>
      </c>
      <c r="D805" s="25" t="s">
        <v>1439</v>
      </c>
      <c r="E805" s="19" t="s">
        <v>1531</v>
      </c>
      <c r="F805" s="19" t="s">
        <v>1538</v>
      </c>
      <c r="G805" s="2" t="str">
        <f t="shared" si="73"/>
        <v>http://jsmh.umin.jp/journal/17-3/17-3.pdf</v>
      </c>
      <c r="H805" s="42" t="str">
        <f t="shared" si="74"/>
        <v>http://dl.ndl.go.jp/info:ndljp/pid/3359253</v>
      </c>
    </row>
    <row r="806" spans="1:8" ht="30" customHeight="1" x14ac:dyDescent="0.15">
      <c r="A806" s="16" t="s">
        <v>17</v>
      </c>
      <c r="B806" s="17" t="s">
        <v>1539</v>
      </c>
      <c r="C806" s="17" t="s">
        <v>790</v>
      </c>
      <c r="D806" s="25" t="s">
        <v>1439</v>
      </c>
      <c r="E806" s="19" t="s">
        <v>1531</v>
      </c>
      <c r="F806" s="19" t="s">
        <v>1540</v>
      </c>
      <c r="G806" s="2" t="str">
        <f t="shared" si="73"/>
        <v>http://jsmh.umin.jp/journal/17-3/17-3.pdf</v>
      </c>
      <c r="H806" s="42" t="str">
        <f t="shared" si="74"/>
        <v>http://dl.ndl.go.jp/info:ndljp/pid/3359253</v>
      </c>
    </row>
    <row r="807" spans="1:8" ht="30" customHeight="1" x14ac:dyDescent="0.15">
      <c r="A807" s="16" t="s">
        <v>1541</v>
      </c>
      <c r="B807" s="17" t="s">
        <v>1542</v>
      </c>
      <c r="C807" s="17" t="s">
        <v>790</v>
      </c>
      <c r="D807" s="25" t="s">
        <v>1439</v>
      </c>
      <c r="E807" s="19" t="s">
        <v>1531</v>
      </c>
      <c r="F807" s="19" t="s">
        <v>288</v>
      </c>
      <c r="G807" s="2" t="str">
        <f t="shared" si="73"/>
        <v>http://jsmh.umin.jp/journal/17-3/17-3.pdf</v>
      </c>
      <c r="H807" s="42" t="str">
        <f t="shared" si="74"/>
        <v>http://dl.ndl.go.jp/info:ndljp/pid/3359253</v>
      </c>
    </row>
    <row r="808" spans="1:8" ht="30" customHeight="1" x14ac:dyDescent="0.15">
      <c r="A808" s="16" t="s">
        <v>1543</v>
      </c>
      <c r="B808" s="17" t="s">
        <v>1505</v>
      </c>
      <c r="C808" s="17" t="s">
        <v>303</v>
      </c>
      <c r="D808" s="25" t="s">
        <v>1439</v>
      </c>
      <c r="E808" s="19" t="s">
        <v>1531</v>
      </c>
      <c r="F808" s="19" t="s">
        <v>1544</v>
      </c>
      <c r="G808" s="2" t="str">
        <f t="shared" si="73"/>
        <v>http://jsmh.umin.jp/journal/17-3/17-3.pdf</v>
      </c>
      <c r="H808" s="42" t="str">
        <f t="shared" si="74"/>
        <v>http://dl.ndl.go.jp/info:ndljp/pid/3359253</v>
      </c>
    </row>
    <row r="809" spans="1:8" ht="30" customHeight="1" x14ac:dyDescent="0.15">
      <c r="A809" s="16" t="s">
        <v>1382</v>
      </c>
      <c r="B809" s="17" t="s">
        <v>1545</v>
      </c>
      <c r="C809" s="17" t="s">
        <v>690</v>
      </c>
      <c r="D809" s="25" t="s">
        <v>1439</v>
      </c>
      <c r="E809" s="19" t="s">
        <v>1531</v>
      </c>
      <c r="F809" s="19" t="s">
        <v>1546</v>
      </c>
      <c r="G809" s="2" t="str">
        <f t="shared" si="73"/>
        <v>http://jsmh.umin.jp/journal/17-3/17-3.pdf</v>
      </c>
      <c r="H809" s="42" t="str">
        <f t="shared" si="74"/>
        <v>http://dl.ndl.go.jp/info:ndljp/pid/3359253</v>
      </c>
    </row>
    <row r="810" spans="1:8" ht="30" customHeight="1" x14ac:dyDescent="0.15">
      <c r="A810" s="16" t="s">
        <v>1385</v>
      </c>
      <c r="B810" s="17" t="s">
        <v>1547</v>
      </c>
      <c r="C810" s="17" t="s">
        <v>303</v>
      </c>
      <c r="D810" s="25" t="s">
        <v>1439</v>
      </c>
      <c r="E810" s="19" t="s">
        <v>1531</v>
      </c>
      <c r="F810" s="19" t="s">
        <v>1548</v>
      </c>
      <c r="G810" s="2" t="str">
        <f t="shared" si="73"/>
        <v>http://jsmh.umin.jp/journal/17-3/17-3.pdf</v>
      </c>
      <c r="H810" s="42" t="str">
        <f t="shared" si="74"/>
        <v>http://dl.ndl.go.jp/info:ndljp/pid/3359253</v>
      </c>
    </row>
    <row r="811" spans="1:8" ht="30" customHeight="1" x14ac:dyDescent="0.15">
      <c r="A811" s="16" t="s">
        <v>1541</v>
      </c>
      <c r="B811" s="17" t="s">
        <v>1549</v>
      </c>
      <c r="C811" s="17" t="s">
        <v>1550</v>
      </c>
      <c r="D811" s="25" t="s">
        <v>1439</v>
      </c>
      <c r="E811" s="19" t="s">
        <v>1531</v>
      </c>
      <c r="F811" s="19" t="s">
        <v>1551</v>
      </c>
      <c r="G811" s="2" t="str">
        <f t="shared" si="73"/>
        <v>http://jsmh.umin.jp/journal/17-3/17-3.pdf</v>
      </c>
      <c r="H811" s="42" t="str">
        <f t="shared" si="74"/>
        <v>http://dl.ndl.go.jp/info:ndljp/pid/3359253</v>
      </c>
    </row>
    <row r="812" spans="1:8" ht="30" customHeight="1" x14ac:dyDescent="0.15">
      <c r="A812" s="16" t="s">
        <v>704</v>
      </c>
      <c r="B812" s="17" t="s">
        <v>1552</v>
      </c>
      <c r="C812" s="17" t="s">
        <v>916</v>
      </c>
      <c r="D812" s="25" t="s">
        <v>1439</v>
      </c>
      <c r="E812" s="19" t="s">
        <v>1531</v>
      </c>
      <c r="F812" s="19" t="s">
        <v>1553</v>
      </c>
      <c r="G812" s="2" t="str">
        <f t="shared" si="73"/>
        <v>http://jsmh.umin.jp/journal/17-3/17-3.pdf</v>
      </c>
      <c r="H812" s="42" t="str">
        <f t="shared" si="74"/>
        <v>http://dl.ndl.go.jp/info:ndljp/pid/3359253</v>
      </c>
    </row>
    <row r="813" spans="1:8" ht="30" customHeight="1" x14ac:dyDescent="0.15">
      <c r="A813" s="16" t="s">
        <v>704</v>
      </c>
      <c r="B813" s="17" t="s">
        <v>1554</v>
      </c>
      <c r="C813" s="17" t="s">
        <v>303</v>
      </c>
      <c r="D813" s="25" t="s">
        <v>1439</v>
      </c>
      <c r="E813" s="19" t="s">
        <v>1531</v>
      </c>
      <c r="F813" s="19" t="s">
        <v>1555</v>
      </c>
      <c r="G813" s="2" t="str">
        <f t="shared" si="73"/>
        <v>http://jsmh.umin.jp/journal/17-3/17-3.pdf</v>
      </c>
      <c r="H813" s="42" t="str">
        <f t="shared" si="74"/>
        <v>http://dl.ndl.go.jp/info:ndljp/pid/3359253</v>
      </c>
    </row>
    <row r="814" spans="1:8" ht="30" customHeight="1" x14ac:dyDescent="0.15">
      <c r="A814" s="16" t="s">
        <v>704</v>
      </c>
      <c r="B814" s="17" t="s">
        <v>1556</v>
      </c>
      <c r="C814" s="17" t="s">
        <v>830</v>
      </c>
      <c r="D814" s="25" t="s">
        <v>1439</v>
      </c>
      <c r="E814" s="19" t="s">
        <v>1531</v>
      </c>
      <c r="F814" s="19" t="s">
        <v>1555</v>
      </c>
      <c r="G814" s="2" t="str">
        <f t="shared" si="73"/>
        <v>http://jsmh.umin.jp/journal/17-3/17-3.pdf</v>
      </c>
      <c r="H814" s="42" t="str">
        <f t="shared" si="74"/>
        <v>http://dl.ndl.go.jp/info:ndljp/pid/3359253</v>
      </c>
    </row>
    <row r="815" spans="1:8" ht="30" customHeight="1" x14ac:dyDescent="0.15">
      <c r="A815" s="16" t="s">
        <v>704</v>
      </c>
      <c r="B815" s="17" t="s">
        <v>1557</v>
      </c>
      <c r="C815" s="17" t="s">
        <v>273</v>
      </c>
      <c r="D815" s="25" t="s">
        <v>1439</v>
      </c>
      <c r="E815" s="19" t="s">
        <v>1531</v>
      </c>
      <c r="F815" s="19" t="s">
        <v>1558</v>
      </c>
      <c r="G815" s="2" t="str">
        <f t="shared" si="73"/>
        <v>http://jsmh.umin.jp/journal/17-3/17-3.pdf</v>
      </c>
      <c r="H815" s="42" t="str">
        <f t="shared" si="74"/>
        <v>http://dl.ndl.go.jp/info:ndljp/pid/3359253</v>
      </c>
    </row>
    <row r="816" spans="1:8" ht="30" customHeight="1" x14ac:dyDescent="0.15">
      <c r="A816" s="16" t="s">
        <v>704</v>
      </c>
      <c r="B816" s="17" t="s">
        <v>1559</v>
      </c>
      <c r="C816" s="17" t="s">
        <v>690</v>
      </c>
      <c r="D816" s="25" t="s">
        <v>1439</v>
      </c>
      <c r="E816" s="19" t="s">
        <v>1531</v>
      </c>
      <c r="F816" s="19" t="s">
        <v>1560</v>
      </c>
      <c r="G816" s="2" t="str">
        <f t="shared" si="73"/>
        <v>http://jsmh.umin.jp/journal/17-3/17-3.pdf</v>
      </c>
      <c r="H816" s="42" t="str">
        <f t="shared" si="74"/>
        <v>http://dl.ndl.go.jp/info:ndljp/pid/3359253</v>
      </c>
    </row>
    <row r="817" spans="1:8" ht="30" customHeight="1" x14ac:dyDescent="0.15">
      <c r="A817" s="16" t="s">
        <v>704</v>
      </c>
      <c r="B817" s="17" t="s">
        <v>1561</v>
      </c>
      <c r="C817" s="17" t="s">
        <v>1562</v>
      </c>
      <c r="D817" s="25" t="s">
        <v>1439</v>
      </c>
      <c r="E817" s="19" t="s">
        <v>1531</v>
      </c>
      <c r="F817" s="19" t="s">
        <v>1563</v>
      </c>
      <c r="G817" s="2" t="str">
        <f t="shared" si="73"/>
        <v>http://jsmh.umin.jp/journal/17-3/17-3.pdf</v>
      </c>
      <c r="H817" s="42" t="str">
        <f t="shared" si="74"/>
        <v>http://dl.ndl.go.jp/info:ndljp/pid/3359253</v>
      </c>
    </row>
    <row r="818" spans="1:8" ht="30" customHeight="1" x14ac:dyDescent="0.15">
      <c r="A818" s="16" t="s">
        <v>704</v>
      </c>
      <c r="B818" s="17" t="s">
        <v>1564</v>
      </c>
      <c r="C818" s="17" t="s">
        <v>303</v>
      </c>
      <c r="D818" s="25" t="s">
        <v>1439</v>
      </c>
      <c r="E818" s="19" t="s">
        <v>1531</v>
      </c>
      <c r="F818" s="19" t="s">
        <v>1565</v>
      </c>
      <c r="G818" s="2" t="str">
        <f t="shared" si="73"/>
        <v>http://jsmh.umin.jp/journal/17-3/17-3.pdf</v>
      </c>
      <c r="H818" s="42" t="str">
        <f t="shared" si="74"/>
        <v>http://dl.ndl.go.jp/info:ndljp/pid/3359253</v>
      </c>
    </row>
    <row r="819" spans="1:8" ht="30" customHeight="1" x14ac:dyDescent="0.15">
      <c r="A819" s="16" t="s">
        <v>420</v>
      </c>
      <c r="B819" s="17" t="s">
        <v>1566</v>
      </c>
      <c r="C819" s="17"/>
      <c r="D819" s="25" t="s">
        <v>1439</v>
      </c>
      <c r="E819" s="19" t="s">
        <v>1531</v>
      </c>
      <c r="F819" s="19" t="s">
        <v>1026</v>
      </c>
      <c r="G819" s="2" t="str">
        <f t="shared" si="73"/>
        <v>http://jsmh.umin.jp/journal/17-3/17-3.pdf</v>
      </c>
      <c r="H819" s="42" t="str">
        <f t="shared" si="74"/>
        <v>http://dl.ndl.go.jp/info:ndljp/pid/3359253</v>
      </c>
    </row>
    <row r="820" spans="1:8" ht="30" customHeight="1" x14ac:dyDescent="0.15">
      <c r="A820" s="16" t="s">
        <v>704</v>
      </c>
      <c r="B820" s="17" t="s">
        <v>1567</v>
      </c>
      <c r="C820" s="17"/>
      <c r="D820" s="25" t="s">
        <v>1439</v>
      </c>
      <c r="E820" s="19" t="s">
        <v>1531</v>
      </c>
      <c r="F820" s="19" t="s">
        <v>1028</v>
      </c>
      <c r="G820" s="2" t="str">
        <f t="shared" si="73"/>
        <v>http://jsmh.umin.jp/journal/17-3/17-3.pdf</v>
      </c>
      <c r="H820" s="42" t="str">
        <f t="shared" si="74"/>
        <v>http://dl.ndl.go.jp/info:ndljp/pid/3359253</v>
      </c>
    </row>
    <row r="821" spans="1:8" ht="30" customHeight="1" x14ac:dyDescent="0.15">
      <c r="A821" s="16" t="s">
        <v>420</v>
      </c>
      <c r="B821" s="17" t="s">
        <v>1568</v>
      </c>
      <c r="C821" s="17"/>
      <c r="D821" s="25" t="s">
        <v>1439</v>
      </c>
      <c r="E821" s="19" t="s">
        <v>1531</v>
      </c>
      <c r="F821" s="19" t="s">
        <v>1028</v>
      </c>
      <c r="G821" s="2" t="str">
        <f t="shared" si="73"/>
        <v>http://jsmh.umin.jp/journal/17-3/17-3.pdf</v>
      </c>
      <c r="H821" s="42" t="str">
        <f t="shared" si="74"/>
        <v>http://dl.ndl.go.jp/info:ndljp/pid/3359253</v>
      </c>
    </row>
    <row r="822" spans="1:8" ht="30" customHeight="1" x14ac:dyDescent="0.15">
      <c r="A822" s="16" t="s">
        <v>420</v>
      </c>
      <c r="B822" s="17" t="s">
        <v>1569</v>
      </c>
      <c r="C822" s="17"/>
      <c r="D822" s="25" t="s">
        <v>1439</v>
      </c>
      <c r="E822" s="19" t="s">
        <v>1531</v>
      </c>
      <c r="F822" s="19" t="s">
        <v>1570</v>
      </c>
      <c r="G822" s="2" t="str">
        <f t="shared" si="73"/>
        <v>http://jsmh.umin.jp/journal/17-3/17-3.pdf</v>
      </c>
      <c r="H822" s="42" t="str">
        <f t="shared" si="74"/>
        <v>http://dl.ndl.go.jp/info:ndljp/pid/3359253</v>
      </c>
    </row>
    <row r="823" spans="1:8" ht="30" customHeight="1" x14ac:dyDescent="0.15">
      <c r="A823" s="16" t="s">
        <v>420</v>
      </c>
      <c r="B823" s="17" t="s">
        <v>1571</v>
      </c>
      <c r="C823" s="17"/>
      <c r="D823" s="25" t="s">
        <v>1439</v>
      </c>
      <c r="E823" s="19" t="s">
        <v>1531</v>
      </c>
      <c r="F823" s="19" t="s">
        <v>1570</v>
      </c>
      <c r="G823" s="2" t="str">
        <f t="shared" si="73"/>
        <v>http://jsmh.umin.jp/journal/17-3/17-3.pdf</v>
      </c>
      <c r="H823" s="42" t="str">
        <f t="shared" si="74"/>
        <v>http://dl.ndl.go.jp/info:ndljp/pid/3359253</v>
      </c>
    </row>
    <row r="824" spans="1:8" ht="30" customHeight="1" x14ac:dyDescent="0.15">
      <c r="A824" s="16" t="s">
        <v>420</v>
      </c>
      <c r="B824" s="17" t="s">
        <v>1572</v>
      </c>
      <c r="C824" s="17"/>
      <c r="D824" s="25" t="s">
        <v>1439</v>
      </c>
      <c r="E824" s="19" t="s">
        <v>1531</v>
      </c>
      <c r="F824" s="19" t="s">
        <v>1570</v>
      </c>
      <c r="G824" s="2" t="str">
        <f t="shared" si="73"/>
        <v>http://jsmh.umin.jp/journal/17-3/17-3.pdf</v>
      </c>
      <c r="H824" s="42" t="str">
        <f t="shared" si="74"/>
        <v>http://dl.ndl.go.jp/info:ndljp/pid/3359253</v>
      </c>
    </row>
    <row r="825" spans="1:8" ht="30" customHeight="1" x14ac:dyDescent="0.15">
      <c r="A825" s="16" t="s">
        <v>81</v>
      </c>
      <c r="B825" s="17" t="s">
        <v>1573</v>
      </c>
      <c r="C825" s="17"/>
      <c r="D825" s="25" t="s">
        <v>1439</v>
      </c>
      <c r="E825" s="19" t="s">
        <v>1531</v>
      </c>
      <c r="F825" s="19" t="s">
        <v>1574</v>
      </c>
      <c r="G825" s="2" t="str">
        <f t="shared" si="73"/>
        <v>http://jsmh.umin.jp/journal/17-3/17-3.pdf</v>
      </c>
      <c r="H825" s="42" t="str">
        <f t="shared" si="74"/>
        <v>http://dl.ndl.go.jp/info:ndljp/pid/3359253</v>
      </c>
    </row>
    <row r="826" spans="1:8" ht="30" customHeight="1" x14ac:dyDescent="0.15">
      <c r="A826" s="16" t="s">
        <v>81</v>
      </c>
      <c r="B826" s="17" t="s">
        <v>1575</v>
      </c>
      <c r="C826" s="17"/>
      <c r="D826" s="25" t="s">
        <v>1439</v>
      </c>
      <c r="E826" s="19" t="s">
        <v>1531</v>
      </c>
      <c r="F826" s="19" t="s">
        <v>1574</v>
      </c>
      <c r="G826" s="2" t="str">
        <f t="shared" si="73"/>
        <v>http://jsmh.umin.jp/journal/17-3/17-3.pdf</v>
      </c>
      <c r="H826" s="42" t="str">
        <f t="shared" si="74"/>
        <v>http://dl.ndl.go.jp/info:ndljp/pid/3359253</v>
      </c>
    </row>
    <row r="827" spans="1:8" ht="30" customHeight="1" x14ac:dyDescent="0.15">
      <c r="A827" s="16" t="s">
        <v>81</v>
      </c>
      <c r="B827" s="17" t="s">
        <v>1576</v>
      </c>
      <c r="C827" s="17"/>
      <c r="D827" s="25" t="s">
        <v>1439</v>
      </c>
      <c r="E827" s="19" t="s">
        <v>1531</v>
      </c>
      <c r="F827" s="19" t="s">
        <v>1574</v>
      </c>
      <c r="G827" s="2" t="str">
        <f t="shared" si="73"/>
        <v>http://jsmh.umin.jp/journal/17-3/17-3.pdf</v>
      </c>
      <c r="H827" s="42" t="str">
        <f t="shared" si="74"/>
        <v>http://dl.ndl.go.jp/info:ndljp/pid/3359253</v>
      </c>
    </row>
    <row r="828" spans="1:8" ht="30" customHeight="1" x14ac:dyDescent="0.15">
      <c r="A828" s="16" t="s">
        <v>704</v>
      </c>
      <c r="B828" s="17" t="s">
        <v>1577</v>
      </c>
      <c r="C828" s="17"/>
      <c r="D828" s="25" t="s">
        <v>1439</v>
      </c>
      <c r="E828" s="19" t="s">
        <v>1531</v>
      </c>
      <c r="F828" s="19" t="s">
        <v>5</v>
      </c>
      <c r="G828" s="2" t="str">
        <f t="shared" si="73"/>
        <v>http://jsmh.umin.jp/journal/17-3/17-3.pdf</v>
      </c>
      <c r="H828" s="42" t="str">
        <f t="shared" si="74"/>
        <v>http://dl.ndl.go.jp/info:ndljp/pid/3359253</v>
      </c>
    </row>
    <row r="829" spans="1:8" ht="30" customHeight="1" x14ac:dyDescent="0.15">
      <c r="A829" s="16" t="s">
        <v>17</v>
      </c>
      <c r="B829" s="17" t="s">
        <v>1578</v>
      </c>
      <c r="C829" s="17" t="s">
        <v>303</v>
      </c>
      <c r="D829" s="25" t="s">
        <v>1439</v>
      </c>
      <c r="E829" s="19" t="s">
        <v>1579</v>
      </c>
      <c r="F829" s="19" t="s">
        <v>1580</v>
      </c>
      <c r="G829" s="2" t="str">
        <f t="shared" ref="G829:G855" si="75">HYPERLINK("http://jsmh.umin.jp/journal/17-4/17-4.pdf")</f>
        <v>http://jsmh.umin.jp/journal/17-4/17-4.pdf</v>
      </c>
      <c r="H829" s="42" t="str">
        <f>HYPERLINK("http://dl.ndl.go.jp/info:ndljp/pid/3359254")</f>
        <v>http://dl.ndl.go.jp/info:ndljp/pid/3359254</v>
      </c>
    </row>
    <row r="830" spans="1:8" ht="30" customHeight="1" x14ac:dyDescent="0.15">
      <c r="A830" s="16" t="s">
        <v>17</v>
      </c>
      <c r="B830" s="17" t="s">
        <v>1581</v>
      </c>
      <c r="C830" s="17" t="s">
        <v>1040</v>
      </c>
      <c r="D830" s="25" t="s">
        <v>1439</v>
      </c>
      <c r="E830" s="19" t="s">
        <v>1579</v>
      </c>
      <c r="F830" s="19" t="s">
        <v>1582</v>
      </c>
      <c r="G830" s="2" t="str">
        <f t="shared" si="75"/>
        <v>http://jsmh.umin.jp/journal/17-4/17-4.pdf</v>
      </c>
      <c r="H830" s="42" t="str">
        <f t="shared" ref="H830:H855" si="76">HYPERLINK("http://dl.ndl.go.jp/info:ndljp/pid/3359254")</f>
        <v>http://dl.ndl.go.jp/info:ndljp/pid/3359254</v>
      </c>
    </row>
    <row r="831" spans="1:8" ht="30" customHeight="1" x14ac:dyDescent="0.15">
      <c r="A831" s="16" t="s">
        <v>17</v>
      </c>
      <c r="B831" s="17" t="s">
        <v>1583</v>
      </c>
      <c r="C831" s="17" t="s">
        <v>198</v>
      </c>
      <c r="D831" s="25" t="s">
        <v>1439</v>
      </c>
      <c r="E831" s="19" t="s">
        <v>1579</v>
      </c>
      <c r="F831" s="19" t="s">
        <v>1584</v>
      </c>
      <c r="G831" s="2" t="str">
        <f t="shared" si="75"/>
        <v>http://jsmh.umin.jp/journal/17-4/17-4.pdf</v>
      </c>
      <c r="H831" s="42" t="str">
        <f t="shared" si="76"/>
        <v>http://dl.ndl.go.jp/info:ndljp/pid/3359254</v>
      </c>
    </row>
    <row r="832" spans="1:8" ht="30" customHeight="1" x14ac:dyDescent="0.15">
      <c r="A832" s="16" t="s">
        <v>17</v>
      </c>
      <c r="B832" s="17" t="s">
        <v>1585</v>
      </c>
      <c r="C832" s="17" t="s">
        <v>790</v>
      </c>
      <c r="D832" s="25" t="s">
        <v>1439</v>
      </c>
      <c r="E832" s="19" t="s">
        <v>1579</v>
      </c>
      <c r="F832" s="19" t="s">
        <v>1586</v>
      </c>
      <c r="G832" s="2" t="str">
        <f t="shared" si="75"/>
        <v>http://jsmh.umin.jp/journal/17-4/17-4.pdf</v>
      </c>
      <c r="H832" s="42" t="str">
        <f t="shared" si="76"/>
        <v>http://dl.ndl.go.jp/info:ndljp/pid/3359254</v>
      </c>
    </row>
    <row r="833" spans="1:8" ht="30" customHeight="1" x14ac:dyDescent="0.15">
      <c r="A833" s="16" t="s">
        <v>17</v>
      </c>
      <c r="B833" s="17" t="s">
        <v>1587</v>
      </c>
      <c r="C833" s="17" t="s">
        <v>790</v>
      </c>
      <c r="D833" s="25" t="s">
        <v>1439</v>
      </c>
      <c r="E833" s="19" t="s">
        <v>1579</v>
      </c>
      <c r="F833" s="19" t="s">
        <v>1588</v>
      </c>
      <c r="G833" s="2" t="str">
        <f t="shared" si="75"/>
        <v>http://jsmh.umin.jp/journal/17-4/17-4.pdf</v>
      </c>
      <c r="H833" s="42" t="str">
        <f t="shared" si="76"/>
        <v>http://dl.ndl.go.jp/info:ndljp/pid/3359254</v>
      </c>
    </row>
    <row r="834" spans="1:8" ht="30" customHeight="1" x14ac:dyDescent="0.15">
      <c r="A834" s="16" t="s">
        <v>1589</v>
      </c>
      <c r="B834" s="17" t="s">
        <v>1590</v>
      </c>
      <c r="C834" s="17" t="s">
        <v>1509</v>
      </c>
      <c r="D834" s="25" t="s">
        <v>1439</v>
      </c>
      <c r="E834" s="19" t="s">
        <v>1579</v>
      </c>
      <c r="F834" s="19" t="s">
        <v>1591</v>
      </c>
      <c r="G834" s="2" t="str">
        <f t="shared" si="75"/>
        <v>http://jsmh.umin.jp/journal/17-4/17-4.pdf</v>
      </c>
      <c r="H834" s="42" t="str">
        <f t="shared" si="76"/>
        <v>http://dl.ndl.go.jp/info:ndljp/pid/3359254</v>
      </c>
    </row>
    <row r="835" spans="1:8" ht="30" customHeight="1" x14ac:dyDescent="0.15">
      <c r="A835" s="16" t="s">
        <v>1592</v>
      </c>
      <c r="B835" s="17" t="s">
        <v>1593</v>
      </c>
      <c r="C835" s="17" t="s">
        <v>690</v>
      </c>
      <c r="D835" s="25" t="s">
        <v>1439</v>
      </c>
      <c r="E835" s="19" t="s">
        <v>1579</v>
      </c>
      <c r="F835" s="19" t="s">
        <v>1594</v>
      </c>
      <c r="G835" s="2" t="str">
        <f t="shared" si="75"/>
        <v>http://jsmh.umin.jp/journal/17-4/17-4.pdf</v>
      </c>
      <c r="H835" s="42" t="str">
        <f t="shared" si="76"/>
        <v>http://dl.ndl.go.jp/info:ndljp/pid/3359254</v>
      </c>
    </row>
    <row r="836" spans="1:8" ht="30" customHeight="1" x14ac:dyDescent="0.15">
      <c r="A836" s="16" t="s">
        <v>704</v>
      </c>
      <c r="B836" s="17" t="s">
        <v>1595</v>
      </c>
      <c r="C836" s="17" t="s">
        <v>1097</v>
      </c>
      <c r="D836" s="25" t="s">
        <v>1439</v>
      </c>
      <c r="E836" s="19" t="s">
        <v>1579</v>
      </c>
      <c r="F836" s="19" t="s">
        <v>1596</v>
      </c>
      <c r="G836" s="2" t="str">
        <f t="shared" si="75"/>
        <v>http://jsmh.umin.jp/journal/17-4/17-4.pdf</v>
      </c>
      <c r="H836" s="42" t="str">
        <f t="shared" si="76"/>
        <v>http://dl.ndl.go.jp/info:ndljp/pid/3359254</v>
      </c>
    </row>
    <row r="837" spans="1:8" ht="30" customHeight="1" x14ac:dyDescent="0.15">
      <c r="A837" s="16" t="s">
        <v>704</v>
      </c>
      <c r="B837" s="17" t="s">
        <v>1597</v>
      </c>
      <c r="C837" s="17" t="s">
        <v>830</v>
      </c>
      <c r="D837" s="25" t="s">
        <v>1439</v>
      </c>
      <c r="E837" s="19" t="s">
        <v>1579</v>
      </c>
      <c r="F837" s="19" t="s">
        <v>1598</v>
      </c>
      <c r="G837" s="2" t="str">
        <f t="shared" si="75"/>
        <v>http://jsmh.umin.jp/journal/17-4/17-4.pdf</v>
      </c>
      <c r="H837" s="42" t="str">
        <f t="shared" si="76"/>
        <v>http://dl.ndl.go.jp/info:ndljp/pid/3359254</v>
      </c>
    </row>
    <row r="838" spans="1:8" ht="30" customHeight="1" x14ac:dyDescent="0.15">
      <c r="A838" s="16" t="s">
        <v>704</v>
      </c>
      <c r="B838" s="17" t="s">
        <v>1599</v>
      </c>
      <c r="C838" s="17" t="s">
        <v>1534</v>
      </c>
      <c r="D838" s="25" t="s">
        <v>1439</v>
      </c>
      <c r="E838" s="19" t="s">
        <v>1579</v>
      </c>
      <c r="F838" s="19" t="s">
        <v>1600</v>
      </c>
      <c r="G838" s="2" t="str">
        <f t="shared" si="75"/>
        <v>http://jsmh.umin.jp/journal/17-4/17-4.pdf</v>
      </c>
      <c r="H838" s="42" t="str">
        <f t="shared" si="76"/>
        <v>http://dl.ndl.go.jp/info:ndljp/pid/3359254</v>
      </c>
    </row>
    <row r="839" spans="1:8" ht="30" customHeight="1" x14ac:dyDescent="0.15">
      <c r="A839" s="16" t="s">
        <v>704</v>
      </c>
      <c r="B839" s="17" t="s">
        <v>1601</v>
      </c>
      <c r="C839" s="17" t="s">
        <v>1602</v>
      </c>
      <c r="D839" s="25" t="s">
        <v>1439</v>
      </c>
      <c r="E839" s="19" t="s">
        <v>1579</v>
      </c>
      <c r="F839" s="19" t="s">
        <v>1603</v>
      </c>
      <c r="G839" s="2" t="str">
        <f t="shared" si="75"/>
        <v>http://jsmh.umin.jp/journal/17-4/17-4.pdf</v>
      </c>
      <c r="H839" s="42" t="str">
        <f t="shared" si="76"/>
        <v>http://dl.ndl.go.jp/info:ndljp/pid/3359254</v>
      </c>
    </row>
    <row r="840" spans="1:8" ht="30" customHeight="1" x14ac:dyDescent="0.15">
      <c r="A840" s="16" t="s">
        <v>704</v>
      </c>
      <c r="B840" s="17" t="s">
        <v>1604</v>
      </c>
      <c r="C840" s="17" t="s">
        <v>209</v>
      </c>
      <c r="D840" s="25" t="s">
        <v>1439</v>
      </c>
      <c r="E840" s="19" t="s">
        <v>1579</v>
      </c>
      <c r="F840" s="19" t="s">
        <v>1605</v>
      </c>
      <c r="G840" s="2" t="str">
        <f t="shared" si="75"/>
        <v>http://jsmh.umin.jp/journal/17-4/17-4.pdf</v>
      </c>
      <c r="H840" s="42" t="str">
        <f t="shared" si="76"/>
        <v>http://dl.ndl.go.jp/info:ndljp/pid/3359254</v>
      </c>
    </row>
    <row r="841" spans="1:8" ht="30" customHeight="1" x14ac:dyDescent="0.15">
      <c r="A841" s="16" t="s">
        <v>704</v>
      </c>
      <c r="B841" s="17" t="s">
        <v>1606</v>
      </c>
      <c r="C841" s="17"/>
      <c r="D841" s="25" t="s">
        <v>1439</v>
      </c>
      <c r="E841" s="19" t="s">
        <v>1579</v>
      </c>
      <c r="F841" s="19" t="s">
        <v>1607</v>
      </c>
      <c r="G841" s="2" t="str">
        <f t="shared" si="75"/>
        <v>http://jsmh.umin.jp/journal/17-4/17-4.pdf</v>
      </c>
      <c r="H841" s="42" t="str">
        <f t="shared" si="76"/>
        <v>http://dl.ndl.go.jp/info:ndljp/pid/3359254</v>
      </c>
    </row>
    <row r="842" spans="1:8" ht="30" customHeight="1" x14ac:dyDescent="0.15">
      <c r="A842" s="16" t="s">
        <v>1518</v>
      </c>
      <c r="B842" s="17" t="s">
        <v>1608</v>
      </c>
      <c r="C842" s="17"/>
      <c r="D842" s="25" t="s">
        <v>1439</v>
      </c>
      <c r="E842" s="19" t="s">
        <v>1579</v>
      </c>
      <c r="F842" s="19" t="s">
        <v>1609</v>
      </c>
      <c r="G842" s="2" t="str">
        <f t="shared" si="75"/>
        <v>http://jsmh.umin.jp/journal/17-4/17-4.pdf</v>
      </c>
      <c r="H842" s="42" t="str">
        <f t="shared" si="76"/>
        <v>http://dl.ndl.go.jp/info:ndljp/pid/3359254</v>
      </c>
    </row>
    <row r="843" spans="1:8" ht="30" customHeight="1" x14ac:dyDescent="0.15">
      <c r="A843" s="16" t="s">
        <v>81</v>
      </c>
      <c r="B843" s="17" t="s">
        <v>1610</v>
      </c>
      <c r="C843" s="17"/>
      <c r="D843" s="25" t="s">
        <v>1439</v>
      </c>
      <c r="E843" s="19" t="s">
        <v>1579</v>
      </c>
      <c r="F843" s="19" t="s">
        <v>1611</v>
      </c>
      <c r="G843" s="2" t="str">
        <f t="shared" si="75"/>
        <v>http://jsmh.umin.jp/journal/17-4/17-4.pdf</v>
      </c>
      <c r="H843" s="42" t="str">
        <f t="shared" si="76"/>
        <v>http://dl.ndl.go.jp/info:ndljp/pid/3359254</v>
      </c>
    </row>
    <row r="844" spans="1:8" ht="30" customHeight="1" x14ac:dyDescent="0.15">
      <c r="A844" s="16" t="s">
        <v>1518</v>
      </c>
      <c r="B844" s="17" t="s">
        <v>1612</v>
      </c>
      <c r="C844" s="17"/>
      <c r="D844" s="25" t="s">
        <v>1439</v>
      </c>
      <c r="E844" s="19" t="s">
        <v>1579</v>
      </c>
      <c r="F844" s="19" t="s">
        <v>1613</v>
      </c>
      <c r="G844" s="2" t="str">
        <f t="shared" si="75"/>
        <v>http://jsmh.umin.jp/journal/17-4/17-4.pdf</v>
      </c>
      <c r="H844" s="42" t="str">
        <f t="shared" si="76"/>
        <v>http://dl.ndl.go.jp/info:ndljp/pid/3359254</v>
      </c>
    </row>
    <row r="845" spans="1:8" ht="30" customHeight="1" x14ac:dyDescent="0.15">
      <c r="A845" s="16" t="s">
        <v>1518</v>
      </c>
      <c r="B845" s="17" t="s">
        <v>1614</v>
      </c>
      <c r="C845" s="17"/>
      <c r="D845" s="25" t="s">
        <v>1439</v>
      </c>
      <c r="E845" s="19" t="s">
        <v>1579</v>
      </c>
      <c r="F845" s="19" t="s">
        <v>1615</v>
      </c>
      <c r="G845" s="2" t="str">
        <f t="shared" si="75"/>
        <v>http://jsmh.umin.jp/journal/17-4/17-4.pdf</v>
      </c>
      <c r="H845" s="42" t="str">
        <f t="shared" si="76"/>
        <v>http://dl.ndl.go.jp/info:ndljp/pid/3359254</v>
      </c>
    </row>
    <row r="846" spans="1:8" ht="30" customHeight="1" x14ac:dyDescent="0.15">
      <c r="A846" s="16" t="s">
        <v>1518</v>
      </c>
      <c r="B846" s="17" t="s">
        <v>1616</v>
      </c>
      <c r="C846" s="17"/>
      <c r="D846" s="25" t="s">
        <v>1439</v>
      </c>
      <c r="E846" s="19" t="s">
        <v>1579</v>
      </c>
      <c r="F846" s="19" t="s">
        <v>1615</v>
      </c>
      <c r="G846" s="2" t="str">
        <f t="shared" si="75"/>
        <v>http://jsmh.umin.jp/journal/17-4/17-4.pdf</v>
      </c>
      <c r="H846" s="42" t="str">
        <f t="shared" si="76"/>
        <v>http://dl.ndl.go.jp/info:ndljp/pid/3359254</v>
      </c>
    </row>
    <row r="847" spans="1:8" ht="30" customHeight="1" x14ac:dyDescent="0.15">
      <c r="A847" s="16" t="s">
        <v>1518</v>
      </c>
      <c r="B847" s="17" t="s">
        <v>1617</v>
      </c>
      <c r="C847" s="17"/>
      <c r="D847" s="25" t="s">
        <v>1439</v>
      </c>
      <c r="E847" s="19" t="s">
        <v>1579</v>
      </c>
      <c r="F847" s="19" t="s">
        <v>1615</v>
      </c>
      <c r="G847" s="2" t="str">
        <f t="shared" si="75"/>
        <v>http://jsmh.umin.jp/journal/17-4/17-4.pdf</v>
      </c>
      <c r="H847" s="42" t="str">
        <f t="shared" si="76"/>
        <v>http://dl.ndl.go.jp/info:ndljp/pid/3359254</v>
      </c>
    </row>
    <row r="848" spans="1:8" ht="30" customHeight="1" x14ac:dyDescent="0.15">
      <c r="A848" s="16" t="s">
        <v>1518</v>
      </c>
      <c r="B848" s="17" t="s">
        <v>1618</v>
      </c>
      <c r="C848" s="17"/>
      <c r="D848" s="25" t="s">
        <v>1439</v>
      </c>
      <c r="E848" s="19" t="s">
        <v>1579</v>
      </c>
      <c r="F848" s="19" t="s">
        <v>1619</v>
      </c>
      <c r="G848" s="2" t="str">
        <f t="shared" si="75"/>
        <v>http://jsmh.umin.jp/journal/17-4/17-4.pdf</v>
      </c>
      <c r="H848" s="42" t="str">
        <f t="shared" si="76"/>
        <v>http://dl.ndl.go.jp/info:ndljp/pid/3359254</v>
      </c>
    </row>
    <row r="849" spans="1:8" ht="30" customHeight="1" x14ac:dyDescent="0.15">
      <c r="A849" s="16" t="s">
        <v>1518</v>
      </c>
      <c r="B849" s="17" t="s">
        <v>1620</v>
      </c>
      <c r="C849" s="17"/>
      <c r="D849" s="25" t="s">
        <v>1439</v>
      </c>
      <c r="E849" s="19" t="s">
        <v>1579</v>
      </c>
      <c r="F849" s="19" t="s">
        <v>1621</v>
      </c>
      <c r="G849" s="2" t="str">
        <f t="shared" si="75"/>
        <v>http://jsmh.umin.jp/journal/17-4/17-4.pdf</v>
      </c>
      <c r="H849" s="42" t="str">
        <f t="shared" si="76"/>
        <v>http://dl.ndl.go.jp/info:ndljp/pid/3359254</v>
      </c>
    </row>
    <row r="850" spans="1:8" ht="30" customHeight="1" x14ac:dyDescent="0.15">
      <c r="A850" s="16" t="s">
        <v>1518</v>
      </c>
      <c r="B850" s="17" t="s">
        <v>1622</v>
      </c>
      <c r="C850" s="17"/>
      <c r="D850" s="25" t="s">
        <v>1439</v>
      </c>
      <c r="E850" s="19" t="s">
        <v>1579</v>
      </c>
      <c r="F850" s="19" t="s">
        <v>1621</v>
      </c>
      <c r="G850" s="2" t="str">
        <f t="shared" si="75"/>
        <v>http://jsmh.umin.jp/journal/17-4/17-4.pdf</v>
      </c>
      <c r="H850" s="42" t="str">
        <f t="shared" si="76"/>
        <v>http://dl.ndl.go.jp/info:ndljp/pid/3359254</v>
      </c>
    </row>
    <row r="851" spans="1:8" ht="30" customHeight="1" x14ac:dyDescent="0.15">
      <c r="A851" s="16" t="s">
        <v>1623</v>
      </c>
      <c r="B851" s="17" t="s">
        <v>1624</v>
      </c>
      <c r="C851" s="17"/>
      <c r="D851" s="25" t="s">
        <v>1439</v>
      </c>
      <c r="E851" s="19" t="s">
        <v>1579</v>
      </c>
      <c r="F851" s="19" t="s">
        <v>1625</v>
      </c>
      <c r="G851" s="2" t="str">
        <f t="shared" si="75"/>
        <v>http://jsmh.umin.jp/journal/17-4/17-4.pdf</v>
      </c>
      <c r="H851" s="42" t="str">
        <f t="shared" si="76"/>
        <v>http://dl.ndl.go.jp/info:ndljp/pid/3359254</v>
      </c>
    </row>
    <row r="852" spans="1:8" ht="30" customHeight="1" x14ac:dyDescent="0.15">
      <c r="A852" s="16" t="s">
        <v>1623</v>
      </c>
      <c r="B852" s="17" t="s">
        <v>1626</v>
      </c>
      <c r="C852" s="17" t="s">
        <v>1070</v>
      </c>
      <c r="D852" s="25" t="s">
        <v>1439</v>
      </c>
      <c r="E852" s="19" t="s">
        <v>1579</v>
      </c>
      <c r="F852" s="19" t="s">
        <v>1627</v>
      </c>
      <c r="G852" s="2" t="str">
        <f t="shared" si="75"/>
        <v>http://jsmh.umin.jp/journal/17-4/17-4.pdf</v>
      </c>
      <c r="H852" s="42" t="str">
        <f t="shared" si="76"/>
        <v>http://dl.ndl.go.jp/info:ndljp/pid/3359254</v>
      </c>
    </row>
    <row r="853" spans="1:8" ht="30" customHeight="1" x14ac:dyDescent="0.15">
      <c r="A853" s="16" t="s">
        <v>1623</v>
      </c>
      <c r="B853" s="17" t="s">
        <v>1628</v>
      </c>
      <c r="C853" s="17"/>
      <c r="D853" s="25" t="s">
        <v>1439</v>
      </c>
      <c r="E853" s="19" t="s">
        <v>1579</v>
      </c>
      <c r="F853" s="19" t="s">
        <v>1629</v>
      </c>
      <c r="G853" s="2" t="str">
        <f t="shared" si="75"/>
        <v>http://jsmh.umin.jp/journal/17-4/17-4.pdf</v>
      </c>
      <c r="H853" s="42" t="str">
        <f t="shared" si="76"/>
        <v>http://dl.ndl.go.jp/info:ndljp/pid/3359254</v>
      </c>
    </row>
    <row r="854" spans="1:8" ht="30" customHeight="1" x14ac:dyDescent="0.15">
      <c r="A854" s="16" t="s">
        <v>17</v>
      </c>
      <c r="B854" s="17" t="s">
        <v>1630</v>
      </c>
      <c r="C854" s="17" t="s">
        <v>1631</v>
      </c>
      <c r="D854" s="25" t="s">
        <v>1439</v>
      </c>
      <c r="E854" s="19" t="s">
        <v>1579</v>
      </c>
      <c r="F854" s="19" t="s">
        <v>1632</v>
      </c>
      <c r="G854" s="2" t="str">
        <f t="shared" si="75"/>
        <v>http://jsmh.umin.jp/journal/17-4/17-4.pdf</v>
      </c>
      <c r="H854" s="42" t="str">
        <f t="shared" si="76"/>
        <v>http://dl.ndl.go.jp/info:ndljp/pid/3359254</v>
      </c>
    </row>
    <row r="855" spans="1:8" ht="30" customHeight="1" x14ac:dyDescent="0.15">
      <c r="A855" s="16" t="s">
        <v>17</v>
      </c>
      <c r="B855" s="17" t="s">
        <v>1633</v>
      </c>
      <c r="C855" s="17" t="s">
        <v>1634</v>
      </c>
      <c r="D855" s="25" t="s">
        <v>1439</v>
      </c>
      <c r="E855" s="19" t="s">
        <v>1579</v>
      </c>
      <c r="F855" s="19" t="s">
        <v>1635</v>
      </c>
      <c r="G855" s="2" t="str">
        <f t="shared" si="75"/>
        <v>http://jsmh.umin.jp/journal/17-4/17-4.pdf</v>
      </c>
      <c r="H855" s="42" t="str">
        <f t="shared" si="76"/>
        <v>http://dl.ndl.go.jp/info:ndljp/pid/3359254</v>
      </c>
    </row>
    <row r="856" spans="1:8" ht="30" customHeight="1" x14ac:dyDescent="0.15">
      <c r="A856" s="16" t="s">
        <v>1636</v>
      </c>
      <c r="B856" s="17" t="s">
        <v>1637</v>
      </c>
      <c r="C856" s="17" t="s">
        <v>18</v>
      </c>
      <c r="D856" s="18" t="s">
        <v>1638</v>
      </c>
      <c r="E856" s="19" t="s">
        <v>1639</v>
      </c>
      <c r="F856" s="19" t="s">
        <v>1121</v>
      </c>
      <c r="G856" s="2" t="str">
        <f t="shared" ref="G856:G875" si="77">HYPERLINK("http://jsmh.umin.jp/journal/18-1/18-1.pdf")</f>
        <v>http://jsmh.umin.jp/journal/18-1/18-1.pdf</v>
      </c>
      <c r="H856" s="42" t="str">
        <f>HYPERLINK("http://dl.ndl.go.jp/info:ndljp/pid/3359255")</f>
        <v>http://dl.ndl.go.jp/info:ndljp/pid/3359255</v>
      </c>
    </row>
    <row r="857" spans="1:8" ht="30" customHeight="1" x14ac:dyDescent="0.15">
      <c r="A857" s="16" t="s">
        <v>1640</v>
      </c>
      <c r="B857" s="17" t="s">
        <v>1641</v>
      </c>
      <c r="C857" s="17" t="s">
        <v>1070</v>
      </c>
      <c r="D857" s="25" t="s">
        <v>1638</v>
      </c>
      <c r="E857" s="19" t="s">
        <v>1639</v>
      </c>
      <c r="F857" s="19" t="s">
        <v>497</v>
      </c>
      <c r="G857" s="2" t="str">
        <f t="shared" si="77"/>
        <v>http://jsmh.umin.jp/journal/18-1/18-1.pdf</v>
      </c>
      <c r="H857" s="42" t="str">
        <f t="shared" ref="H857:H875" si="78">HYPERLINK("http://dl.ndl.go.jp/info:ndljp/pid/3359255")</f>
        <v>http://dl.ndl.go.jp/info:ndljp/pid/3359255</v>
      </c>
    </row>
    <row r="858" spans="1:8" ht="30" customHeight="1" x14ac:dyDescent="0.15">
      <c r="A858" s="16" t="s">
        <v>1636</v>
      </c>
      <c r="B858" s="17" t="s">
        <v>1642</v>
      </c>
      <c r="C858" s="17" t="s">
        <v>198</v>
      </c>
      <c r="D858" s="25" t="s">
        <v>1638</v>
      </c>
      <c r="E858" s="19" t="s">
        <v>1639</v>
      </c>
      <c r="F858" s="19" t="s">
        <v>1643</v>
      </c>
      <c r="G858" s="2" t="str">
        <f t="shared" si="77"/>
        <v>http://jsmh.umin.jp/journal/18-1/18-1.pdf</v>
      </c>
      <c r="H858" s="42" t="str">
        <f t="shared" si="78"/>
        <v>http://dl.ndl.go.jp/info:ndljp/pid/3359255</v>
      </c>
    </row>
    <row r="859" spans="1:8" ht="30" customHeight="1" x14ac:dyDescent="0.15">
      <c r="A859" s="16" t="s">
        <v>1636</v>
      </c>
      <c r="B859" s="17" t="s">
        <v>1644</v>
      </c>
      <c r="C859" s="17" t="s">
        <v>1645</v>
      </c>
      <c r="D859" s="25" t="s">
        <v>1638</v>
      </c>
      <c r="E859" s="19" t="s">
        <v>1639</v>
      </c>
      <c r="F859" s="19" t="s">
        <v>1646</v>
      </c>
      <c r="G859" s="2" t="str">
        <f t="shared" si="77"/>
        <v>http://jsmh.umin.jp/journal/18-1/18-1.pdf</v>
      </c>
      <c r="H859" s="42" t="str">
        <f t="shared" si="78"/>
        <v>http://dl.ndl.go.jp/info:ndljp/pid/3359255</v>
      </c>
    </row>
    <row r="860" spans="1:8" ht="30" customHeight="1" x14ac:dyDescent="0.15">
      <c r="A860" s="16" t="s">
        <v>1636</v>
      </c>
      <c r="B860" s="17" t="s">
        <v>1647</v>
      </c>
      <c r="C860" s="17" t="s">
        <v>830</v>
      </c>
      <c r="D860" s="25" t="s">
        <v>1638</v>
      </c>
      <c r="E860" s="19" t="s">
        <v>1639</v>
      </c>
      <c r="F860" s="19" t="s">
        <v>1648</v>
      </c>
      <c r="G860" s="2" t="str">
        <f t="shared" si="77"/>
        <v>http://jsmh.umin.jp/journal/18-1/18-1.pdf</v>
      </c>
      <c r="H860" s="42" t="str">
        <f t="shared" si="78"/>
        <v>http://dl.ndl.go.jp/info:ndljp/pid/3359255</v>
      </c>
    </row>
    <row r="861" spans="1:8" ht="30" customHeight="1" x14ac:dyDescent="0.15">
      <c r="A861" s="16" t="s">
        <v>1636</v>
      </c>
      <c r="B861" s="17" t="s">
        <v>1649</v>
      </c>
      <c r="C861" s="17" t="s">
        <v>1070</v>
      </c>
      <c r="D861" s="25" t="s">
        <v>1638</v>
      </c>
      <c r="E861" s="19" t="s">
        <v>1639</v>
      </c>
      <c r="F861" s="19" t="s">
        <v>1650</v>
      </c>
      <c r="G861" s="2" t="str">
        <f t="shared" si="77"/>
        <v>http://jsmh.umin.jp/journal/18-1/18-1.pdf</v>
      </c>
      <c r="H861" s="42" t="str">
        <f t="shared" si="78"/>
        <v>http://dl.ndl.go.jp/info:ndljp/pid/3359255</v>
      </c>
    </row>
    <row r="862" spans="1:8" ht="30" customHeight="1" x14ac:dyDescent="0.15">
      <c r="A862" s="16" t="s">
        <v>17</v>
      </c>
      <c r="B862" s="17" t="s">
        <v>1651</v>
      </c>
      <c r="C862" s="17" t="s">
        <v>1040</v>
      </c>
      <c r="D862" s="25" t="s">
        <v>1638</v>
      </c>
      <c r="E862" s="19" t="s">
        <v>1639</v>
      </c>
      <c r="F862" s="19" t="s">
        <v>1652</v>
      </c>
      <c r="G862" s="2" t="str">
        <f t="shared" si="77"/>
        <v>http://jsmh.umin.jp/journal/18-1/18-1.pdf</v>
      </c>
      <c r="H862" s="42" t="str">
        <f t="shared" si="78"/>
        <v>http://dl.ndl.go.jp/info:ndljp/pid/3359255</v>
      </c>
    </row>
    <row r="863" spans="1:8" ht="30" customHeight="1" x14ac:dyDescent="0.15">
      <c r="A863" s="16" t="s">
        <v>1623</v>
      </c>
      <c r="B863" s="17" t="s">
        <v>1653</v>
      </c>
      <c r="C863" s="17" t="s">
        <v>1070</v>
      </c>
      <c r="D863" s="25" t="s">
        <v>1638</v>
      </c>
      <c r="E863" s="19" t="s">
        <v>1639</v>
      </c>
      <c r="F863" s="19" t="s">
        <v>709</v>
      </c>
      <c r="G863" s="2" t="str">
        <f t="shared" si="77"/>
        <v>http://jsmh.umin.jp/journal/18-1/18-1.pdf</v>
      </c>
      <c r="H863" s="42" t="str">
        <f t="shared" si="78"/>
        <v>http://dl.ndl.go.jp/info:ndljp/pid/3359255</v>
      </c>
    </row>
    <row r="864" spans="1:8" ht="30" customHeight="1" x14ac:dyDescent="0.15">
      <c r="A864" s="16" t="s">
        <v>1589</v>
      </c>
      <c r="B864" s="17" t="s">
        <v>1654</v>
      </c>
      <c r="C864" s="17" t="s">
        <v>690</v>
      </c>
      <c r="D864" s="25" t="s">
        <v>1638</v>
      </c>
      <c r="E864" s="19" t="s">
        <v>1639</v>
      </c>
      <c r="F864" s="19" t="s">
        <v>1655</v>
      </c>
      <c r="G864" s="2" t="str">
        <f t="shared" si="77"/>
        <v>http://jsmh.umin.jp/journal/18-1/18-1.pdf</v>
      </c>
      <c r="H864" s="42" t="str">
        <f t="shared" si="78"/>
        <v>http://dl.ndl.go.jp/info:ndljp/pid/3359255</v>
      </c>
    </row>
    <row r="865" spans="1:8" ht="30" customHeight="1" x14ac:dyDescent="0.15">
      <c r="A865" s="16" t="s">
        <v>159</v>
      </c>
      <c r="B865" s="17" t="s">
        <v>10078</v>
      </c>
      <c r="C865" s="17" t="s">
        <v>1509</v>
      </c>
      <c r="D865" s="25" t="s">
        <v>1638</v>
      </c>
      <c r="E865" s="19" t="s">
        <v>1639</v>
      </c>
      <c r="F865" s="19" t="s">
        <v>1656</v>
      </c>
      <c r="G865" s="2" t="str">
        <f t="shared" si="77"/>
        <v>http://jsmh.umin.jp/journal/18-1/18-1.pdf</v>
      </c>
      <c r="H865" s="42" t="str">
        <f t="shared" si="78"/>
        <v>http://dl.ndl.go.jp/info:ndljp/pid/3359255</v>
      </c>
    </row>
    <row r="866" spans="1:8" ht="30" customHeight="1" x14ac:dyDescent="0.15">
      <c r="A866" s="16" t="s">
        <v>704</v>
      </c>
      <c r="B866" s="17" t="s">
        <v>1657</v>
      </c>
      <c r="C866" s="17" t="s">
        <v>1658</v>
      </c>
      <c r="D866" s="25" t="s">
        <v>1638</v>
      </c>
      <c r="E866" s="19" t="s">
        <v>1639</v>
      </c>
      <c r="F866" s="19" t="s">
        <v>574</v>
      </c>
      <c r="G866" s="2" t="str">
        <f t="shared" si="77"/>
        <v>http://jsmh.umin.jp/journal/18-1/18-1.pdf</v>
      </c>
      <c r="H866" s="42" t="str">
        <f t="shared" si="78"/>
        <v>http://dl.ndl.go.jp/info:ndljp/pid/3359255</v>
      </c>
    </row>
    <row r="867" spans="1:8" ht="30" customHeight="1" x14ac:dyDescent="0.15">
      <c r="A867" s="16" t="s">
        <v>704</v>
      </c>
      <c r="B867" s="17" t="s">
        <v>10079</v>
      </c>
      <c r="C867" s="17" t="s">
        <v>1659</v>
      </c>
      <c r="D867" s="25" t="s">
        <v>1638</v>
      </c>
      <c r="E867" s="19" t="s">
        <v>1639</v>
      </c>
      <c r="F867" s="19" t="s">
        <v>576</v>
      </c>
      <c r="G867" s="2" t="str">
        <f t="shared" si="77"/>
        <v>http://jsmh.umin.jp/journal/18-1/18-1.pdf</v>
      </c>
      <c r="H867" s="42" t="str">
        <f t="shared" si="78"/>
        <v>http://dl.ndl.go.jp/info:ndljp/pid/3359255</v>
      </c>
    </row>
    <row r="868" spans="1:8" ht="30" customHeight="1" x14ac:dyDescent="0.15">
      <c r="A868" s="16" t="s">
        <v>704</v>
      </c>
      <c r="B868" s="17" t="s">
        <v>10080</v>
      </c>
      <c r="C868" s="17" t="s">
        <v>303</v>
      </c>
      <c r="D868" s="25" t="s">
        <v>1638</v>
      </c>
      <c r="E868" s="19" t="s">
        <v>1639</v>
      </c>
      <c r="F868" s="19" t="s">
        <v>576</v>
      </c>
      <c r="G868" s="2" t="str">
        <f t="shared" si="77"/>
        <v>http://jsmh.umin.jp/journal/18-1/18-1.pdf</v>
      </c>
      <c r="H868" s="42" t="str">
        <f t="shared" si="78"/>
        <v>http://dl.ndl.go.jp/info:ndljp/pid/3359255</v>
      </c>
    </row>
    <row r="869" spans="1:8" ht="30" customHeight="1" x14ac:dyDescent="0.15">
      <c r="A869" s="16" t="s">
        <v>704</v>
      </c>
      <c r="B869" s="17" t="s">
        <v>1660</v>
      </c>
      <c r="C869" s="17" t="s">
        <v>1134</v>
      </c>
      <c r="D869" s="25" t="s">
        <v>1638</v>
      </c>
      <c r="E869" s="19" t="s">
        <v>1639</v>
      </c>
      <c r="F869" s="19" t="s">
        <v>576</v>
      </c>
      <c r="G869" s="2" t="str">
        <f t="shared" si="77"/>
        <v>http://jsmh.umin.jp/journal/18-1/18-1.pdf</v>
      </c>
      <c r="H869" s="42" t="str">
        <f t="shared" si="78"/>
        <v>http://dl.ndl.go.jp/info:ndljp/pid/3359255</v>
      </c>
    </row>
    <row r="870" spans="1:8" ht="30" customHeight="1" x14ac:dyDescent="0.15">
      <c r="A870" s="16" t="s">
        <v>704</v>
      </c>
      <c r="B870" s="17" t="s">
        <v>1661</v>
      </c>
      <c r="C870" s="17" t="s">
        <v>303</v>
      </c>
      <c r="D870" s="25" t="s">
        <v>1638</v>
      </c>
      <c r="E870" s="19" t="s">
        <v>1639</v>
      </c>
      <c r="F870" s="19" t="s">
        <v>576</v>
      </c>
      <c r="G870" s="2" t="str">
        <f t="shared" si="77"/>
        <v>http://jsmh.umin.jp/journal/18-1/18-1.pdf</v>
      </c>
      <c r="H870" s="42" t="str">
        <f t="shared" si="78"/>
        <v>http://dl.ndl.go.jp/info:ndljp/pid/3359255</v>
      </c>
    </row>
    <row r="871" spans="1:8" ht="30" customHeight="1" x14ac:dyDescent="0.15">
      <c r="A871" s="16" t="s">
        <v>704</v>
      </c>
      <c r="B871" s="17" t="s">
        <v>1662</v>
      </c>
      <c r="C871" s="17" t="s">
        <v>507</v>
      </c>
      <c r="D871" s="25" t="s">
        <v>1638</v>
      </c>
      <c r="E871" s="19" t="s">
        <v>1639</v>
      </c>
      <c r="F871" s="19" t="s">
        <v>576</v>
      </c>
      <c r="G871" s="2" t="str">
        <f t="shared" si="77"/>
        <v>http://jsmh.umin.jp/journal/18-1/18-1.pdf</v>
      </c>
      <c r="H871" s="42" t="str">
        <f t="shared" si="78"/>
        <v>http://dl.ndl.go.jp/info:ndljp/pid/3359255</v>
      </c>
    </row>
    <row r="872" spans="1:8" ht="30" customHeight="1" x14ac:dyDescent="0.15">
      <c r="A872" s="16" t="s">
        <v>704</v>
      </c>
      <c r="B872" s="17" t="s">
        <v>1663</v>
      </c>
      <c r="C872" s="17" t="s">
        <v>18</v>
      </c>
      <c r="D872" s="25" t="s">
        <v>1638</v>
      </c>
      <c r="E872" s="19" t="s">
        <v>1639</v>
      </c>
      <c r="F872" s="19" t="s">
        <v>576</v>
      </c>
      <c r="G872" s="2" t="str">
        <f t="shared" si="77"/>
        <v>http://jsmh.umin.jp/journal/18-1/18-1.pdf</v>
      </c>
      <c r="H872" s="42" t="str">
        <f t="shared" si="78"/>
        <v>http://dl.ndl.go.jp/info:ndljp/pid/3359255</v>
      </c>
    </row>
    <row r="873" spans="1:8" ht="30" customHeight="1" x14ac:dyDescent="0.15">
      <c r="A873" s="16" t="s">
        <v>558</v>
      </c>
      <c r="B873" s="17" t="s">
        <v>1664</v>
      </c>
      <c r="C873" s="17"/>
      <c r="D873" s="25" t="s">
        <v>1638</v>
      </c>
      <c r="E873" s="19" t="s">
        <v>1639</v>
      </c>
      <c r="F873" s="19" t="s">
        <v>1665</v>
      </c>
      <c r="G873" s="2" t="str">
        <f t="shared" si="77"/>
        <v>http://jsmh.umin.jp/journal/18-1/18-1.pdf</v>
      </c>
      <c r="H873" s="42" t="str">
        <f t="shared" si="78"/>
        <v>http://dl.ndl.go.jp/info:ndljp/pid/3359255</v>
      </c>
    </row>
    <row r="874" spans="1:8" ht="30" customHeight="1" x14ac:dyDescent="0.15">
      <c r="A874" s="16" t="s">
        <v>1518</v>
      </c>
      <c r="B874" s="17" t="s">
        <v>1666</v>
      </c>
      <c r="C874" s="17"/>
      <c r="D874" s="25" t="s">
        <v>1638</v>
      </c>
      <c r="E874" s="19" t="s">
        <v>1639</v>
      </c>
      <c r="F874" s="19" t="s">
        <v>833</v>
      </c>
      <c r="G874" s="2" t="str">
        <f t="shared" si="77"/>
        <v>http://jsmh.umin.jp/journal/18-1/18-1.pdf</v>
      </c>
      <c r="H874" s="42" t="str">
        <f t="shared" si="78"/>
        <v>http://dl.ndl.go.jp/info:ndljp/pid/3359255</v>
      </c>
    </row>
    <row r="875" spans="1:8" ht="30" customHeight="1" x14ac:dyDescent="0.15">
      <c r="A875" s="16" t="s">
        <v>17</v>
      </c>
      <c r="B875" s="17" t="s">
        <v>1667</v>
      </c>
      <c r="C875" s="17" t="s">
        <v>1668</v>
      </c>
      <c r="D875" s="25" t="s">
        <v>1638</v>
      </c>
      <c r="E875" s="19" t="s">
        <v>1639</v>
      </c>
      <c r="F875" s="19" t="s">
        <v>1669</v>
      </c>
      <c r="G875" s="2" t="str">
        <f t="shared" si="77"/>
        <v>http://jsmh.umin.jp/journal/18-1/18-1.pdf</v>
      </c>
      <c r="H875" s="42" t="str">
        <f t="shared" si="78"/>
        <v>http://dl.ndl.go.jp/info:ndljp/pid/3359255</v>
      </c>
    </row>
    <row r="876" spans="1:8" ht="30" customHeight="1" x14ac:dyDescent="0.15">
      <c r="A876" s="16" t="s">
        <v>17</v>
      </c>
      <c r="B876" s="17" t="s">
        <v>1670</v>
      </c>
      <c r="C876" s="17" t="s">
        <v>1671</v>
      </c>
      <c r="D876" s="25" t="s">
        <v>1638</v>
      </c>
      <c r="E876" s="19" t="s">
        <v>1672</v>
      </c>
      <c r="F876" s="19" t="s">
        <v>1673</v>
      </c>
      <c r="G876" s="2" t="str">
        <f t="shared" ref="G876:G890" si="79">HYPERLINK("http://jsmh.umin.jp/journal/18-2/18-2.pdf")</f>
        <v>http://jsmh.umin.jp/journal/18-2/18-2.pdf</v>
      </c>
      <c r="H876" s="42" t="str">
        <f>HYPERLINK("http://dl.ndl.go.jp/info:ndljp/pid/3359256")</f>
        <v>http://dl.ndl.go.jp/info:ndljp/pid/3359256</v>
      </c>
    </row>
    <row r="877" spans="1:8" ht="30" customHeight="1" x14ac:dyDescent="0.15">
      <c r="A877" s="16" t="s">
        <v>17</v>
      </c>
      <c r="B877" s="17" t="s">
        <v>1674</v>
      </c>
      <c r="C877" s="17" t="s">
        <v>1338</v>
      </c>
      <c r="D877" s="25" t="s">
        <v>1638</v>
      </c>
      <c r="E877" s="19" t="s">
        <v>1672</v>
      </c>
      <c r="F877" s="19" t="s">
        <v>1675</v>
      </c>
      <c r="G877" s="2" t="str">
        <f t="shared" si="79"/>
        <v>http://jsmh.umin.jp/journal/18-2/18-2.pdf</v>
      </c>
      <c r="H877" s="42" t="str">
        <f t="shared" ref="H877:H890" si="80">HYPERLINK("http://dl.ndl.go.jp/info:ndljp/pid/3359256")</f>
        <v>http://dl.ndl.go.jp/info:ndljp/pid/3359256</v>
      </c>
    </row>
    <row r="878" spans="1:8" ht="30" customHeight="1" x14ac:dyDescent="0.15">
      <c r="A878" s="16" t="s">
        <v>17</v>
      </c>
      <c r="B878" s="17" t="s">
        <v>1676</v>
      </c>
      <c r="C878" s="17" t="s">
        <v>303</v>
      </c>
      <c r="D878" s="25" t="s">
        <v>1638</v>
      </c>
      <c r="E878" s="19" t="s">
        <v>1672</v>
      </c>
      <c r="F878" s="19" t="s">
        <v>967</v>
      </c>
      <c r="G878" s="2" t="str">
        <f t="shared" si="79"/>
        <v>http://jsmh.umin.jp/journal/18-2/18-2.pdf</v>
      </c>
      <c r="H878" s="42" t="str">
        <f t="shared" si="80"/>
        <v>http://dl.ndl.go.jp/info:ndljp/pid/3359256</v>
      </c>
    </row>
    <row r="879" spans="1:8" ht="30" customHeight="1" x14ac:dyDescent="0.15">
      <c r="A879" s="16" t="s">
        <v>17</v>
      </c>
      <c r="B879" s="17" t="s">
        <v>1677</v>
      </c>
      <c r="C879" s="17" t="s">
        <v>790</v>
      </c>
      <c r="D879" s="25" t="s">
        <v>1638</v>
      </c>
      <c r="E879" s="19" t="s">
        <v>1672</v>
      </c>
      <c r="F879" s="19" t="s">
        <v>1678</v>
      </c>
      <c r="G879" s="2" t="str">
        <f t="shared" si="79"/>
        <v>http://jsmh.umin.jp/journal/18-2/18-2.pdf</v>
      </c>
      <c r="H879" s="42" t="str">
        <f t="shared" si="80"/>
        <v>http://dl.ndl.go.jp/info:ndljp/pid/3359256</v>
      </c>
    </row>
    <row r="880" spans="1:8" ht="30" customHeight="1" x14ac:dyDescent="0.15">
      <c r="A880" s="16" t="s">
        <v>17</v>
      </c>
      <c r="B880" s="17" t="s">
        <v>1679</v>
      </c>
      <c r="C880" s="17" t="s">
        <v>198</v>
      </c>
      <c r="D880" s="25" t="s">
        <v>1638</v>
      </c>
      <c r="E880" s="19" t="s">
        <v>1672</v>
      </c>
      <c r="F880" s="19" t="s">
        <v>1680</v>
      </c>
      <c r="G880" s="2" t="str">
        <f t="shared" si="79"/>
        <v>http://jsmh.umin.jp/journal/18-2/18-2.pdf</v>
      </c>
      <c r="H880" s="42" t="str">
        <f t="shared" si="80"/>
        <v>http://dl.ndl.go.jp/info:ndljp/pid/3359256</v>
      </c>
    </row>
    <row r="881" spans="1:8" ht="30" customHeight="1" x14ac:dyDescent="0.15">
      <c r="A881" s="16" t="s">
        <v>17</v>
      </c>
      <c r="B881" s="17" t="s">
        <v>1681</v>
      </c>
      <c r="C881" s="17" t="s">
        <v>1040</v>
      </c>
      <c r="D881" s="25" t="s">
        <v>1638</v>
      </c>
      <c r="E881" s="19" t="s">
        <v>1672</v>
      </c>
      <c r="F881" s="19" t="s">
        <v>1682</v>
      </c>
      <c r="G881" s="2" t="str">
        <f t="shared" si="79"/>
        <v>http://jsmh.umin.jp/journal/18-2/18-2.pdf</v>
      </c>
      <c r="H881" s="42" t="str">
        <f t="shared" si="80"/>
        <v>http://dl.ndl.go.jp/info:ndljp/pid/3359256</v>
      </c>
    </row>
    <row r="882" spans="1:8" ht="30" customHeight="1" x14ac:dyDescent="0.15">
      <c r="A882" s="16" t="s">
        <v>1543</v>
      </c>
      <c r="B882" s="17" t="s">
        <v>1601</v>
      </c>
      <c r="C882" s="17" t="s">
        <v>1602</v>
      </c>
      <c r="D882" s="25" t="s">
        <v>1638</v>
      </c>
      <c r="E882" s="19" t="s">
        <v>1672</v>
      </c>
      <c r="F882" s="19" t="s">
        <v>1683</v>
      </c>
      <c r="G882" s="2" t="str">
        <f t="shared" si="79"/>
        <v>http://jsmh.umin.jp/journal/18-2/18-2.pdf</v>
      </c>
      <c r="H882" s="42" t="str">
        <f t="shared" si="80"/>
        <v>http://dl.ndl.go.jp/info:ndljp/pid/3359256</v>
      </c>
    </row>
    <row r="883" spans="1:8" ht="30" customHeight="1" x14ac:dyDescent="0.15">
      <c r="A883" s="16" t="s">
        <v>1518</v>
      </c>
      <c r="B883" s="17" t="s">
        <v>1684</v>
      </c>
      <c r="C883" s="17"/>
      <c r="D883" s="25" t="s">
        <v>1638</v>
      </c>
      <c r="E883" s="19" t="s">
        <v>1672</v>
      </c>
      <c r="F883" s="19" t="s">
        <v>1526</v>
      </c>
      <c r="G883" s="2" t="str">
        <f t="shared" si="79"/>
        <v>http://jsmh.umin.jp/journal/18-2/18-2.pdf</v>
      </c>
      <c r="H883" s="42" t="str">
        <f t="shared" si="80"/>
        <v>http://dl.ndl.go.jp/info:ndljp/pid/3359256</v>
      </c>
    </row>
    <row r="884" spans="1:8" ht="30" customHeight="1" x14ac:dyDescent="0.15">
      <c r="A884" s="16" t="s">
        <v>1518</v>
      </c>
      <c r="B884" s="17" t="s">
        <v>1685</v>
      </c>
      <c r="C884" s="17"/>
      <c r="D884" s="25" t="s">
        <v>1638</v>
      </c>
      <c r="E884" s="19" t="s">
        <v>1672</v>
      </c>
      <c r="F884" s="19" t="s">
        <v>1686</v>
      </c>
      <c r="G884" s="2" t="str">
        <f t="shared" si="79"/>
        <v>http://jsmh.umin.jp/journal/18-2/18-2.pdf</v>
      </c>
      <c r="H884" s="42" t="str">
        <f t="shared" si="80"/>
        <v>http://dl.ndl.go.jp/info:ndljp/pid/3359256</v>
      </c>
    </row>
    <row r="885" spans="1:8" ht="30" customHeight="1" x14ac:dyDescent="0.15">
      <c r="A885" s="16" t="s">
        <v>692</v>
      </c>
      <c r="B885" s="17" t="s">
        <v>1687</v>
      </c>
      <c r="C885" s="17" t="s">
        <v>690</v>
      </c>
      <c r="D885" s="25" t="s">
        <v>1638</v>
      </c>
      <c r="E885" s="19" t="s">
        <v>1672</v>
      </c>
      <c r="F885" s="19" t="s">
        <v>1688</v>
      </c>
      <c r="G885" s="2" t="str">
        <f t="shared" si="79"/>
        <v>http://jsmh.umin.jp/journal/18-2/18-2.pdf</v>
      </c>
      <c r="H885" s="42" t="str">
        <f t="shared" si="80"/>
        <v>http://dl.ndl.go.jp/info:ndljp/pid/3359256</v>
      </c>
    </row>
    <row r="886" spans="1:8" ht="30" customHeight="1" x14ac:dyDescent="0.15">
      <c r="A886" s="16" t="s">
        <v>704</v>
      </c>
      <c r="B886" s="17" t="s">
        <v>1689</v>
      </c>
      <c r="C886" s="17" t="s">
        <v>1690</v>
      </c>
      <c r="D886" s="25" t="s">
        <v>1638</v>
      </c>
      <c r="E886" s="19" t="s">
        <v>1672</v>
      </c>
      <c r="F886" s="19" t="s">
        <v>1691</v>
      </c>
      <c r="G886" s="2" t="str">
        <f t="shared" si="79"/>
        <v>http://jsmh.umin.jp/journal/18-2/18-2.pdf</v>
      </c>
      <c r="H886" s="42" t="str">
        <f t="shared" si="80"/>
        <v>http://dl.ndl.go.jp/info:ndljp/pid/3359256</v>
      </c>
    </row>
    <row r="887" spans="1:8" ht="30" customHeight="1" x14ac:dyDescent="0.15">
      <c r="A887" s="16" t="s">
        <v>704</v>
      </c>
      <c r="B887" s="17" t="s">
        <v>1674</v>
      </c>
      <c r="C887" s="17" t="s">
        <v>1338</v>
      </c>
      <c r="D887" s="25" t="s">
        <v>1638</v>
      </c>
      <c r="E887" s="19" t="s">
        <v>1672</v>
      </c>
      <c r="F887" s="19" t="s">
        <v>1692</v>
      </c>
      <c r="G887" s="2" t="str">
        <f t="shared" si="79"/>
        <v>http://jsmh.umin.jp/journal/18-2/18-2.pdf</v>
      </c>
      <c r="H887" s="42" t="str">
        <f t="shared" si="80"/>
        <v>http://dl.ndl.go.jp/info:ndljp/pid/3359256</v>
      </c>
    </row>
    <row r="888" spans="1:8" ht="30" customHeight="1" x14ac:dyDescent="0.15">
      <c r="A888" s="16" t="s">
        <v>704</v>
      </c>
      <c r="B888" s="17" t="s">
        <v>1693</v>
      </c>
      <c r="C888" s="17" t="s">
        <v>1690</v>
      </c>
      <c r="D888" s="25" t="s">
        <v>1638</v>
      </c>
      <c r="E888" s="19" t="s">
        <v>1672</v>
      </c>
      <c r="F888" s="19" t="s">
        <v>1692</v>
      </c>
      <c r="G888" s="2" t="str">
        <f t="shared" si="79"/>
        <v>http://jsmh.umin.jp/journal/18-2/18-2.pdf</v>
      </c>
      <c r="H888" s="42" t="str">
        <f t="shared" si="80"/>
        <v>http://dl.ndl.go.jp/info:ndljp/pid/3359256</v>
      </c>
    </row>
    <row r="889" spans="1:8" ht="30" customHeight="1" x14ac:dyDescent="0.15">
      <c r="A889" s="16" t="s">
        <v>704</v>
      </c>
      <c r="B889" s="17" t="s">
        <v>1694</v>
      </c>
      <c r="C889" s="17" t="s">
        <v>1695</v>
      </c>
      <c r="D889" s="25" t="s">
        <v>1638</v>
      </c>
      <c r="E889" s="19" t="s">
        <v>1672</v>
      </c>
      <c r="F889" s="19" t="s">
        <v>1696</v>
      </c>
      <c r="G889" s="2" t="str">
        <f t="shared" si="79"/>
        <v>http://jsmh.umin.jp/journal/18-2/18-2.pdf</v>
      </c>
      <c r="H889" s="42" t="str">
        <f t="shared" si="80"/>
        <v>http://dl.ndl.go.jp/info:ndljp/pid/3359256</v>
      </c>
    </row>
    <row r="890" spans="1:8" ht="30" customHeight="1" x14ac:dyDescent="0.15">
      <c r="A890" s="16" t="s">
        <v>704</v>
      </c>
      <c r="B890" s="17" t="s">
        <v>1697</v>
      </c>
      <c r="C890" s="17" t="s">
        <v>1534</v>
      </c>
      <c r="D890" s="25" t="s">
        <v>1638</v>
      </c>
      <c r="E890" s="19" t="s">
        <v>1672</v>
      </c>
      <c r="F890" s="19" t="s">
        <v>1696</v>
      </c>
      <c r="G890" s="2" t="str">
        <f t="shared" si="79"/>
        <v>http://jsmh.umin.jp/journal/18-2/18-2.pdf</v>
      </c>
      <c r="H890" s="42" t="str">
        <f t="shared" si="80"/>
        <v>http://dl.ndl.go.jp/info:ndljp/pid/3359256</v>
      </c>
    </row>
    <row r="891" spans="1:8" ht="30" customHeight="1" x14ac:dyDescent="0.15">
      <c r="A891" s="16" t="s">
        <v>88</v>
      </c>
      <c r="B891" s="17" t="s">
        <v>1698</v>
      </c>
      <c r="C891" s="17" t="s">
        <v>1699</v>
      </c>
      <c r="D891" s="25" t="s">
        <v>1638</v>
      </c>
      <c r="E891" s="19" t="s">
        <v>1700</v>
      </c>
      <c r="F891" s="19" t="s">
        <v>1701</v>
      </c>
      <c r="G891" s="2" t="str">
        <f t="shared" ref="G891:G918" si="81">HYPERLINK("http://jsmh.umin.jp/journal/18-3/18-3.pdf")</f>
        <v>http://jsmh.umin.jp/journal/18-3/18-3.pdf</v>
      </c>
      <c r="H891" s="42" t="str">
        <f>HYPERLINK("http://dl.ndl.go.jp/info:ndljp/pid/3359257")</f>
        <v>http://dl.ndl.go.jp/info:ndljp/pid/3359257</v>
      </c>
    </row>
    <row r="892" spans="1:8" ht="30" customHeight="1" x14ac:dyDescent="0.15">
      <c r="A892" s="16" t="s">
        <v>88</v>
      </c>
      <c r="B892" s="17" t="s">
        <v>1702</v>
      </c>
      <c r="C892" s="17" t="s">
        <v>198</v>
      </c>
      <c r="D892" s="25" t="s">
        <v>1638</v>
      </c>
      <c r="E892" s="19" t="s">
        <v>1700</v>
      </c>
      <c r="F892" s="19" t="s">
        <v>1703</v>
      </c>
      <c r="G892" s="2" t="str">
        <f t="shared" si="81"/>
        <v>http://jsmh.umin.jp/journal/18-3/18-3.pdf</v>
      </c>
      <c r="H892" s="42" t="str">
        <f t="shared" ref="H892:H918" si="82">HYPERLINK("http://dl.ndl.go.jp/info:ndljp/pid/3359257")</f>
        <v>http://dl.ndl.go.jp/info:ndljp/pid/3359257</v>
      </c>
    </row>
    <row r="893" spans="1:8" ht="30" customHeight="1" x14ac:dyDescent="0.15">
      <c r="A893" s="16" t="s">
        <v>88</v>
      </c>
      <c r="B893" s="17" t="s">
        <v>1704</v>
      </c>
      <c r="C893" s="17" t="s">
        <v>24</v>
      </c>
      <c r="D893" s="25" t="s">
        <v>1638</v>
      </c>
      <c r="E893" s="19" t="s">
        <v>1700</v>
      </c>
      <c r="F893" s="19" t="s">
        <v>1705</v>
      </c>
      <c r="G893" s="2" t="str">
        <f t="shared" si="81"/>
        <v>http://jsmh.umin.jp/journal/18-3/18-3.pdf</v>
      </c>
      <c r="H893" s="42" t="str">
        <f t="shared" si="82"/>
        <v>http://dl.ndl.go.jp/info:ndljp/pid/3359257</v>
      </c>
    </row>
    <row r="894" spans="1:8" ht="30" customHeight="1" x14ac:dyDescent="0.15">
      <c r="A894" s="16" t="s">
        <v>91</v>
      </c>
      <c r="B894" s="17" t="s">
        <v>1706</v>
      </c>
      <c r="C894" s="17" t="s">
        <v>905</v>
      </c>
      <c r="D894" s="25" t="s">
        <v>1638</v>
      </c>
      <c r="E894" s="19" t="s">
        <v>1700</v>
      </c>
      <c r="F894" s="19" t="s">
        <v>1707</v>
      </c>
      <c r="G894" s="2" t="str">
        <f t="shared" si="81"/>
        <v>http://jsmh.umin.jp/journal/18-3/18-3.pdf</v>
      </c>
      <c r="H894" s="42" t="str">
        <f t="shared" si="82"/>
        <v>http://dl.ndl.go.jp/info:ndljp/pid/3359257</v>
      </c>
    </row>
    <row r="895" spans="1:8" ht="30" customHeight="1" x14ac:dyDescent="0.15">
      <c r="A895" s="16" t="s">
        <v>91</v>
      </c>
      <c r="B895" s="17" t="s">
        <v>1708</v>
      </c>
      <c r="C895" s="17" t="s">
        <v>485</v>
      </c>
      <c r="D895" s="25" t="s">
        <v>1638</v>
      </c>
      <c r="E895" s="19" t="s">
        <v>1700</v>
      </c>
      <c r="F895" s="19" t="s">
        <v>1709</v>
      </c>
      <c r="G895" s="2" t="str">
        <f t="shared" si="81"/>
        <v>http://jsmh.umin.jp/journal/18-3/18-3.pdf</v>
      </c>
      <c r="H895" s="42" t="str">
        <f t="shared" si="82"/>
        <v>http://dl.ndl.go.jp/info:ndljp/pid/3359257</v>
      </c>
    </row>
    <row r="896" spans="1:8" ht="30" customHeight="1" x14ac:dyDescent="0.15">
      <c r="A896" s="16" t="s">
        <v>91</v>
      </c>
      <c r="B896" s="17" t="s">
        <v>1710</v>
      </c>
      <c r="C896" s="17" t="s">
        <v>1292</v>
      </c>
      <c r="D896" s="25" t="s">
        <v>1638</v>
      </c>
      <c r="E896" s="19" t="s">
        <v>1700</v>
      </c>
      <c r="F896" s="19" t="s">
        <v>1711</v>
      </c>
      <c r="G896" s="2" t="str">
        <f t="shared" si="81"/>
        <v>http://jsmh.umin.jp/journal/18-3/18-3.pdf</v>
      </c>
      <c r="H896" s="42" t="str">
        <f t="shared" si="82"/>
        <v>http://dl.ndl.go.jp/info:ndljp/pid/3359257</v>
      </c>
    </row>
    <row r="897" spans="1:8" ht="30" customHeight="1" x14ac:dyDescent="0.15">
      <c r="A897" s="16" t="s">
        <v>91</v>
      </c>
      <c r="B897" s="17" t="s">
        <v>1712</v>
      </c>
      <c r="C897" s="17" t="s">
        <v>925</v>
      </c>
      <c r="D897" s="25" t="s">
        <v>1638</v>
      </c>
      <c r="E897" s="19" t="s">
        <v>1700</v>
      </c>
      <c r="F897" s="19" t="s">
        <v>1713</v>
      </c>
      <c r="G897" s="2" t="str">
        <f t="shared" si="81"/>
        <v>http://jsmh.umin.jp/journal/18-3/18-3.pdf</v>
      </c>
      <c r="H897" s="42" t="str">
        <f t="shared" si="82"/>
        <v>http://dl.ndl.go.jp/info:ndljp/pid/3359257</v>
      </c>
    </row>
    <row r="898" spans="1:8" ht="30" customHeight="1" x14ac:dyDescent="0.15">
      <c r="A898" s="16" t="s">
        <v>91</v>
      </c>
      <c r="B898" s="17" t="s">
        <v>1714</v>
      </c>
      <c r="C898" s="17" t="s">
        <v>1457</v>
      </c>
      <c r="D898" s="25" t="s">
        <v>1638</v>
      </c>
      <c r="E898" s="19" t="s">
        <v>1700</v>
      </c>
      <c r="F898" s="19" t="s">
        <v>1715</v>
      </c>
      <c r="G898" s="2" t="str">
        <f t="shared" si="81"/>
        <v>http://jsmh.umin.jp/journal/18-3/18-3.pdf</v>
      </c>
      <c r="H898" s="42" t="str">
        <f t="shared" si="82"/>
        <v>http://dl.ndl.go.jp/info:ndljp/pid/3359257</v>
      </c>
    </row>
    <row r="899" spans="1:8" ht="30" customHeight="1" x14ac:dyDescent="0.15">
      <c r="A899" s="16" t="s">
        <v>91</v>
      </c>
      <c r="B899" s="17" t="s">
        <v>1716</v>
      </c>
      <c r="C899" s="17" t="s">
        <v>937</v>
      </c>
      <c r="D899" s="25" t="s">
        <v>1638</v>
      </c>
      <c r="E899" s="19" t="s">
        <v>1700</v>
      </c>
      <c r="F899" s="19" t="s">
        <v>1717</v>
      </c>
      <c r="G899" s="2" t="str">
        <f t="shared" si="81"/>
        <v>http://jsmh.umin.jp/journal/18-3/18-3.pdf</v>
      </c>
      <c r="H899" s="42" t="str">
        <f t="shared" si="82"/>
        <v>http://dl.ndl.go.jp/info:ndljp/pid/3359257</v>
      </c>
    </row>
    <row r="900" spans="1:8" ht="30" customHeight="1" x14ac:dyDescent="0.15">
      <c r="A900" s="16" t="s">
        <v>91</v>
      </c>
      <c r="B900" s="17" t="s">
        <v>1718</v>
      </c>
      <c r="C900" s="17" t="s">
        <v>191</v>
      </c>
      <c r="D900" s="25" t="s">
        <v>1638</v>
      </c>
      <c r="E900" s="19" t="s">
        <v>1700</v>
      </c>
      <c r="F900" s="19" t="s">
        <v>1719</v>
      </c>
      <c r="G900" s="2" t="str">
        <f t="shared" si="81"/>
        <v>http://jsmh.umin.jp/journal/18-3/18-3.pdf</v>
      </c>
      <c r="H900" s="42" t="str">
        <f t="shared" si="82"/>
        <v>http://dl.ndl.go.jp/info:ndljp/pid/3359257</v>
      </c>
    </row>
    <row r="901" spans="1:8" ht="30" customHeight="1" x14ac:dyDescent="0.15">
      <c r="A901" s="16" t="s">
        <v>91</v>
      </c>
      <c r="B901" s="17" t="s">
        <v>1720</v>
      </c>
      <c r="C901" s="17" t="s">
        <v>507</v>
      </c>
      <c r="D901" s="25" t="s">
        <v>1638</v>
      </c>
      <c r="E901" s="19" t="s">
        <v>1700</v>
      </c>
      <c r="F901" s="19" t="s">
        <v>1721</v>
      </c>
      <c r="G901" s="2" t="str">
        <f t="shared" si="81"/>
        <v>http://jsmh.umin.jp/journal/18-3/18-3.pdf</v>
      </c>
      <c r="H901" s="42" t="str">
        <f t="shared" si="82"/>
        <v>http://dl.ndl.go.jp/info:ndljp/pid/3359257</v>
      </c>
    </row>
    <row r="902" spans="1:8" ht="30" customHeight="1" x14ac:dyDescent="0.15">
      <c r="A902" s="16" t="s">
        <v>91</v>
      </c>
      <c r="B902" s="17" t="s">
        <v>1722</v>
      </c>
      <c r="C902" s="17" t="s">
        <v>1299</v>
      </c>
      <c r="D902" s="25" t="s">
        <v>1638</v>
      </c>
      <c r="E902" s="19" t="s">
        <v>1700</v>
      </c>
      <c r="F902" s="19" t="s">
        <v>1723</v>
      </c>
      <c r="G902" s="2" t="str">
        <f t="shared" si="81"/>
        <v>http://jsmh.umin.jp/journal/18-3/18-3.pdf</v>
      </c>
      <c r="H902" s="42" t="str">
        <f t="shared" si="82"/>
        <v>http://dl.ndl.go.jp/info:ndljp/pid/3359257</v>
      </c>
    </row>
    <row r="903" spans="1:8" ht="30" customHeight="1" x14ac:dyDescent="0.15">
      <c r="A903" s="16" t="s">
        <v>91</v>
      </c>
      <c r="B903" s="17" t="s">
        <v>1724</v>
      </c>
      <c r="C903" s="17" t="s">
        <v>1070</v>
      </c>
      <c r="D903" s="25" t="s">
        <v>1638</v>
      </c>
      <c r="E903" s="19" t="s">
        <v>1700</v>
      </c>
      <c r="F903" s="19" t="s">
        <v>1725</v>
      </c>
      <c r="G903" s="2" t="str">
        <f t="shared" si="81"/>
        <v>http://jsmh.umin.jp/journal/18-3/18-3.pdf</v>
      </c>
      <c r="H903" s="42" t="str">
        <f t="shared" si="82"/>
        <v>http://dl.ndl.go.jp/info:ndljp/pid/3359257</v>
      </c>
    </row>
    <row r="904" spans="1:8" ht="30" customHeight="1" x14ac:dyDescent="0.15">
      <c r="A904" s="16" t="s">
        <v>91</v>
      </c>
      <c r="B904" s="17" t="s">
        <v>1726</v>
      </c>
      <c r="C904" s="17" t="s">
        <v>1097</v>
      </c>
      <c r="D904" s="25" t="s">
        <v>1638</v>
      </c>
      <c r="E904" s="19" t="s">
        <v>1700</v>
      </c>
      <c r="F904" s="19" t="s">
        <v>976</v>
      </c>
      <c r="G904" s="2" t="str">
        <f t="shared" si="81"/>
        <v>http://jsmh.umin.jp/journal/18-3/18-3.pdf</v>
      </c>
      <c r="H904" s="42" t="str">
        <f t="shared" si="82"/>
        <v>http://dl.ndl.go.jp/info:ndljp/pid/3359257</v>
      </c>
    </row>
    <row r="905" spans="1:8" ht="30" customHeight="1" x14ac:dyDescent="0.15">
      <c r="A905" s="16" t="s">
        <v>91</v>
      </c>
      <c r="B905" s="17" t="s">
        <v>1727</v>
      </c>
      <c r="C905" s="17" t="s">
        <v>1659</v>
      </c>
      <c r="D905" s="25" t="s">
        <v>1638</v>
      </c>
      <c r="E905" s="19" t="s">
        <v>1700</v>
      </c>
      <c r="F905" s="19" t="s">
        <v>983</v>
      </c>
      <c r="G905" s="2" t="str">
        <f t="shared" si="81"/>
        <v>http://jsmh.umin.jp/journal/18-3/18-3.pdf</v>
      </c>
      <c r="H905" s="42" t="str">
        <f t="shared" si="82"/>
        <v>http://dl.ndl.go.jp/info:ndljp/pid/3359257</v>
      </c>
    </row>
    <row r="906" spans="1:8" ht="30" customHeight="1" x14ac:dyDescent="0.15">
      <c r="A906" s="16" t="s">
        <v>91</v>
      </c>
      <c r="B906" s="17" t="s">
        <v>1728</v>
      </c>
      <c r="C906" s="17" t="s">
        <v>627</v>
      </c>
      <c r="D906" s="25" t="s">
        <v>1638</v>
      </c>
      <c r="E906" s="19" t="s">
        <v>1700</v>
      </c>
      <c r="F906" s="19" t="s">
        <v>986</v>
      </c>
      <c r="G906" s="2" t="str">
        <f t="shared" si="81"/>
        <v>http://jsmh.umin.jp/journal/18-3/18-3.pdf</v>
      </c>
      <c r="H906" s="42" t="str">
        <f t="shared" si="82"/>
        <v>http://dl.ndl.go.jp/info:ndljp/pid/3359257</v>
      </c>
    </row>
    <row r="907" spans="1:8" ht="30" customHeight="1" x14ac:dyDescent="0.15">
      <c r="A907" s="16" t="s">
        <v>91</v>
      </c>
      <c r="B907" s="17" t="s">
        <v>1729</v>
      </c>
      <c r="C907" s="17" t="s">
        <v>1471</v>
      </c>
      <c r="D907" s="25" t="s">
        <v>1638</v>
      </c>
      <c r="E907" s="19" t="s">
        <v>1700</v>
      </c>
      <c r="F907" s="19" t="s">
        <v>990</v>
      </c>
      <c r="G907" s="2" t="str">
        <f t="shared" si="81"/>
        <v>http://jsmh.umin.jp/journal/18-3/18-3.pdf</v>
      </c>
      <c r="H907" s="42" t="str">
        <f t="shared" si="82"/>
        <v>http://dl.ndl.go.jp/info:ndljp/pid/3359257</v>
      </c>
    </row>
    <row r="908" spans="1:8" ht="30" customHeight="1" x14ac:dyDescent="0.15">
      <c r="A908" s="16" t="s">
        <v>91</v>
      </c>
      <c r="B908" s="17" t="s">
        <v>1730</v>
      </c>
      <c r="C908" s="17" t="s">
        <v>1731</v>
      </c>
      <c r="D908" s="25" t="s">
        <v>1638</v>
      </c>
      <c r="E908" s="19" t="s">
        <v>1700</v>
      </c>
      <c r="F908" s="19" t="s">
        <v>1732</v>
      </c>
      <c r="G908" s="2" t="str">
        <f t="shared" si="81"/>
        <v>http://jsmh.umin.jp/journal/18-3/18-3.pdf</v>
      </c>
      <c r="H908" s="42" t="str">
        <f t="shared" si="82"/>
        <v>http://dl.ndl.go.jp/info:ndljp/pid/3359257</v>
      </c>
    </row>
    <row r="909" spans="1:8" ht="30" customHeight="1" x14ac:dyDescent="0.15">
      <c r="A909" s="16" t="s">
        <v>91</v>
      </c>
      <c r="B909" s="17" t="s">
        <v>1733</v>
      </c>
      <c r="C909" s="17" t="s">
        <v>916</v>
      </c>
      <c r="D909" s="25" t="s">
        <v>1638</v>
      </c>
      <c r="E909" s="19" t="s">
        <v>1700</v>
      </c>
      <c r="F909" s="19" t="s">
        <v>1734</v>
      </c>
      <c r="G909" s="2" t="str">
        <f t="shared" si="81"/>
        <v>http://jsmh.umin.jp/journal/18-3/18-3.pdf</v>
      </c>
      <c r="H909" s="42" t="str">
        <f t="shared" si="82"/>
        <v>http://dl.ndl.go.jp/info:ndljp/pid/3359257</v>
      </c>
    </row>
    <row r="910" spans="1:8" ht="30" customHeight="1" x14ac:dyDescent="0.15">
      <c r="A910" s="16" t="s">
        <v>91</v>
      </c>
      <c r="B910" s="17" t="s">
        <v>1735</v>
      </c>
      <c r="C910" s="17" t="s">
        <v>1423</v>
      </c>
      <c r="D910" s="25" t="s">
        <v>1638</v>
      </c>
      <c r="E910" s="19" t="s">
        <v>1700</v>
      </c>
      <c r="F910" s="19" t="s">
        <v>999</v>
      </c>
      <c r="G910" s="2" t="str">
        <f t="shared" si="81"/>
        <v>http://jsmh.umin.jp/journal/18-3/18-3.pdf</v>
      </c>
      <c r="H910" s="42" t="str">
        <f t="shared" si="82"/>
        <v>http://dl.ndl.go.jp/info:ndljp/pid/3359257</v>
      </c>
    </row>
    <row r="911" spans="1:8" ht="30" customHeight="1" x14ac:dyDescent="0.15">
      <c r="A911" s="16" t="s">
        <v>91</v>
      </c>
      <c r="B911" s="17" t="s">
        <v>1736</v>
      </c>
      <c r="C911" s="17" t="s">
        <v>209</v>
      </c>
      <c r="D911" s="25" t="s">
        <v>1638</v>
      </c>
      <c r="E911" s="19" t="s">
        <v>1700</v>
      </c>
      <c r="F911" s="19" t="s">
        <v>1737</v>
      </c>
      <c r="G911" s="2" t="str">
        <f t="shared" si="81"/>
        <v>http://jsmh.umin.jp/journal/18-3/18-3.pdf</v>
      </c>
      <c r="H911" s="42" t="str">
        <f t="shared" si="82"/>
        <v>http://dl.ndl.go.jp/info:ndljp/pid/3359257</v>
      </c>
    </row>
    <row r="912" spans="1:8" ht="30" customHeight="1" x14ac:dyDescent="0.15">
      <c r="A912" s="16" t="s">
        <v>91</v>
      </c>
      <c r="B912" s="17" t="s">
        <v>1738</v>
      </c>
      <c r="C912" s="17" t="s">
        <v>1739</v>
      </c>
      <c r="D912" s="25" t="s">
        <v>1638</v>
      </c>
      <c r="E912" s="19" t="s">
        <v>1700</v>
      </c>
      <c r="F912" s="19" t="s">
        <v>1740</v>
      </c>
      <c r="G912" s="2" t="str">
        <f t="shared" si="81"/>
        <v>http://jsmh.umin.jp/journal/18-3/18-3.pdf</v>
      </c>
      <c r="H912" s="42" t="str">
        <f t="shared" si="82"/>
        <v>http://dl.ndl.go.jp/info:ndljp/pid/3359257</v>
      </c>
    </row>
    <row r="913" spans="1:8" ht="30" customHeight="1" x14ac:dyDescent="0.15">
      <c r="A913" s="16" t="s">
        <v>91</v>
      </c>
      <c r="B913" s="17" t="s">
        <v>1741</v>
      </c>
      <c r="C913" s="17" t="s">
        <v>1338</v>
      </c>
      <c r="D913" s="25" t="s">
        <v>1638</v>
      </c>
      <c r="E913" s="19" t="s">
        <v>1700</v>
      </c>
      <c r="F913" s="19" t="s">
        <v>1742</v>
      </c>
      <c r="G913" s="2" t="str">
        <f t="shared" si="81"/>
        <v>http://jsmh.umin.jp/journal/18-3/18-3.pdf</v>
      </c>
      <c r="H913" s="42" t="str">
        <f t="shared" si="82"/>
        <v>http://dl.ndl.go.jp/info:ndljp/pid/3359257</v>
      </c>
    </row>
    <row r="914" spans="1:8" ht="30" customHeight="1" x14ac:dyDescent="0.15">
      <c r="A914" s="16" t="s">
        <v>91</v>
      </c>
      <c r="B914" s="17" t="s">
        <v>10081</v>
      </c>
      <c r="C914" s="17" t="s">
        <v>439</v>
      </c>
      <c r="D914" s="25" t="s">
        <v>1638</v>
      </c>
      <c r="E914" s="19" t="s">
        <v>1700</v>
      </c>
      <c r="F914" s="19" t="s">
        <v>1743</v>
      </c>
      <c r="G914" s="2" t="str">
        <f t="shared" si="81"/>
        <v>http://jsmh.umin.jp/journal/18-3/18-3.pdf</v>
      </c>
      <c r="H914" s="42" t="str">
        <f t="shared" si="82"/>
        <v>http://dl.ndl.go.jp/info:ndljp/pid/3359257</v>
      </c>
    </row>
    <row r="915" spans="1:8" ht="30" customHeight="1" x14ac:dyDescent="0.15">
      <c r="A915" s="16" t="s">
        <v>91</v>
      </c>
      <c r="B915" s="17" t="s">
        <v>1744</v>
      </c>
      <c r="C915" s="17" t="s">
        <v>1745</v>
      </c>
      <c r="D915" s="25" t="s">
        <v>1638</v>
      </c>
      <c r="E915" s="19" t="s">
        <v>1700</v>
      </c>
      <c r="F915" s="19" t="s">
        <v>1746</v>
      </c>
      <c r="G915" s="2" t="str">
        <f t="shared" si="81"/>
        <v>http://jsmh.umin.jp/journal/18-3/18-3.pdf</v>
      </c>
      <c r="H915" s="42" t="str">
        <f t="shared" si="82"/>
        <v>http://dl.ndl.go.jp/info:ndljp/pid/3359257</v>
      </c>
    </row>
    <row r="916" spans="1:8" ht="30" customHeight="1" x14ac:dyDescent="0.15">
      <c r="A916" s="16" t="s">
        <v>91</v>
      </c>
      <c r="B916" s="17" t="s">
        <v>1747</v>
      </c>
      <c r="C916" s="17" t="s">
        <v>134</v>
      </c>
      <c r="D916" s="25" t="s">
        <v>1638</v>
      </c>
      <c r="E916" s="19" t="s">
        <v>1700</v>
      </c>
      <c r="F916" s="19" t="s">
        <v>1748</v>
      </c>
      <c r="G916" s="2" t="str">
        <f t="shared" si="81"/>
        <v>http://jsmh.umin.jp/journal/18-3/18-3.pdf</v>
      </c>
      <c r="H916" s="42" t="str">
        <f t="shared" si="82"/>
        <v>http://dl.ndl.go.jp/info:ndljp/pid/3359257</v>
      </c>
    </row>
    <row r="917" spans="1:8" ht="30" customHeight="1" x14ac:dyDescent="0.15">
      <c r="A917" s="16" t="s">
        <v>1543</v>
      </c>
      <c r="B917" s="17" t="s">
        <v>1749</v>
      </c>
      <c r="C917" s="17" t="s">
        <v>1602</v>
      </c>
      <c r="D917" s="25" t="s">
        <v>1638</v>
      </c>
      <c r="E917" s="19" t="s">
        <v>1700</v>
      </c>
      <c r="F917" s="19" t="s">
        <v>1750</v>
      </c>
      <c r="G917" s="2" t="str">
        <f t="shared" si="81"/>
        <v>http://jsmh.umin.jp/journal/18-3/18-3.pdf</v>
      </c>
      <c r="H917" s="42" t="str">
        <f t="shared" si="82"/>
        <v>http://dl.ndl.go.jp/info:ndljp/pid/3359257</v>
      </c>
    </row>
    <row r="918" spans="1:8" ht="30" customHeight="1" x14ac:dyDescent="0.15">
      <c r="A918" s="16" t="s">
        <v>692</v>
      </c>
      <c r="B918" s="17" t="s">
        <v>1751</v>
      </c>
      <c r="C918" s="17" t="s">
        <v>1752</v>
      </c>
      <c r="D918" s="25" t="s">
        <v>1638</v>
      </c>
      <c r="E918" s="19" t="s">
        <v>1700</v>
      </c>
      <c r="F918" s="19" t="s">
        <v>1753</v>
      </c>
      <c r="G918" s="2" t="str">
        <f t="shared" si="81"/>
        <v>http://jsmh.umin.jp/journal/18-3/18-3.pdf</v>
      </c>
      <c r="H918" s="42" t="str">
        <f t="shared" si="82"/>
        <v>http://dl.ndl.go.jp/info:ndljp/pid/3359257</v>
      </c>
    </row>
    <row r="919" spans="1:8" ht="30" customHeight="1" x14ac:dyDescent="0.15">
      <c r="A919" s="16" t="s">
        <v>17</v>
      </c>
      <c r="B919" s="17" t="s">
        <v>1754</v>
      </c>
      <c r="C919" s="17" t="s">
        <v>1423</v>
      </c>
      <c r="D919" s="25" t="s">
        <v>1638</v>
      </c>
      <c r="E919" s="19" t="s">
        <v>1755</v>
      </c>
      <c r="F919" s="19" t="s">
        <v>1756</v>
      </c>
      <c r="G919" s="2" t="str">
        <f t="shared" ref="G919:G942" si="83">HYPERLINK("http://jsmh.umin.jp/journal/18-4/18-4.pdf")</f>
        <v>http://jsmh.umin.jp/journal/18-4/18-4.pdf</v>
      </c>
      <c r="H919" s="42" t="str">
        <f>HYPERLINK("http://dl.ndl.go.jp/info:ndljp/pid/3359258")</f>
        <v>http://dl.ndl.go.jp/info:ndljp/pid/3359258</v>
      </c>
    </row>
    <row r="920" spans="1:8" ht="30" customHeight="1" x14ac:dyDescent="0.15">
      <c r="A920" s="16" t="s">
        <v>17</v>
      </c>
      <c r="B920" s="17" t="s">
        <v>1697</v>
      </c>
      <c r="C920" s="17" t="s">
        <v>1534</v>
      </c>
      <c r="D920" s="25" t="s">
        <v>1638</v>
      </c>
      <c r="E920" s="19" t="s">
        <v>1755</v>
      </c>
      <c r="F920" s="19" t="s">
        <v>1757</v>
      </c>
      <c r="G920" s="2" t="str">
        <f t="shared" si="83"/>
        <v>http://jsmh.umin.jp/journal/18-4/18-4.pdf</v>
      </c>
      <c r="H920" s="42" t="str">
        <f t="shared" ref="H920:H942" si="84">HYPERLINK("http://dl.ndl.go.jp/info:ndljp/pid/3359258")</f>
        <v>http://dl.ndl.go.jp/info:ndljp/pid/3359258</v>
      </c>
    </row>
    <row r="921" spans="1:8" ht="30" customHeight="1" x14ac:dyDescent="0.15">
      <c r="A921" s="16" t="s">
        <v>17</v>
      </c>
      <c r="B921" s="17" t="s">
        <v>1758</v>
      </c>
      <c r="C921" s="17" t="s">
        <v>1739</v>
      </c>
      <c r="D921" s="25" t="s">
        <v>1638</v>
      </c>
      <c r="E921" s="19" t="s">
        <v>1755</v>
      </c>
      <c r="F921" s="19" t="s">
        <v>1759</v>
      </c>
      <c r="G921" s="2" t="str">
        <f t="shared" si="83"/>
        <v>http://jsmh.umin.jp/journal/18-4/18-4.pdf</v>
      </c>
      <c r="H921" s="42" t="str">
        <f t="shared" si="84"/>
        <v>http://dl.ndl.go.jp/info:ndljp/pid/3359258</v>
      </c>
    </row>
    <row r="922" spans="1:8" ht="30" customHeight="1" x14ac:dyDescent="0.15">
      <c r="A922" s="16" t="s">
        <v>17</v>
      </c>
      <c r="B922" s="17" t="s">
        <v>1760</v>
      </c>
      <c r="C922" s="17" t="s">
        <v>648</v>
      </c>
      <c r="D922" s="25" t="s">
        <v>1638</v>
      </c>
      <c r="E922" s="19" t="s">
        <v>1755</v>
      </c>
      <c r="F922" s="19" t="s">
        <v>1761</v>
      </c>
      <c r="G922" s="2" t="str">
        <f t="shared" si="83"/>
        <v>http://jsmh.umin.jp/journal/18-4/18-4.pdf</v>
      </c>
      <c r="H922" s="42" t="str">
        <f t="shared" si="84"/>
        <v>http://dl.ndl.go.jp/info:ndljp/pid/3359258</v>
      </c>
    </row>
    <row r="923" spans="1:8" ht="30" customHeight="1" x14ac:dyDescent="0.15">
      <c r="A923" s="16" t="s">
        <v>17</v>
      </c>
      <c r="B923" s="17" t="s">
        <v>10082</v>
      </c>
      <c r="C923" s="17" t="s">
        <v>1659</v>
      </c>
      <c r="D923" s="25" t="s">
        <v>1638</v>
      </c>
      <c r="E923" s="19" t="s">
        <v>1755</v>
      </c>
      <c r="F923" s="19" t="s">
        <v>1762</v>
      </c>
      <c r="G923" s="2" t="str">
        <f t="shared" si="83"/>
        <v>http://jsmh.umin.jp/journal/18-4/18-4.pdf</v>
      </c>
      <c r="H923" s="42" t="str">
        <f t="shared" si="84"/>
        <v>http://dl.ndl.go.jp/info:ndljp/pid/3359258</v>
      </c>
    </row>
    <row r="924" spans="1:8" ht="30" customHeight="1" x14ac:dyDescent="0.15">
      <c r="A924" s="16" t="s">
        <v>17</v>
      </c>
      <c r="B924" s="17" t="s">
        <v>1763</v>
      </c>
      <c r="C924" s="17" t="s">
        <v>1764</v>
      </c>
      <c r="D924" s="25" t="s">
        <v>1638</v>
      </c>
      <c r="E924" s="19" t="s">
        <v>1755</v>
      </c>
      <c r="F924" s="19" t="s">
        <v>1765</v>
      </c>
      <c r="G924" s="2" t="str">
        <f t="shared" si="83"/>
        <v>http://jsmh.umin.jp/journal/18-4/18-4.pdf</v>
      </c>
      <c r="H924" s="42" t="str">
        <f t="shared" si="84"/>
        <v>http://dl.ndl.go.jp/info:ndljp/pid/3359258</v>
      </c>
    </row>
    <row r="925" spans="1:8" ht="30" customHeight="1" x14ac:dyDescent="0.15">
      <c r="A925" s="16" t="s">
        <v>17</v>
      </c>
      <c r="B925" s="17" t="s">
        <v>1766</v>
      </c>
      <c r="C925" s="17" t="s">
        <v>198</v>
      </c>
      <c r="D925" s="25" t="s">
        <v>1638</v>
      </c>
      <c r="E925" s="19" t="s">
        <v>1755</v>
      </c>
      <c r="F925" s="19" t="s">
        <v>1767</v>
      </c>
      <c r="G925" s="2" t="str">
        <f t="shared" si="83"/>
        <v>http://jsmh.umin.jp/journal/18-4/18-4.pdf</v>
      </c>
      <c r="H925" s="42" t="str">
        <f t="shared" si="84"/>
        <v>http://dl.ndl.go.jp/info:ndljp/pid/3359258</v>
      </c>
    </row>
    <row r="926" spans="1:8" ht="30" customHeight="1" x14ac:dyDescent="0.15">
      <c r="A926" s="16" t="s">
        <v>1589</v>
      </c>
      <c r="B926" s="17" t="s">
        <v>1768</v>
      </c>
      <c r="C926" s="17" t="s">
        <v>1769</v>
      </c>
      <c r="D926" s="25" t="s">
        <v>1638</v>
      </c>
      <c r="E926" s="19" t="s">
        <v>1755</v>
      </c>
      <c r="F926" s="19" t="s">
        <v>1770</v>
      </c>
      <c r="G926" s="2" t="str">
        <f t="shared" si="83"/>
        <v>http://jsmh.umin.jp/journal/18-4/18-4.pdf</v>
      </c>
      <c r="H926" s="42" t="str">
        <f t="shared" si="84"/>
        <v>http://dl.ndl.go.jp/info:ndljp/pid/3359258</v>
      </c>
    </row>
    <row r="927" spans="1:8" ht="30" customHeight="1" x14ac:dyDescent="0.15">
      <c r="A927" s="16" t="s">
        <v>1592</v>
      </c>
      <c r="B927" s="17" t="s">
        <v>1771</v>
      </c>
      <c r="C927" s="17" t="s">
        <v>690</v>
      </c>
      <c r="D927" s="25" t="s">
        <v>1638</v>
      </c>
      <c r="E927" s="19" t="s">
        <v>1755</v>
      </c>
      <c r="F927" s="19" t="s">
        <v>1772</v>
      </c>
      <c r="G927" s="2" t="str">
        <f t="shared" si="83"/>
        <v>http://jsmh.umin.jp/journal/18-4/18-4.pdf</v>
      </c>
      <c r="H927" s="42" t="str">
        <f t="shared" si="84"/>
        <v>http://dl.ndl.go.jp/info:ndljp/pid/3359258</v>
      </c>
    </row>
    <row r="928" spans="1:8" ht="30" customHeight="1" x14ac:dyDescent="0.15">
      <c r="A928" s="16" t="s">
        <v>704</v>
      </c>
      <c r="B928" s="17" t="s">
        <v>1773</v>
      </c>
      <c r="C928" s="17" t="s">
        <v>209</v>
      </c>
      <c r="D928" s="25" t="s">
        <v>1638</v>
      </c>
      <c r="E928" s="19" t="s">
        <v>1755</v>
      </c>
      <c r="F928" s="19" t="s">
        <v>1774</v>
      </c>
      <c r="G928" s="2" t="str">
        <f t="shared" si="83"/>
        <v>http://jsmh.umin.jp/journal/18-4/18-4.pdf</v>
      </c>
      <c r="H928" s="42" t="str">
        <f t="shared" si="84"/>
        <v>http://dl.ndl.go.jp/info:ndljp/pid/3359258</v>
      </c>
    </row>
    <row r="929" spans="1:8" ht="30" customHeight="1" x14ac:dyDescent="0.15">
      <c r="A929" s="16" t="s">
        <v>704</v>
      </c>
      <c r="B929" s="17" t="s">
        <v>1775</v>
      </c>
      <c r="C929" s="17" t="s">
        <v>1776</v>
      </c>
      <c r="D929" s="25" t="s">
        <v>1638</v>
      </c>
      <c r="E929" s="19" t="s">
        <v>1755</v>
      </c>
      <c r="F929" s="19" t="s">
        <v>1777</v>
      </c>
      <c r="G929" s="2" t="str">
        <f t="shared" si="83"/>
        <v>http://jsmh.umin.jp/journal/18-4/18-4.pdf</v>
      </c>
      <c r="H929" s="42" t="str">
        <f t="shared" si="84"/>
        <v>http://dl.ndl.go.jp/info:ndljp/pid/3359258</v>
      </c>
    </row>
    <row r="930" spans="1:8" ht="30" customHeight="1" x14ac:dyDescent="0.15">
      <c r="A930" s="16" t="s">
        <v>704</v>
      </c>
      <c r="B930" s="17" t="s">
        <v>1778</v>
      </c>
      <c r="C930" s="17" t="s">
        <v>916</v>
      </c>
      <c r="D930" s="25" t="s">
        <v>1638</v>
      </c>
      <c r="E930" s="19" t="s">
        <v>1755</v>
      </c>
      <c r="F930" s="19" t="s">
        <v>1777</v>
      </c>
      <c r="G930" s="2" t="str">
        <f t="shared" si="83"/>
        <v>http://jsmh.umin.jp/journal/18-4/18-4.pdf</v>
      </c>
      <c r="H930" s="42" t="str">
        <f t="shared" si="84"/>
        <v>http://dl.ndl.go.jp/info:ndljp/pid/3359258</v>
      </c>
    </row>
    <row r="931" spans="1:8" ht="30" customHeight="1" x14ac:dyDescent="0.15">
      <c r="A931" s="16" t="s">
        <v>704</v>
      </c>
      <c r="B931" s="17" t="s">
        <v>10083</v>
      </c>
      <c r="C931" s="17" t="s">
        <v>830</v>
      </c>
      <c r="D931" s="25" t="s">
        <v>1638</v>
      </c>
      <c r="E931" s="19" t="s">
        <v>1755</v>
      </c>
      <c r="F931" s="19" t="s">
        <v>1777</v>
      </c>
      <c r="G931" s="2" t="str">
        <f t="shared" si="83"/>
        <v>http://jsmh.umin.jp/journal/18-4/18-4.pdf</v>
      </c>
      <c r="H931" s="42" t="str">
        <f t="shared" si="84"/>
        <v>http://dl.ndl.go.jp/info:ndljp/pid/3359258</v>
      </c>
    </row>
    <row r="932" spans="1:8" ht="30" customHeight="1" x14ac:dyDescent="0.15">
      <c r="A932" s="16" t="s">
        <v>704</v>
      </c>
      <c r="B932" s="17" t="s">
        <v>1697</v>
      </c>
      <c r="C932" s="17" t="s">
        <v>1534</v>
      </c>
      <c r="D932" s="25" t="s">
        <v>1638</v>
      </c>
      <c r="E932" s="19" t="s">
        <v>1755</v>
      </c>
      <c r="F932" s="19" t="s">
        <v>1779</v>
      </c>
      <c r="G932" s="2" t="str">
        <f t="shared" si="83"/>
        <v>http://jsmh.umin.jp/journal/18-4/18-4.pdf</v>
      </c>
      <c r="H932" s="42" t="str">
        <f t="shared" si="84"/>
        <v>http://dl.ndl.go.jp/info:ndljp/pid/3359258</v>
      </c>
    </row>
    <row r="933" spans="1:8" ht="30" customHeight="1" x14ac:dyDescent="0.15">
      <c r="A933" s="16" t="s">
        <v>704</v>
      </c>
      <c r="B933" s="17" t="s">
        <v>1780</v>
      </c>
      <c r="C933" s="17" t="s">
        <v>1781</v>
      </c>
      <c r="D933" s="25" t="s">
        <v>1638</v>
      </c>
      <c r="E933" s="19" t="s">
        <v>1755</v>
      </c>
      <c r="F933" s="19" t="s">
        <v>1782</v>
      </c>
      <c r="G933" s="2" t="str">
        <f t="shared" si="83"/>
        <v>http://jsmh.umin.jp/journal/18-4/18-4.pdf</v>
      </c>
      <c r="H933" s="42" t="str">
        <f t="shared" si="84"/>
        <v>http://dl.ndl.go.jp/info:ndljp/pid/3359258</v>
      </c>
    </row>
    <row r="934" spans="1:8" ht="30" customHeight="1" x14ac:dyDescent="0.15">
      <c r="A934" s="16" t="s">
        <v>704</v>
      </c>
      <c r="B934" s="17" t="s">
        <v>10084</v>
      </c>
      <c r="C934" s="17" t="s">
        <v>1783</v>
      </c>
      <c r="D934" s="25" t="s">
        <v>1638</v>
      </c>
      <c r="E934" s="19" t="s">
        <v>1755</v>
      </c>
      <c r="F934" s="19" t="s">
        <v>1782</v>
      </c>
      <c r="G934" s="2" t="str">
        <f t="shared" si="83"/>
        <v>http://jsmh.umin.jp/journal/18-4/18-4.pdf</v>
      </c>
      <c r="H934" s="42" t="str">
        <f t="shared" si="84"/>
        <v>http://dl.ndl.go.jp/info:ndljp/pid/3359258</v>
      </c>
    </row>
    <row r="935" spans="1:8" ht="30" customHeight="1" x14ac:dyDescent="0.15">
      <c r="A935" s="16" t="s">
        <v>704</v>
      </c>
      <c r="B935" s="17" t="s">
        <v>1606</v>
      </c>
      <c r="C935" s="17"/>
      <c r="D935" s="25" t="s">
        <v>1638</v>
      </c>
      <c r="E935" s="19" t="s">
        <v>1755</v>
      </c>
      <c r="F935" s="19" t="s">
        <v>1784</v>
      </c>
      <c r="G935" s="2" t="str">
        <f t="shared" si="83"/>
        <v>http://jsmh.umin.jp/journal/18-4/18-4.pdf</v>
      </c>
      <c r="H935" s="42" t="str">
        <f t="shared" si="84"/>
        <v>http://dl.ndl.go.jp/info:ndljp/pid/3359258</v>
      </c>
    </row>
    <row r="936" spans="1:8" ht="30" customHeight="1" x14ac:dyDescent="0.15">
      <c r="A936" s="16" t="s">
        <v>704</v>
      </c>
      <c r="B936" s="17" t="s">
        <v>1785</v>
      </c>
      <c r="C936" s="17" t="s">
        <v>444</v>
      </c>
      <c r="D936" s="25" t="s">
        <v>1638</v>
      </c>
      <c r="E936" s="19" t="s">
        <v>1755</v>
      </c>
      <c r="F936" s="19" t="s">
        <v>1786</v>
      </c>
      <c r="G936" s="2" t="str">
        <f t="shared" si="83"/>
        <v>http://jsmh.umin.jp/journal/18-4/18-4.pdf</v>
      </c>
      <c r="H936" s="42" t="str">
        <f t="shared" si="84"/>
        <v>http://dl.ndl.go.jp/info:ndljp/pid/3359258</v>
      </c>
    </row>
    <row r="937" spans="1:8" ht="30" customHeight="1" x14ac:dyDescent="0.15">
      <c r="A937" s="16" t="s">
        <v>704</v>
      </c>
      <c r="B937" s="17" t="s">
        <v>1787</v>
      </c>
      <c r="C937" s="17"/>
      <c r="D937" s="25" t="s">
        <v>1638</v>
      </c>
      <c r="E937" s="19" t="s">
        <v>1755</v>
      </c>
      <c r="F937" s="19" t="s">
        <v>1788</v>
      </c>
      <c r="G937" s="2" t="str">
        <f t="shared" si="83"/>
        <v>http://jsmh.umin.jp/journal/18-4/18-4.pdf</v>
      </c>
      <c r="H937" s="42" t="str">
        <f t="shared" si="84"/>
        <v>http://dl.ndl.go.jp/info:ndljp/pid/3359258</v>
      </c>
    </row>
    <row r="938" spans="1:8" ht="30" customHeight="1" x14ac:dyDescent="0.15">
      <c r="A938" s="16" t="s">
        <v>704</v>
      </c>
      <c r="B938" s="17" t="s">
        <v>1789</v>
      </c>
      <c r="C938" s="17"/>
      <c r="D938" s="25" t="s">
        <v>1638</v>
      </c>
      <c r="E938" s="19" t="s">
        <v>1755</v>
      </c>
      <c r="F938" s="19" t="s">
        <v>1790</v>
      </c>
      <c r="G938" s="2" t="str">
        <f t="shared" si="83"/>
        <v>http://jsmh.umin.jp/journal/18-4/18-4.pdf</v>
      </c>
      <c r="H938" s="42" t="str">
        <f t="shared" si="84"/>
        <v>http://dl.ndl.go.jp/info:ndljp/pid/3359258</v>
      </c>
    </row>
    <row r="939" spans="1:8" ht="30" customHeight="1" x14ac:dyDescent="0.15">
      <c r="A939" s="16" t="s">
        <v>81</v>
      </c>
      <c r="B939" s="17" t="s">
        <v>1791</v>
      </c>
      <c r="C939" s="17" t="s">
        <v>1792</v>
      </c>
      <c r="D939" s="25" t="s">
        <v>1638</v>
      </c>
      <c r="E939" s="19" t="s">
        <v>1755</v>
      </c>
      <c r="F939" s="19" t="s">
        <v>1603</v>
      </c>
      <c r="G939" s="2" t="str">
        <f t="shared" si="83"/>
        <v>http://jsmh.umin.jp/journal/18-4/18-4.pdf</v>
      </c>
      <c r="H939" s="42" t="str">
        <f t="shared" si="84"/>
        <v>http://dl.ndl.go.jp/info:ndljp/pid/3359258</v>
      </c>
    </row>
    <row r="940" spans="1:8" ht="30" customHeight="1" x14ac:dyDescent="0.15">
      <c r="A940" s="16" t="s">
        <v>81</v>
      </c>
      <c r="B940" s="17" t="s">
        <v>1793</v>
      </c>
      <c r="C940" s="17"/>
      <c r="D940" s="25" t="s">
        <v>1638</v>
      </c>
      <c r="E940" s="19" t="s">
        <v>1755</v>
      </c>
      <c r="F940" s="19" t="s">
        <v>1794</v>
      </c>
      <c r="G940" s="2" t="str">
        <f t="shared" si="83"/>
        <v>http://jsmh.umin.jp/journal/18-4/18-4.pdf</v>
      </c>
      <c r="H940" s="42" t="str">
        <f t="shared" si="84"/>
        <v>http://dl.ndl.go.jp/info:ndljp/pid/3359258</v>
      </c>
    </row>
    <row r="941" spans="1:8" ht="30" customHeight="1" x14ac:dyDescent="0.15">
      <c r="A941" s="16" t="s">
        <v>81</v>
      </c>
      <c r="B941" s="17" t="s">
        <v>1795</v>
      </c>
      <c r="C941" s="17"/>
      <c r="D941" s="25" t="s">
        <v>1638</v>
      </c>
      <c r="E941" s="19" t="s">
        <v>1755</v>
      </c>
      <c r="F941" s="19" t="s">
        <v>1794</v>
      </c>
      <c r="G941" s="2" t="str">
        <f t="shared" si="83"/>
        <v>http://jsmh.umin.jp/journal/18-4/18-4.pdf</v>
      </c>
      <c r="H941" s="42" t="str">
        <f t="shared" si="84"/>
        <v>http://dl.ndl.go.jp/info:ndljp/pid/3359258</v>
      </c>
    </row>
    <row r="942" spans="1:8" ht="30" customHeight="1" x14ac:dyDescent="0.15">
      <c r="A942" s="16" t="s">
        <v>17</v>
      </c>
      <c r="B942" s="17" t="s">
        <v>1796</v>
      </c>
      <c r="C942" s="17" t="s">
        <v>1631</v>
      </c>
      <c r="D942" s="25" t="s">
        <v>1638</v>
      </c>
      <c r="E942" s="19" t="s">
        <v>1755</v>
      </c>
      <c r="F942" s="19" t="s">
        <v>1797</v>
      </c>
      <c r="G942" s="2" t="str">
        <f t="shared" si="83"/>
        <v>http://jsmh.umin.jp/journal/18-4/18-4.pdf</v>
      </c>
      <c r="H942" s="42" t="str">
        <f t="shared" si="84"/>
        <v>http://dl.ndl.go.jp/info:ndljp/pid/3359258</v>
      </c>
    </row>
    <row r="943" spans="1:8" ht="30" customHeight="1" x14ac:dyDescent="0.15">
      <c r="A943" s="16" t="s">
        <v>17</v>
      </c>
      <c r="B943" s="17" t="s">
        <v>1798</v>
      </c>
      <c r="C943" s="17" t="s">
        <v>191</v>
      </c>
      <c r="D943" s="18" t="s">
        <v>1799</v>
      </c>
      <c r="E943" s="19" t="s">
        <v>1800</v>
      </c>
      <c r="F943" s="19" t="s">
        <v>796</v>
      </c>
      <c r="G943" s="2" t="str">
        <f t="shared" ref="G943:G964" si="85">HYPERLINK("http://jsmh.umin.jp/journal/19-1/19-1.pdf")</f>
        <v>http://jsmh.umin.jp/journal/19-1/19-1.pdf</v>
      </c>
      <c r="H943" s="42" t="str">
        <f>HYPERLINK("http://dl.ndl.go.jp/info:ndljp/pid/3359259")</f>
        <v>http://dl.ndl.go.jp/info:ndljp/pid/3359259</v>
      </c>
    </row>
    <row r="944" spans="1:8" ht="30" customHeight="1" x14ac:dyDescent="0.15">
      <c r="A944" s="16" t="s">
        <v>17</v>
      </c>
      <c r="B944" s="17" t="s">
        <v>1801</v>
      </c>
      <c r="C944" s="17" t="s">
        <v>1097</v>
      </c>
      <c r="D944" s="25" t="s">
        <v>1799</v>
      </c>
      <c r="E944" s="19" t="s">
        <v>1800</v>
      </c>
      <c r="F944" s="19" t="s">
        <v>799</v>
      </c>
      <c r="G944" s="2" t="str">
        <f t="shared" si="85"/>
        <v>http://jsmh.umin.jp/journal/19-1/19-1.pdf</v>
      </c>
      <c r="H944" s="42" t="str">
        <f t="shared" ref="H944:H964" si="86">HYPERLINK("http://dl.ndl.go.jp/info:ndljp/pid/3359259")</f>
        <v>http://dl.ndl.go.jp/info:ndljp/pid/3359259</v>
      </c>
    </row>
    <row r="945" spans="1:8" ht="30" customHeight="1" x14ac:dyDescent="0.15">
      <c r="A945" s="16" t="s">
        <v>17</v>
      </c>
      <c r="B945" s="17" t="s">
        <v>1802</v>
      </c>
      <c r="C945" s="17" t="s">
        <v>1803</v>
      </c>
      <c r="D945" s="25" t="s">
        <v>1799</v>
      </c>
      <c r="E945" s="19" t="s">
        <v>1800</v>
      </c>
      <c r="F945" s="19" t="s">
        <v>1804</v>
      </c>
      <c r="G945" s="2" t="str">
        <f t="shared" si="85"/>
        <v>http://jsmh.umin.jp/journal/19-1/19-1.pdf</v>
      </c>
      <c r="H945" s="42" t="str">
        <f t="shared" si="86"/>
        <v>http://dl.ndl.go.jp/info:ndljp/pid/3359259</v>
      </c>
    </row>
    <row r="946" spans="1:8" ht="30" customHeight="1" x14ac:dyDescent="0.15">
      <c r="A946" s="16" t="s">
        <v>17</v>
      </c>
      <c r="B946" s="17" t="s">
        <v>1805</v>
      </c>
      <c r="C946" s="17" t="s">
        <v>1745</v>
      </c>
      <c r="D946" s="25" t="s">
        <v>1799</v>
      </c>
      <c r="E946" s="19" t="s">
        <v>1800</v>
      </c>
      <c r="F946" s="19" t="s">
        <v>1806</v>
      </c>
      <c r="G946" s="2" t="str">
        <f t="shared" si="85"/>
        <v>http://jsmh.umin.jp/journal/19-1/19-1.pdf</v>
      </c>
      <c r="H946" s="42" t="str">
        <f t="shared" si="86"/>
        <v>http://dl.ndl.go.jp/info:ndljp/pid/3359259</v>
      </c>
    </row>
    <row r="947" spans="1:8" ht="30" customHeight="1" x14ac:dyDescent="0.15">
      <c r="A947" s="16" t="s">
        <v>17</v>
      </c>
      <c r="B947" s="17" t="s">
        <v>1807</v>
      </c>
      <c r="C947" s="17" t="s">
        <v>1423</v>
      </c>
      <c r="D947" s="25" t="s">
        <v>1799</v>
      </c>
      <c r="E947" s="19" t="s">
        <v>1800</v>
      </c>
      <c r="F947" s="19" t="s">
        <v>1808</v>
      </c>
      <c r="G947" s="2" t="str">
        <f t="shared" si="85"/>
        <v>http://jsmh.umin.jp/journal/19-1/19-1.pdf</v>
      </c>
      <c r="H947" s="42" t="str">
        <f t="shared" si="86"/>
        <v>http://dl.ndl.go.jp/info:ndljp/pid/3359259</v>
      </c>
    </row>
    <row r="948" spans="1:8" ht="30" customHeight="1" x14ac:dyDescent="0.15">
      <c r="A948" s="16" t="s">
        <v>17</v>
      </c>
      <c r="B948" s="17" t="s">
        <v>1809</v>
      </c>
      <c r="C948" s="17" t="s">
        <v>1739</v>
      </c>
      <c r="D948" s="25" t="s">
        <v>1799</v>
      </c>
      <c r="E948" s="19" t="s">
        <v>1800</v>
      </c>
      <c r="F948" s="19" t="s">
        <v>1810</v>
      </c>
      <c r="G948" s="2" t="str">
        <f t="shared" si="85"/>
        <v>http://jsmh.umin.jp/journal/19-1/19-1.pdf</v>
      </c>
      <c r="H948" s="42" t="str">
        <f t="shared" si="86"/>
        <v>http://dl.ndl.go.jp/info:ndljp/pid/3359259</v>
      </c>
    </row>
    <row r="949" spans="1:8" ht="30" customHeight="1" x14ac:dyDescent="0.15">
      <c r="A949" s="16" t="s">
        <v>17</v>
      </c>
      <c r="B949" s="17" t="s">
        <v>1811</v>
      </c>
      <c r="C949" s="17" t="s">
        <v>198</v>
      </c>
      <c r="D949" s="25" t="s">
        <v>1799</v>
      </c>
      <c r="E949" s="19" t="s">
        <v>1800</v>
      </c>
      <c r="F949" s="19" t="s">
        <v>1812</v>
      </c>
      <c r="G949" s="2" t="str">
        <f t="shared" si="85"/>
        <v>http://jsmh.umin.jp/journal/19-1/19-1.pdf</v>
      </c>
      <c r="H949" s="42" t="str">
        <f t="shared" si="86"/>
        <v>http://dl.ndl.go.jp/info:ndljp/pid/3359259</v>
      </c>
    </row>
    <row r="950" spans="1:8" ht="30" customHeight="1" x14ac:dyDescent="0.15">
      <c r="A950" s="16" t="s">
        <v>17</v>
      </c>
      <c r="B950" s="17" t="s">
        <v>1813</v>
      </c>
      <c r="C950" s="17" t="s">
        <v>1247</v>
      </c>
      <c r="D950" s="25" t="s">
        <v>1799</v>
      </c>
      <c r="E950" s="19" t="s">
        <v>1800</v>
      </c>
      <c r="F950" s="19" t="s">
        <v>1814</v>
      </c>
      <c r="G950" s="2" t="str">
        <f t="shared" si="85"/>
        <v>http://jsmh.umin.jp/journal/19-1/19-1.pdf</v>
      </c>
      <c r="H950" s="42" t="str">
        <f t="shared" si="86"/>
        <v>http://dl.ndl.go.jp/info:ndljp/pid/3359259</v>
      </c>
    </row>
    <row r="951" spans="1:8" ht="30" customHeight="1" x14ac:dyDescent="0.15">
      <c r="A951" s="16" t="s">
        <v>692</v>
      </c>
      <c r="B951" s="17" t="s">
        <v>1815</v>
      </c>
      <c r="C951" s="17" t="s">
        <v>690</v>
      </c>
      <c r="D951" s="25" t="s">
        <v>1799</v>
      </c>
      <c r="E951" s="19" t="s">
        <v>1800</v>
      </c>
      <c r="F951" s="19" t="s">
        <v>1816</v>
      </c>
      <c r="G951" s="2" t="str">
        <f t="shared" si="85"/>
        <v>http://jsmh.umin.jp/journal/19-1/19-1.pdf</v>
      </c>
      <c r="H951" s="42" t="str">
        <f t="shared" si="86"/>
        <v>http://dl.ndl.go.jp/info:ndljp/pid/3359259</v>
      </c>
    </row>
    <row r="952" spans="1:8" ht="30" customHeight="1" x14ac:dyDescent="0.15">
      <c r="A952" s="16" t="s">
        <v>704</v>
      </c>
      <c r="B952" s="17" t="s">
        <v>1817</v>
      </c>
      <c r="C952" s="17" t="s">
        <v>1818</v>
      </c>
      <c r="D952" s="25" t="s">
        <v>1799</v>
      </c>
      <c r="E952" s="19" t="s">
        <v>1800</v>
      </c>
      <c r="F952" s="19" t="s">
        <v>779</v>
      </c>
      <c r="G952" s="2" t="str">
        <f t="shared" si="85"/>
        <v>http://jsmh.umin.jp/journal/19-1/19-1.pdf</v>
      </c>
      <c r="H952" s="42" t="str">
        <f t="shared" si="86"/>
        <v>http://dl.ndl.go.jp/info:ndljp/pid/3359259</v>
      </c>
    </row>
    <row r="953" spans="1:8" ht="30" customHeight="1" x14ac:dyDescent="0.15">
      <c r="A953" s="16" t="s">
        <v>704</v>
      </c>
      <c r="B953" s="17" t="s">
        <v>1819</v>
      </c>
      <c r="C953" s="17" t="s">
        <v>1820</v>
      </c>
      <c r="D953" s="25" t="s">
        <v>1799</v>
      </c>
      <c r="E953" s="19" t="s">
        <v>1800</v>
      </c>
      <c r="F953" s="19" t="s">
        <v>1821</v>
      </c>
      <c r="G953" s="2" t="str">
        <f t="shared" si="85"/>
        <v>http://jsmh.umin.jp/journal/19-1/19-1.pdf</v>
      </c>
      <c r="H953" s="42" t="str">
        <f t="shared" si="86"/>
        <v>http://dl.ndl.go.jp/info:ndljp/pid/3359259</v>
      </c>
    </row>
    <row r="954" spans="1:8" ht="30" customHeight="1" x14ac:dyDescent="0.15">
      <c r="A954" s="16" t="s">
        <v>704</v>
      </c>
      <c r="B954" s="17" t="s">
        <v>1822</v>
      </c>
      <c r="C954" s="17" t="s">
        <v>1823</v>
      </c>
      <c r="D954" s="25" t="s">
        <v>1799</v>
      </c>
      <c r="E954" s="19" t="s">
        <v>1800</v>
      </c>
      <c r="F954" s="19" t="s">
        <v>949</v>
      </c>
      <c r="G954" s="2" t="str">
        <f t="shared" si="85"/>
        <v>http://jsmh.umin.jp/journal/19-1/19-1.pdf</v>
      </c>
      <c r="H954" s="42" t="str">
        <f t="shared" si="86"/>
        <v>http://dl.ndl.go.jp/info:ndljp/pid/3359259</v>
      </c>
    </row>
    <row r="955" spans="1:8" ht="30" customHeight="1" x14ac:dyDescent="0.15">
      <c r="A955" s="16" t="s">
        <v>704</v>
      </c>
      <c r="B955" s="17" t="s">
        <v>1824</v>
      </c>
      <c r="C955" s="17" t="s">
        <v>1825</v>
      </c>
      <c r="D955" s="25" t="s">
        <v>1799</v>
      </c>
      <c r="E955" s="19" t="s">
        <v>1800</v>
      </c>
      <c r="F955" s="19" t="s">
        <v>951</v>
      </c>
      <c r="G955" s="2" t="str">
        <f t="shared" si="85"/>
        <v>http://jsmh.umin.jp/journal/19-1/19-1.pdf</v>
      </c>
      <c r="H955" s="42" t="str">
        <f t="shared" si="86"/>
        <v>http://dl.ndl.go.jp/info:ndljp/pid/3359259</v>
      </c>
    </row>
    <row r="956" spans="1:8" ht="30" customHeight="1" x14ac:dyDescent="0.15">
      <c r="A956" s="16" t="s">
        <v>1826</v>
      </c>
      <c r="B956" s="17" t="s">
        <v>1827</v>
      </c>
      <c r="C956" s="17" t="s">
        <v>479</v>
      </c>
      <c r="D956" s="25" t="s">
        <v>1799</v>
      </c>
      <c r="E956" s="19" t="s">
        <v>1800</v>
      </c>
      <c r="F956" s="19" t="s">
        <v>194</v>
      </c>
      <c r="G956" s="2" t="str">
        <f t="shared" si="85"/>
        <v>http://jsmh.umin.jp/journal/19-1/19-1.pdf</v>
      </c>
      <c r="H956" s="42" t="str">
        <f t="shared" si="86"/>
        <v>http://dl.ndl.go.jp/info:ndljp/pid/3359259</v>
      </c>
    </row>
    <row r="957" spans="1:8" ht="30" customHeight="1" x14ac:dyDescent="0.15">
      <c r="A957" s="16" t="s">
        <v>704</v>
      </c>
      <c r="B957" s="17" t="s">
        <v>1828</v>
      </c>
      <c r="C957" s="17" t="s">
        <v>1147</v>
      </c>
      <c r="D957" s="25" t="s">
        <v>1799</v>
      </c>
      <c r="E957" s="19" t="s">
        <v>1800</v>
      </c>
      <c r="F957" s="19" t="s">
        <v>1829</v>
      </c>
      <c r="G957" s="2" t="str">
        <f t="shared" si="85"/>
        <v>http://jsmh.umin.jp/journal/19-1/19-1.pdf</v>
      </c>
      <c r="H957" s="42" t="str">
        <f t="shared" si="86"/>
        <v>http://dl.ndl.go.jp/info:ndljp/pid/3359259</v>
      </c>
    </row>
    <row r="958" spans="1:8" ht="30" customHeight="1" x14ac:dyDescent="0.15">
      <c r="A958" s="16" t="s">
        <v>704</v>
      </c>
      <c r="B958" s="17" t="s">
        <v>1830</v>
      </c>
      <c r="C958" s="17" t="s">
        <v>1690</v>
      </c>
      <c r="D958" s="25" t="s">
        <v>1799</v>
      </c>
      <c r="E958" s="19" t="s">
        <v>1800</v>
      </c>
      <c r="F958" s="19" t="s">
        <v>1829</v>
      </c>
      <c r="G958" s="2" t="str">
        <f t="shared" si="85"/>
        <v>http://jsmh.umin.jp/journal/19-1/19-1.pdf</v>
      </c>
      <c r="H958" s="42" t="str">
        <f t="shared" si="86"/>
        <v>http://dl.ndl.go.jp/info:ndljp/pid/3359259</v>
      </c>
    </row>
    <row r="959" spans="1:8" ht="30" customHeight="1" x14ac:dyDescent="0.15">
      <c r="A959" s="16" t="s">
        <v>704</v>
      </c>
      <c r="B959" s="17" t="s">
        <v>1831</v>
      </c>
      <c r="C959" s="17" t="s">
        <v>303</v>
      </c>
      <c r="D959" s="25" t="s">
        <v>1799</v>
      </c>
      <c r="E959" s="19" t="s">
        <v>1800</v>
      </c>
      <c r="F959" s="19" t="s">
        <v>1829</v>
      </c>
      <c r="G959" s="2" t="str">
        <f t="shared" si="85"/>
        <v>http://jsmh.umin.jp/journal/19-1/19-1.pdf</v>
      </c>
      <c r="H959" s="42" t="str">
        <f t="shared" si="86"/>
        <v>http://dl.ndl.go.jp/info:ndljp/pid/3359259</v>
      </c>
    </row>
    <row r="960" spans="1:8" ht="30" customHeight="1" x14ac:dyDescent="0.15">
      <c r="A960" s="16" t="s">
        <v>704</v>
      </c>
      <c r="B960" s="17" t="s">
        <v>1832</v>
      </c>
      <c r="C960" s="17" t="s">
        <v>1833</v>
      </c>
      <c r="D960" s="25" t="s">
        <v>1799</v>
      </c>
      <c r="E960" s="19" t="s">
        <v>1800</v>
      </c>
      <c r="F960" s="19" t="s">
        <v>1829</v>
      </c>
      <c r="G960" s="2" t="str">
        <f t="shared" si="85"/>
        <v>http://jsmh.umin.jp/journal/19-1/19-1.pdf</v>
      </c>
      <c r="H960" s="42" t="str">
        <f t="shared" si="86"/>
        <v>http://dl.ndl.go.jp/info:ndljp/pid/3359259</v>
      </c>
    </row>
    <row r="961" spans="1:8" ht="30" customHeight="1" x14ac:dyDescent="0.15">
      <c r="A961" s="16" t="s">
        <v>704</v>
      </c>
      <c r="B961" s="17" t="s">
        <v>1834</v>
      </c>
      <c r="C961" s="17" t="s">
        <v>48</v>
      </c>
      <c r="D961" s="25" t="s">
        <v>1799</v>
      </c>
      <c r="E961" s="19" t="s">
        <v>1800</v>
      </c>
      <c r="F961" s="19" t="s">
        <v>1829</v>
      </c>
      <c r="G961" s="2" t="str">
        <f t="shared" si="85"/>
        <v>http://jsmh.umin.jp/journal/19-1/19-1.pdf</v>
      </c>
      <c r="H961" s="42" t="str">
        <f t="shared" si="86"/>
        <v>http://dl.ndl.go.jp/info:ndljp/pid/3359259</v>
      </c>
    </row>
    <row r="962" spans="1:8" ht="30" customHeight="1" x14ac:dyDescent="0.15">
      <c r="A962" s="16" t="s">
        <v>704</v>
      </c>
      <c r="B962" s="17" t="s">
        <v>1835</v>
      </c>
      <c r="C962" s="17" t="s">
        <v>18</v>
      </c>
      <c r="D962" s="25" t="s">
        <v>1799</v>
      </c>
      <c r="E962" s="19" t="s">
        <v>1800</v>
      </c>
      <c r="F962" s="19" t="s">
        <v>1829</v>
      </c>
      <c r="G962" s="2" t="str">
        <f t="shared" si="85"/>
        <v>http://jsmh.umin.jp/journal/19-1/19-1.pdf</v>
      </c>
      <c r="H962" s="42" t="str">
        <f t="shared" si="86"/>
        <v>http://dl.ndl.go.jp/info:ndljp/pid/3359259</v>
      </c>
    </row>
    <row r="963" spans="1:8" ht="30" customHeight="1" x14ac:dyDescent="0.15">
      <c r="A963" s="16" t="s">
        <v>558</v>
      </c>
      <c r="B963" s="17" t="s">
        <v>1836</v>
      </c>
      <c r="C963" s="17"/>
      <c r="D963" s="25" t="s">
        <v>1799</v>
      </c>
      <c r="E963" s="19" t="s">
        <v>1800</v>
      </c>
      <c r="F963" s="19" t="s">
        <v>1837</v>
      </c>
      <c r="G963" s="2" t="str">
        <f t="shared" si="85"/>
        <v>http://jsmh.umin.jp/journal/19-1/19-1.pdf</v>
      </c>
      <c r="H963" s="42" t="str">
        <f t="shared" si="86"/>
        <v>http://dl.ndl.go.jp/info:ndljp/pid/3359259</v>
      </c>
    </row>
    <row r="964" spans="1:8" ht="30" customHeight="1" x14ac:dyDescent="0.15">
      <c r="A964" s="16" t="s">
        <v>81</v>
      </c>
      <c r="B964" s="17" t="s">
        <v>1838</v>
      </c>
      <c r="C964" s="17"/>
      <c r="D964" s="25" t="s">
        <v>1799</v>
      </c>
      <c r="E964" s="19" t="s">
        <v>1800</v>
      </c>
      <c r="F964" s="19" t="s">
        <v>1839</v>
      </c>
      <c r="G964" s="2" t="str">
        <f t="shared" si="85"/>
        <v>http://jsmh.umin.jp/journal/19-1/19-1.pdf</v>
      </c>
      <c r="H964" s="42" t="str">
        <f t="shared" si="86"/>
        <v>http://dl.ndl.go.jp/info:ndljp/pid/3359259</v>
      </c>
    </row>
    <row r="965" spans="1:8" ht="30" customHeight="1" x14ac:dyDescent="0.15">
      <c r="A965" s="16" t="s">
        <v>17</v>
      </c>
      <c r="B965" s="17" t="s">
        <v>1840</v>
      </c>
      <c r="C965" s="17" t="s">
        <v>830</v>
      </c>
      <c r="D965" s="25" t="s">
        <v>1799</v>
      </c>
      <c r="E965" s="19" t="s">
        <v>1841</v>
      </c>
      <c r="F965" s="19" t="s">
        <v>1842</v>
      </c>
      <c r="G965" s="2" t="str">
        <f t="shared" ref="G965:G993" si="87">HYPERLINK("http://jsmh.umin.jp/journal/19-2/19-2.pdf")</f>
        <v>http://jsmh.umin.jp/journal/19-2/19-2.pdf</v>
      </c>
      <c r="H965" s="42" t="str">
        <f>HYPERLINK("http://dl.ndl.go.jp/info:ndljp/pid/3359260")</f>
        <v>http://dl.ndl.go.jp/info:ndljp/pid/3359260</v>
      </c>
    </row>
    <row r="966" spans="1:8" ht="30" customHeight="1" x14ac:dyDescent="0.15">
      <c r="A966" s="16" t="s">
        <v>17</v>
      </c>
      <c r="B966" s="17" t="s">
        <v>1843</v>
      </c>
      <c r="C966" s="17" t="s">
        <v>1097</v>
      </c>
      <c r="D966" s="25" t="s">
        <v>1799</v>
      </c>
      <c r="E966" s="19" t="s">
        <v>1841</v>
      </c>
      <c r="F966" s="19" t="s">
        <v>1844</v>
      </c>
      <c r="G966" s="2" t="str">
        <f t="shared" si="87"/>
        <v>http://jsmh.umin.jp/journal/19-2/19-2.pdf</v>
      </c>
      <c r="H966" s="42" t="str">
        <f t="shared" ref="H966:H993" si="88">HYPERLINK("http://dl.ndl.go.jp/info:ndljp/pid/3359260")</f>
        <v>http://dl.ndl.go.jp/info:ndljp/pid/3359260</v>
      </c>
    </row>
    <row r="967" spans="1:8" ht="30" customHeight="1" x14ac:dyDescent="0.15">
      <c r="A967" s="16" t="s">
        <v>17</v>
      </c>
      <c r="B967" s="17" t="s">
        <v>1845</v>
      </c>
      <c r="C967" s="17" t="s">
        <v>1846</v>
      </c>
      <c r="D967" s="25" t="s">
        <v>1799</v>
      </c>
      <c r="E967" s="19" t="s">
        <v>1841</v>
      </c>
      <c r="F967" s="19" t="s">
        <v>1847</v>
      </c>
      <c r="G967" s="2" t="str">
        <f t="shared" si="87"/>
        <v>http://jsmh.umin.jp/journal/19-2/19-2.pdf</v>
      </c>
      <c r="H967" s="42" t="str">
        <f t="shared" si="88"/>
        <v>http://dl.ndl.go.jp/info:ndljp/pid/3359260</v>
      </c>
    </row>
    <row r="968" spans="1:8" ht="30" customHeight="1" x14ac:dyDescent="0.15">
      <c r="A968" s="16" t="s">
        <v>17</v>
      </c>
      <c r="B968" s="17" t="s">
        <v>1848</v>
      </c>
      <c r="C968" s="17" t="s">
        <v>790</v>
      </c>
      <c r="D968" s="25" t="s">
        <v>1799</v>
      </c>
      <c r="E968" s="19" t="s">
        <v>1841</v>
      </c>
      <c r="F968" s="19" t="s">
        <v>1849</v>
      </c>
      <c r="G968" s="2" t="str">
        <f t="shared" si="87"/>
        <v>http://jsmh.umin.jp/journal/19-2/19-2.pdf</v>
      </c>
      <c r="H968" s="42" t="str">
        <f t="shared" si="88"/>
        <v>http://dl.ndl.go.jp/info:ndljp/pid/3359260</v>
      </c>
    </row>
    <row r="969" spans="1:8" ht="30" customHeight="1" x14ac:dyDescent="0.15">
      <c r="A969" s="16" t="s">
        <v>17</v>
      </c>
      <c r="B969" s="17" t="s">
        <v>1850</v>
      </c>
      <c r="C969" s="17" t="s">
        <v>1803</v>
      </c>
      <c r="D969" s="25" t="s">
        <v>1799</v>
      </c>
      <c r="E969" s="19" t="s">
        <v>1841</v>
      </c>
      <c r="F969" s="19" t="s">
        <v>1851</v>
      </c>
      <c r="G969" s="2" t="str">
        <f t="shared" si="87"/>
        <v>http://jsmh.umin.jp/journal/19-2/19-2.pdf</v>
      </c>
      <c r="H969" s="42" t="str">
        <f t="shared" si="88"/>
        <v>http://dl.ndl.go.jp/info:ndljp/pid/3359260</v>
      </c>
    </row>
    <row r="970" spans="1:8" ht="30" customHeight="1" x14ac:dyDescent="0.15">
      <c r="A970" s="16" t="s">
        <v>1589</v>
      </c>
      <c r="B970" s="17" t="s">
        <v>1852</v>
      </c>
      <c r="C970" s="17" t="s">
        <v>1853</v>
      </c>
      <c r="D970" s="25" t="s">
        <v>1799</v>
      </c>
      <c r="E970" s="19" t="s">
        <v>1841</v>
      </c>
      <c r="F970" s="19" t="s">
        <v>1854</v>
      </c>
      <c r="G970" s="2" t="str">
        <f t="shared" si="87"/>
        <v>http://jsmh.umin.jp/journal/19-2/19-2.pdf</v>
      </c>
      <c r="H970" s="42" t="str">
        <f t="shared" si="88"/>
        <v>http://dl.ndl.go.jp/info:ndljp/pid/3359260</v>
      </c>
    </row>
    <row r="971" spans="1:8" ht="30" customHeight="1" x14ac:dyDescent="0.15">
      <c r="A971" s="16" t="s">
        <v>1855</v>
      </c>
      <c r="B971" s="17" t="s">
        <v>10085</v>
      </c>
      <c r="C971" s="17" t="s">
        <v>1856</v>
      </c>
      <c r="D971" s="25" t="s">
        <v>1799</v>
      </c>
      <c r="E971" s="19" t="s">
        <v>1841</v>
      </c>
      <c r="F971" s="19" t="s">
        <v>1857</v>
      </c>
      <c r="G971" s="2" t="str">
        <f t="shared" si="87"/>
        <v>http://jsmh.umin.jp/journal/19-2/19-2.pdf</v>
      </c>
      <c r="H971" s="42" t="str">
        <f t="shared" si="88"/>
        <v>http://dl.ndl.go.jp/info:ndljp/pid/3359260</v>
      </c>
    </row>
    <row r="972" spans="1:8" ht="30" customHeight="1" x14ac:dyDescent="0.15">
      <c r="A972" s="16" t="s">
        <v>1592</v>
      </c>
      <c r="B972" s="17" t="s">
        <v>1858</v>
      </c>
      <c r="C972" s="17" t="s">
        <v>1457</v>
      </c>
      <c r="D972" s="25" t="s">
        <v>1799</v>
      </c>
      <c r="E972" s="19" t="s">
        <v>1841</v>
      </c>
      <c r="F972" s="19" t="s">
        <v>1859</v>
      </c>
      <c r="G972" s="2" t="str">
        <f t="shared" si="87"/>
        <v>http://jsmh.umin.jp/journal/19-2/19-2.pdf</v>
      </c>
      <c r="H972" s="42" t="str">
        <f t="shared" si="88"/>
        <v>http://dl.ndl.go.jp/info:ndljp/pid/3359260</v>
      </c>
    </row>
    <row r="973" spans="1:8" ht="30" customHeight="1" x14ac:dyDescent="0.15">
      <c r="A973" s="16" t="s">
        <v>704</v>
      </c>
      <c r="B973" s="17" t="s">
        <v>1860</v>
      </c>
      <c r="C973" s="17" t="s">
        <v>209</v>
      </c>
      <c r="D973" s="25" t="s">
        <v>1799</v>
      </c>
      <c r="E973" s="19" t="s">
        <v>1841</v>
      </c>
      <c r="F973" s="19" t="s">
        <v>1861</v>
      </c>
      <c r="G973" s="2" t="str">
        <f t="shared" si="87"/>
        <v>http://jsmh.umin.jp/journal/19-2/19-2.pdf</v>
      </c>
      <c r="H973" s="42" t="str">
        <f t="shared" si="88"/>
        <v>http://dl.ndl.go.jp/info:ndljp/pid/3359260</v>
      </c>
    </row>
    <row r="974" spans="1:8" ht="30" customHeight="1" x14ac:dyDescent="0.15">
      <c r="A974" s="16" t="s">
        <v>704</v>
      </c>
      <c r="B974" s="17" t="s">
        <v>1862</v>
      </c>
      <c r="C974" s="17" t="s">
        <v>479</v>
      </c>
      <c r="D974" s="25" t="s">
        <v>1799</v>
      </c>
      <c r="E974" s="19" t="s">
        <v>1841</v>
      </c>
      <c r="F974" s="19" t="s">
        <v>99</v>
      </c>
      <c r="G974" s="2" t="str">
        <f t="shared" si="87"/>
        <v>http://jsmh.umin.jp/journal/19-2/19-2.pdf</v>
      </c>
      <c r="H974" s="42" t="str">
        <f t="shared" si="88"/>
        <v>http://dl.ndl.go.jp/info:ndljp/pid/3359260</v>
      </c>
    </row>
    <row r="975" spans="1:8" ht="30" customHeight="1" x14ac:dyDescent="0.15">
      <c r="A975" s="16" t="s">
        <v>704</v>
      </c>
      <c r="B975" s="17" t="s">
        <v>1862</v>
      </c>
      <c r="C975" s="17" t="s">
        <v>479</v>
      </c>
      <c r="D975" s="25" t="s">
        <v>1799</v>
      </c>
      <c r="E975" s="19" t="s">
        <v>1841</v>
      </c>
      <c r="F975" s="19" t="s">
        <v>99</v>
      </c>
      <c r="G975" s="2" t="str">
        <f t="shared" si="87"/>
        <v>http://jsmh.umin.jp/journal/19-2/19-2.pdf</v>
      </c>
      <c r="H975" s="42" t="str">
        <f t="shared" si="88"/>
        <v>http://dl.ndl.go.jp/info:ndljp/pid/3359260</v>
      </c>
    </row>
    <row r="976" spans="1:8" ht="30" customHeight="1" x14ac:dyDescent="0.15">
      <c r="A976" s="16" t="s">
        <v>704</v>
      </c>
      <c r="B976" s="17" t="s">
        <v>1863</v>
      </c>
      <c r="C976" s="17" t="s">
        <v>1864</v>
      </c>
      <c r="D976" s="25" t="s">
        <v>1799</v>
      </c>
      <c r="E976" s="19" t="s">
        <v>1841</v>
      </c>
      <c r="F976" s="19" t="s">
        <v>99</v>
      </c>
      <c r="G976" s="2" t="str">
        <f t="shared" si="87"/>
        <v>http://jsmh.umin.jp/journal/19-2/19-2.pdf</v>
      </c>
      <c r="H976" s="42" t="str">
        <f t="shared" si="88"/>
        <v>http://dl.ndl.go.jp/info:ndljp/pid/3359260</v>
      </c>
    </row>
    <row r="977" spans="1:8" ht="30" customHeight="1" x14ac:dyDescent="0.15">
      <c r="A977" s="16" t="s">
        <v>704</v>
      </c>
      <c r="B977" s="17" t="s">
        <v>1865</v>
      </c>
      <c r="C977" s="17" t="s">
        <v>57</v>
      </c>
      <c r="D977" s="25" t="s">
        <v>1799</v>
      </c>
      <c r="E977" s="19" t="s">
        <v>1841</v>
      </c>
      <c r="F977" s="19" t="s">
        <v>99</v>
      </c>
      <c r="G977" s="2" t="str">
        <f t="shared" si="87"/>
        <v>http://jsmh.umin.jp/journal/19-2/19-2.pdf</v>
      </c>
      <c r="H977" s="42" t="str">
        <f t="shared" si="88"/>
        <v>http://dl.ndl.go.jp/info:ndljp/pid/3359260</v>
      </c>
    </row>
    <row r="978" spans="1:8" ht="30" customHeight="1" x14ac:dyDescent="0.15">
      <c r="A978" s="16" t="s">
        <v>704</v>
      </c>
      <c r="B978" s="17" t="s">
        <v>1866</v>
      </c>
      <c r="C978" s="17" t="s">
        <v>444</v>
      </c>
      <c r="D978" s="25" t="s">
        <v>1799</v>
      </c>
      <c r="E978" s="19" t="s">
        <v>1841</v>
      </c>
      <c r="F978" s="19" t="s">
        <v>99</v>
      </c>
      <c r="G978" s="2" t="str">
        <f t="shared" si="87"/>
        <v>http://jsmh.umin.jp/journal/19-2/19-2.pdf</v>
      </c>
      <c r="H978" s="42" t="str">
        <f t="shared" si="88"/>
        <v>http://dl.ndl.go.jp/info:ndljp/pid/3359260</v>
      </c>
    </row>
    <row r="979" spans="1:8" ht="30" customHeight="1" x14ac:dyDescent="0.15">
      <c r="A979" s="16" t="s">
        <v>704</v>
      </c>
      <c r="B979" s="17" t="s">
        <v>1867</v>
      </c>
      <c r="C979" s="17" t="s">
        <v>372</v>
      </c>
      <c r="D979" s="25" t="s">
        <v>1799</v>
      </c>
      <c r="E979" s="19" t="s">
        <v>1841</v>
      </c>
      <c r="F979" s="19" t="s">
        <v>105</v>
      </c>
      <c r="G979" s="2" t="str">
        <f t="shared" si="87"/>
        <v>http://jsmh.umin.jp/journal/19-2/19-2.pdf</v>
      </c>
      <c r="H979" s="42" t="str">
        <f t="shared" si="88"/>
        <v>http://dl.ndl.go.jp/info:ndljp/pid/3359260</v>
      </c>
    </row>
    <row r="980" spans="1:8" ht="30" customHeight="1" x14ac:dyDescent="0.15">
      <c r="A980" s="16" t="s">
        <v>704</v>
      </c>
      <c r="B980" s="17" t="s">
        <v>1868</v>
      </c>
      <c r="C980" s="17" t="s">
        <v>18</v>
      </c>
      <c r="D980" s="25" t="s">
        <v>1799</v>
      </c>
      <c r="E980" s="19" t="s">
        <v>1841</v>
      </c>
      <c r="F980" s="19" t="s">
        <v>105</v>
      </c>
      <c r="G980" s="2" t="str">
        <f t="shared" si="87"/>
        <v>http://jsmh.umin.jp/journal/19-2/19-2.pdf</v>
      </c>
      <c r="H980" s="42" t="str">
        <f t="shared" si="88"/>
        <v>http://dl.ndl.go.jp/info:ndljp/pid/3359260</v>
      </c>
    </row>
    <row r="981" spans="1:8" ht="30" customHeight="1" x14ac:dyDescent="0.15">
      <c r="A981" s="16" t="s">
        <v>704</v>
      </c>
      <c r="B981" s="17" t="s">
        <v>1869</v>
      </c>
      <c r="C981" s="17" t="s">
        <v>830</v>
      </c>
      <c r="D981" s="25" t="s">
        <v>1799</v>
      </c>
      <c r="E981" s="19" t="s">
        <v>1841</v>
      </c>
      <c r="F981" s="19" t="s">
        <v>105</v>
      </c>
      <c r="G981" s="2" t="str">
        <f t="shared" si="87"/>
        <v>http://jsmh.umin.jp/journal/19-2/19-2.pdf</v>
      </c>
      <c r="H981" s="42" t="str">
        <f t="shared" si="88"/>
        <v>http://dl.ndl.go.jp/info:ndljp/pid/3359260</v>
      </c>
    </row>
    <row r="982" spans="1:8" ht="30" customHeight="1" x14ac:dyDescent="0.15">
      <c r="A982" s="16" t="s">
        <v>704</v>
      </c>
      <c r="B982" s="17" t="s">
        <v>1870</v>
      </c>
      <c r="C982" s="17" t="s">
        <v>24</v>
      </c>
      <c r="D982" s="25" t="s">
        <v>1799</v>
      </c>
      <c r="E982" s="19" t="s">
        <v>1841</v>
      </c>
      <c r="F982" s="19" t="s">
        <v>105</v>
      </c>
      <c r="G982" s="2" t="str">
        <f t="shared" si="87"/>
        <v>http://jsmh.umin.jp/journal/19-2/19-2.pdf</v>
      </c>
      <c r="H982" s="42" t="str">
        <f t="shared" si="88"/>
        <v>http://dl.ndl.go.jp/info:ndljp/pid/3359260</v>
      </c>
    </row>
    <row r="983" spans="1:8" ht="30" customHeight="1" x14ac:dyDescent="0.15">
      <c r="A983" s="16" t="s">
        <v>704</v>
      </c>
      <c r="B983" s="17" t="s">
        <v>1871</v>
      </c>
      <c r="C983" s="17" t="s">
        <v>57</v>
      </c>
      <c r="D983" s="25" t="s">
        <v>1799</v>
      </c>
      <c r="E983" s="19" t="s">
        <v>1841</v>
      </c>
      <c r="F983" s="19" t="s">
        <v>105</v>
      </c>
      <c r="G983" s="2" t="str">
        <f t="shared" si="87"/>
        <v>http://jsmh.umin.jp/journal/19-2/19-2.pdf</v>
      </c>
      <c r="H983" s="42" t="str">
        <f t="shared" si="88"/>
        <v>http://dl.ndl.go.jp/info:ndljp/pid/3359260</v>
      </c>
    </row>
    <row r="984" spans="1:8" ht="30" customHeight="1" x14ac:dyDescent="0.15">
      <c r="A984" s="16" t="s">
        <v>704</v>
      </c>
      <c r="B984" s="17" t="s">
        <v>1872</v>
      </c>
      <c r="C984" s="17" t="s">
        <v>209</v>
      </c>
      <c r="D984" s="25" t="s">
        <v>1799</v>
      </c>
      <c r="E984" s="19" t="s">
        <v>1841</v>
      </c>
      <c r="F984" s="19" t="s">
        <v>105</v>
      </c>
      <c r="G984" s="2" t="str">
        <f t="shared" si="87"/>
        <v>http://jsmh.umin.jp/journal/19-2/19-2.pdf</v>
      </c>
      <c r="H984" s="42" t="str">
        <f t="shared" si="88"/>
        <v>http://dl.ndl.go.jp/info:ndljp/pid/3359260</v>
      </c>
    </row>
    <row r="985" spans="1:8" ht="30" customHeight="1" x14ac:dyDescent="0.15">
      <c r="A985" s="16" t="s">
        <v>81</v>
      </c>
      <c r="B985" s="17" t="s">
        <v>1873</v>
      </c>
      <c r="C985" s="17"/>
      <c r="D985" s="25" t="s">
        <v>1799</v>
      </c>
      <c r="E985" s="19" t="s">
        <v>1841</v>
      </c>
      <c r="F985" s="19" t="s">
        <v>108</v>
      </c>
      <c r="G985" s="2" t="str">
        <f t="shared" si="87"/>
        <v>http://jsmh.umin.jp/journal/19-2/19-2.pdf</v>
      </c>
      <c r="H985" s="42" t="str">
        <f t="shared" si="88"/>
        <v>http://dl.ndl.go.jp/info:ndljp/pid/3359260</v>
      </c>
    </row>
    <row r="986" spans="1:8" ht="30" customHeight="1" x14ac:dyDescent="0.15">
      <c r="A986" s="16" t="s">
        <v>81</v>
      </c>
      <c r="B986" s="17" t="s">
        <v>1362</v>
      </c>
      <c r="C986" s="17"/>
      <c r="D986" s="25" t="s">
        <v>1799</v>
      </c>
      <c r="E986" s="19" t="s">
        <v>1841</v>
      </c>
      <c r="F986" s="19" t="s">
        <v>1874</v>
      </c>
      <c r="G986" s="2" t="str">
        <f t="shared" si="87"/>
        <v>http://jsmh.umin.jp/journal/19-2/19-2.pdf</v>
      </c>
      <c r="H986" s="42" t="str">
        <f t="shared" si="88"/>
        <v>http://dl.ndl.go.jp/info:ndljp/pid/3359260</v>
      </c>
    </row>
    <row r="987" spans="1:8" ht="30" customHeight="1" x14ac:dyDescent="0.15">
      <c r="A987" s="16" t="s">
        <v>81</v>
      </c>
      <c r="B987" s="17" t="s">
        <v>1875</v>
      </c>
      <c r="C987" s="17" t="s">
        <v>1876</v>
      </c>
      <c r="D987" s="25" t="s">
        <v>1799</v>
      </c>
      <c r="E987" s="19" t="s">
        <v>1841</v>
      </c>
      <c r="F987" s="19" t="s">
        <v>111</v>
      </c>
      <c r="G987" s="2" t="str">
        <f t="shared" si="87"/>
        <v>http://jsmh.umin.jp/journal/19-2/19-2.pdf</v>
      </c>
      <c r="H987" s="42" t="str">
        <f t="shared" si="88"/>
        <v>http://dl.ndl.go.jp/info:ndljp/pid/3359260</v>
      </c>
    </row>
    <row r="988" spans="1:8" ht="30" customHeight="1" x14ac:dyDescent="0.15">
      <c r="A988" s="16" t="s">
        <v>1236</v>
      </c>
      <c r="B988" s="17" t="s">
        <v>1877</v>
      </c>
      <c r="C988" s="17"/>
      <c r="D988" s="25" t="s">
        <v>1799</v>
      </c>
      <c r="E988" s="19" t="s">
        <v>1841</v>
      </c>
      <c r="F988" s="19" t="s">
        <v>114</v>
      </c>
      <c r="G988" s="2" t="str">
        <f t="shared" si="87"/>
        <v>http://jsmh.umin.jp/journal/19-2/19-2.pdf</v>
      </c>
      <c r="H988" s="42" t="str">
        <f t="shared" si="88"/>
        <v>http://dl.ndl.go.jp/info:ndljp/pid/3359260</v>
      </c>
    </row>
    <row r="989" spans="1:8" ht="30" customHeight="1" x14ac:dyDescent="0.15">
      <c r="A989" s="16" t="s">
        <v>1236</v>
      </c>
      <c r="B989" s="17" t="s">
        <v>1878</v>
      </c>
      <c r="C989" s="17" t="s">
        <v>76</v>
      </c>
      <c r="D989" s="25" t="s">
        <v>1799</v>
      </c>
      <c r="E989" s="19" t="s">
        <v>1841</v>
      </c>
      <c r="F989" s="19" t="s">
        <v>121</v>
      </c>
      <c r="G989" s="2" t="str">
        <f t="shared" si="87"/>
        <v>http://jsmh.umin.jp/journal/19-2/19-2.pdf</v>
      </c>
      <c r="H989" s="42" t="str">
        <f t="shared" si="88"/>
        <v>http://dl.ndl.go.jp/info:ndljp/pid/3359260</v>
      </c>
    </row>
    <row r="990" spans="1:8" ht="30" customHeight="1" x14ac:dyDescent="0.15">
      <c r="A990" s="16" t="s">
        <v>1541</v>
      </c>
      <c r="B990" s="17" t="s">
        <v>1879</v>
      </c>
      <c r="C990" s="17" t="s">
        <v>1880</v>
      </c>
      <c r="D990" s="25" t="s">
        <v>1799</v>
      </c>
      <c r="E990" s="19" t="s">
        <v>1841</v>
      </c>
      <c r="F990" s="19" t="s">
        <v>127</v>
      </c>
      <c r="G990" s="2" t="str">
        <f t="shared" si="87"/>
        <v>http://jsmh.umin.jp/journal/19-2/19-2.pdf</v>
      </c>
      <c r="H990" s="42" t="str">
        <f t="shared" si="88"/>
        <v>http://dl.ndl.go.jp/info:ndljp/pid/3359260</v>
      </c>
    </row>
    <row r="991" spans="1:8" ht="30" customHeight="1" x14ac:dyDescent="0.15">
      <c r="A991" s="16" t="s">
        <v>81</v>
      </c>
      <c r="B991" s="17" t="s">
        <v>1881</v>
      </c>
      <c r="C991" s="17"/>
      <c r="D991" s="25" t="s">
        <v>1799</v>
      </c>
      <c r="E991" s="19" t="s">
        <v>1841</v>
      </c>
      <c r="F991" s="19" t="s">
        <v>1882</v>
      </c>
      <c r="G991" s="2" t="str">
        <f t="shared" si="87"/>
        <v>http://jsmh.umin.jp/journal/19-2/19-2.pdf</v>
      </c>
      <c r="H991" s="42" t="str">
        <f t="shared" si="88"/>
        <v>http://dl.ndl.go.jp/info:ndljp/pid/3359260</v>
      </c>
    </row>
    <row r="992" spans="1:8" ht="30" customHeight="1" x14ac:dyDescent="0.15">
      <c r="A992" s="16" t="s">
        <v>17</v>
      </c>
      <c r="B992" s="17" t="s">
        <v>1883</v>
      </c>
      <c r="C992" s="17" t="s">
        <v>1884</v>
      </c>
      <c r="D992" s="25" t="s">
        <v>1799</v>
      </c>
      <c r="E992" s="19" t="s">
        <v>1841</v>
      </c>
      <c r="F992" s="19" t="s">
        <v>1885</v>
      </c>
      <c r="G992" s="2" t="str">
        <f t="shared" si="87"/>
        <v>http://jsmh.umin.jp/journal/19-2/19-2.pdf</v>
      </c>
      <c r="H992" s="42" t="str">
        <f t="shared" si="88"/>
        <v>http://dl.ndl.go.jp/info:ndljp/pid/3359260</v>
      </c>
    </row>
    <row r="993" spans="1:9" ht="30" customHeight="1" x14ac:dyDescent="0.15">
      <c r="A993" s="16" t="s">
        <v>17</v>
      </c>
      <c r="B993" s="17" t="s">
        <v>1886</v>
      </c>
      <c r="C993" s="17" t="s">
        <v>1887</v>
      </c>
      <c r="D993" s="25" t="s">
        <v>1799</v>
      </c>
      <c r="E993" s="19" t="s">
        <v>1841</v>
      </c>
      <c r="F993" s="19" t="s">
        <v>1888</v>
      </c>
      <c r="G993" s="2" t="str">
        <f t="shared" si="87"/>
        <v>http://jsmh.umin.jp/journal/19-2/19-2.pdf</v>
      </c>
      <c r="H993" s="42" t="str">
        <f t="shared" si="88"/>
        <v>http://dl.ndl.go.jp/info:ndljp/pid/3359260</v>
      </c>
    </row>
    <row r="994" spans="1:9" ht="30" customHeight="1" x14ac:dyDescent="0.15">
      <c r="A994" s="16" t="s">
        <v>91</v>
      </c>
      <c r="B994" s="17" t="s">
        <v>1889</v>
      </c>
      <c r="C994" s="17" t="s">
        <v>444</v>
      </c>
      <c r="D994" s="25" t="s">
        <v>1799</v>
      </c>
      <c r="E994" s="19" t="s">
        <v>1890</v>
      </c>
      <c r="F994" s="19" t="s">
        <v>1891</v>
      </c>
      <c r="G994" s="2" t="str">
        <f t="shared" ref="G994:G1021" si="89">HYPERLINK("http://jsmh.umin.jp/journal/19-3/19-3.pdf")</f>
        <v>http://jsmh.umin.jp/journal/19-3/19-3.pdf</v>
      </c>
      <c r="H994" s="42" t="str">
        <f t="shared" ref="H994:H1021" si="90">HYPERLINK("http://dl.ndl.go.jp/info:ndljp/pid/3359261")</f>
        <v>http://dl.ndl.go.jp/info:ndljp/pid/3359261</v>
      </c>
      <c r="I994" s="40"/>
    </row>
    <row r="995" spans="1:9" ht="30" customHeight="1" x14ac:dyDescent="0.15">
      <c r="A995" s="16" t="s">
        <v>91</v>
      </c>
      <c r="B995" s="17" t="s">
        <v>1892</v>
      </c>
      <c r="C995" s="17" t="s">
        <v>134</v>
      </c>
      <c r="D995" s="25" t="s">
        <v>1799</v>
      </c>
      <c r="E995" s="19" t="s">
        <v>1890</v>
      </c>
      <c r="F995" s="19" t="s">
        <v>1893</v>
      </c>
      <c r="G995" s="2" t="str">
        <f t="shared" si="89"/>
        <v>http://jsmh.umin.jp/journal/19-3/19-3.pdf</v>
      </c>
      <c r="H995" s="43" t="str">
        <f t="shared" si="90"/>
        <v>http://dl.ndl.go.jp/info:ndljp/pid/3359261</v>
      </c>
    </row>
    <row r="996" spans="1:9" ht="30" customHeight="1" x14ac:dyDescent="0.15">
      <c r="A996" s="16" t="s">
        <v>91</v>
      </c>
      <c r="B996" s="17" t="s">
        <v>1894</v>
      </c>
      <c r="C996" s="17" t="s">
        <v>1745</v>
      </c>
      <c r="D996" s="25" t="s">
        <v>1799</v>
      </c>
      <c r="E996" s="19" t="s">
        <v>1890</v>
      </c>
      <c r="F996" s="19" t="s">
        <v>1895</v>
      </c>
      <c r="G996" s="2" t="str">
        <f t="shared" si="89"/>
        <v>http://jsmh.umin.jp/journal/19-3/19-3.pdf</v>
      </c>
      <c r="H996" s="43" t="str">
        <f t="shared" si="90"/>
        <v>http://dl.ndl.go.jp/info:ndljp/pid/3359261</v>
      </c>
    </row>
    <row r="997" spans="1:9" ht="30" customHeight="1" x14ac:dyDescent="0.15">
      <c r="A997" s="16" t="s">
        <v>91</v>
      </c>
      <c r="B997" s="17" t="s">
        <v>1896</v>
      </c>
      <c r="C997" s="17" t="s">
        <v>1699</v>
      </c>
      <c r="D997" s="25" t="s">
        <v>1799</v>
      </c>
      <c r="E997" s="19" t="s">
        <v>1890</v>
      </c>
      <c r="F997" s="19" t="s">
        <v>1897</v>
      </c>
      <c r="G997" s="2" t="str">
        <f t="shared" si="89"/>
        <v>http://jsmh.umin.jp/journal/19-3/19-3.pdf</v>
      </c>
      <c r="H997" s="43" t="str">
        <f t="shared" si="90"/>
        <v>http://dl.ndl.go.jp/info:ndljp/pid/3359261</v>
      </c>
    </row>
    <row r="998" spans="1:9" ht="30" customHeight="1" x14ac:dyDescent="0.15">
      <c r="A998" s="16" t="s">
        <v>91</v>
      </c>
      <c r="B998" s="17" t="s">
        <v>1898</v>
      </c>
      <c r="C998" s="17" t="s">
        <v>479</v>
      </c>
      <c r="D998" s="25" t="s">
        <v>1799</v>
      </c>
      <c r="E998" s="19" t="s">
        <v>1890</v>
      </c>
      <c r="F998" s="19" t="s">
        <v>1899</v>
      </c>
      <c r="G998" s="2" t="str">
        <f t="shared" si="89"/>
        <v>http://jsmh.umin.jp/journal/19-3/19-3.pdf</v>
      </c>
      <c r="H998" s="43" t="str">
        <f t="shared" si="90"/>
        <v>http://dl.ndl.go.jp/info:ndljp/pid/3359261</v>
      </c>
    </row>
    <row r="999" spans="1:9" ht="30" customHeight="1" x14ac:dyDescent="0.15">
      <c r="A999" s="16" t="s">
        <v>91</v>
      </c>
      <c r="B999" s="17" t="s">
        <v>1900</v>
      </c>
      <c r="C999" s="17" t="s">
        <v>485</v>
      </c>
      <c r="D999" s="25" t="s">
        <v>1799</v>
      </c>
      <c r="E999" s="19" t="s">
        <v>1890</v>
      </c>
      <c r="F999" s="19" t="s">
        <v>1901</v>
      </c>
      <c r="G999" s="2" t="str">
        <f t="shared" si="89"/>
        <v>http://jsmh.umin.jp/journal/19-3/19-3.pdf</v>
      </c>
      <c r="H999" s="43" t="str">
        <f t="shared" si="90"/>
        <v>http://dl.ndl.go.jp/info:ndljp/pid/3359261</v>
      </c>
    </row>
    <row r="1000" spans="1:9" ht="30" customHeight="1" x14ac:dyDescent="0.15">
      <c r="A1000" s="16" t="s">
        <v>91</v>
      </c>
      <c r="B1000" s="17" t="s">
        <v>1902</v>
      </c>
      <c r="C1000" s="17" t="s">
        <v>925</v>
      </c>
      <c r="D1000" s="25" t="s">
        <v>1799</v>
      </c>
      <c r="E1000" s="19" t="s">
        <v>1890</v>
      </c>
      <c r="F1000" s="19" t="s">
        <v>1903</v>
      </c>
      <c r="G1000" s="2" t="str">
        <f t="shared" si="89"/>
        <v>http://jsmh.umin.jp/journal/19-3/19-3.pdf</v>
      </c>
      <c r="H1000" s="43" t="str">
        <f t="shared" si="90"/>
        <v>http://dl.ndl.go.jp/info:ndljp/pid/3359261</v>
      </c>
    </row>
    <row r="1001" spans="1:9" ht="30" customHeight="1" x14ac:dyDescent="0.15">
      <c r="A1001" s="16" t="s">
        <v>91</v>
      </c>
      <c r="B1001" s="17" t="s">
        <v>1904</v>
      </c>
      <c r="C1001" s="17" t="s">
        <v>24</v>
      </c>
      <c r="D1001" s="25" t="s">
        <v>1799</v>
      </c>
      <c r="E1001" s="19" t="s">
        <v>1890</v>
      </c>
      <c r="F1001" s="19" t="s">
        <v>1905</v>
      </c>
      <c r="G1001" s="2" t="str">
        <f t="shared" si="89"/>
        <v>http://jsmh.umin.jp/journal/19-3/19-3.pdf</v>
      </c>
      <c r="H1001" s="43" t="str">
        <f t="shared" si="90"/>
        <v>http://dl.ndl.go.jp/info:ndljp/pid/3359261</v>
      </c>
    </row>
    <row r="1002" spans="1:9" ht="30" customHeight="1" x14ac:dyDescent="0.15">
      <c r="A1002" s="16" t="s">
        <v>91</v>
      </c>
      <c r="B1002" s="17" t="s">
        <v>1906</v>
      </c>
      <c r="C1002" s="17" t="s">
        <v>1776</v>
      </c>
      <c r="D1002" s="25" t="s">
        <v>1799</v>
      </c>
      <c r="E1002" s="19" t="s">
        <v>1890</v>
      </c>
      <c r="F1002" s="19" t="s">
        <v>1907</v>
      </c>
      <c r="G1002" s="2" t="str">
        <f t="shared" si="89"/>
        <v>http://jsmh.umin.jp/journal/19-3/19-3.pdf</v>
      </c>
      <c r="H1002" s="43" t="str">
        <f t="shared" si="90"/>
        <v>http://dl.ndl.go.jp/info:ndljp/pid/3359261</v>
      </c>
    </row>
    <row r="1003" spans="1:9" ht="30" customHeight="1" x14ac:dyDescent="0.15">
      <c r="A1003" s="16" t="s">
        <v>91</v>
      </c>
      <c r="B1003" s="17" t="s">
        <v>1908</v>
      </c>
      <c r="C1003" s="17" t="s">
        <v>1909</v>
      </c>
      <c r="D1003" s="25" t="s">
        <v>1799</v>
      </c>
      <c r="E1003" s="19" t="s">
        <v>1890</v>
      </c>
      <c r="F1003" s="19" t="s">
        <v>1910</v>
      </c>
      <c r="G1003" s="2" t="str">
        <f t="shared" si="89"/>
        <v>http://jsmh.umin.jp/journal/19-3/19-3.pdf</v>
      </c>
      <c r="H1003" s="43" t="str">
        <f t="shared" si="90"/>
        <v>http://dl.ndl.go.jp/info:ndljp/pid/3359261</v>
      </c>
    </row>
    <row r="1004" spans="1:9" ht="30" customHeight="1" x14ac:dyDescent="0.15">
      <c r="A1004" s="16" t="s">
        <v>91</v>
      </c>
      <c r="B1004" s="17" t="s">
        <v>1911</v>
      </c>
      <c r="C1004" s="17" t="s">
        <v>1912</v>
      </c>
      <c r="D1004" s="25" t="s">
        <v>1799</v>
      </c>
      <c r="E1004" s="19" t="s">
        <v>1890</v>
      </c>
      <c r="F1004" s="19" t="s">
        <v>1913</v>
      </c>
      <c r="G1004" s="2" t="str">
        <f t="shared" si="89"/>
        <v>http://jsmh.umin.jp/journal/19-3/19-3.pdf</v>
      </c>
      <c r="H1004" s="43" t="str">
        <f t="shared" si="90"/>
        <v>http://dl.ndl.go.jp/info:ndljp/pid/3359261</v>
      </c>
    </row>
    <row r="1005" spans="1:9" ht="30" customHeight="1" x14ac:dyDescent="0.15">
      <c r="A1005" s="16" t="s">
        <v>91</v>
      </c>
      <c r="B1005" s="17" t="s">
        <v>1914</v>
      </c>
      <c r="C1005" s="17" t="s">
        <v>1338</v>
      </c>
      <c r="D1005" s="25" t="s">
        <v>1799</v>
      </c>
      <c r="E1005" s="19" t="s">
        <v>1890</v>
      </c>
      <c r="F1005" s="19" t="s">
        <v>1915</v>
      </c>
      <c r="G1005" s="2" t="str">
        <f t="shared" si="89"/>
        <v>http://jsmh.umin.jp/journal/19-3/19-3.pdf</v>
      </c>
      <c r="H1005" s="43" t="str">
        <f t="shared" si="90"/>
        <v>http://dl.ndl.go.jp/info:ndljp/pid/3359261</v>
      </c>
    </row>
    <row r="1006" spans="1:9" ht="30" customHeight="1" x14ac:dyDescent="0.15">
      <c r="A1006" s="16" t="s">
        <v>91</v>
      </c>
      <c r="B1006" s="17" t="s">
        <v>1916</v>
      </c>
      <c r="C1006" s="17" t="s">
        <v>1917</v>
      </c>
      <c r="D1006" s="25" t="s">
        <v>1799</v>
      </c>
      <c r="E1006" s="19" t="s">
        <v>1890</v>
      </c>
      <c r="F1006" s="19" t="s">
        <v>1918</v>
      </c>
      <c r="G1006" s="2" t="str">
        <f t="shared" si="89"/>
        <v>http://jsmh.umin.jp/journal/19-3/19-3.pdf</v>
      </c>
      <c r="H1006" s="43" t="str">
        <f t="shared" si="90"/>
        <v>http://dl.ndl.go.jp/info:ndljp/pid/3359261</v>
      </c>
    </row>
    <row r="1007" spans="1:9" ht="30" customHeight="1" x14ac:dyDescent="0.15">
      <c r="A1007" s="16" t="s">
        <v>91</v>
      </c>
      <c r="B1007" s="17" t="s">
        <v>1919</v>
      </c>
      <c r="C1007" s="17" t="s">
        <v>439</v>
      </c>
      <c r="D1007" s="25" t="s">
        <v>1799</v>
      </c>
      <c r="E1007" s="19" t="s">
        <v>1890</v>
      </c>
      <c r="F1007" s="19" t="s">
        <v>1920</v>
      </c>
      <c r="G1007" s="2" t="str">
        <f t="shared" si="89"/>
        <v>http://jsmh.umin.jp/journal/19-3/19-3.pdf</v>
      </c>
      <c r="H1007" s="43" t="str">
        <f t="shared" si="90"/>
        <v>http://dl.ndl.go.jp/info:ndljp/pid/3359261</v>
      </c>
    </row>
    <row r="1008" spans="1:9" ht="30" customHeight="1" x14ac:dyDescent="0.15">
      <c r="A1008" s="16" t="s">
        <v>91</v>
      </c>
      <c r="B1008" s="17" t="s">
        <v>1921</v>
      </c>
      <c r="C1008" s="17" t="s">
        <v>1783</v>
      </c>
      <c r="D1008" s="25" t="s">
        <v>1799</v>
      </c>
      <c r="E1008" s="19" t="s">
        <v>1890</v>
      </c>
      <c r="F1008" s="19" t="s">
        <v>1920</v>
      </c>
      <c r="G1008" s="2" t="str">
        <f t="shared" si="89"/>
        <v>http://jsmh.umin.jp/journal/19-3/19-3.pdf</v>
      </c>
      <c r="H1008" s="43" t="str">
        <f t="shared" si="90"/>
        <v>http://dl.ndl.go.jp/info:ndljp/pid/3359261</v>
      </c>
    </row>
    <row r="1009" spans="1:8" ht="30" customHeight="1" x14ac:dyDescent="0.15">
      <c r="A1009" s="16" t="s">
        <v>91</v>
      </c>
      <c r="B1009" s="17" t="s">
        <v>1922</v>
      </c>
      <c r="C1009" s="17" t="s">
        <v>1923</v>
      </c>
      <c r="D1009" s="25" t="s">
        <v>1799</v>
      </c>
      <c r="E1009" s="19" t="s">
        <v>1890</v>
      </c>
      <c r="F1009" s="19" t="s">
        <v>1047</v>
      </c>
      <c r="G1009" s="2" t="str">
        <f t="shared" si="89"/>
        <v>http://jsmh.umin.jp/journal/19-3/19-3.pdf</v>
      </c>
      <c r="H1009" s="43" t="str">
        <f t="shared" si="90"/>
        <v>http://dl.ndl.go.jp/info:ndljp/pid/3359261</v>
      </c>
    </row>
    <row r="1010" spans="1:8" ht="30" customHeight="1" x14ac:dyDescent="0.15">
      <c r="A1010" s="16" t="s">
        <v>91</v>
      </c>
      <c r="B1010" s="17" t="s">
        <v>1924</v>
      </c>
      <c r="C1010" s="17" t="s">
        <v>1925</v>
      </c>
      <c r="D1010" s="25" t="s">
        <v>1799</v>
      </c>
      <c r="E1010" s="19" t="s">
        <v>1890</v>
      </c>
      <c r="F1010" s="19" t="s">
        <v>1052</v>
      </c>
      <c r="G1010" s="2" t="str">
        <f t="shared" si="89"/>
        <v>http://jsmh.umin.jp/journal/19-3/19-3.pdf</v>
      </c>
      <c r="H1010" s="43" t="str">
        <f t="shared" si="90"/>
        <v>http://dl.ndl.go.jp/info:ndljp/pid/3359261</v>
      </c>
    </row>
    <row r="1011" spans="1:8" ht="30" customHeight="1" x14ac:dyDescent="0.15">
      <c r="A1011" s="16" t="s">
        <v>91</v>
      </c>
      <c r="B1011" s="17" t="s">
        <v>1926</v>
      </c>
      <c r="C1011" s="17" t="s">
        <v>916</v>
      </c>
      <c r="D1011" s="25" t="s">
        <v>1799</v>
      </c>
      <c r="E1011" s="19" t="s">
        <v>1890</v>
      </c>
      <c r="F1011" s="19" t="s">
        <v>1054</v>
      </c>
      <c r="G1011" s="2" t="str">
        <f t="shared" si="89"/>
        <v>http://jsmh.umin.jp/journal/19-3/19-3.pdf</v>
      </c>
      <c r="H1011" s="43" t="str">
        <f t="shared" si="90"/>
        <v>http://dl.ndl.go.jp/info:ndljp/pid/3359261</v>
      </c>
    </row>
    <row r="1012" spans="1:8" ht="30" customHeight="1" x14ac:dyDescent="0.15">
      <c r="A1012" s="16" t="s">
        <v>91</v>
      </c>
      <c r="B1012" s="17" t="s">
        <v>1927</v>
      </c>
      <c r="C1012" s="17" t="s">
        <v>963</v>
      </c>
      <c r="D1012" s="25" t="s">
        <v>1799</v>
      </c>
      <c r="E1012" s="19" t="s">
        <v>1890</v>
      </c>
      <c r="F1012" s="19" t="s">
        <v>1059</v>
      </c>
      <c r="G1012" s="2" t="str">
        <f t="shared" si="89"/>
        <v>http://jsmh.umin.jp/journal/19-3/19-3.pdf</v>
      </c>
      <c r="H1012" s="43" t="str">
        <f t="shared" si="90"/>
        <v>http://dl.ndl.go.jp/info:ndljp/pid/3359261</v>
      </c>
    </row>
    <row r="1013" spans="1:8" ht="30" customHeight="1" x14ac:dyDescent="0.15">
      <c r="A1013" s="16" t="s">
        <v>91</v>
      </c>
      <c r="B1013" s="17" t="s">
        <v>1928</v>
      </c>
      <c r="C1013" s="17" t="s">
        <v>1929</v>
      </c>
      <c r="D1013" s="25" t="s">
        <v>1799</v>
      </c>
      <c r="E1013" s="19" t="s">
        <v>1890</v>
      </c>
      <c r="F1013" s="19" t="s">
        <v>1930</v>
      </c>
      <c r="G1013" s="2" t="str">
        <f t="shared" si="89"/>
        <v>http://jsmh.umin.jp/journal/19-3/19-3.pdf</v>
      </c>
      <c r="H1013" s="43" t="str">
        <f t="shared" si="90"/>
        <v>http://dl.ndl.go.jp/info:ndljp/pid/3359261</v>
      </c>
    </row>
    <row r="1014" spans="1:8" ht="30" customHeight="1" x14ac:dyDescent="0.15">
      <c r="A1014" s="16" t="s">
        <v>91</v>
      </c>
      <c r="B1014" s="17" t="s">
        <v>1931</v>
      </c>
      <c r="C1014" s="17" t="s">
        <v>1932</v>
      </c>
      <c r="D1014" s="25" t="s">
        <v>1799</v>
      </c>
      <c r="E1014" s="19" t="s">
        <v>1890</v>
      </c>
      <c r="F1014" s="19" t="s">
        <v>1061</v>
      </c>
      <c r="G1014" s="2" t="str">
        <f t="shared" si="89"/>
        <v>http://jsmh.umin.jp/journal/19-3/19-3.pdf</v>
      </c>
      <c r="H1014" s="43" t="str">
        <f t="shared" si="90"/>
        <v>http://dl.ndl.go.jp/info:ndljp/pid/3359261</v>
      </c>
    </row>
    <row r="1015" spans="1:8" ht="30" customHeight="1" x14ac:dyDescent="0.15">
      <c r="A1015" s="16" t="s">
        <v>91</v>
      </c>
      <c r="B1015" s="17" t="s">
        <v>1933</v>
      </c>
      <c r="C1015" s="17" t="s">
        <v>1934</v>
      </c>
      <c r="D1015" s="25" t="s">
        <v>1799</v>
      </c>
      <c r="E1015" s="19" t="s">
        <v>1890</v>
      </c>
      <c r="F1015" s="19" t="s">
        <v>1068</v>
      </c>
      <c r="G1015" s="2" t="str">
        <f t="shared" si="89"/>
        <v>http://jsmh.umin.jp/journal/19-3/19-3.pdf</v>
      </c>
      <c r="H1015" s="43" t="str">
        <f t="shared" si="90"/>
        <v>http://dl.ndl.go.jp/info:ndljp/pid/3359261</v>
      </c>
    </row>
    <row r="1016" spans="1:8" ht="30" customHeight="1" x14ac:dyDescent="0.15">
      <c r="A1016" s="16" t="s">
        <v>91</v>
      </c>
      <c r="B1016" s="17" t="s">
        <v>1935</v>
      </c>
      <c r="C1016" s="17" t="s">
        <v>507</v>
      </c>
      <c r="D1016" s="25" t="s">
        <v>1799</v>
      </c>
      <c r="E1016" s="19" t="s">
        <v>1890</v>
      </c>
      <c r="F1016" s="19" t="s">
        <v>1936</v>
      </c>
      <c r="G1016" s="2" t="str">
        <f t="shared" si="89"/>
        <v>http://jsmh.umin.jp/journal/19-3/19-3.pdf</v>
      </c>
      <c r="H1016" s="43" t="str">
        <f t="shared" si="90"/>
        <v>http://dl.ndl.go.jp/info:ndljp/pid/3359261</v>
      </c>
    </row>
    <row r="1017" spans="1:8" ht="30" customHeight="1" x14ac:dyDescent="0.15">
      <c r="A1017" s="16" t="s">
        <v>91</v>
      </c>
      <c r="B1017" s="17" t="s">
        <v>1937</v>
      </c>
      <c r="C1017" s="17" t="s">
        <v>1659</v>
      </c>
      <c r="D1017" s="25" t="s">
        <v>1799</v>
      </c>
      <c r="E1017" s="19" t="s">
        <v>1890</v>
      </c>
      <c r="F1017" s="19" t="s">
        <v>1413</v>
      </c>
      <c r="G1017" s="2" t="str">
        <f t="shared" si="89"/>
        <v>http://jsmh.umin.jp/journal/19-3/19-3.pdf</v>
      </c>
      <c r="H1017" s="43" t="str">
        <f t="shared" si="90"/>
        <v>http://dl.ndl.go.jp/info:ndljp/pid/3359261</v>
      </c>
    </row>
    <row r="1018" spans="1:8" ht="30" customHeight="1" x14ac:dyDescent="0.15">
      <c r="A1018" s="16" t="s">
        <v>91</v>
      </c>
      <c r="B1018" s="17" t="s">
        <v>1938</v>
      </c>
      <c r="C1018" s="17" t="s">
        <v>1292</v>
      </c>
      <c r="D1018" s="25" t="s">
        <v>1799</v>
      </c>
      <c r="E1018" s="19" t="s">
        <v>1890</v>
      </c>
      <c r="F1018" s="19" t="s">
        <v>1939</v>
      </c>
      <c r="G1018" s="2" t="str">
        <f t="shared" si="89"/>
        <v>http://jsmh.umin.jp/journal/19-3/19-3.pdf</v>
      </c>
      <c r="H1018" s="43" t="str">
        <f t="shared" si="90"/>
        <v>http://dl.ndl.go.jp/info:ndljp/pid/3359261</v>
      </c>
    </row>
    <row r="1019" spans="1:8" ht="30" customHeight="1" x14ac:dyDescent="0.15">
      <c r="A1019" s="16" t="s">
        <v>91</v>
      </c>
      <c r="B1019" s="17" t="s">
        <v>1940</v>
      </c>
      <c r="C1019" s="17" t="s">
        <v>854</v>
      </c>
      <c r="D1019" s="25" t="s">
        <v>1799</v>
      </c>
      <c r="E1019" s="19" t="s">
        <v>1890</v>
      </c>
      <c r="F1019" s="19" t="s">
        <v>1417</v>
      </c>
      <c r="G1019" s="2" t="str">
        <f t="shared" si="89"/>
        <v>http://jsmh.umin.jp/journal/19-3/19-3.pdf</v>
      </c>
      <c r="H1019" s="43" t="str">
        <f t="shared" si="90"/>
        <v>http://dl.ndl.go.jp/info:ndljp/pid/3359261</v>
      </c>
    </row>
    <row r="1020" spans="1:8" ht="30" customHeight="1" x14ac:dyDescent="0.15">
      <c r="A1020" s="16" t="s">
        <v>91</v>
      </c>
      <c r="B1020" s="17" t="s">
        <v>1941</v>
      </c>
      <c r="C1020" s="17" t="s">
        <v>1942</v>
      </c>
      <c r="D1020" s="25" t="s">
        <v>1799</v>
      </c>
      <c r="E1020" s="19" t="s">
        <v>1890</v>
      </c>
      <c r="F1020" s="19" t="s">
        <v>1421</v>
      </c>
      <c r="G1020" s="2" t="str">
        <f t="shared" si="89"/>
        <v>http://jsmh.umin.jp/journal/19-3/19-3.pdf</v>
      </c>
      <c r="H1020" s="43" t="str">
        <f t="shared" si="90"/>
        <v>http://dl.ndl.go.jp/info:ndljp/pid/3359261</v>
      </c>
    </row>
    <row r="1021" spans="1:8" ht="30" customHeight="1" x14ac:dyDescent="0.15">
      <c r="A1021" s="16" t="s">
        <v>91</v>
      </c>
      <c r="B1021" s="17" t="s">
        <v>1943</v>
      </c>
      <c r="C1021" s="17" t="s">
        <v>1944</v>
      </c>
      <c r="D1021" s="25" t="s">
        <v>1799</v>
      </c>
      <c r="E1021" s="19" t="s">
        <v>1890</v>
      </c>
      <c r="F1021" s="19" t="s">
        <v>1945</v>
      </c>
      <c r="G1021" s="2" t="str">
        <f t="shared" si="89"/>
        <v>http://jsmh.umin.jp/journal/19-3/19-3.pdf</v>
      </c>
      <c r="H1021" s="43" t="str">
        <f t="shared" si="90"/>
        <v>http://dl.ndl.go.jp/info:ndljp/pid/3359261</v>
      </c>
    </row>
    <row r="1022" spans="1:8" ht="30" customHeight="1" x14ac:dyDescent="0.15">
      <c r="A1022" s="16" t="s">
        <v>17</v>
      </c>
      <c r="B1022" s="17" t="s">
        <v>1946</v>
      </c>
      <c r="C1022" s="17" t="s">
        <v>1846</v>
      </c>
      <c r="D1022" s="25" t="s">
        <v>1799</v>
      </c>
      <c r="E1022" s="19" t="s">
        <v>1947</v>
      </c>
      <c r="F1022" s="19" t="s">
        <v>1948</v>
      </c>
      <c r="G1022" s="2" t="str">
        <f t="shared" ref="G1022:G1050" si="91">HYPERLINK("http://jsmh.umin.jp/journal/19-4/19-4.pdf")</f>
        <v>http://jsmh.umin.jp/journal/19-4/19-4.pdf</v>
      </c>
      <c r="H1022" s="42" t="str">
        <f t="shared" ref="H1022:H1050" si="92">HYPERLINK("http://dl.ndl.go.jp/info:ndljp/pid/3359262")</f>
        <v>http://dl.ndl.go.jp/info:ndljp/pid/3359262</v>
      </c>
    </row>
    <row r="1023" spans="1:8" ht="30" customHeight="1" x14ac:dyDescent="0.15">
      <c r="A1023" s="16" t="s">
        <v>17</v>
      </c>
      <c r="B1023" s="17" t="s">
        <v>1949</v>
      </c>
      <c r="C1023" s="17" t="s">
        <v>1097</v>
      </c>
      <c r="D1023" s="25" t="s">
        <v>1799</v>
      </c>
      <c r="E1023" s="19" t="s">
        <v>1947</v>
      </c>
      <c r="F1023" s="19" t="s">
        <v>1950</v>
      </c>
      <c r="G1023" s="2" t="str">
        <f t="shared" si="91"/>
        <v>http://jsmh.umin.jp/journal/19-4/19-4.pdf</v>
      </c>
      <c r="H1023" s="43" t="str">
        <f t="shared" si="92"/>
        <v>http://dl.ndl.go.jp/info:ndljp/pid/3359262</v>
      </c>
    </row>
    <row r="1024" spans="1:8" ht="30" customHeight="1" x14ac:dyDescent="0.15">
      <c r="A1024" s="16" t="s">
        <v>17</v>
      </c>
      <c r="B1024" s="17" t="s">
        <v>10086</v>
      </c>
      <c r="C1024" s="17" t="s">
        <v>1040</v>
      </c>
      <c r="D1024" s="25" t="s">
        <v>1799</v>
      </c>
      <c r="E1024" s="19" t="s">
        <v>1947</v>
      </c>
      <c r="F1024" s="19" t="s">
        <v>1951</v>
      </c>
      <c r="G1024" s="2" t="str">
        <f t="shared" si="91"/>
        <v>http://jsmh.umin.jp/journal/19-4/19-4.pdf</v>
      </c>
      <c r="H1024" s="43" t="str">
        <f t="shared" si="92"/>
        <v>http://dl.ndl.go.jp/info:ndljp/pid/3359262</v>
      </c>
    </row>
    <row r="1025" spans="1:8" ht="30" customHeight="1" x14ac:dyDescent="0.15">
      <c r="A1025" s="16" t="s">
        <v>17</v>
      </c>
      <c r="B1025" s="17" t="s">
        <v>1952</v>
      </c>
      <c r="C1025" s="17" t="s">
        <v>790</v>
      </c>
      <c r="D1025" s="25" t="s">
        <v>1799</v>
      </c>
      <c r="E1025" s="19" t="s">
        <v>1947</v>
      </c>
      <c r="F1025" s="19" t="s">
        <v>1953</v>
      </c>
      <c r="G1025" s="2" t="str">
        <f t="shared" si="91"/>
        <v>http://jsmh.umin.jp/journal/19-4/19-4.pdf</v>
      </c>
      <c r="H1025" s="43" t="str">
        <f t="shared" si="92"/>
        <v>http://dl.ndl.go.jp/info:ndljp/pid/3359262</v>
      </c>
    </row>
    <row r="1026" spans="1:8" ht="30" customHeight="1" x14ac:dyDescent="0.15">
      <c r="A1026" s="16" t="s">
        <v>17</v>
      </c>
      <c r="B1026" s="17" t="s">
        <v>1954</v>
      </c>
      <c r="C1026" s="17" t="s">
        <v>790</v>
      </c>
      <c r="D1026" s="25" t="s">
        <v>1799</v>
      </c>
      <c r="E1026" s="19" t="s">
        <v>1947</v>
      </c>
      <c r="F1026" s="19" t="s">
        <v>1955</v>
      </c>
      <c r="G1026" s="2" t="str">
        <f t="shared" si="91"/>
        <v>http://jsmh.umin.jp/journal/19-4/19-4.pdf</v>
      </c>
      <c r="H1026" s="43" t="str">
        <f t="shared" si="92"/>
        <v>http://dl.ndl.go.jp/info:ndljp/pid/3359262</v>
      </c>
    </row>
    <row r="1027" spans="1:8" ht="30" customHeight="1" x14ac:dyDescent="0.15">
      <c r="A1027" s="16" t="s">
        <v>17</v>
      </c>
      <c r="B1027" s="17" t="s">
        <v>1956</v>
      </c>
      <c r="C1027" s="17" t="s">
        <v>18</v>
      </c>
      <c r="D1027" s="25" t="s">
        <v>1799</v>
      </c>
      <c r="E1027" s="19" t="s">
        <v>1947</v>
      </c>
      <c r="F1027" s="19" t="s">
        <v>1957</v>
      </c>
      <c r="G1027" s="2" t="str">
        <f t="shared" si="91"/>
        <v>http://jsmh.umin.jp/journal/19-4/19-4.pdf</v>
      </c>
      <c r="H1027" s="43" t="str">
        <f t="shared" si="92"/>
        <v>http://dl.ndl.go.jp/info:ndljp/pid/3359262</v>
      </c>
    </row>
    <row r="1028" spans="1:8" ht="30" customHeight="1" x14ac:dyDescent="0.15">
      <c r="A1028" s="16" t="s">
        <v>88</v>
      </c>
      <c r="B1028" s="17" t="s">
        <v>1958</v>
      </c>
      <c r="C1028" s="17" t="s">
        <v>1959</v>
      </c>
      <c r="D1028" s="25" t="s">
        <v>1799</v>
      </c>
      <c r="E1028" s="19" t="s">
        <v>1947</v>
      </c>
      <c r="F1028" s="19" t="s">
        <v>1960</v>
      </c>
      <c r="G1028" s="2" t="str">
        <f t="shared" si="91"/>
        <v>http://jsmh.umin.jp/journal/19-4/19-4.pdf</v>
      </c>
      <c r="H1028" s="43" t="str">
        <f t="shared" si="92"/>
        <v>http://dl.ndl.go.jp/info:ndljp/pid/3359262</v>
      </c>
    </row>
    <row r="1029" spans="1:8" ht="30" customHeight="1" x14ac:dyDescent="0.15">
      <c r="A1029" s="16" t="s">
        <v>88</v>
      </c>
      <c r="B1029" s="17" t="s">
        <v>1961</v>
      </c>
      <c r="C1029" s="17" t="s">
        <v>1299</v>
      </c>
      <c r="D1029" s="25" t="s">
        <v>1799</v>
      </c>
      <c r="E1029" s="19" t="s">
        <v>1947</v>
      </c>
      <c r="F1029" s="19" t="s">
        <v>1962</v>
      </c>
      <c r="G1029" s="2" t="str">
        <f t="shared" si="91"/>
        <v>http://jsmh.umin.jp/journal/19-4/19-4.pdf</v>
      </c>
      <c r="H1029" s="43" t="str">
        <f t="shared" si="92"/>
        <v>http://dl.ndl.go.jp/info:ndljp/pid/3359262</v>
      </c>
    </row>
    <row r="1030" spans="1:8" ht="30" customHeight="1" x14ac:dyDescent="0.15">
      <c r="A1030" s="16" t="s">
        <v>1589</v>
      </c>
      <c r="B1030" s="17" t="s">
        <v>1963</v>
      </c>
      <c r="C1030" s="17" t="s">
        <v>690</v>
      </c>
      <c r="D1030" s="25" t="s">
        <v>1799</v>
      </c>
      <c r="E1030" s="19" t="s">
        <v>1947</v>
      </c>
      <c r="F1030" s="19" t="s">
        <v>1964</v>
      </c>
      <c r="G1030" s="2" t="str">
        <f t="shared" si="91"/>
        <v>http://jsmh.umin.jp/journal/19-4/19-4.pdf</v>
      </c>
      <c r="H1030" s="43" t="str">
        <f t="shared" si="92"/>
        <v>http://dl.ndl.go.jp/info:ndljp/pid/3359262</v>
      </c>
    </row>
    <row r="1031" spans="1:8" ht="30" customHeight="1" x14ac:dyDescent="0.15">
      <c r="A1031" s="16" t="s">
        <v>1592</v>
      </c>
      <c r="B1031" s="17" t="s">
        <v>1965</v>
      </c>
      <c r="C1031" s="17" t="s">
        <v>1846</v>
      </c>
      <c r="D1031" s="25" t="s">
        <v>1799</v>
      </c>
      <c r="E1031" s="19" t="s">
        <v>1947</v>
      </c>
      <c r="F1031" s="19" t="s">
        <v>1966</v>
      </c>
      <c r="G1031" s="2" t="str">
        <f t="shared" si="91"/>
        <v>http://jsmh.umin.jp/journal/19-4/19-4.pdf</v>
      </c>
      <c r="H1031" s="43" t="str">
        <f t="shared" si="92"/>
        <v>http://dl.ndl.go.jp/info:ndljp/pid/3359262</v>
      </c>
    </row>
    <row r="1032" spans="1:8" ht="30" customHeight="1" x14ac:dyDescent="0.15">
      <c r="A1032" s="16" t="s">
        <v>704</v>
      </c>
      <c r="B1032" s="17" t="s">
        <v>1967</v>
      </c>
      <c r="C1032" s="17" t="s">
        <v>1457</v>
      </c>
      <c r="D1032" s="25" t="s">
        <v>1799</v>
      </c>
      <c r="E1032" s="19" t="s">
        <v>1947</v>
      </c>
      <c r="F1032" s="19" t="s">
        <v>1968</v>
      </c>
      <c r="G1032" s="2" t="str">
        <f t="shared" si="91"/>
        <v>http://jsmh.umin.jp/journal/19-4/19-4.pdf</v>
      </c>
      <c r="H1032" s="43" t="str">
        <f t="shared" si="92"/>
        <v>http://dl.ndl.go.jp/info:ndljp/pid/3359262</v>
      </c>
    </row>
    <row r="1033" spans="1:8" ht="30" customHeight="1" x14ac:dyDescent="0.15">
      <c r="A1033" s="16" t="s">
        <v>704</v>
      </c>
      <c r="B1033" s="17" t="s">
        <v>1969</v>
      </c>
      <c r="C1033" s="17" t="s">
        <v>18</v>
      </c>
      <c r="D1033" s="25" t="s">
        <v>1799</v>
      </c>
      <c r="E1033" s="19" t="s">
        <v>1947</v>
      </c>
      <c r="F1033" s="19" t="s">
        <v>1970</v>
      </c>
      <c r="G1033" s="2" t="str">
        <f t="shared" si="91"/>
        <v>http://jsmh.umin.jp/journal/19-4/19-4.pdf</v>
      </c>
      <c r="H1033" s="43" t="str">
        <f t="shared" si="92"/>
        <v>http://dl.ndl.go.jp/info:ndljp/pid/3359262</v>
      </c>
    </row>
    <row r="1034" spans="1:8" ht="30" customHeight="1" x14ac:dyDescent="0.15">
      <c r="A1034" s="16" t="s">
        <v>704</v>
      </c>
      <c r="B1034" s="17" t="s">
        <v>1971</v>
      </c>
      <c r="C1034" s="17" t="s">
        <v>1972</v>
      </c>
      <c r="D1034" s="25" t="s">
        <v>1799</v>
      </c>
      <c r="E1034" s="19" t="s">
        <v>1947</v>
      </c>
      <c r="F1034" s="19" t="s">
        <v>1970</v>
      </c>
      <c r="G1034" s="2" t="str">
        <f t="shared" si="91"/>
        <v>http://jsmh.umin.jp/journal/19-4/19-4.pdf</v>
      </c>
      <c r="H1034" s="43" t="str">
        <f t="shared" si="92"/>
        <v>http://dl.ndl.go.jp/info:ndljp/pid/3359262</v>
      </c>
    </row>
    <row r="1035" spans="1:8" ht="30" customHeight="1" x14ac:dyDescent="0.15">
      <c r="A1035" s="16" t="s">
        <v>704</v>
      </c>
      <c r="B1035" s="17" t="s">
        <v>1973</v>
      </c>
      <c r="C1035" s="17" t="s">
        <v>1846</v>
      </c>
      <c r="D1035" s="25" t="s">
        <v>1799</v>
      </c>
      <c r="E1035" s="19" t="s">
        <v>1947</v>
      </c>
      <c r="F1035" s="19" t="s">
        <v>1970</v>
      </c>
      <c r="G1035" s="2" t="str">
        <f t="shared" si="91"/>
        <v>http://jsmh.umin.jp/journal/19-4/19-4.pdf</v>
      </c>
      <c r="H1035" s="43" t="str">
        <f t="shared" si="92"/>
        <v>http://dl.ndl.go.jp/info:ndljp/pid/3359262</v>
      </c>
    </row>
    <row r="1036" spans="1:8" ht="30" customHeight="1" x14ac:dyDescent="0.15">
      <c r="A1036" s="16" t="s">
        <v>704</v>
      </c>
      <c r="B1036" s="17" t="s">
        <v>1974</v>
      </c>
      <c r="C1036" s="17" t="s">
        <v>198</v>
      </c>
      <c r="D1036" s="25" t="s">
        <v>1799</v>
      </c>
      <c r="E1036" s="19" t="s">
        <v>1947</v>
      </c>
      <c r="F1036" s="19" t="s">
        <v>1970</v>
      </c>
      <c r="G1036" s="2" t="str">
        <f t="shared" si="91"/>
        <v>http://jsmh.umin.jp/journal/19-4/19-4.pdf</v>
      </c>
      <c r="H1036" s="43" t="str">
        <f t="shared" si="92"/>
        <v>http://dl.ndl.go.jp/info:ndljp/pid/3359262</v>
      </c>
    </row>
    <row r="1037" spans="1:8" ht="30" customHeight="1" x14ac:dyDescent="0.15">
      <c r="A1037" s="16" t="s">
        <v>704</v>
      </c>
      <c r="B1037" s="17" t="s">
        <v>1975</v>
      </c>
      <c r="C1037" s="17" t="s">
        <v>1976</v>
      </c>
      <c r="D1037" s="25" t="s">
        <v>1799</v>
      </c>
      <c r="E1037" s="19" t="s">
        <v>1947</v>
      </c>
      <c r="F1037" s="19" t="s">
        <v>1970</v>
      </c>
      <c r="G1037" s="2" t="str">
        <f t="shared" si="91"/>
        <v>http://jsmh.umin.jp/journal/19-4/19-4.pdf</v>
      </c>
      <c r="H1037" s="43" t="str">
        <f t="shared" si="92"/>
        <v>http://dl.ndl.go.jp/info:ndljp/pid/3359262</v>
      </c>
    </row>
    <row r="1038" spans="1:8" ht="30" customHeight="1" x14ac:dyDescent="0.15">
      <c r="A1038" s="16" t="s">
        <v>704</v>
      </c>
      <c r="B1038" s="17" t="s">
        <v>1977</v>
      </c>
      <c r="C1038" s="17" t="s">
        <v>303</v>
      </c>
      <c r="D1038" s="25" t="s">
        <v>1799</v>
      </c>
      <c r="E1038" s="19" t="s">
        <v>1947</v>
      </c>
      <c r="F1038" s="19" t="s">
        <v>1970</v>
      </c>
      <c r="G1038" s="2" t="str">
        <f t="shared" si="91"/>
        <v>http://jsmh.umin.jp/journal/19-4/19-4.pdf</v>
      </c>
      <c r="H1038" s="43" t="str">
        <f t="shared" si="92"/>
        <v>http://dl.ndl.go.jp/info:ndljp/pid/3359262</v>
      </c>
    </row>
    <row r="1039" spans="1:8" ht="30" customHeight="1" x14ac:dyDescent="0.15">
      <c r="A1039" s="16" t="s">
        <v>704</v>
      </c>
      <c r="B1039" s="17" t="s">
        <v>1978</v>
      </c>
      <c r="C1039" s="17" t="s">
        <v>1534</v>
      </c>
      <c r="D1039" s="25" t="s">
        <v>1799</v>
      </c>
      <c r="E1039" s="19" t="s">
        <v>1947</v>
      </c>
      <c r="F1039" s="19" t="s">
        <v>1970</v>
      </c>
      <c r="G1039" s="2" t="str">
        <f t="shared" si="91"/>
        <v>http://jsmh.umin.jp/journal/19-4/19-4.pdf</v>
      </c>
      <c r="H1039" s="43" t="str">
        <f t="shared" si="92"/>
        <v>http://dl.ndl.go.jp/info:ndljp/pid/3359262</v>
      </c>
    </row>
    <row r="1040" spans="1:8" ht="30" customHeight="1" x14ac:dyDescent="0.15">
      <c r="A1040" s="16" t="s">
        <v>704</v>
      </c>
      <c r="B1040" s="17" t="s">
        <v>1979</v>
      </c>
      <c r="C1040" s="17" t="s">
        <v>690</v>
      </c>
      <c r="D1040" s="25" t="s">
        <v>1799</v>
      </c>
      <c r="E1040" s="19" t="s">
        <v>1947</v>
      </c>
      <c r="F1040" s="19" t="s">
        <v>1970</v>
      </c>
      <c r="G1040" s="2" t="str">
        <f t="shared" si="91"/>
        <v>http://jsmh.umin.jp/journal/19-4/19-4.pdf</v>
      </c>
      <c r="H1040" s="43" t="str">
        <f t="shared" si="92"/>
        <v>http://dl.ndl.go.jp/info:ndljp/pid/3359262</v>
      </c>
    </row>
    <row r="1041" spans="1:8" ht="30" customHeight="1" x14ac:dyDescent="0.15">
      <c r="A1041" s="16" t="s">
        <v>558</v>
      </c>
      <c r="B1041" s="17" t="s">
        <v>1980</v>
      </c>
      <c r="C1041" s="17"/>
      <c r="D1041" s="25" t="s">
        <v>1799</v>
      </c>
      <c r="E1041" s="19" t="s">
        <v>1947</v>
      </c>
      <c r="F1041" s="19" t="s">
        <v>1981</v>
      </c>
      <c r="G1041" s="2" t="str">
        <f t="shared" si="91"/>
        <v>http://jsmh.umin.jp/journal/19-4/19-4.pdf</v>
      </c>
      <c r="H1041" s="43" t="str">
        <f t="shared" si="92"/>
        <v>http://dl.ndl.go.jp/info:ndljp/pid/3359262</v>
      </c>
    </row>
    <row r="1042" spans="1:8" ht="30" customHeight="1" x14ac:dyDescent="0.15">
      <c r="A1042" s="16" t="s">
        <v>81</v>
      </c>
      <c r="B1042" s="17" t="s">
        <v>1982</v>
      </c>
      <c r="C1042" s="17" t="s">
        <v>1983</v>
      </c>
      <c r="D1042" s="25" t="s">
        <v>1799</v>
      </c>
      <c r="E1042" s="19" t="s">
        <v>1947</v>
      </c>
      <c r="F1042" s="19" t="s">
        <v>1984</v>
      </c>
      <c r="G1042" s="2" t="str">
        <f t="shared" si="91"/>
        <v>http://jsmh.umin.jp/journal/19-4/19-4.pdf</v>
      </c>
      <c r="H1042" s="43" t="str">
        <f t="shared" si="92"/>
        <v>http://dl.ndl.go.jp/info:ndljp/pid/3359262</v>
      </c>
    </row>
    <row r="1043" spans="1:8" ht="30" customHeight="1" x14ac:dyDescent="0.15">
      <c r="A1043" s="16" t="s">
        <v>81</v>
      </c>
      <c r="B1043" s="17" t="s">
        <v>1985</v>
      </c>
      <c r="C1043" s="17"/>
      <c r="D1043" s="25" t="s">
        <v>1799</v>
      </c>
      <c r="E1043" s="19" t="s">
        <v>1947</v>
      </c>
      <c r="F1043" s="19" t="s">
        <v>1986</v>
      </c>
      <c r="G1043" s="2" t="str">
        <f t="shared" si="91"/>
        <v>http://jsmh.umin.jp/journal/19-4/19-4.pdf</v>
      </c>
      <c r="H1043" s="43" t="str">
        <f t="shared" si="92"/>
        <v>http://dl.ndl.go.jp/info:ndljp/pid/3359262</v>
      </c>
    </row>
    <row r="1044" spans="1:8" ht="30" customHeight="1" x14ac:dyDescent="0.15">
      <c r="A1044" s="16" t="s">
        <v>81</v>
      </c>
      <c r="B1044" s="17" t="s">
        <v>1987</v>
      </c>
      <c r="C1044" s="17"/>
      <c r="D1044" s="25" t="s">
        <v>1799</v>
      </c>
      <c r="E1044" s="19" t="s">
        <v>1947</v>
      </c>
      <c r="F1044" s="19" t="s">
        <v>1988</v>
      </c>
      <c r="G1044" s="2" t="str">
        <f t="shared" si="91"/>
        <v>http://jsmh.umin.jp/journal/19-4/19-4.pdf</v>
      </c>
      <c r="H1044" s="43" t="str">
        <f t="shared" si="92"/>
        <v>http://dl.ndl.go.jp/info:ndljp/pid/3359262</v>
      </c>
    </row>
    <row r="1045" spans="1:8" ht="30" customHeight="1" x14ac:dyDescent="0.15">
      <c r="A1045" s="16" t="s">
        <v>1623</v>
      </c>
      <c r="B1045" s="17" t="s">
        <v>1989</v>
      </c>
      <c r="C1045" s="17" t="s">
        <v>1659</v>
      </c>
      <c r="D1045" s="25" t="s">
        <v>1799</v>
      </c>
      <c r="E1045" s="19" t="s">
        <v>1947</v>
      </c>
      <c r="F1045" s="19" t="s">
        <v>1990</v>
      </c>
      <c r="G1045" s="2" t="str">
        <f t="shared" si="91"/>
        <v>http://jsmh.umin.jp/journal/19-4/19-4.pdf</v>
      </c>
      <c r="H1045" s="43" t="str">
        <f t="shared" si="92"/>
        <v>http://dl.ndl.go.jp/info:ndljp/pid/3359262</v>
      </c>
    </row>
    <row r="1046" spans="1:8" ht="30" customHeight="1" x14ac:dyDescent="0.15">
      <c r="A1046" s="16" t="s">
        <v>1623</v>
      </c>
      <c r="B1046" s="17" t="s">
        <v>1991</v>
      </c>
      <c r="C1046" s="17" t="s">
        <v>830</v>
      </c>
      <c r="D1046" s="25" t="s">
        <v>1799</v>
      </c>
      <c r="E1046" s="19" t="s">
        <v>1947</v>
      </c>
      <c r="F1046" s="19" t="s">
        <v>1992</v>
      </c>
      <c r="G1046" s="2" t="str">
        <f t="shared" si="91"/>
        <v>http://jsmh.umin.jp/journal/19-4/19-4.pdf</v>
      </c>
      <c r="H1046" s="43" t="str">
        <f t="shared" si="92"/>
        <v>http://dl.ndl.go.jp/info:ndljp/pid/3359262</v>
      </c>
    </row>
    <row r="1047" spans="1:8" ht="30" customHeight="1" x14ac:dyDescent="0.15">
      <c r="A1047" s="16" t="s">
        <v>1623</v>
      </c>
      <c r="B1047" s="17" t="s">
        <v>1993</v>
      </c>
      <c r="C1047" s="17" t="s">
        <v>1994</v>
      </c>
      <c r="D1047" s="25" t="s">
        <v>1799</v>
      </c>
      <c r="E1047" s="19" t="s">
        <v>1947</v>
      </c>
      <c r="F1047" s="19" t="s">
        <v>1995</v>
      </c>
      <c r="G1047" s="2" t="str">
        <f t="shared" si="91"/>
        <v>http://jsmh.umin.jp/journal/19-4/19-4.pdf</v>
      </c>
      <c r="H1047" s="43" t="str">
        <f t="shared" si="92"/>
        <v>http://dl.ndl.go.jp/info:ndljp/pid/3359262</v>
      </c>
    </row>
    <row r="1048" spans="1:8" ht="30" customHeight="1" x14ac:dyDescent="0.15">
      <c r="A1048" s="16" t="s">
        <v>1623</v>
      </c>
      <c r="B1048" s="17" t="s">
        <v>1996</v>
      </c>
      <c r="C1048" s="17"/>
      <c r="D1048" s="25" t="s">
        <v>1799</v>
      </c>
      <c r="E1048" s="19" t="s">
        <v>1947</v>
      </c>
      <c r="F1048" s="19" t="s">
        <v>1997</v>
      </c>
      <c r="G1048" s="2" t="str">
        <f t="shared" si="91"/>
        <v>http://jsmh.umin.jp/journal/19-4/19-4.pdf</v>
      </c>
      <c r="H1048" s="43" t="str">
        <f t="shared" si="92"/>
        <v>http://dl.ndl.go.jp/info:ndljp/pid/3359262</v>
      </c>
    </row>
    <row r="1049" spans="1:8" ht="30" customHeight="1" x14ac:dyDescent="0.15">
      <c r="A1049" s="16" t="s">
        <v>81</v>
      </c>
      <c r="B1049" s="17" t="s">
        <v>1998</v>
      </c>
      <c r="C1049" s="17"/>
      <c r="D1049" s="25" t="s">
        <v>1799</v>
      </c>
      <c r="E1049" s="19" t="s">
        <v>1947</v>
      </c>
      <c r="F1049" s="19" t="s">
        <v>1999</v>
      </c>
      <c r="G1049" s="2" t="str">
        <f t="shared" si="91"/>
        <v>http://jsmh.umin.jp/journal/19-4/19-4.pdf</v>
      </c>
      <c r="H1049" s="43" t="str">
        <f t="shared" si="92"/>
        <v>http://dl.ndl.go.jp/info:ndljp/pid/3359262</v>
      </c>
    </row>
    <row r="1050" spans="1:8" ht="30" customHeight="1" x14ac:dyDescent="0.15">
      <c r="A1050" s="16" t="s">
        <v>17</v>
      </c>
      <c r="B1050" s="17" t="s">
        <v>2000</v>
      </c>
      <c r="C1050" s="17" t="s">
        <v>2001</v>
      </c>
      <c r="D1050" s="25" t="s">
        <v>1799</v>
      </c>
      <c r="E1050" s="19" t="s">
        <v>1947</v>
      </c>
      <c r="F1050" s="19" t="s">
        <v>2002</v>
      </c>
      <c r="G1050" s="2" t="str">
        <f t="shared" si="91"/>
        <v>http://jsmh.umin.jp/journal/19-4/19-4.pdf</v>
      </c>
      <c r="H1050" s="43" t="str">
        <f t="shared" si="92"/>
        <v>http://dl.ndl.go.jp/info:ndljp/pid/3359262</v>
      </c>
    </row>
    <row r="1051" spans="1:8" ht="30" customHeight="1" x14ac:dyDescent="0.15">
      <c r="A1051" s="16" t="s">
        <v>88</v>
      </c>
      <c r="B1051" s="17" t="s">
        <v>2003</v>
      </c>
      <c r="C1051" s="17" t="s">
        <v>303</v>
      </c>
      <c r="D1051" s="18" t="s">
        <v>2004</v>
      </c>
      <c r="E1051" s="19" t="s">
        <v>2005</v>
      </c>
      <c r="F1051" s="19" t="s">
        <v>2006</v>
      </c>
      <c r="G1051" s="2" t="str">
        <f t="shared" ref="G1051:G1061" si="93">HYPERLINK("http://jsmh.umin.jp/journal/20-1/20-1.pdf")</f>
        <v>http://jsmh.umin.jp/journal/20-1/20-1.pdf</v>
      </c>
      <c r="H1051" s="42" t="str">
        <f t="shared" ref="H1051:H1061" si="94">HYPERLINK("http://dl.ndl.go.jp/info:ndljp/pid/3359263")</f>
        <v>http://dl.ndl.go.jp/info:ndljp/pid/3359263</v>
      </c>
    </row>
    <row r="1052" spans="1:8" ht="30" customHeight="1" x14ac:dyDescent="0.15">
      <c r="A1052" s="16" t="s">
        <v>88</v>
      </c>
      <c r="B1052" s="17" t="s">
        <v>2007</v>
      </c>
      <c r="C1052" s="17" t="s">
        <v>18</v>
      </c>
      <c r="D1052" s="25" t="s">
        <v>2004</v>
      </c>
      <c r="E1052" s="19" t="s">
        <v>2005</v>
      </c>
      <c r="F1052" s="19" t="s">
        <v>2008</v>
      </c>
      <c r="G1052" s="2" t="str">
        <f t="shared" si="93"/>
        <v>http://jsmh.umin.jp/journal/20-1/20-1.pdf</v>
      </c>
      <c r="H1052" s="43" t="str">
        <f t="shared" si="94"/>
        <v>http://dl.ndl.go.jp/info:ndljp/pid/3359263</v>
      </c>
    </row>
    <row r="1053" spans="1:8" ht="30" customHeight="1" x14ac:dyDescent="0.15">
      <c r="A1053" s="16" t="s">
        <v>88</v>
      </c>
      <c r="B1053" s="17" t="s">
        <v>2009</v>
      </c>
      <c r="C1053" s="17" t="s">
        <v>2010</v>
      </c>
      <c r="D1053" s="25" t="s">
        <v>2004</v>
      </c>
      <c r="E1053" s="19" t="s">
        <v>2005</v>
      </c>
      <c r="F1053" s="19" t="s">
        <v>2011</v>
      </c>
      <c r="G1053" s="2" t="str">
        <f t="shared" si="93"/>
        <v>http://jsmh.umin.jp/journal/20-1/20-1.pdf</v>
      </c>
      <c r="H1053" s="43" t="str">
        <f t="shared" si="94"/>
        <v>http://dl.ndl.go.jp/info:ndljp/pid/3359263</v>
      </c>
    </row>
    <row r="1054" spans="1:8" ht="30" customHeight="1" x14ac:dyDescent="0.15">
      <c r="A1054" s="16" t="s">
        <v>88</v>
      </c>
      <c r="B1054" s="17" t="s">
        <v>2012</v>
      </c>
      <c r="C1054" s="17" t="s">
        <v>69</v>
      </c>
      <c r="D1054" s="25" t="s">
        <v>2004</v>
      </c>
      <c r="E1054" s="19" t="s">
        <v>2005</v>
      </c>
      <c r="F1054" s="19" t="s">
        <v>2013</v>
      </c>
      <c r="G1054" s="2" t="str">
        <f t="shared" si="93"/>
        <v>http://jsmh.umin.jp/journal/20-1/20-1.pdf</v>
      </c>
      <c r="H1054" s="43" t="str">
        <f t="shared" si="94"/>
        <v>http://dl.ndl.go.jp/info:ndljp/pid/3359263</v>
      </c>
    </row>
    <row r="1055" spans="1:8" ht="30" customHeight="1" x14ac:dyDescent="0.15">
      <c r="A1055" s="16" t="s">
        <v>88</v>
      </c>
      <c r="B1055" s="17" t="s">
        <v>2014</v>
      </c>
      <c r="C1055" s="17" t="s">
        <v>24</v>
      </c>
      <c r="D1055" s="25" t="s">
        <v>2004</v>
      </c>
      <c r="E1055" s="19" t="s">
        <v>2005</v>
      </c>
      <c r="F1055" s="19" t="s">
        <v>2015</v>
      </c>
      <c r="G1055" s="2" t="str">
        <f t="shared" si="93"/>
        <v>http://jsmh.umin.jp/journal/20-1/20-1.pdf</v>
      </c>
      <c r="H1055" s="43" t="str">
        <f t="shared" si="94"/>
        <v>http://dl.ndl.go.jp/info:ndljp/pid/3359263</v>
      </c>
    </row>
    <row r="1056" spans="1:8" ht="30" customHeight="1" x14ac:dyDescent="0.15">
      <c r="A1056" s="16" t="s">
        <v>88</v>
      </c>
      <c r="B1056" s="17" t="s">
        <v>2016</v>
      </c>
      <c r="C1056" s="17" t="s">
        <v>1119</v>
      </c>
      <c r="D1056" s="25" t="s">
        <v>2004</v>
      </c>
      <c r="E1056" s="19" t="s">
        <v>2005</v>
      </c>
      <c r="F1056" s="19" t="s">
        <v>2017</v>
      </c>
      <c r="G1056" s="2" t="str">
        <f t="shared" si="93"/>
        <v>http://jsmh.umin.jp/journal/20-1/20-1.pdf</v>
      </c>
      <c r="H1056" s="43" t="str">
        <f t="shared" si="94"/>
        <v>http://dl.ndl.go.jp/info:ndljp/pid/3359263</v>
      </c>
    </row>
    <row r="1057" spans="1:8" ht="30" customHeight="1" x14ac:dyDescent="0.15">
      <c r="A1057" s="16" t="s">
        <v>88</v>
      </c>
      <c r="B1057" s="17" t="s">
        <v>2018</v>
      </c>
      <c r="C1057" s="17" t="s">
        <v>1699</v>
      </c>
      <c r="D1057" s="25" t="s">
        <v>2004</v>
      </c>
      <c r="E1057" s="19" t="s">
        <v>2005</v>
      </c>
      <c r="F1057" s="19" t="s">
        <v>2019</v>
      </c>
      <c r="G1057" s="2" t="str">
        <f t="shared" si="93"/>
        <v>http://jsmh.umin.jp/journal/20-1/20-1.pdf</v>
      </c>
      <c r="H1057" s="43" t="str">
        <f t="shared" si="94"/>
        <v>http://dl.ndl.go.jp/info:ndljp/pid/3359263</v>
      </c>
    </row>
    <row r="1058" spans="1:8" ht="30" customHeight="1" x14ac:dyDescent="0.15">
      <c r="A1058" s="16" t="s">
        <v>88</v>
      </c>
      <c r="B1058" s="17" t="s">
        <v>2020</v>
      </c>
      <c r="C1058" s="17" t="s">
        <v>439</v>
      </c>
      <c r="D1058" s="25" t="s">
        <v>2004</v>
      </c>
      <c r="E1058" s="19" t="s">
        <v>2005</v>
      </c>
      <c r="F1058" s="19" t="s">
        <v>2021</v>
      </c>
      <c r="G1058" s="2" t="str">
        <f t="shared" si="93"/>
        <v>http://jsmh.umin.jp/journal/20-1/20-1.pdf</v>
      </c>
      <c r="H1058" s="43" t="str">
        <f t="shared" si="94"/>
        <v>http://dl.ndl.go.jp/info:ndljp/pid/3359263</v>
      </c>
    </row>
    <row r="1059" spans="1:8" ht="30" customHeight="1" x14ac:dyDescent="0.15">
      <c r="A1059" s="16" t="s">
        <v>81</v>
      </c>
      <c r="B1059" s="17" t="s">
        <v>10087</v>
      </c>
      <c r="C1059" s="17"/>
      <c r="D1059" s="25" t="s">
        <v>2004</v>
      </c>
      <c r="E1059" s="19" t="s">
        <v>2005</v>
      </c>
      <c r="F1059" s="19" t="s">
        <v>40</v>
      </c>
      <c r="G1059" s="2" t="str">
        <f t="shared" si="93"/>
        <v>http://jsmh.umin.jp/journal/20-1/20-1.pdf</v>
      </c>
      <c r="H1059" s="43" t="str">
        <f t="shared" si="94"/>
        <v>http://dl.ndl.go.jp/info:ndljp/pid/3359263</v>
      </c>
    </row>
    <row r="1060" spans="1:8" ht="30" customHeight="1" x14ac:dyDescent="0.15">
      <c r="A1060" s="16" t="s">
        <v>1623</v>
      </c>
      <c r="B1060" s="17" t="s">
        <v>2022</v>
      </c>
      <c r="C1060" s="17" t="s">
        <v>1645</v>
      </c>
      <c r="D1060" s="25" t="s">
        <v>2004</v>
      </c>
      <c r="E1060" s="19" t="s">
        <v>2005</v>
      </c>
      <c r="F1060" s="19" t="s">
        <v>462</v>
      </c>
      <c r="G1060" s="2" t="str">
        <f t="shared" si="93"/>
        <v>http://jsmh.umin.jp/journal/20-1/20-1.pdf</v>
      </c>
      <c r="H1060" s="43" t="str">
        <f t="shared" si="94"/>
        <v>http://dl.ndl.go.jp/info:ndljp/pid/3359263</v>
      </c>
    </row>
    <row r="1061" spans="1:8" ht="30" customHeight="1" x14ac:dyDescent="0.15">
      <c r="A1061" s="16" t="s">
        <v>88</v>
      </c>
      <c r="B1061" s="17" t="s">
        <v>2023</v>
      </c>
      <c r="C1061" s="17" t="s">
        <v>2024</v>
      </c>
      <c r="D1061" s="25" t="s">
        <v>2004</v>
      </c>
      <c r="E1061" s="19" t="s">
        <v>2005</v>
      </c>
      <c r="F1061" s="19" t="s">
        <v>2025</v>
      </c>
      <c r="G1061" s="2" t="str">
        <f t="shared" si="93"/>
        <v>http://jsmh.umin.jp/journal/20-1/20-1.pdf</v>
      </c>
      <c r="H1061" s="43" t="str">
        <f t="shared" si="94"/>
        <v>http://dl.ndl.go.jp/info:ndljp/pid/3359263</v>
      </c>
    </row>
    <row r="1062" spans="1:8" ht="30" customHeight="1" x14ac:dyDescent="0.15">
      <c r="A1062" s="16" t="s">
        <v>17</v>
      </c>
      <c r="B1062" s="17" t="s">
        <v>2026</v>
      </c>
      <c r="C1062" s="17" t="s">
        <v>18</v>
      </c>
      <c r="D1062" s="25" t="s">
        <v>2004</v>
      </c>
      <c r="E1062" s="19" t="s">
        <v>2027</v>
      </c>
      <c r="F1062" s="19" t="s">
        <v>2028</v>
      </c>
      <c r="G1062" s="2" t="str">
        <f t="shared" ref="G1062:G1081" si="95">HYPERLINK("http://jsmh.umin.jp/journal/20-2/20-2.pdf")</f>
        <v>http://jsmh.umin.jp/journal/20-2/20-2.pdf</v>
      </c>
      <c r="H1062" s="42" t="str">
        <f t="shared" ref="H1062:H1081" si="96">HYPERLINK("http://dl.ndl.go.jp/info:ndljp/pid/3359264")</f>
        <v>http://dl.ndl.go.jp/info:ndljp/pid/3359264</v>
      </c>
    </row>
    <row r="1063" spans="1:8" ht="30" customHeight="1" x14ac:dyDescent="0.15">
      <c r="A1063" s="16" t="s">
        <v>17</v>
      </c>
      <c r="B1063" s="17" t="s">
        <v>2029</v>
      </c>
      <c r="C1063" s="17" t="s">
        <v>690</v>
      </c>
      <c r="D1063" s="25" t="s">
        <v>2004</v>
      </c>
      <c r="E1063" s="19" t="s">
        <v>2027</v>
      </c>
      <c r="F1063" s="19" t="s">
        <v>2030</v>
      </c>
      <c r="G1063" s="2" t="str">
        <f t="shared" si="95"/>
        <v>http://jsmh.umin.jp/journal/20-2/20-2.pdf</v>
      </c>
      <c r="H1063" s="43" t="str">
        <f t="shared" si="96"/>
        <v>http://dl.ndl.go.jp/info:ndljp/pid/3359264</v>
      </c>
    </row>
    <row r="1064" spans="1:8" ht="30" customHeight="1" x14ac:dyDescent="0.15">
      <c r="A1064" s="16" t="s">
        <v>17</v>
      </c>
      <c r="B1064" s="17" t="s">
        <v>2031</v>
      </c>
      <c r="C1064" s="17" t="s">
        <v>1659</v>
      </c>
      <c r="D1064" s="25" t="s">
        <v>2004</v>
      </c>
      <c r="E1064" s="19" t="s">
        <v>2027</v>
      </c>
      <c r="F1064" s="19" t="s">
        <v>2032</v>
      </c>
      <c r="G1064" s="2" t="str">
        <f t="shared" si="95"/>
        <v>http://jsmh.umin.jp/journal/20-2/20-2.pdf</v>
      </c>
      <c r="H1064" s="43" t="str">
        <f t="shared" si="96"/>
        <v>http://dl.ndl.go.jp/info:ndljp/pid/3359264</v>
      </c>
    </row>
    <row r="1065" spans="1:8" ht="30" customHeight="1" x14ac:dyDescent="0.15">
      <c r="A1065" s="16" t="s">
        <v>17</v>
      </c>
      <c r="B1065" s="17" t="s">
        <v>2033</v>
      </c>
      <c r="C1065" s="17" t="s">
        <v>1803</v>
      </c>
      <c r="D1065" s="25" t="s">
        <v>2004</v>
      </c>
      <c r="E1065" s="19" t="s">
        <v>2027</v>
      </c>
      <c r="F1065" s="19" t="s">
        <v>2034</v>
      </c>
      <c r="G1065" s="2" t="str">
        <f t="shared" si="95"/>
        <v>http://jsmh.umin.jp/journal/20-2/20-2.pdf</v>
      </c>
      <c r="H1065" s="43" t="str">
        <f t="shared" si="96"/>
        <v>http://dl.ndl.go.jp/info:ndljp/pid/3359264</v>
      </c>
    </row>
    <row r="1066" spans="1:8" ht="30" customHeight="1" x14ac:dyDescent="0.15">
      <c r="A1066" s="16" t="s">
        <v>17</v>
      </c>
      <c r="B1066" s="17" t="s">
        <v>2035</v>
      </c>
      <c r="C1066" s="17" t="s">
        <v>1097</v>
      </c>
      <c r="D1066" s="25" t="s">
        <v>2004</v>
      </c>
      <c r="E1066" s="19" t="s">
        <v>2027</v>
      </c>
      <c r="F1066" s="19" t="s">
        <v>2036</v>
      </c>
      <c r="G1066" s="2" t="str">
        <f t="shared" si="95"/>
        <v>http://jsmh.umin.jp/journal/20-2/20-2.pdf</v>
      </c>
      <c r="H1066" s="43" t="str">
        <f t="shared" si="96"/>
        <v>http://dl.ndl.go.jp/info:ndljp/pid/3359264</v>
      </c>
    </row>
    <row r="1067" spans="1:8" ht="30" customHeight="1" x14ac:dyDescent="0.15">
      <c r="A1067" s="16" t="s">
        <v>17</v>
      </c>
      <c r="B1067" s="17" t="s">
        <v>2037</v>
      </c>
      <c r="C1067" s="17" t="s">
        <v>1534</v>
      </c>
      <c r="D1067" s="25" t="s">
        <v>2004</v>
      </c>
      <c r="E1067" s="19" t="s">
        <v>2027</v>
      </c>
      <c r="F1067" s="19" t="s">
        <v>2038</v>
      </c>
      <c r="G1067" s="2" t="str">
        <f t="shared" si="95"/>
        <v>http://jsmh.umin.jp/journal/20-2/20-2.pdf</v>
      </c>
      <c r="H1067" s="43" t="str">
        <f t="shared" si="96"/>
        <v>http://dl.ndl.go.jp/info:ndljp/pid/3359264</v>
      </c>
    </row>
    <row r="1068" spans="1:8" ht="30" customHeight="1" x14ac:dyDescent="0.15">
      <c r="A1068" s="16" t="s">
        <v>2039</v>
      </c>
      <c r="B1068" s="17" t="s">
        <v>2040</v>
      </c>
      <c r="C1068" s="17" t="s">
        <v>790</v>
      </c>
      <c r="D1068" s="25" t="s">
        <v>2004</v>
      </c>
      <c r="E1068" s="19" t="s">
        <v>2027</v>
      </c>
      <c r="F1068" s="19" t="s">
        <v>2041</v>
      </c>
      <c r="G1068" s="2" t="str">
        <f t="shared" si="95"/>
        <v>http://jsmh.umin.jp/journal/20-2/20-2.pdf</v>
      </c>
      <c r="H1068" s="43" t="str">
        <f t="shared" si="96"/>
        <v>http://dl.ndl.go.jp/info:ndljp/pid/3359264</v>
      </c>
    </row>
    <row r="1069" spans="1:8" ht="30" customHeight="1" x14ac:dyDescent="0.15">
      <c r="A1069" s="16" t="s">
        <v>159</v>
      </c>
      <c r="B1069" s="17" t="s">
        <v>2042</v>
      </c>
      <c r="C1069" s="17" t="s">
        <v>1769</v>
      </c>
      <c r="D1069" s="25" t="s">
        <v>2004</v>
      </c>
      <c r="E1069" s="19" t="s">
        <v>2027</v>
      </c>
      <c r="F1069" s="19" t="s">
        <v>2043</v>
      </c>
      <c r="G1069" s="2" t="str">
        <f t="shared" si="95"/>
        <v>http://jsmh.umin.jp/journal/20-2/20-2.pdf</v>
      </c>
      <c r="H1069" s="43" t="str">
        <f t="shared" si="96"/>
        <v>http://dl.ndl.go.jp/info:ndljp/pid/3359264</v>
      </c>
    </row>
    <row r="1070" spans="1:8" ht="30" customHeight="1" x14ac:dyDescent="0.15">
      <c r="A1070" s="16" t="s">
        <v>159</v>
      </c>
      <c r="B1070" s="17" t="s">
        <v>2044</v>
      </c>
      <c r="C1070" s="17" t="s">
        <v>690</v>
      </c>
      <c r="D1070" s="25" t="s">
        <v>2004</v>
      </c>
      <c r="E1070" s="19" t="s">
        <v>2027</v>
      </c>
      <c r="F1070" s="19" t="s">
        <v>2045</v>
      </c>
      <c r="G1070" s="2" t="str">
        <f t="shared" si="95"/>
        <v>http://jsmh.umin.jp/journal/20-2/20-2.pdf</v>
      </c>
      <c r="H1070" s="43" t="str">
        <f t="shared" si="96"/>
        <v>http://dl.ndl.go.jp/info:ndljp/pid/3359264</v>
      </c>
    </row>
    <row r="1071" spans="1:8" ht="30" customHeight="1" x14ac:dyDescent="0.15">
      <c r="A1071" s="16" t="s">
        <v>704</v>
      </c>
      <c r="B1071" s="17" t="s">
        <v>2046</v>
      </c>
      <c r="C1071" s="17" t="s">
        <v>444</v>
      </c>
      <c r="D1071" s="25" t="s">
        <v>2004</v>
      </c>
      <c r="E1071" s="19" t="s">
        <v>2027</v>
      </c>
      <c r="F1071" s="19" t="s">
        <v>2047</v>
      </c>
      <c r="G1071" s="2" t="str">
        <f t="shared" si="95"/>
        <v>http://jsmh.umin.jp/journal/20-2/20-2.pdf</v>
      </c>
      <c r="H1071" s="43" t="str">
        <f t="shared" si="96"/>
        <v>http://dl.ndl.go.jp/info:ndljp/pid/3359264</v>
      </c>
    </row>
    <row r="1072" spans="1:8" ht="30" customHeight="1" x14ac:dyDescent="0.15">
      <c r="A1072" s="16" t="s">
        <v>704</v>
      </c>
      <c r="B1072" s="17" t="s">
        <v>2048</v>
      </c>
      <c r="C1072" s="17" t="s">
        <v>303</v>
      </c>
      <c r="D1072" s="25" t="s">
        <v>2004</v>
      </c>
      <c r="E1072" s="19" t="s">
        <v>2027</v>
      </c>
      <c r="F1072" s="19" t="s">
        <v>2047</v>
      </c>
      <c r="G1072" s="2" t="str">
        <f t="shared" si="95"/>
        <v>http://jsmh.umin.jp/journal/20-2/20-2.pdf</v>
      </c>
      <c r="H1072" s="43" t="str">
        <f t="shared" si="96"/>
        <v>http://dl.ndl.go.jp/info:ndljp/pid/3359264</v>
      </c>
    </row>
    <row r="1073" spans="1:8" ht="30" customHeight="1" x14ac:dyDescent="0.15">
      <c r="A1073" s="16" t="s">
        <v>704</v>
      </c>
      <c r="B1073" s="17" t="s">
        <v>2049</v>
      </c>
      <c r="C1073" s="17" t="s">
        <v>18</v>
      </c>
      <c r="D1073" s="25" t="s">
        <v>2004</v>
      </c>
      <c r="E1073" s="19" t="s">
        <v>2027</v>
      </c>
      <c r="F1073" s="19" t="s">
        <v>2047</v>
      </c>
      <c r="G1073" s="2" t="str">
        <f t="shared" si="95"/>
        <v>http://jsmh.umin.jp/journal/20-2/20-2.pdf</v>
      </c>
      <c r="H1073" s="43" t="str">
        <f t="shared" si="96"/>
        <v>http://dl.ndl.go.jp/info:ndljp/pid/3359264</v>
      </c>
    </row>
    <row r="1074" spans="1:8" ht="30" customHeight="1" x14ac:dyDescent="0.15">
      <c r="A1074" s="16" t="s">
        <v>704</v>
      </c>
      <c r="B1074" s="17" t="s">
        <v>2050</v>
      </c>
      <c r="C1074" s="17" t="s">
        <v>830</v>
      </c>
      <c r="D1074" s="25" t="s">
        <v>2004</v>
      </c>
      <c r="E1074" s="19" t="s">
        <v>2027</v>
      </c>
      <c r="F1074" s="19" t="s">
        <v>2047</v>
      </c>
      <c r="G1074" s="2" t="str">
        <f t="shared" si="95"/>
        <v>http://jsmh.umin.jp/journal/20-2/20-2.pdf</v>
      </c>
      <c r="H1074" s="43" t="str">
        <f t="shared" si="96"/>
        <v>http://dl.ndl.go.jp/info:ndljp/pid/3359264</v>
      </c>
    </row>
    <row r="1075" spans="1:8" ht="30" customHeight="1" x14ac:dyDescent="0.15">
      <c r="A1075" s="16" t="s">
        <v>704</v>
      </c>
      <c r="B1075" s="17" t="s">
        <v>10088</v>
      </c>
      <c r="C1075" s="17" t="s">
        <v>198</v>
      </c>
      <c r="D1075" s="25" t="s">
        <v>2004</v>
      </c>
      <c r="E1075" s="19" t="s">
        <v>2027</v>
      </c>
      <c r="F1075" s="19" t="s">
        <v>2047</v>
      </c>
      <c r="G1075" s="2" t="str">
        <f t="shared" si="95"/>
        <v>http://jsmh.umin.jp/journal/20-2/20-2.pdf</v>
      </c>
      <c r="H1075" s="43" t="str">
        <f t="shared" si="96"/>
        <v>http://dl.ndl.go.jp/info:ndljp/pid/3359264</v>
      </c>
    </row>
    <row r="1076" spans="1:8" ht="30" customHeight="1" x14ac:dyDescent="0.15">
      <c r="A1076" s="16" t="s">
        <v>704</v>
      </c>
      <c r="B1076" s="17" t="s">
        <v>2051</v>
      </c>
      <c r="C1076" s="17" t="s">
        <v>2052</v>
      </c>
      <c r="D1076" s="25" t="s">
        <v>2004</v>
      </c>
      <c r="E1076" s="19" t="s">
        <v>2027</v>
      </c>
      <c r="F1076" s="19" t="s">
        <v>2047</v>
      </c>
      <c r="G1076" s="2" t="str">
        <f t="shared" si="95"/>
        <v>http://jsmh.umin.jp/journal/20-2/20-2.pdf</v>
      </c>
      <c r="H1076" s="43" t="str">
        <f t="shared" si="96"/>
        <v>http://dl.ndl.go.jp/info:ndljp/pid/3359264</v>
      </c>
    </row>
    <row r="1077" spans="1:8" ht="30" customHeight="1" x14ac:dyDescent="0.15">
      <c r="A1077" s="16" t="s">
        <v>704</v>
      </c>
      <c r="B1077" s="17" t="s">
        <v>2053</v>
      </c>
      <c r="C1077" s="17" t="s">
        <v>1690</v>
      </c>
      <c r="D1077" s="25" t="s">
        <v>2004</v>
      </c>
      <c r="E1077" s="19" t="s">
        <v>2027</v>
      </c>
      <c r="F1077" s="19" t="s">
        <v>2047</v>
      </c>
      <c r="G1077" s="2" t="str">
        <f t="shared" si="95"/>
        <v>http://jsmh.umin.jp/journal/20-2/20-2.pdf</v>
      </c>
      <c r="H1077" s="43" t="str">
        <f t="shared" si="96"/>
        <v>http://dl.ndl.go.jp/info:ndljp/pid/3359264</v>
      </c>
    </row>
    <row r="1078" spans="1:8" ht="30" customHeight="1" x14ac:dyDescent="0.15">
      <c r="A1078" s="16" t="s">
        <v>1623</v>
      </c>
      <c r="B1078" s="17" t="s">
        <v>2054</v>
      </c>
      <c r="C1078" s="17" t="s">
        <v>830</v>
      </c>
      <c r="D1078" s="25" t="s">
        <v>2004</v>
      </c>
      <c r="E1078" s="19" t="s">
        <v>2027</v>
      </c>
      <c r="F1078" s="19" t="s">
        <v>2055</v>
      </c>
      <c r="G1078" s="2" t="str">
        <f t="shared" si="95"/>
        <v>http://jsmh.umin.jp/journal/20-2/20-2.pdf</v>
      </c>
      <c r="H1078" s="43" t="str">
        <f t="shared" si="96"/>
        <v>http://dl.ndl.go.jp/info:ndljp/pid/3359264</v>
      </c>
    </row>
    <row r="1079" spans="1:8" ht="30" customHeight="1" x14ac:dyDescent="0.15">
      <c r="A1079" s="16" t="s">
        <v>1623</v>
      </c>
      <c r="B1079" s="17" t="s">
        <v>2056</v>
      </c>
      <c r="C1079" s="17" t="s">
        <v>1994</v>
      </c>
      <c r="D1079" s="25" t="s">
        <v>2004</v>
      </c>
      <c r="E1079" s="19" t="s">
        <v>2027</v>
      </c>
      <c r="F1079" s="19" t="s">
        <v>2057</v>
      </c>
      <c r="G1079" s="2" t="str">
        <f t="shared" si="95"/>
        <v>http://jsmh.umin.jp/journal/20-2/20-2.pdf</v>
      </c>
      <c r="H1079" s="43" t="str">
        <f t="shared" si="96"/>
        <v>http://dl.ndl.go.jp/info:ndljp/pid/3359264</v>
      </c>
    </row>
    <row r="1080" spans="1:8" ht="30" customHeight="1" x14ac:dyDescent="0.15">
      <c r="A1080" s="16" t="s">
        <v>1623</v>
      </c>
      <c r="B1080" s="17" t="s">
        <v>2058</v>
      </c>
      <c r="C1080" s="17" t="s">
        <v>1659</v>
      </c>
      <c r="D1080" s="25" t="s">
        <v>2004</v>
      </c>
      <c r="E1080" s="19" t="s">
        <v>2027</v>
      </c>
      <c r="F1080" s="19" t="s">
        <v>1723</v>
      </c>
      <c r="G1080" s="2" t="str">
        <f t="shared" si="95"/>
        <v>http://jsmh.umin.jp/journal/20-2/20-2.pdf</v>
      </c>
      <c r="H1080" s="43" t="str">
        <f t="shared" si="96"/>
        <v>http://dl.ndl.go.jp/info:ndljp/pid/3359264</v>
      </c>
    </row>
    <row r="1081" spans="1:8" ht="30" customHeight="1" x14ac:dyDescent="0.15">
      <c r="A1081" s="16" t="s">
        <v>17</v>
      </c>
      <c r="B1081" s="17" t="s">
        <v>2059</v>
      </c>
      <c r="C1081" s="17" t="s">
        <v>830</v>
      </c>
      <c r="D1081" s="25" t="s">
        <v>2004</v>
      </c>
      <c r="E1081" s="19" t="s">
        <v>2027</v>
      </c>
      <c r="F1081" s="19" t="s">
        <v>2060</v>
      </c>
      <c r="G1081" s="2" t="str">
        <f t="shared" si="95"/>
        <v>http://jsmh.umin.jp/journal/20-2/20-2.pdf</v>
      </c>
      <c r="H1081" s="43" t="str">
        <f t="shared" si="96"/>
        <v>http://dl.ndl.go.jp/info:ndljp/pid/3359264</v>
      </c>
    </row>
    <row r="1082" spans="1:8" ht="30" customHeight="1" x14ac:dyDescent="0.15">
      <c r="A1082" s="16" t="s">
        <v>91</v>
      </c>
      <c r="B1082" s="17" t="s">
        <v>2061</v>
      </c>
      <c r="C1082" s="17" t="s">
        <v>198</v>
      </c>
      <c r="D1082" s="25" t="s">
        <v>2004</v>
      </c>
      <c r="E1082" s="19" t="s">
        <v>2062</v>
      </c>
      <c r="F1082" s="19" t="s">
        <v>158</v>
      </c>
      <c r="G1082" s="2" t="str">
        <f t="shared" ref="G1082:G1116" si="97">HYPERLINK("http://jsmh.umin.jp/journal/20-3/20-3.pdf")</f>
        <v>http://jsmh.umin.jp/journal/20-3/20-3.pdf</v>
      </c>
      <c r="H1082" s="42" t="str">
        <f t="shared" ref="H1082:H1116" si="98">HYPERLINK("http://dl.ndl.go.jp/info:ndljp/pid/3359265")</f>
        <v>http://dl.ndl.go.jp/info:ndljp/pid/3359265</v>
      </c>
    </row>
    <row r="1083" spans="1:8" ht="30" customHeight="1" x14ac:dyDescent="0.15">
      <c r="A1083" s="16" t="s">
        <v>91</v>
      </c>
      <c r="B1083" s="17" t="s">
        <v>2063</v>
      </c>
      <c r="C1083" s="17" t="s">
        <v>1070</v>
      </c>
      <c r="D1083" s="25" t="s">
        <v>2004</v>
      </c>
      <c r="E1083" s="19" t="s">
        <v>2062</v>
      </c>
      <c r="F1083" s="19" t="s">
        <v>1742</v>
      </c>
      <c r="G1083" s="2" t="str">
        <f t="shared" si="97"/>
        <v>http://jsmh.umin.jp/journal/20-3/20-3.pdf</v>
      </c>
      <c r="H1083" s="43" t="str">
        <f t="shared" si="98"/>
        <v>http://dl.ndl.go.jp/info:ndljp/pid/3359265</v>
      </c>
    </row>
    <row r="1084" spans="1:8" ht="30" customHeight="1" x14ac:dyDescent="0.15">
      <c r="A1084" s="16" t="s">
        <v>91</v>
      </c>
      <c r="B1084" s="17" t="s">
        <v>2064</v>
      </c>
      <c r="C1084" s="17" t="s">
        <v>1097</v>
      </c>
      <c r="D1084" s="25" t="s">
        <v>2004</v>
      </c>
      <c r="E1084" s="19" t="s">
        <v>2062</v>
      </c>
      <c r="F1084" s="19" t="s">
        <v>1746</v>
      </c>
      <c r="G1084" s="2" t="str">
        <f t="shared" si="97"/>
        <v>http://jsmh.umin.jp/journal/20-3/20-3.pdf</v>
      </c>
      <c r="H1084" s="43" t="str">
        <f t="shared" si="98"/>
        <v>http://dl.ndl.go.jp/info:ndljp/pid/3359265</v>
      </c>
    </row>
    <row r="1085" spans="1:8" ht="30" customHeight="1" x14ac:dyDescent="0.15">
      <c r="A1085" s="16" t="s">
        <v>91</v>
      </c>
      <c r="B1085" s="17" t="s">
        <v>2065</v>
      </c>
      <c r="C1085" s="17" t="s">
        <v>1134</v>
      </c>
      <c r="D1085" s="25" t="s">
        <v>2004</v>
      </c>
      <c r="E1085" s="19" t="s">
        <v>2062</v>
      </c>
      <c r="F1085" s="19" t="s">
        <v>2066</v>
      </c>
      <c r="G1085" s="2" t="str">
        <f t="shared" si="97"/>
        <v>http://jsmh.umin.jp/journal/20-3/20-3.pdf</v>
      </c>
      <c r="H1085" s="43" t="str">
        <f t="shared" si="98"/>
        <v>http://dl.ndl.go.jp/info:ndljp/pid/3359265</v>
      </c>
    </row>
    <row r="1086" spans="1:8" ht="30" customHeight="1" x14ac:dyDescent="0.15">
      <c r="A1086" s="16" t="s">
        <v>91</v>
      </c>
      <c r="B1086" s="17" t="s">
        <v>2067</v>
      </c>
      <c r="C1086" s="17" t="s">
        <v>444</v>
      </c>
      <c r="D1086" s="25" t="s">
        <v>2004</v>
      </c>
      <c r="E1086" s="19" t="s">
        <v>2062</v>
      </c>
      <c r="F1086" s="19" t="s">
        <v>2068</v>
      </c>
      <c r="G1086" s="2" t="str">
        <f t="shared" si="97"/>
        <v>http://jsmh.umin.jp/journal/20-3/20-3.pdf</v>
      </c>
      <c r="H1086" s="43" t="str">
        <f t="shared" si="98"/>
        <v>http://dl.ndl.go.jp/info:ndljp/pid/3359265</v>
      </c>
    </row>
    <row r="1087" spans="1:8" ht="30" customHeight="1" x14ac:dyDescent="0.15">
      <c r="A1087" s="16" t="s">
        <v>91</v>
      </c>
      <c r="B1087" s="17" t="s">
        <v>2069</v>
      </c>
      <c r="C1087" s="17" t="s">
        <v>1699</v>
      </c>
      <c r="D1087" s="25" t="s">
        <v>2004</v>
      </c>
      <c r="E1087" s="19" t="s">
        <v>2062</v>
      </c>
      <c r="F1087" s="19" t="s">
        <v>261</v>
      </c>
      <c r="G1087" s="2" t="str">
        <f t="shared" si="97"/>
        <v>http://jsmh.umin.jp/journal/20-3/20-3.pdf</v>
      </c>
      <c r="H1087" s="43" t="str">
        <f t="shared" si="98"/>
        <v>http://dl.ndl.go.jp/info:ndljp/pid/3359265</v>
      </c>
    </row>
    <row r="1088" spans="1:8" ht="30" customHeight="1" x14ac:dyDescent="0.15">
      <c r="A1088" s="16" t="s">
        <v>91</v>
      </c>
      <c r="B1088" s="17" t="s">
        <v>2070</v>
      </c>
      <c r="C1088" s="17" t="s">
        <v>2071</v>
      </c>
      <c r="D1088" s="25" t="s">
        <v>2004</v>
      </c>
      <c r="E1088" s="19" t="s">
        <v>2062</v>
      </c>
      <c r="F1088" s="19" t="s">
        <v>2072</v>
      </c>
      <c r="G1088" s="2" t="str">
        <f t="shared" si="97"/>
        <v>http://jsmh.umin.jp/journal/20-3/20-3.pdf</v>
      </c>
      <c r="H1088" s="43" t="str">
        <f t="shared" si="98"/>
        <v>http://dl.ndl.go.jp/info:ndljp/pid/3359265</v>
      </c>
    </row>
    <row r="1089" spans="1:8" ht="30" customHeight="1" x14ac:dyDescent="0.15">
      <c r="A1089" s="16" t="s">
        <v>91</v>
      </c>
      <c r="B1089" s="17" t="s">
        <v>2073</v>
      </c>
      <c r="C1089" s="17" t="s">
        <v>1147</v>
      </c>
      <c r="D1089" s="25" t="s">
        <v>2004</v>
      </c>
      <c r="E1089" s="19" t="s">
        <v>2062</v>
      </c>
      <c r="F1089" s="19" t="s">
        <v>271</v>
      </c>
      <c r="G1089" s="2" t="str">
        <f t="shared" si="97"/>
        <v>http://jsmh.umin.jp/journal/20-3/20-3.pdf</v>
      </c>
      <c r="H1089" s="43" t="str">
        <f t="shared" si="98"/>
        <v>http://dl.ndl.go.jp/info:ndljp/pid/3359265</v>
      </c>
    </row>
    <row r="1090" spans="1:8" ht="30" customHeight="1" x14ac:dyDescent="0.15">
      <c r="A1090" s="16" t="s">
        <v>91</v>
      </c>
      <c r="B1090" s="17" t="s">
        <v>2074</v>
      </c>
      <c r="C1090" s="17" t="s">
        <v>2075</v>
      </c>
      <c r="D1090" s="25" t="s">
        <v>2004</v>
      </c>
      <c r="E1090" s="19" t="s">
        <v>2062</v>
      </c>
      <c r="F1090" s="19" t="s">
        <v>2076</v>
      </c>
      <c r="G1090" s="2" t="str">
        <f t="shared" si="97"/>
        <v>http://jsmh.umin.jp/journal/20-3/20-3.pdf</v>
      </c>
      <c r="H1090" s="43" t="str">
        <f t="shared" si="98"/>
        <v>http://dl.ndl.go.jp/info:ndljp/pid/3359265</v>
      </c>
    </row>
    <row r="1091" spans="1:8" ht="30" customHeight="1" x14ac:dyDescent="0.15">
      <c r="A1091" s="16" t="s">
        <v>91</v>
      </c>
      <c r="B1091" s="17" t="s">
        <v>2077</v>
      </c>
      <c r="C1091" s="17" t="s">
        <v>69</v>
      </c>
      <c r="D1091" s="25" t="s">
        <v>2004</v>
      </c>
      <c r="E1091" s="19" t="s">
        <v>2062</v>
      </c>
      <c r="F1091" s="19" t="s">
        <v>276</v>
      </c>
      <c r="G1091" s="2" t="str">
        <f t="shared" si="97"/>
        <v>http://jsmh.umin.jp/journal/20-3/20-3.pdf</v>
      </c>
      <c r="H1091" s="43" t="str">
        <f t="shared" si="98"/>
        <v>http://dl.ndl.go.jp/info:ndljp/pid/3359265</v>
      </c>
    </row>
    <row r="1092" spans="1:8" ht="30" customHeight="1" x14ac:dyDescent="0.15">
      <c r="A1092" s="16" t="s">
        <v>91</v>
      </c>
      <c r="B1092" s="17" t="s">
        <v>2078</v>
      </c>
      <c r="C1092" s="17" t="s">
        <v>134</v>
      </c>
      <c r="D1092" s="25" t="s">
        <v>2004</v>
      </c>
      <c r="E1092" s="19" t="s">
        <v>2062</v>
      </c>
      <c r="F1092" s="19" t="s">
        <v>279</v>
      </c>
      <c r="G1092" s="2" t="str">
        <f t="shared" si="97"/>
        <v>http://jsmh.umin.jp/journal/20-3/20-3.pdf</v>
      </c>
      <c r="H1092" s="43" t="str">
        <f t="shared" si="98"/>
        <v>http://dl.ndl.go.jp/info:ndljp/pid/3359265</v>
      </c>
    </row>
    <row r="1093" spans="1:8" ht="30" customHeight="1" x14ac:dyDescent="0.15">
      <c r="A1093" s="16" t="s">
        <v>91</v>
      </c>
      <c r="B1093" s="17" t="s">
        <v>2079</v>
      </c>
      <c r="C1093" s="17" t="s">
        <v>1136</v>
      </c>
      <c r="D1093" s="25" t="s">
        <v>2004</v>
      </c>
      <c r="E1093" s="19" t="s">
        <v>2062</v>
      </c>
      <c r="F1093" s="19" t="s">
        <v>283</v>
      </c>
      <c r="G1093" s="2" t="str">
        <f t="shared" si="97"/>
        <v>http://jsmh.umin.jp/journal/20-3/20-3.pdf</v>
      </c>
      <c r="H1093" s="43" t="str">
        <f t="shared" si="98"/>
        <v>http://dl.ndl.go.jp/info:ndljp/pid/3359265</v>
      </c>
    </row>
    <row r="1094" spans="1:8" ht="30" customHeight="1" x14ac:dyDescent="0.15">
      <c r="A1094" s="16" t="s">
        <v>91</v>
      </c>
      <c r="B1094" s="17" t="s">
        <v>2080</v>
      </c>
      <c r="C1094" s="17" t="s">
        <v>1338</v>
      </c>
      <c r="D1094" s="25" t="s">
        <v>2004</v>
      </c>
      <c r="E1094" s="19" t="s">
        <v>2062</v>
      </c>
      <c r="F1094" s="19" t="s">
        <v>2081</v>
      </c>
      <c r="G1094" s="2" t="str">
        <f t="shared" si="97"/>
        <v>http://jsmh.umin.jp/journal/20-3/20-3.pdf</v>
      </c>
      <c r="H1094" s="43" t="str">
        <f t="shared" si="98"/>
        <v>http://dl.ndl.go.jp/info:ndljp/pid/3359265</v>
      </c>
    </row>
    <row r="1095" spans="1:8" ht="30" customHeight="1" x14ac:dyDescent="0.15">
      <c r="A1095" s="16" t="s">
        <v>91</v>
      </c>
      <c r="B1095" s="17" t="s">
        <v>2082</v>
      </c>
      <c r="C1095" s="17" t="s">
        <v>11</v>
      </c>
      <c r="D1095" s="25" t="s">
        <v>2004</v>
      </c>
      <c r="E1095" s="19" t="s">
        <v>2062</v>
      </c>
      <c r="F1095" s="19" t="s">
        <v>2083</v>
      </c>
      <c r="G1095" s="2" t="str">
        <f t="shared" si="97"/>
        <v>http://jsmh.umin.jp/journal/20-3/20-3.pdf</v>
      </c>
      <c r="H1095" s="43" t="str">
        <f t="shared" si="98"/>
        <v>http://dl.ndl.go.jp/info:ndljp/pid/3359265</v>
      </c>
    </row>
    <row r="1096" spans="1:8" ht="30" customHeight="1" x14ac:dyDescent="0.15">
      <c r="A1096" s="16" t="s">
        <v>91</v>
      </c>
      <c r="B1096" s="17" t="s">
        <v>2061</v>
      </c>
      <c r="C1096" s="17" t="s">
        <v>198</v>
      </c>
      <c r="D1096" s="25" t="s">
        <v>2004</v>
      </c>
      <c r="E1096" s="19" t="s">
        <v>2062</v>
      </c>
      <c r="F1096" s="19" t="s">
        <v>2084</v>
      </c>
      <c r="G1096" s="2" t="str">
        <f t="shared" si="97"/>
        <v>http://jsmh.umin.jp/journal/20-3/20-3.pdf</v>
      </c>
      <c r="H1096" s="43" t="str">
        <f t="shared" si="98"/>
        <v>http://dl.ndl.go.jp/info:ndljp/pid/3359265</v>
      </c>
    </row>
    <row r="1097" spans="1:8" ht="30" customHeight="1" x14ac:dyDescent="0.15">
      <c r="A1097" s="16" t="s">
        <v>91</v>
      </c>
      <c r="B1097" s="17" t="s">
        <v>2085</v>
      </c>
      <c r="C1097" s="17" t="s">
        <v>1299</v>
      </c>
      <c r="D1097" s="25" t="s">
        <v>2004</v>
      </c>
      <c r="E1097" s="19" t="s">
        <v>2062</v>
      </c>
      <c r="F1097" s="19" t="s">
        <v>2086</v>
      </c>
      <c r="G1097" s="2" t="str">
        <f t="shared" si="97"/>
        <v>http://jsmh.umin.jp/journal/20-3/20-3.pdf</v>
      </c>
      <c r="H1097" s="43" t="str">
        <f t="shared" si="98"/>
        <v>http://dl.ndl.go.jp/info:ndljp/pid/3359265</v>
      </c>
    </row>
    <row r="1098" spans="1:8" ht="30" customHeight="1" x14ac:dyDescent="0.15">
      <c r="A1098" s="16" t="s">
        <v>91</v>
      </c>
      <c r="B1098" s="17" t="s">
        <v>2087</v>
      </c>
      <c r="C1098" s="17" t="s">
        <v>2088</v>
      </c>
      <c r="D1098" s="25" t="s">
        <v>2004</v>
      </c>
      <c r="E1098" s="19" t="s">
        <v>2062</v>
      </c>
      <c r="F1098" s="19" t="s">
        <v>2089</v>
      </c>
      <c r="G1098" s="2" t="str">
        <f t="shared" si="97"/>
        <v>http://jsmh.umin.jp/journal/20-3/20-3.pdf</v>
      </c>
      <c r="H1098" s="43" t="str">
        <f t="shared" si="98"/>
        <v>http://dl.ndl.go.jp/info:ndljp/pid/3359265</v>
      </c>
    </row>
    <row r="1099" spans="1:8" ht="30" customHeight="1" x14ac:dyDescent="0.15">
      <c r="A1099" s="16" t="s">
        <v>91</v>
      </c>
      <c r="B1099" s="17" t="s">
        <v>2090</v>
      </c>
      <c r="C1099" s="17" t="s">
        <v>57</v>
      </c>
      <c r="D1099" s="25" t="s">
        <v>2004</v>
      </c>
      <c r="E1099" s="19" t="s">
        <v>2062</v>
      </c>
      <c r="F1099" s="19" t="s">
        <v>94</v>
      </c>
      <c r="G1099" s="2" t="str">
        <f t="shared" si="97"/>
        <v>http://jsmh.umin.jp/journal/20-3/20-3.pdf</v>
      </c>
      <c r="H1099" s="43" t="str">
        <f t="shared" si="98"/>
        <v>http://dl.ndl.go.jp/info:ndljp/pid/3359265</v>
      </c>
    </row>
    <row r="1100" spans="1:8" ht="30" customHeight="1" x14ac:dyDescent="0.15">
      <c r="A1100" s="16" t="s">
        <v>91</v>
      </c>
      <c r="B1100" s="17" t="s">
        <v>2091</v>
      </c>
      <c r="C1100" s="17" t="s">
        <v>2092</v>
      </c>
      <c r="D1100" s="25" t="s">
        <v>2004</v>
      </c>
      <c r="E1100" s="19" t="s">
        <v>2062</v>
      </c>
      <c r="F1100" s="19" t="s">
        <v>2093</v>
      </c>
      <c r="G1100" s="2" t="str">
        <f t="shared" si="97"/>
        <v>http://jsmh.umin.jp/journal/20-3/20-3.pdf</v>
      </c>
      <c r="H1100" s="43" t="str">
        <f t="shared" si="98"/>
        <v>http://dl.ndl.go.jp/info:ndljp/pid/3359265</v>
      </c>
    </row>
    <row r="1101" spans="1:8" ht="30" customHeight="1" x14ac:dyDescent="0.15">
      <c r="A1101" s="16" t="s">
        <v>91</v>
      </c>
      <c r="B1101" s="17" t="s">
        <v>2094</v>
      </c>
      <c r="C1101" s="17" t="s">
        <v>2095</v>
      </c>
      <c r="D1101" s="25" t="s">
        <v>2004</v>
      </c>
      <c r="E1101" s="19" t="s">
        <v>2062</v>
      </c>
      <c r="F1101" s="19" t="s">
        <v>2096</v>
      </c>
      <c r="G1101" s="2" t="str">
        <f t="shared" si="97"/>
        <v>http://jsmh.umin.jp/journal/20-3/20-3.pdf</v>
      </c>
      <c r="H1101" s="43" t="str">
        <f t="shared" si="98"/>
        <v>http://dl.ndl.go.jp/info:ndljp/pid/3359265</v>
      </c>
    </row>
    <row r="1102" spans="1:8" ht="30" customHeight="1" x14ac:dyDescent="0.15">
      <c r="A1102" s="16" t="s">
        <v>17</v>
      </c>
      <c r="B1102" s="17" t="s">
        <v>2097</v>
      </c>
      <c r="C1102" s="17" t="s">
        <v>198</v>
      </c>
      <c r="D1102" s="25" t="s">
        <v>2004</v>
      </c>
      <c r="E1102" s="19" t="s">
        <v>2062</v>
      </c>
      <c r="F1102" s="19" t="s">
        <v>2098</v>
      </c>
      <c r="G1102" s="2" t="str">
        <f t="shared" si="97"/>
        <v>http://jsmh.umin.jp/journal/20-3/20-3.pdf</v>
      </c>
      <c r="H1102" s="43" t="str">
        <f t="shared" si="98"/>
        <v>http://dl.ndl.go.jp/info:ndljp/pid/3359265</v>
      </c>
    </row>
    <row r="1103" spans="1:8" ht="30" customHeight="1" x14ac:dyDescent="0.15">
      <c r="A1103" s="16" t="s">
        <v>17</v>
      </c>
      <c r="B1103" s="17" t="s">
        <v>2099</v>
      </c>
      <c r="C1103" s="17" t="s">
        <v>2100</v>
      </c>
      <c r="D1103" s="25" t="s">
        <v>2004</v>
      </c>
      <c r="E1103" s="19" t="s">
        <v>2062</v>
      </c>
      <c r="F1103" s="19" t="s">
        <v>2101</v>
      </c>
      <c r="G1103" s="2" t="str">
        <f t="shared" si="97"/>
        <v>http://jsmh.umin.jp/journal/20-3/20-3.pdf</v>
      </c>
      <c r="H1103" s="43" t="str">
        <f t="shared" si="98"/>
        <v>http://dl.ndl.go.jp/info:ndljp/pid/3359265</v>
      </c>
    </row>
    <row r="1104" spans="1:8" ht="30" customHeight="1" x14ac:dyDescent="0.15">
      <c r="A1104" s="16" t="s">
        <v>17</v>
      </c>
      <c r="B1104" s="17" t="s">
        <v>2102</v>
      </c>
      <c r="C1104" s="17" t="s">
        <v>1659</v>
      </c>
      <c r="D1104" s="25" t="s">
        <v>2004</v>
      </c>
      <c r="E1104" s="19" t="s">
        <v>2062</v>
      </c>
      <c r="F1104" s="19" t="s">
        <v>2103</v>
      </c>
      <c r="G1104" s="2" t="str">
        <f t="shared" si="97"/>
        <v>http://jsmh.umin.jp/journal/20-3/20-3.pdf</v>
      </c>
      <c r="H1104" s="43" t="str">
        <f t="shared" si="98"/>
        <v>http://dl.ndl.go.jp/info:ndljp/pid/3359265</v>
      </c>
    </row>
    <row r="1105" spans="1:8" ht="30" customHeight="1" x14ac:dyDescent="0.15">
      <c r="A1105" s="16" t="s">
        <v>17</v>
      </c>
      <c r="B1105" s="17" t="s">
        <v>2104</v>
      </c>
      <c r="C1105" s="17" t="s">
        <v>690</v>
      </c>
      <c r="D1105" s="25" t="s">
        <v>2004</v>
      </c>
      <c r="E1105" s="19" t="s">
        <v>2062</v>
      </c>
      <c r="F1105" s="19" t="s">
        <v>2105</v>
      </c>
      <c r="G1105" s="2" t="str">
        <f t="shared" si="97"/>
        <v>http://jsmh.umin.jp/journal/20-3/20-3.pdf</v>
      </c>
      <c r="H1105" s="43" t="str">
        <f t="shared" si="98"/>
        <v>http://dl.ndl.go.jp/info:ndljp/pid/3359265</v>
      </c>
    </row>
    <row r="1106" spans="1:8" ht="30" customHeight="1" x14ac:dyDescent="0.15">
      <c r="A1106" s="16" t="s">
        <v>17</v>
      </c>
      <c r="B1106" s="17" t="s">
        <v>2106</v>
      </c>
      <c r="C1106" s="17" t="s">
        <v>1097</v>
      </c>
      <c r="D1106" s="25" t="s">
        <v>2004</v>
      </c>
      <c r="E1106" s="19" t="s">
        <v>2062</v>
      </c>
      <c r="F1106" s="19" t="s">
        <v>2107</v>
      </c>
      <c r="G1106" s="2" t="str">
        <f t="shared" si="97"/>
        <v>http://jsmh.umin.jp/journal/20-3/20-3.pdf</v>
      </c>
      <c r="H1106" s="43" t="str">
        <f t="shared" si="98"/>
        <v>http://dl.ndl.go.jp/info:ndljp/pid/3359265</v>
      </c>
    </row>
    <row r="1107" spans="1:8" ht="30" customHeight="1" x14ac:dyDescent="0.15">
      <c r="A1107" s="16" t="s">
        <v>704</v>
      </c>
      <c r="B1107" s="17" t="s">
        <v>2108</v>
      </c>
      <c r="C1107" s="17" t="s">
        <v>2109</v>
      </c>
      <c r="D1107" s="25" t="s">
        <v>2004</v>
      </c>
      <c r="E1107" s="19" t="s">
        <v>2062</v>
      </c>
      <c r="F1107" s="19" t="s">
        <v>2110</v>
      </c>
      <c r="G1107" s="2" t="str">
        <f t="shared" si="97"/>
        <v>http://jsmh.umin.jp/journal/20-3/20-3.pdf</v>
      </c>
      <c r="H1107" s="43" t="str">
        <f t="shared" si="98"/>
        <v>http://dl.ndl.go.jp/info:ndljp/pid/3359265</v>
      </c>
    </row>
    <row r="1108" spans="1:8" ht="30" customHeight="1" x14ac:dyDescent="0.15">
      <c r="A1108" s="16" t="s">
        <v>704</v>
      </c>
      <c r="B1108" s="17" t="s">
        <v>2111</v>
      </c>
      <c r="C1108" s="17" t="s">
        <v>365</v>
      </c>
      <c r="D1108" s="25" t="s">
        <v>2004</v>
      </c>
      <c r="E1108" s="19" t="s">
        <v>2062</v>
      </c>
      <c r="F1108" s="19" t="s">
        <v>2110</v>
      </c>
      <c r="G1108" s="2" t="str">
        <f t="shared" si="97"/>
        <v>http://jsmh.umin.jp/journal/20-3/20-3.pdf</v>
      </c>
      <c r="H1108" s="43" t="str">
        <f t="shared" si="98"/>
        <v>http://dl.ndl.go.jp/info:ndljp/pid/3359265</v>
      </c>
    </row>
    <row r="1109" spans="1:8" ht="30" customHeight="1" x14ac:dyDescent="0.15">
      <c r="A1109" s="16" t="s">
        <v>704</v>
      </c>
      <c r="B1109" s="17" t="s">
        <v>2112</v>
      </c>
      <c r="C1109" s="17" t="s">
        <v>1781</v>
      </c>
      <c r="D1109" s="25" t="s">
        <v>2004</v>
      </c>
      <c r="E1109" s="19" t="s">
        <v>2062</v>
      </c>
      <c r="F1109" s="19" t="s">
        <v>2110</v>
      </c>
      <c r="G1109" s="2" t="str">
        <f t="shared" si="97"/>
        <v>http://jsmh.umin.jp/journal/20-3/20-3.pdf</v>
      </c>
      <c r="H1109" s="43" t="str">
        <f t="shared" si="98"/>
        <v>http://dl.ndl.go.jp/info:ndljp/pid/3359265</v>
      </c>
    </row>
    <row r="1110" spans="1:8" ht="30" customHeight="1" x14ac:dyDescent="0.15">
      <c r="A1110" s="16" t="s">
        <v>704</v>
      </c>
      <c r="B1110" s="17" t="s">
        <v>2113</v>
      </c>
      <c r="C1110" s="17" t="s">
        <v>2114</v>
      </c>
      <c r="D1110" s="25" t="s">
        <v>2004</v>
      </c>
      <c r="E1110" s="19" t="s">
        <v>2062</v>
      </c>
      <c r="F1110" s="19" t="s">
        <v>2110</v>
      </c>
      <c r="G1110" s="2" t="str">
        <f t="shared" si="97"/>
        <v>http://jsmh.umin.jp/journal/20-3/20-3.pdf</v>
      </c>
      <c r="H1110" s="43" t="str">
        <f t="shared" si="98"/>
        <v>http://dl.ndl.go.jp/info:ndljp/pid/3359265</v>
      </c>
    </row>
    <row r="1111" spans="1:8" ht="30" customHeight="1" x14ac:dyDescent="0.15">
      <c r="A1111" s="16" t="s">
        <v>704</v>
      </c>
      <c r="B1111" s="17" t="s">
        <v>2115</v>
      </c>
      <c r="C1111" s="17" t="s">
        <v>2116</v>
      </c>
      <c r="D1111" s="25" t="s">
        <v>2004</v>
      </c>
      <c r="E1111" s="19" t="s">
        <v>2062</v>
      </c>
      <c r="F1111" s="19" t="s">
        <v>2110</v>
      </c>
      <c r="G1111" s="2" t="str">
        <f t="shared" si="97"/>
        <v>http://jsmh.umin.jp/journal/20-3/20-3.pdf</v>
      </c>
      <c r="H1111" s="43" t="str">
        <f t="shared" si="98"/>
        <v>http://dl.ndl.go.jp/info:ndljp/pid/3359265</v>
      </c>
    </row>
    <row r="1112" spans="1:8" ht="30" customHeight="1" x14ac:dyDescent="0.15">
      <c r="A1112" s="16" t="s">
        <v>704</v>
      </c>
      <c r="B1112" s="17" t="s">
        <v>2117</v>
      </c>
      <c r="C1112" s="17" t="s">
        <v>2118</v>
      </c>
      <c r="D1112" s="25" t="s">
        <v>2004</v>
      </c>
      <c r="E1112" s="19" t="s">
        <v>2062</v>
      </c>
      <c r="F1112" s="19" t="s">
        <v>2110</v>
      </c>
      <c r="G1112" s="2" t="str">
        <f t="shared" si="97"/>
        <v>http://jsmh.umin.jp/journal/20-3/20-3.pdf</v>
      </c>
      <c r="H1112" s="43" t="str">
        <f t="shared" si="98"/>
        <v>http://dl.ndl.go.jp/info:ndljp/pid/3359265</v>
      </c>
    </row>
    <row r="1113" spans="1:8" ht="30" customHeight="1" x14ac:dyDescent="0.15">
      <c r="A1113" s="16" t="s">
        <v>704</v>
      </c>
      <c r="B1113" s="17" t="s">
        <v>2119</v>
      </c>
      <c r="C1113" s="17" t="s">
        <v>18</v>
      </c>
      <c r="D1113" s="25" t="s">
        <v>2004</v>
      </c>
      <c r="E1113" s="19" t="s">
        <v>2062</v>
      </c>
      <c r="F1113" s="19" t="s">
        <v>2110</v>
      </c>
      <c r="G1113" s="2" t="str">
        <f t="shared" si="97"/>
        <v>http://jsmh.umin.jp/journal/20-3/20-3.pdf</v>
      </c>
      <c r="H1113" s="43" t="str">
        <f t="shared" si="98"/>
        <v>http://dl.ndl.go.jp/info:ndljp/pid/3359265</v>
      </c>
    </row>
    <row r="1114" spans="1:8" ht="30" customHeight="1" x14ac:dyDescent="0.15">
      <c r="A1114" s="16" t="s">
        <v>1623</v>
      </c>
      <c r="B1114" s="17" t="s">
        <v>2120</v>
      </c>
      <c r="C1114" s="17" t="s">
        <v>830</v>
      </c>
      <c r="D1114" s="25" t="s">
        <v>2004</v>
      </c>
      <c r="E1114" s="19" t="s">
        <v>2062</v>
      </c>
      <c r="F1114" s="19" t="s">
        <v>1913</v>
      </c>
      <c r="G1114" s="2" t="str">
        <f t="shared" si="97"/>
        <v>http://jsmh.umin.jp/journal/20-3/20-3.pdf</v>
      </c>
      <c r="H1114" s="43" t="str">
        <f t="shared" si="98"/>
        <v>http://dl.ndl.go.jp/info:ndljp/pid/3359265</v>
      </c>
    </row>
    <row r="1115" spans="1:8" ht="30" customHeight="1" x14ac:dyDescent="0.15">
      <c r="A1115" s="16" t="s">
        <v>1623</v>
      </c>
      <c r="B1115" s="17" t="s">
        <v>2121</v>
      </c>
      <c r="C1115" s="17" t="s">
        <v>1994</v>
      </c>
      <c r="D1115" s="25" t="s">
        <v>2004</v>
      </c>
      <c r="E1115" s="19" t="s">
        <v>2062</v>
      </c>
      <c r="F1115" s="19" t="s">
        <v>2122</v>
      </c>
      <c r="G1115" s="2" t="str">
        <f t="shared" si="97"/>
        <v>http://jsmh.umin.jp/journal/20-3/20-3.pdf</v>
      </c>
      <c r="H1115" s="43" t="str">
        <f t="shared" si="98"/>
        <v>http://dl.ndl.go.jp/info:ndljp/pid/3359265</v>
      </c>
    </row>
    <row r="1116" spans="1:8" ht="30" customHeight="1" x14ac:dyDescent="0.15">
      <c r="A1116" s="16" t="s">
        <v>1623</v>
      </c>
      <c r="B1116" s="17" t="s">
        <v>2123</v>
      </c>
      <c r="C1116" s="17" t="s">
        <v>1783</v>
      </c>
      <c r="D1116" s="25" t="s">
        <v>2004</v>
      </c>
      <c r="E1116" s="19" t="s">
        <v>2062</v>
      </c>
      <c r="F1116" s="19" t="s">
        <v>1915</v>
      </c>
      <c r="G1116" s="2" t="str">
        <f t="shared" si="97"/>
        <v>http://jsmh.umin.jp/journal/20-3/20-3.pdf</v>
      </c>
      <c r="H1116" s="43" t="str">
        <f t="shared" si="98"/>
        <v>http://dl.ndl.go.jp/info:ndljp/pid/3359265</v>
      </c>
    </row>
    <row r="1117" spans="1:8" ht="30" customHeight="1" x14ac:dyDescent="0.15">
      <c r="A1117" s="16" t="s">
        <v>17</v>
      </c>
      <c r="B1117" s="17" t="s">
        <v>2124</v>
      </c>
      <c r="C1117" s="17" t="s">
        <v>507</v>
      </c>
      <c r="D1117" s="25" t="s">
        <v>2004</v>
      </c>
      <c r="E1117" s="19" t="s">
        <v>2125</v>
      </c>
      <c r="F1117" s="19" t="s">
        <v>2126</v>
      </c>
      <c r="G1117" s="2" t="str">
        <f t="shared" ref="G1117:G1129" si="99">HYPERLINK("http://jsmh.umin.jp/journal/20-4/20-4.pdf")</f>
        <v>http://jsmh.umin.jp/journal/20-4/20-4.pdf</v>
      </c>
      <c r="H1117" s="42" t="str">
        <f t="shared" ref="H1117:H1129" si="100">HYPERLINK("http://dl.ndl.go.jp/info:ndljp/pid/3359266")</f>
        <v>http://dl.ndl.go.jp/info:ndljp/pid/3359266</v>
      </c>
    </row>
    <row r="1118" spans="1:8" ht="30" customHeight="1" x14ac:dyDescent="0.15">
      <c r="A1118" s="16" t="s">
        <v>17</v>
      </c>
      <c r="B1118" s="17" t="s">
        <v>2127</v>
      </c>
      <c r="C1118" s="17" t="s">
        <v>1781</v>
      </c>
      <c r="D1118" s="25" t="s">
        <v>2004</v>
      </c>
      <c r="E1118" s="19" t="s">
        <v>2125</v>
      </c>
      <c r="F1118" s="19" t="s">
        <v>2128</v>
      </c>
      <c r="G1118" s="2" t="str">
        <f t="shared" si="99"/>
        <v>http://jsmh.umin.jp/journal/20-4/20-4.pdf</v>
      </c>
      <c r="H1118" s="43" t="str">
        <f t="shared" si="100"/>
        <v>http://dl.ndl.go.jp/info:ndljp/pid/3359266</v>
      </c>
    </row>
    <row r="1119" spans="1:8" ht="30" customHeight="1" x14ac:dyDescent="0.15">
      <c r="A1119" s="16" t="s">
        <v>17</v>
      </c>
      <c r="B1119" s="17" t="s">
        <v>2129</v>
      </c>
      <c r="C1119" s="17" t="s">
        <v>1923</v>
      </c>
      <c r="D1119" s="25" t="s">
        <v>2004</v>
      </c>
      <c r="E1119" s="19" t="s">
        <v>2125</v>
      </c>
      <c r="F1119" s="19" t="s">
        <v>2130</v>
      </c>
      <c r="G1119" s="2" t="str">
        <f t="shared" si="99"/>
        <v>http://jsmh.umin.jp/journal/20-4/20-4.pdf</v>
      </c>
      <c r="H1119" s="43" t="str">
        <f t="shared" si="100"/>
        <v>http://dl.ndl.go.jp/info:ndljp/pid/3359266</v>
      </c>
    </row>
    <row r="1120" spans="1:8" ht="30" customHeight="1" x14ac:dyDescent="0.15">
      <c r="A1120" s="16" t="s">
        <v>17</v>
      </c>
      <c r="B1120" s="17" t="s">
        <v>2131</v>
      </c>
      <c r="C1120" s="17" t="s">
        <v>1820</v>
      </c>
      <c r="D1120" s="25" t="s">
        <v>2004</v>
      </c>
      <c r="E1120" s="19" t="s">
        <v>2125</v>
      </c>
      <c r="F1120" s="19" t="s">
        <v>2132</v>
      </c>
      <c r="G1120" s="2" t="str">
        <f t="shared" si="99"/>
        <v>http://jsmh.umin.jp/journal/20-4/20-4.pdf</v>
      </c>
      <c r="H1120" s="43" t="str">
        <f t="shared" si="100"/>
        <v>http://dl.ndl.go.jp/info:ndljp/pid/3359266</v>
      </c>
    </row>
    <row r="1121" spans="1:8" ht="30" customHeight="1" x14ac:dyDescent="0.15">
      <c r="A1121" s="16" t="s">
        <v>17</v>
      </c>
      <c r="B1121" s="17" t="s">
        <v>10089</v>
      </c>
      <c r="C1121" s="17" t="s">
        <v>1803</v>
      </c>
      <c r="D1121" s="25" t="s">
        <v>2004</v>
      </c>
      <c r="E1121" s="19" t="s">
        <v>2125</v>
      </c>
      <c r="F1121" s="19" t="s">
        <v>2133</v>
      </c>
      <c r="G1121" s="2" t="str">
        <f t="shared" si="99"/>
        <v>http://jsmh.umin.jp/journal/20-4/20-4.pdf</v>
      </c>
      <c r="H1121" s="43" t="str">
        <f t="shared" si="100"/>
        <v>http://dl.ndl.go.jp/info:ndljp/pid/3359266</v>
      </c>
    </row>
    <row r="1122" spans="1:8" ht="30" customHeight="1" x14ac:dyDescent="0.15">
      <c r="A1122" s="16" t="s">
        <v>17</v>
      </c>
      <c r="B1122" s="17" t="s">
        <v>2134</v>
      </c>
      <c r="C1122" s="17" t="s">
        <v>2100</v>
      </c>
      <c r="D1122" s="25" t="s">
        <v>2004</v>
      </c>
      <c r="E1122" s="19" t="s">
        <v>2125</v>
      </c>
      <c r="F1122" s="19" t="s">
        <v>2135</v>
      </c>
      <c r="G1122" s="2" t="str">
        <f t="shared" si="99"/>
        <v>http://jsmh.umin.jp/journal/20-4/20-4.pdf</v>
      </c>
      <c r="H1122" s="43" t="str">
        <f t="shared" si="100"/>
        <v>http://dl.ndl.go.jp/info:ndljp/pid/3359266</v>
      </c>
    </row>
    <row r="1123" spans="1:8" ht="30" customHeight="1" x14ac:dyDescent="0.15">
      <c r="A1123" s="16" t="s">
        <v>159</v>
      </c>
      <c r="B1123" s="17" t="s">
        <v>2136</v>
      </c>
      <c r="C1123" s="17" t="s">
        <v>2116</v>
      </c>
      <c r="D1123" s="25" t="s">
        <v>2004</v>
      </c>
      <c r="E1123" s="19" t="s">
        <v>2125</v>
      </c>
      <c r="F1123" s="19" t="s">
        <v>2137</v>
      </c>
      <c r="G1123" s="2" t="str">
        <f t="shared" si="99"/>
        <v>http://jsmh.umin.jp/journal/20-4/20-4.pdf</v>
      </c>
      <c r="H1123" s="43" t="str">
        <f t="shared" si="100"/>
        <v>http://dl.ndl.go.jp/info:ndljp/pid/3359266</v>
      </c>
    </row>
    <row r="1124" spans="1:8" ht="30" customHeight="1" x14ac:dyDescent="0.15">
      <c r="A1124" s="16" t="s">
        <v>159</v>
      </c>
      <c r="B1124" s="17" t="s">
        <v>2138</v>
      </c>
      <c r="C1124" s="17"/>
      <c r="D1124" s="25" t="s">
        <v>2004</v>
      </c>
      <c r="E1124" s="19" t="s">
        <v>2125</v>
      </c>
      <c r="F1124" s="19" t="s">
        <v>2139</v>
      </c>
      <c r="G1124" s="2" t="str">
        <f t="shared" si="99"/>
        <v>http://jsmh.umin.jp/journal/20-4/20-4.pdf</v>
      </c>
      <c r="H1124" s="43" t="str">
        <f t="shared" si="100"/>
        <v>http://dl.ndl.go.jp/info:ndljp/pid/3359266</v>
      </c>
    </row>
    <row r="1125" spans="1:8" ht="30" customHeight="1" x14ac:dyDescent="0.15">
      <c r="A1125" s="16" t="s">
        <v>1623</v>
      </c>
      <c r="B1125" s="17" t="s">
        <v>2140</v>
      </c>
      <c r="C1125" s="17" t="s">
        <v>1876</v>
      </c>
      <c r="D1125" s="25" t="s">
        <v>2004</v>
      </c>
      <c r="E1125" s="19" t="s">
        <v>2125</v>
      </c>
      <c r="F1125" s="19" t="s">
        <v>2141</v>
      </c>
      <c r="G1125" s="2" t="str">
        <f t="shared" si="99"/>
        <v>http://jsmh.umin.jp/journal/20-4/20-4.pdf</v>
      </c>
      <c r="H1125" s="43" t="str">
        <f t="shared" si="100"/>
        <v>http://dl.ndl.go.jp/info:ndljp/pid/3359266</v>
      </c>
    </row>
    <row r="1126" spans="1:8" ht="30" customHeight="1" x14ac:dyDescent="0.15">
      <c r="A1126" s="16" t="s">
        <v>1623</v>
      </c>
      <c r="B1126" s="17" t="s">
        <v>2142</v>
      </c>
      <c r="C1126" s="17" t="s">
        <v>198</v>
      </c>
      <c r="D1126" s="25" t="s">
        <v>2004</v>
      </c>
      <c r="E1126" s="19" t="s">
        <v>2125</v>
      </c>
      <c r="F1126" s="19" t="s">
        <v>2143</v>
      </c>
      <c r="G1126" s="2" t="str">
        <f t="shared" si="99"/>
        <v>http://jsmh.umin.jp/journal/20-4/20-4.pdf</v>
      </c>
      <c r="H1126" s="43" t="str">
        <f t="shared" si="100"/>
        <v>http://dl.ndl.go.jp/info:ndljp/pid/3359266</v>
      </c>
    </row>
    <row r="1127" spans="1:8" ht="30" customHeight="1" x14ac:dyDescent="0.15">
      <c r="A1127" s="16" t="s">
        <v>2144</v>
      </c>
      <c r="B1127" s="17" t="s">
        <v>2145</v>
      </c>
      <c r="C1127" s="17"/>
      <c r="D1127" s="25" t="s">
        <v>2004</v>
      </c>
      <c r="E1127" s="19" t="s">
        <v>2125</v>
      </c>
      <c r="F1127" s="19" t="s">
        <v>2146</v>
      </c>
      <c r="G1127" s="2" t="str">
        <f t="shared" si="99"/>
        <v>http://jsmh.umin.jp/journal/20-4/20-4.pdf</v>
      </c>
      <c r="H1127" s="43" t="str">
        <f t="shared" si="100"/>
        <v>http://dl.ndl.go.jp/info:ndljp/pid/3359266</v>
      </c>
    </row>
    <row r="1128" spans="1:8" ht="30" customHeight="1" x14ac:dyDescent="0.15">
      <c r="A1128" s="16" t="s">
        <v>2147</v>
      </c>
      <c r="B1128" s="17" t="s">
        <v>1987</v>
      </c>
      <c r="C1128" s="17"/>
      <c r="D1128" s="25" t="s">
        <v>2004</v>
      </c>
      <c r="E1128" s="19" t="s">
        <v>2125</v>
      </c>
      <c r="F1128" s="19" t="s">
        <v>2148</v>
      </c>
      <c r="G1128" s="2" t="str">
        <f t="shared" si="99"/>
        <v>http://jsmh.umin.jp/journal/20-4/20-4.pdf</v>
      </c>
      <c r="H1128" s="43" t="str">
        <f t="shared" si="100"/>
        <v>http://dl.ndl.go.jp/info:ndljp/pid/3359266</v>
      </c>
    </row>
    <row r="1129" spans="1:8" ht="30" customHeight="1" x14ac:dyDescent="0.15">
      <c r="A1129" s="16" t="s">
        <v>17</v>
      </c>
      <c r="B1129" s="17" t="s">
        <v>2149</v>
      </c>
      <c r="C1129" s="17" t="s">
        <v>2150</v>
      </c>
      <c r="D1129" s="25" t="s">
        <v>2004</v>
      </c>
      <c r="E1129" s="19" t="s">
        <v>2125</v>
      </c>
      <c r="F1129" s="19" t="s">
        <v>2151</v>
      </c>
      <c r="G1129" s="2" t="str">
        <f t="shared" si="99"/>
        <v>http://jsmh.umin.jp/journal/20-4/20-4.pdf</v>
      </c>
      <c r="H1129" s="43" t="str">
        <f t="shared" si="100"/>
        <v>http://dl.ndl.go.jp/info:ndljp/pid/3359266</v>
      </c>
    </row>
    <row r="1130" spans="1:8" ht="30" customHeight="1" x14ac:dyDescent="0.15">
      <c r="A1130" s="16" t="s">
        <v>17</v>
      </c>
      <c r="B1130" s="17" t="s">
        <v>2152</v>
      </c>
      <c r="C1130" s="17" t="s">
        <v>1699</v>
      </c>
      <c r="D1130" s="18" t="s">
        <v>2153</v>
      </c>
      <c r="E1130" s="19" t="s">
        <v>2154</v>
      </c>
      <c r="F1130" s="19" t="s">
        <v>489</v>
      </c>
      <c r="G1130" s="2" t="str">
        <f t="shared" ref="G1130:G1160" si="101">HYPERLINK("http://jsmh.umin.jp/journal/21-1/21-1.pdf")</f>
        <v>http://jsmh.umin.jp/journal/21-1/21-1.pdf</v>
      </c>
      <c r="H1130" s="42" t="str">
        <f t="shared" ref="H1130:H1160" si="102">HYPERLINK("http://dl.ndl.go.jp/info:ndljp/pid/3359267")</f>
        <v>http://dl.ndl.go.jp/info:ndljp/pid/3359267</v>
      </c>
    </row>
    <row r="1131" spans="1:8" ht="30" customHeight="1" x14ac:dyDescent="0.15">
      <c r="A1131" s="16" t="s">
        <v>17</v>
      </c>
      <c r="B1131" s="17" t="s">
        <v>2155</v>
      </c>
      <c r="C1131" s="17" t="s">
        <v>1070</v>
      </c>
      <c r="D1131" s="25" t="s">
        <v>2153</v>
      </c>
      <c r="E1131" s="19" t="s">
        <v>2154</v>
      </c>
      <c r="F1131" s="19" t="s">
        <v>2156</v>
      </c>
      <c r="G1131" s="2" t="str">
        <f t="shared" si="101"/>
        <v>http://jsmh.umin.jp/journal/21-1/21-1.pdf</v>
      </c>
      <c r="H1131" s="43" t="str">
        <f t="shared" si="102"/>
        <v>http://dl.ndl.go.jp/info:ndljp/pid/3359267</v>
      </c>
    </row>
    <row r="1132" spans="1:8" ht="30" customHeight="1" x14ac:dyDescent="0.15">
      <c r="A1132" s="16" t="s">
        <v>17</v>
      </c>
      <c r="B1132" s="17" t="s">
        <v>2157</v>
      </c>
      <c r="C1132" s="17" t="s">
        <v>2158</v>
      </c>
      <c r="D1132" s="25" t="s">
        <v>2153</v>
      </c>
      <c r="E1132" s="19" t="s">
        <v>2154</v>
      </c>
      <c r="F1132" s="19" t="s">
        <v>2159</v>
      </c>
      <c r="G1132" s="2" t="str">
        <f t="shared" si="101"/>
        <v>http://jsmh.umin.jp/journal/21-1/21-1.pdf</v>
      </c>
      <c r="H1132" s="43" t="str">
        <f t="shared" si="102"/>
        <v>http://dl.ndl.go.jp/info:ndljp/pid/3359267</v>
      </c>
    </row>
    <row r="1133" spans="1:8" ht="30" customHeight="1" x14ac:dyDescent="0.15">
      <c r="A1133" s="16" t="s">
        <v>17</v>
      </c>
      <c r="B1133" s="17" t="s">
        <v>2160</v>
      </c>
      <c r="C1133" s="17" t="s">
        <v>2118</v>
      </c>
      <c r="D1133" s="25" t="s">
        <v>2153</v>
      </c>
      <c r="E1133" s="19" t="s">
        <v>2154</v>
      </c>
      <c r="F1133" s="19" t="s">
        <v>2161</v>
      </c>
      <c r="G1133" s="2" t="str">
        <f t="shared" si="101"/>
        <v>http://jsmh.umin.jp/journal/21-1/21-1.pdf</v>
      </c>
      <c r="H1133" s="43" t="str">
        <f t="shared" si="102"/>
        <v>http://dl.ndl.go.jp/info:ndljp/pid/3359267</v>
      </c>
    </row>
    <row r="1134" spans="1:8" ht="30" customHeight="1" x14ac:dyDescent="0.15">
      <c r="A1134" s="16" t="s">
        <v>17</v>
      </c>
      <c r="B1134" s="17" t="s">
        <v>2162</v>
      </c>
      <c r="C1134" s="17" t="s">
        <v>303</v>
      </c>
      <c r="D1134" s="25" t="s">
        <v>2153</v>
      </c>
      <c r="E1134" s="19" t="s">
        <v>2154</v>
      </c>
      <c r="F1134" s="19" t="s">
        <v>2163</v>
      </c>
      <c r="G1134" s="2" t="str">
        <f t="shared" si="101"/>
        <v>http://jsmh.umin.jp/journal/21-1/21-1.pdf</v>
      </c>
      <c r="H1134" s="43" t="str">
        <f t="shared" si="102"/>
        <v>http://dl.ndl.go.jp/info:ndljp/pid/3359267</v>
      </c>
    </row>
    <row r="1135" spans="1:8" ht="30" customHeight="1" x14ac:dyDescent="0.15">
      <c r="A1135" s="16" t="s">
        <v>17</v>
      </c>
      <c r="B1135" s="17" t="s">
        <v>2164</v>
      </c>
      <c r="C1135" s="17" t="s">
        <v>1281</v>
      </c>
      <c r="D1135" s="25" t="s">
        <v>2153</v>
      </c>
      <c r="E1135" s="19" t="s">
        <v>2154</v>
      </c>
      <c r="F1135" s="19" t="s">
        <v>2165</v>
      </c>
      <c r="G1135" s="2" t="str">
        <f t="shared" si="101"/>
        <v>http://jsmh.umin.jp/journal/21-1/21-1.pdf</v>
      </c>
      <c r="H1135" s="43" t="str">
        <f t="shared" si="102"/>
        <v>http://dl.ndl.go.jp/info:ndljp/pid/3359267</v>
      </c>
    </row>
    <row r="1136" spans="1:8" ht="30" customHeight="1" x14ac:dyDescent="0.15">
      <c r="A1136" s="16" t="s">
        <v>17</v>
      </c>
      <c r="B1136" s="17" t="s">
        <v>2166</v>
      </c>
      <c r="C1136" s="17" t="s">
        <v>1097</v>
      </c>
      <c r="D1136" s="25" t="s">
        <v>2153</v>
      </c>
      <c r="E1136" s="19" t="s">
        <v>2154</v>
      </c>
      <c r="F1136" s="19" t="s">
        <v>2167</v>
      </c>
      <c r="G1136" s="2" t="str">
        <f t="shared" si="101"/>
        <v>http://jsmh.umin.jp/journal/21-1/21-1.pdf</v>
      </c>
      <c r="H1136" s="43" t="str">
        <f t="shared" si="102"/>
        <v>http://dl.ndl.go.jp/info:ndljp/pid/3359267</v>
      </c>
    </row>
    <row r="1137" spans="1:8" ht="30" customHeight="1" x14ac:dyDescent="0.15">
      <c r="A1137" s="16" t="s">
        <v>17</v>
      </c>
      <c r="B1137" s="17" t="s">
        <v>2168</v>
      </c>
      <c r="C1137" s="17" t="s">
        <v>2100</v>
      </c>
      <c r="D1137" s="25" t="s">
        <v>2153</v>
      </c>
      <c r="E1137" s="19" t="s">
        <v>2154</v>
      </c>
      <c r="F1137" s="19" t="s">
        <v>2169</v>
      </c>
      <c r="G1137" s="2" t="str">
        <f t="shared" si="101"/>
        <v>http://jsmh.umin.jp/journal/21-1/21-1.pdf</v>
      </c>
      <c r="H1137" s="43" t="str">
        <f t="shared" si="102"/>
        <v>http://dl.ndl.go.jp/info:ndljp/pid/3359267</v>
      </c>
    </row>
    <row r="1138" spans="1:8" ht="30" customHeight="1" x14ac:dyDescent="0.15">
      <c r="A1138" s="16" t="s">
        <v>17</v>
      </c>
      <c r="B1138" s="17" t="s">
        <v>10090</v>
      </c>
      <c r="C1138" s="17" t="s">
        <v>1803</v>
      </c>
      <c r="D1138" s="25" t="s">
        <v>2153</v>
      </c>
      <c r="E1138" s="19" t="s">
        <v>2154</v>
      </c>
      <c r="F1138" s="19" t="s">
        <v>2170</v>
      </c>
      <c r="G1138" s="2" t="str">
        <f t="shared" si="101"/>
        <v>http://jsmh.umin.jp/journal/21-1/21-1.pdf</v>
      </c>
      <c r="H1138" s="43" t="str">
        <f t="shared" si="102"/>
        <v>http://dl.ndl.go.jp/info:ndljp/pid/3359267</v>
      </c>
    </row>
    <row r="1139" spans="1:8" ht="30" customHeight="1" x14ac:dyDescent="0.15">
      <c r="A1139" s="16" t="s">
        <v>704</v>
      </c>
      <c r="B1139" s="17" t="s">
        <v>2171</v>
      </c>
      <c r="C1139" s="17" t="s">
        <v>1820</v>
      </c>
      <c r="D1139" s="25" t="s">
        <v>2153</v>
      </c>
      <c r="E1139" s="19" t="s">
        <v>2154</v>
      </c>
      <c r="F1139" s="19" t="s">
        <v>314</v>
      </c>
      <c r="G1139" s="2" t="str">
        <f t="shared" si="101"/>
        <v>http://jsmh.umin.jp/journal/21-1/21-1.pdf</v>
      </c>
      <c r="H1139" s="43" t="str">
        <f t="shared" si="102"/>
        <v>http://dl.ndl.go.jp/info:ndljp/pid/3359267</v>
      </c>
    </row>
    <row r="1140" spans="1:8" ht="30" customHeight="1" x14ac:dyDescent="0.15">
      <c r="A1140" s="16" t="s">
        <v>704</v>
      </c>
      <c r="B1140" s="17" t="s">
        <v>2172</v>
      </c>
      <c r="C1140" s="17" t="s">
        <v>1783</v>
      </c>
      <c r="D1140" s="25" t="s">
        <v>2153</v>
      </c>
      <c r="E1140" s="19" t="s">
        <v>2154</v>
      </c>
      <c r="F1140" s="19" t="s">
        <v>314</v>
      </c>
      <c r="G1140" s="2" t="str">
        <f t="shared" si="101"/>
        <v>http://jsmh.umin.jp/journal/21-1/21-1.pdf</v>
      </c>
      <c r="H1140" s="43" t="str">
        <f t="shared" si="102"/>
        <v>http://dl.ndl.go.jp/info:ndljp/pid/3359267</v>
      </c>
    </row>
    <row r="1141" spans="1:8" ht="30" customHeight="1" x14ac:dyDescent="0.15">
      <c r="A1141" s="16" t="s">
        <v>704</v>
      </c>
      <c r="B1141" s="17" t="s">
        <v>2173</v>
      </c>
      <c r="C1141" s="17" t="s">
        <v>1534</v>
      </c>
      <c r="D1141" s="25" t="s">
        <v>2153</v>
      </c>
      <c r="E1141" s="19" t="s">
        <v>2154</v>
      </c>
      <c r="F1141" s="19" t="s">
        <v>314</v>
      </c>
      <c r="G1141" s="2" t="str">
        <f t="shared" si="101"/>
        <v>http://jsmh.umin.jp/journal/21-1/21-1.pdf</v>
      </c>
      <c r="H1141" s="43" t="str">
        <f t="shared" si="102"/>
        <v>http://dl.ndl.go.jp/info:ndljp/pid/3359267</v>
      </c>
    </row>
    <row r="1142" spans="1:8" ht="30" customHeight="1" x14ac:dyDescent="0.15">
      <c r="A1142" s="16" t="s">
        <v>704</v>
      </c>
      <c r="B1142" s="17" t="s">
        <v>2174</v>
      </c>
      <c r="C1142" s="17" t="s">
        <v>209</v>
      </c>
      <c r="D1142" s="25" t="s">
        <v>2153</v>
      </c>
      <c r="E1142" s="19" t="s">
        <v>2154</v>
      </c>
      <c r="F1142" s="19" t="s">
        <v>314</v>
      </c>
      <c r="G1142" s="2" t="str">
        <f t="shared" si="101"/>
        <v>http://jsmh.umin.jp/journal/21-1/21-1.pdf</v>
      </c>
      <c r="H1142" s="43" t="str">
        <f t="shared" si="102"/>
        <v>http://dl.ndl.go.jp/info:ndljp/pid/3359267</v>
      </c>
    </row>
    <row r="1143" spans="1:8" ht="30" customHeight="1" x14ac:dyDescent="0.15">
      <c r="A1143" s="16" t="s">
        <v>704</v>
      </c>
      <c r="B1143" s="17" t="s">
        <v>2175</v>
      </c>
      <c r="C1143" s="17" t="s">
        <v>291</v>
      </c>
      <c r="D1143" s="25" t="s">
        <v>2153</v>
      </c>
      <c r="E1143" s="19" t="s">
        <v>2154</v>
      </c>
      <c r="F1143" s="19" t="s">
        <v>175</v>
      </c>
      <c r="G1143" s="2" t="str">
        <f t="shared" si="101"/>
        <v>http://jsmh.umin.jp/journal/21-1/21-1.pdf</v>
      </c>
      <c r="H1143" s="43" t="str">
        <f t="shared" si="102"/>
        <v>http://dl.ndl.go.jp/info:ndljp/pid/3359267</v>
      </c>
    </row>
    <row r="1144" spans="1:8" ht="30" customHeight="1" x14ac:dyDescent="0.15">
      <c r="A1144" s="16" t="s">
        <v>704</v>
      </c>
      <c r="B1144" s="17" t="s">
        <v>2176</v>
      </c>
      <c r="C1144" s="17" t="s">
        <v>303</v>
      </c>
      <c r="D1144" s="25" t="s">
        <v>2153</v>
      </c>
      <c r="E1144" s="19" t="s">
        <v>2154</v>
      </c>
      <c r="F1144" s="19" t="s">
        <v>175</v>
      </c>
      <c r="G1144" s="2" t="str">
        <f t="shared" si="101"/>
        <v>http://jsmh.umin.jp/journal/21-1/21-1.pdf</v>
      </c>
      <c r="H1144" s="43" t="str">
        <f t="shared" si="102"/>
        <v>http://dl.ndl.go.jp/info:ndljp/pid/3359267</v>
      </c>
    </row>
    <row r="1145" spans="1:8" ht="30" customHeight="1" x14ac:dyDescent="0.15">
      <c r="A1145" s="16" t="s">
        <v>704</v>
      </c>
      <c r="B1145" s="17" t="s">
        <v>2162</v>
      </c>
      <c r="C1145" s="17" t="s">
        <v>303</v>
      </c>
      <c r="D1145" s="25" t="s">
        <v>2153</v>
      </c>
      <c r="E1145" s="19" t="s">
        <v>2154</v>
      </c>
      <c r="F1145" s="19" t="s">
        <v>476</v>
      </c>
      <c r="G1145" s="2" t="str">
        <f t="shared" si="101"/>
        <v>http://jsmh.umin.jp/journal/21-1/21-1.pdf</v>
      </c>
      <c r="H1145" s="43" t="str">
        <f t="shared" si="102"/>
        <v>http://dl.ndl.go.jp/info:ndljp/pid/3359267</v>
      </c>
    </row>
    <row r="1146" spans="1:8" ht="30" customHeight="1" x14ac:dyDescent="0.15">
      <c r="A1146" s="16" t="s">
        <v>704</v>
      </c>
      <c r="B1146" s="17" t="s">
        <v>2177</v>
      </c>
      <c r="C1146" s="17" t="s">
        <v>2178</v>
      </c>
      <c r="D1146" s="25" t="s">
        <v>2153</v>
      </c>
      <c r="E1146" s="19" t="s">
        <v>2154</v>
      </c>
      <c r="F1146" s="19" t="s">
        <v>476</v>
      </c>
      <c r="G1146" s="2" t="str">
        <f t="shared" si="101"/>
        <v>http://jsmh.umin.jp/journal/21-1/21-1.pdf</v>
      </c>
      <c r="H1146" s="43" t="str">
        <f t="shared" si="102"/>
        <v>http://dl.ndl.go.jp/info:ndljp/pid/3359267</v>
      </c>
    </row>
    <row r="1147" spans="1:8" ht="30" customHeight="1" x14ac:dyDescent="0.15">
      <c r="A1147" s="16" t="s">
        <v>704</v>
      </c>
      <c r="B1147" s="17" t="s">
        <v>2179</v>
      </c>
      <c r="C1147" s="17" t="s">
        <v>2180</v>
      </c>
      <c r="D1147" s="25" t="s">
        <v>2153</v>
      </c>
      <c r="E1147" s="19" t="s">
        <v>2154</v>
      </c>
      <c r="F1147" s="19" t="s">
        <v>476</v>
      </c>
      <c r="G1147" s="2" t="str">
        <f t="shared" si="101"/>
        <v>http://jsmh.umin.jp/journal/21-1/21-1.pdf</v>
      </c>
      <c r="H1147" s="43" t="str">
        <f t="shared" si="102"/>
        <v>http://dl.ndl.go.jp/info:ndljp/pid/3359267</v>
      </c>
    </row>
    <row r="1148" spans="1:8" ht="30" customHeight="1" x14ac:dyDescent="0.15">
      <c r="A1148" s="16" t="s">
        <v>704</v>
      </c>
      <c r="B1148" s="17" t="s">
        <v>2181</v>
      </c>
      <c r="C1148" s="17" t="s">
        <v>18</v>
      </c>
      <c r="D1148" s="25" t="s">
        <v>2153</v>
      </c>
      <c r="E1148" s="19" t="s">
        <v>2154</v>
      </c>
      <c r="F1148" s="19" t="s">
        <v>476</v>
      </c>
      <c r="G1148" s="2" t="str">
        <f t="shared" si="101"/>
        <v>http://jsmh.umin.jp/journal/21-1/21-1.pdf</v>
      </c>
      <c r="H1148" s="43" t="str">
        <f t="shared" si="102"/>
        <v>http://dl.ndl.go.jp/info:ndljp/pid/3359267</v>
      </c>
    </row>
    <row r="1149" spans="1:8" ht="30" customHeight="1" x14ac:dyDescent="0.15">
      <c r="A1149" s="16" t="s">
        <v>704</v>
      </c>
      <c r="B1149" s="17" t="s">
        <v>2182</v>
      </c>
      <c r="C1149" s="17" t="s">
        <v>1338</v>
      </c>
      <c r="D1149" s="25" t="s">
        <v>2153</v>
      </c>
      <c r="E1149" s="19" t="s">
        <v>2154</v>
      </c>
      <c r="F1149" s="19" t="s">
        <v>476</v>
      </c>
      <c r="G1149" s="2" t="str">
        <f t="shared" si="101"/>
        <v>http://jsmh.umin.jp/journal/21-1/21-1.pdf</v>
      </c>
      <c r="H1149" s="43" t="str">
        <f t="shared" si="102"/>
        <v>http://dl.ndl.go.jp/info:ndljp/pid/3359267</v>
      </c>
    </row>
    <row r="1150" spans="1:8" ht="30" customHeight="1" x14ac:dyDescent="0.15">
      <c r="A1150" s="16" t="s">
        <v>704</v>
      </c>
      <c r="B1150" s="17" t="s">
        <v>2183</v>
      </c>
      <c r="C1150" s="17" t="s">
        <v>1070</v>
      </c>
      <c r="D1150" s="25" t="s">
        <v>2153</v>
      </c>
      <c r="E1150" s="19" t="s">
        <v>2154</v>
      </c>
      <c r="F1150" s="19" t="s">
        <v>476</v>
      </c>
      <c r="G1150" s="2" t="str">
        <f t="shared" si="101"/>
        <v>http://jsmh.umin.jp/journal/21-1/21-1.pdf</v>
      </c>
      <c r="H1150" s="43" t="str">
        <f t="shared" si="102"/>
        <v>http://dl.ndl.go.jp/info:ndljp/pid/3359267</v>
      </c>
    </row>
    <row r="1151" spans="1:8" ht="30" customHeight="1" x14ac:dyDescent="0.15">
      <c r="A1151" s="16" t="s">
        <v>704</v>
      </c>
      <c r="B1151" s="17" t="s">
        <v>2184</v>
      </c>
      <c r="C1151" s="17" t="s">
        <v>212</v>
      </c>
      <c r="D1151" s="25" t="s">
        <v>2153</v>
      </c>
      <c r="E1151" s="19" t="s">
        <v>2154</v>
      </c>
      <c r="F1151" s="19" t="s">
        <v>476</v>
      </c>
      <c r="G1151" s="2" t="str">
        <f t="shared" si="101"/>
        <v>http://jsmh.umin.jp/journal/21-1/21-1.pdf</v>
      </c>
      <c r="H1151" s="43" t="str">
        <f t="shared" si="102"/>
        <v>http://dl.ndl.go.jp/info:ndljp/pid/3359267</v>
      </c>
    </row>
    <row r="1152" spans="1:8" ht="30" customHeight="1" x14ac:dyDescent="0.15">
      <c r="A1152" s="16" t="s">
        <v>704</v>
      </c>
      <c r="B1152" s="17" t="s">
        <v>2185</v>
      </c>
      <c r="C1152" s="17"/>
      <c r="D1152" s="25" t="s">
        <v>2153</v>
      </c>
      <c r="E1152" s="19" t="s">
        <v>2154</v>
      </c>
      <c r="F1152" s="19" t="s">
        <v>476</v>
      </c>
      <c r="G1152" s="2" t="str">
        <f t="shared" si="101"/>
        <v>http://jsmh.umin.jp/journal/21-1/21-1.pdf</v>
      </c>
      <c r="H1152" s="43" t="str">
        <f t="shared" si="102"/>
        <v>http://dl.ndl.go.jp/info:ndljp/pid/3359267</v>
      </c>
    </row>
    <row r="1153" spans="1:8" ht="30" customHeight="1" x14ac:dyDescent="0.15">
      <c r="A1153" s="16" t="s">
        <v>2186</v>
      </c>
      <c r="B1153" s="17" t="s">
        <v>2187</v>
      </c>
      <c r="C1153" s="17" t="s">
        <v>303</v>
      </c>
      <c r="D1153" s="25" t="s">
        <v>2153</v>
      </c>
      <c r="E1153" s="19" t="s">
        <v>2154</v>
      </c>
      <c r="F1153" s="19" t="s">
        <v>2188</v>
      </c>
      <c r="G1153" s="2" t="str">
        <f t="shared" si="101"/>
        <v>http://jsmh.umin.jp/journal/21-1/21-1.pdf</v>
      </c>
      <c r="H1153" s="43" t="str">
        <f t="shared" si="102"/>
        <v>http://dl.ndl.go.jp/info:ndljp/pid/3359267</v>
      </c>
    </row>
    <row r="1154" spans="1:8" ht="30" customHeight="1" x14ac:dyDescent="0.15">
      <c r="A1154" s="16" t="s">
        <v>2186</v>
      </c>
      <c r="B1154" s="17" t="s">
        <v>2189</v>
      </c>
      <c r="C1154" s="17" t="s">
        <v>303</v>
      </c>
      <c r="D1154" s="25" t="s">
        <v>2153</v>
      </c>
      <c r="E1154" s="19" t="s">
        <v>2154</v>
      </c>
      <c r="F1154" s="19" t="s">
        <v>2190</v>
      </c>
      <c r="G1154" s="2" t="str">
        <f t="shared" si="101"/>
        <v>http://jsmh.umin.jp/journal/21-1/21-1.pdf</v>
      </c>
      <c r="H1154" s="43" t="str">
        <f t="shared" si="102"/>
        <v>http://dl.ndl.go.jp/info:ndljp/pid/3359267</v>
      </c>
    </row>
    <row r="1155" spans="1:8" ht="30" customHeight="1" x14ac:dyDescent="0.15">
      <c r="A1155" s="16" t="s">
        <v>1623</v>
      </c>
      <c r="B1155" s="17" t="s">
        <v>2191</v>
      </c>
      <c r="C1155" s="17" t="s">
        <v>1659</v>
      </c>
      <c r="D1155" s="25" t="s">
        <v>2153</v>
      </c>
      <c r="E1155" s="19" t="s">
        <v>2154</v>
      </c>
      <c r="F1155" s="19" t="s">
        <v>2192</v>
      </c>
      <c r="G1155" s="2" t="str">
        <f t="shared" si="101"/>
        <v>http://jsmh.umin.jp/journal/21-1/21-1.pdf</v>
      </c>
      <c r="H1155" s="43" t="str">
        <f t="shared" si="102"/>
        <v>http://dl.ndl.go.jp/info:ndljp/pid/3359267</v>
      </c>
    </row>
    <row r="1156" spans="1:8" ht="30" customHeight="1" x14ac:dyDescent="0.15">
      <c r="A1156" s="16" t="s">
        <v>1623</v>
      </c>
      <c r="B1156" s="17" t="s">
        <v>2193</v>
      </c>
      <c r="C1156" s="17" t="s">
        <v>48</v>
      </c>
      <c r="D1156" s="25" t="s">
        <v>2153</v>
      </c>
      <c r="E1156" s="19" t="s">
        <v>2154</v>
      </c>
      <c r="F1156" s="19" t="s">
        <v>776</v>
      </c>
      <c r="G1156" s="2" t="str">
        <f t="shared" si="101"/>
        <v>http://jsmh.umin.jp/journal/21-1/21-1.pdf</v>
      </c>
      <c r="H1156" s="43" t="str">
        <f t="shared" si="102"/>
        <v>http://dl.ndl.go.jp/info:ndljp/pid/3359267</v>
      </c>
    </row>
    <row r="1157" spans="1:8" ht="30" customHeight="1" x14ac:dyDescent="0.15">
      <c r="A1157" s="16" t="s">
        <v>1623</v>
      </c>
      <c r="B1157" s="17" t="s">
        <v>10091</v>
      </c>
      <c r="C1157" s="17" t="s">
        <v>1994</v>
      </c>
      <c r="D1157" s="25" t="s">
        <v>2153</v>
      </c>
      <c r="E1157" s="19" t="s">
        <v>2154</v>
      </c>
      <c r="F1157" s="19" t="s">
        <v>2194</v>
      </c>
      <c r="G1157" s="2" t="str">
        <f t="shared" si="101"/>
        <v>http://jsmh.umin.jp/journal/21-1/21-1.pdf</v>
      </c>
      <c r="H1157" s="43" t="str">
        <f t="shared" si="102"/>
        <v>http://dl.ndl.go.jp/info:ndljp/pid/3359267</v>
      </c>
    </row>
    <row r="1158" spans="1:8" ht="30" customHeight="1" x14ac:dyDescent="0.15">
      <c r="A1158" s="16" t="s">
        <v>1518</v>
      </c>
      <c r="B1158" s="17" t="s">
        <v>2195</v>
      </c>
      <c r="C1158" s="17" t="s">
        <v>1070</v>
      </c>
      <c r="D1158" s="25" t="s">
        <v>2153</v>
      </c>
      <c r="E1158" s="19" t="s">
        <v>2154</v>
      </c>
      <c r="F1158" s="19" t="s">
        <v>2196</v>
      </c>
      <c r="G1158" s="2" t="str">
        <f t="shared" si="101"/>
        <v>http://jsmh.umin.jp/journal/21-1/21-1.pdf</v>
      </c>
      <c r="H1158" s="43" t="str">
        <f t="shared" si="102"/>
        <v>http://dl.ndl.go.jp/info:ndljp/pid/3359267</v>
      </c>
    </row>
    <row r="1159" spans="1:8" ht="30" customHeight="1" x14ac:dyDescent="0.15">
      <c r="A1159" s="16" t="s">
        <v>1518</v>
      </c>
      <c r="B1159" s="17" t="s">
        <v>2197</v>
      </c>
      <c r="C1159" s="17" t="s">
        <v>830</v>
      </c>
      <c r="D1159" s="25" t="s">
        <v>2153</v>
      </c>
      <c r="E1159" s="19" t="s">
        <v>2154</v>
      </c>
      <c r="F1159" s="19" t="s">
        <v>2196</v>
      </c>
      <c r="G1159" s="2" t="str">
        <f t="shared" si="101"/>
        <v>http://jsmh.umin.jp/journal/21-1/21-1.pdf</v>
      </c>
      <c r="H1159" s="43" t="str">
        <f t="shared" si="102"/>
        <v>http://dl.ndl.go.jp/info:ndljp/pid/3359267</v>
      </c>
    </row>
    <row r="1160" spans="1:8" ht="30" customHeight="1" x14ac:dyDescent="0.15">
      <c r="A1160" s="16" t="s">
        <v>1518</v>
      </c>
      <c r="B1160" s="17" t="s">
        <v>2198</v>
      </c>
      <c r="C1160" s="17" t="s">
        <v>2199</v>
      </c>
      <c r="D1160" s="25" t="s">
        <v>2153</v>
      </c>
      <c r="E1160" s="19" t="s">
        <v>2154</v>
      </c>
      <c r="F1160" s="19" t="s">
        <v>2200</v>
      </c>
      <c r="G1160" s="2" t="str">
        <f t="shared" si="101"/>
        <v>http://jsmh.umin.jp/journal/21-1/21-1.pdf</v>
      </c>
      <c r="H1160" s="43" t="str">
        <f t="shared" si="102"/>
        <v>http://dl.ndl.go.jp/info:ndljp/pid/3359267</v>
      </c>
    </row>
    <row r="1161" spans="1:8" ht="30" customHeight="1" x14ac:dyDescent="0.15">
      <c r="A1161" s="16" t="s">
        <v>88</v>
      </c>
      <c r="B1161" s="17" t="s">
        <v>2201</v>
      </c>
      <c r="C1161" s="17" t="s">
        <v>1292</v>
      </c>
      <c r="D1161" s="25" t="s">
        <v>2153</v>
      </c>
      <c r="E1161" s="19" t="s">
        <v>2202</v>
      </c>
      <c r="F1161" s="19" t="s">
        <v>2203</v>
      </c>
      <c r="G1161" s="2" t="str">
        <f t="shared" ref="G1161:G1194" si="103">HYPERLINK("http://jsmh.umin.jp/journal/21-2/21-2.pdf")</f>
        <v>http://jsmh.umin.jp/journal/21-2/21-2.pdf</v>
      </c>
      <c r="H1161" s="42" t="str">
        <f t="shared" ref="H1161:H1194" si="104">HYPERLINK("http://dl.ndl.go.jp/info:ndljp/pid/3359268")</f>
        <v>http://dl.ndl.go.jp/info:ndljp/pid/3359268</v>
      </c>
    </row>
    <row r="1162" spans="1:8" ht="30" customHeight="1" x14ac:dyDescent="0.15">
      <c r="A1162" s="16" t="s">
        <v>88</v>
      </c>
      <c r="B1162" s="17" t="s">
        <v>2204</v>
      </c>
      <c r="C1162" s="17" t="s">
        <v>1468</v>
      </c>
      <c r="D1162" s="25" t="s">
        <v>2153</v>
      </c>
      <c r="E1162" s="19" t="s">
        <v>2202</v>
      </c>
      <c r="F1162" s="19" t="s">
        <v>2205</v>
      </c>
      <c r="G1162" s="2" t="str">
        <f t="shared" si="103"/>
        <v>http://jsmh.umin.jp/journal/21-2/21-2.pdf</v>
      </c>
      <c r="H1162" s="43" t="str">
        <f t="shared" si="104"/>
        <v>http://dl.ndl.go.jp/info:ndljp/pid/3359268</v>
      </c>
    </row>
    <row r="1163" spans="1:8" ht="30" customHeight="1" x14ac:dyDescent="0.15">
      <c r="A1163" s="16" t="s">
        <v>499</v>
      </c>
      <c r="B1163" s="17" t="s">
        <v>2206</v>
      </c>
      <c r="C1163" s="17" t="s">
        <v>24</v>
      </c>
      <c r="D1163" s="25" t="s">
        <v>2153</v>
      </c>
      <c r="E1163" s="19" t="s">
        <v>2202</v>
      </c>
      <c r="F1163" s="19" t="s">
        <v>2207</v>
      </c>
      <c r="G1163" s="2" t="str">
        <f t="shared" si="103"/>
        <v>http://jsmh.umin.jp/journal/21-2/21-2.pdf</v>
      </c>
      <c r="H1163" s="43" t="str">
        <f t="shared" si="104"/>
        <v>http://dl.ndl.go.jp/info:ndljp/pid/3359268</v>
      </c>
    </row>
    <row r="1164" spans="1:8" ht="30" customHeight="1" x14ac:dyDescent="0.15">
      <c r="A1164" s="16" t="s">
        <v>91</v>
      </c>
      <c r="B1164" s="17" t="s">
        <v>2208</v>
      </c>
      <c r="C1164" s="17" t="s">
        <v>2209</v>
      </c>
      <c r="D1164" s="25" t="s">
        <v>2153</v>
      </c>
      <c r="E1164" s="19" t="s">
        <v>2202</v>
      </c>
      <c r="F1164" s="19" t="s">
        <v>2210</v>
      </c>
      <c r="G1164" s="2" t="str">
        <f t="shared" si="103"/>
        <v>http://jsmh.umin.jp/journal/21-2/21-2.pdf</v>
      </c>
      <c r="H1164" s="43" t="str">
        <f t="shared" si="104"/>
        <v>http://dl.ndl.go.jp/info:ndljp/pid/3359268</v>
      </c>
    </row>
    <row r="1165" spans="1:8" ht="30" customHeight="1" x14ac:dyDescent="0.15">
      <c r="A1165" s="16" t="s">
        <v>91</v>
      </c>
      <c r="B1165" s="17" t="s">
        <v>10092</v>
      </c>
      <c r="C1165" s="17" t="s">
        <v>1338</v>
      </c>
      <c r="D1165" s="25" t="s">
        <v>2153</v>
      </c>
      <c r="E1165" s="19" t="s">
        <v>2202</v>
      </c>
      <c r="F1165" s="19" t="s">
        <v>1498</v>
      </c>
      <c r="G1165" s="2" t="str">
        <f t="shared" si="103"/>
        <v>http://jsmh.umin.jp/journal/21-2/21-2.pdf</v>
      </c>
      <c r="H1165" s="43" t="str">
        <f t="shared" si="104"/>
        <v>http://dl.ndl.go.jp/info:ndljp/pid/3359268</v>
      </c>
    </row>
    <row r="1166" spans="1:8" ht="30" customHeight="1" x14ac:dyDescent="0.15">
      <c r="A1166" s="16" t="s">
        <v>91</v>
      </c>
      <c r="B1166" s="17" t="s">
        <v>2211</v>
      </c>
      <c r="C1166" s="17" t="s">
        <v>2212</v>
      </c>
      <c r="D1166" s="25" t="s">
        <v>2153</v>
      </c>
      <c r="E1166" s="19" t="s">
        <v>2202</v>
      </c>
      <c r="F1166" s="19" t="s">
        <v>2213</v>
      </c>
      <c r="G1166" s="2" t="str">
        <f t="shared" si="103"/>
        <v>http://jsmh.umin.jp/journal/21-2/21-2.pdf</v>
      </c>
      <c r="H1166" s="43" t="str">
        <f t="shared" si="104"/>
        <v>http://dl.ndl.go.jp/info:ndljp/pid/3359268</v>
      </c>
    </row>
    <row r="1167" spans="1:8" ht="30" customHeight="1" x14ac:dyDescent="0.15">
      <c r="A1167" s="16" t="s">
        <v>91</v>
      </c>
      <c r="B1167" s="17" t="s">
        <v>2214</v>
      </c>
      <c r="C1167" s="17" t="s">
        <v>134</v>
      </c>
      <c r="D1167" s="25" t="s">
        <v>2153</v>
      </c>
      <c r="E1167" s="19" t="s">
        <v>2202</v>
      </c>
      <c r="F1167" s="19" t="s">
        <v>2215</v>
      </c>
      <c r="G1167" s="2" t="str">
        <f t="shared" si="103"/>
        <v>http://jsmh.umin.jp/journal/21-2/21-2.pdf</v>
      </c>
      <c r="H1167" s="43" t="str">
        <f t="shared" si="104"/>
        <v>http://dl.ndl.go.jp/info:ndljp/pid/3359268</v>
      </c>
    </row>
    <row r="1168" spans="1:8" ht="30" customHeight="1" x14ac:dyDescent="0.15">
      <c r="A1168" s="16" t="s">
        <v>91</v>
      </c>
      <c r="B1168" s="17" t="s">
        <v>2216</v>
      </c>
      <c r="C1168" s="17" t="s">
        <v>66</v>
      </c>
      <c r="D1168" s="25" t="s">
        <v>2153</v>
      </c>
      <c r="E1168" s="19" t="s">
        <v>2202</v>
      </c>
      <c r="F1168" s="19" t="s">
        <v>2217</v>
      </c>
      <c r="G1168" s="2" t="str">
        <f t="shared" si="103"/>
        <v>http://jsmh.umin.jp/journal/21-2/21-2.pdf</v>
      </c>
      <c r="H1168" s="43" t="str">
        <f t="shared" si="104"/>
        <v>http://dl.ndl.go.jp/info:ndljp/pid/3359268</v>
      </c>
    </row>
    <row r="1169" spans="1:8" ht="30" customHeight="1" x14ac:dyDescent="0.15">
      <c r="A1169" s="16" t="s">
        <v>91</v>
      </c>
      <c r="B1169" s="17" t="s">
        <v>2218</v>
      </c>
      <c r="C1169" s="17" t="s">
        <v>2219</v>
      </c>
      <c r="D1169" s="25" t="s">
        <v>2153</v>
      </c>
      <c r="E1169" s="19" t="s">
        <v>2202</v>
      </c>
      <c r="F1169" s="19" t="s">
        <v>2220</v>
      </c>
      <c r="G1169" s="2" t="str">
        <f t="shared" si="103"/>
        <v>http://jsmh.umin.jp/journal/21-2/21-2.pdf</v>
      </c>
      <c r="H1169" s="43" t="str">
        <f t="shared" si="104"/>
        <v>http://dl.ndl.go.jp/info:ndljp/pid/3359268</v>
      </c>
    </row>
    <row r="1170" spans="1:8" ht="30" customHeight="1" x14ac:dyDescent="0.15">
      <c r="A1170" s="16" t="s">
        <v>91</v>
      </c>
      <c r="B1170" s="17" t="s">
        <v>2221</v>
      </c>
      <c r="C1170" s="17" t="s">
        <v>2222</v>
      </c>
      <c r="D1170" s="25" t="s">
        <v>2153</v>
      </c>
      <c r="E1170" s="19" t="s">
        <v>2202</v>
      </c>
      <c r="F1170" s="19" t="s">
        <v>1506</v>
      </c>
      <c r="G1170" s="2" t="str">
        <f t="shared" si="103"/>
        <v>http://jsmh.umin.jp/journal/21-2/21-2.pdf</v>
      </c>
      <c r="H1170" s="43" t="str">
        <f t="shared" si="104"/>
        <v>http://dl.ndl.go.jp/info:ndljp/pid/3359268</v>
      </c>
    </row>
    <row r="1171" spans="1:8" ht="30" customHeight="1" x14ac:dyDescent="0.15">
      <c r="A1171" s="16" t="s">
        <v>91</v>
      </c>
      <c r="B1171" s="17" t="s">
        <v>2223</v>
      </c>
      <c r="C1171" s="17" t="s">
        <v>76</v>
      </c>
      <c r="D1171" s="25" t="s">
        <v>2153</v>
      </c>
      <c r="E1171" s="19" t="s">
        <v>2202</v>
      </c>
      <c r="F1171" s="19" t="s">
        <v>1345</v>
      </c>
      <c r="G1171" s="2" t="str">
        <f t="shared" si="103"/>
        <v>http://jsmh.umin.jp/journal/21-2/21-2.pdf</v>
      </c>
      <c r="H1171" s="43" t="str">
        <f t="shared" si="104"/>
        <v>http://dl.ndl.go.jp/info:ndljp/pid/3359268</v>
      </c>
    </row>
    <row r="1172" spans="1:8" ht="30" customHeight="1" x14ac:dyDescent="0.15">
      <c r="A1172" s="16" t="s">
        <v>91</v>
      </c>
      <c r="B1172" s="17" t="s">
        <v>2224</v>
      </c>
      <c r="C1172" s="17" t="s">
        <v>507</v>
      </c>
      <c r="D1172" s="25" t="s">
        <v>2153</v>
      </c>
      <c r="E1172" s="19" t="s">
        <v>2202</v>
      </c>
      <c r="F1172" s="19" t="s">
        <v>2225</v>
      </c>
      <c r="G1172" s="2" t="str">
        <f t="shared" si="103"/>
        <v>http://jsmh.umin.jp/journal/21-2/21-2.pdf</v>
      </c>
      <c r="H1172" s="43" t="str">
        <f t="shared" si="104"/>
        <v>http://dl.ndl.go.jp/info:ndljp/pid/3359268</v>
      </c>
    </row>
    <row r="1173" spans="1:8" ht="30" customHeight="1" x14ac:dyDescent="0.15">
      <c r="A1173" s="16" t="s">
        <v>91</v>
      </c>
      <c r="B1173" s="17" t="s">
        <v>2226</v>
      </c>
      <c r="C1173" s="17" t="s">
        <v>1932</v>
      </c>
      <c r="D1173" s="25" t="s">
        <v>2153</v>
      </c>
      <c r="E1173" s="19" t="s">
        <v>2202</v>
      </c>
      <c r="F1173" s="19" t="s">
        <v>1349</v>
      </c>
      <c r="G1173" s="2" t="str">
        <f t="shared" si="103"/>
        <v>http://jsmh.umin.jp/journal/21-2/21-2.pdf</v>
      </c>
      <c r="H1173" s="43" t="str">
        <f t="shared" si="104"/>
        <v>http://dl.ndl.go.jp/info:ndljp/pid/3359268</v>
      </c>
    </row>
    <row r="1174" spans="1:8" ht="30" customHeight="1" x14ac:dyDescent="0.15">
      <c r="A1174" s="16" t="s">
        <v>91</v>
      </c>
      <c r="B1174" s="17" t="s">
        <v>2227</v>
      </c>
      <c r="C1174" s="17" t="s">
        <v>925</v>
      </c>
      <c r="D1174" s="25" t="s">
        <v>2153</v>
      </c>
      <c r="E1174" s="19" t="s">
        <v>2202</v>
      </c>
      <c r="F1174" s="19" t="s">
        <v>2228</v>
      </c>
      <c r="G1174" s="2" t="str">
        <f t="shared" si="103"/>
        <v>http://jsmh.umin.jp/journal/21-2/21-2.pdf</v>
      </c>
      <c r="H1174" s="43" t="str">
        <f t="shared" si="104"/>
        <v>http://dl.ndl.go.jp/info:ndljp/pid/3359268</v>
      </c>
    </row>
    <row r="1175" spans="1:8" ht="30" customHeight="1" x14ac:dyDescent="0.15">
      <c r="A1175" s="16" t="s">
        <v>91</v>
      </c>
      <c r="B1175" s="17" t="s">
        <v>2229</v>
      </c>
      <c r="C1175" s="17" t="s">
        <v>439</v>
      </c>
      <c r="D1175" s="25" t="s">
        <v>2153</v>
      </c>
      <c r="E1175" s="19" t="s">
        <v>2202</v>
      </c>
      <c r="F1175" s="19" t="s">
        <v>1358</v>
      </c>
      <c r="G1175" s="2" t="str">
        <f t="shared" si="103"/>
        <v>http://jsmh.umin.jp/journal/21-2/21-2.pdf</v>
      </c>
      <c r="H1175" s="43" t="str">
        <f t="shared" si="104"/>
        <v>http://dl.ndl.go.jp/info:ndljp/pid/3359268</v>
      </c>
    </row>
    <row r="1176" spans="1:8" ht="30" customHeight="1" x14ac:dyDescent="0.15">
      <c r="A1176" s="16" t="s">
        <v>91</v>
      </c>
      <c r="B1176" s="17" t="s">
        <v>2230</v>
      </c>
      <c r="C1176" s="17" t="s">
        <v>1659</v>
      </c>
      <c r="D1176" s="25" t="s">
        <v>2153</v>
      </c>
      <c r="E1176" s="19" t="s">
        <v>2202</v>
      </c>
      <c r="F1176" s="19" t="s">
        <v>2231</v>
      </c>
      <c r="G1176" s="2" t="str">
        <f t="shared" si="103"/>
        <v>http://jsmh.umin.jp/journal/21-2/21-2.pdf</v>
      </c>
      <c r="H1176" s="43" t="str">
        <f t="shared" si="104"/>
        <v>http://dl.ndl.go.jp/info:ndljp/pid/3359268</v>
      </c>
    </row>
    <row r="1177" spans="1:8" ht="30" customHeight="1" x14ac:dyDescent="0.15">
      <c r="A1177" s="16" t="s">
        <v>91</v>
      </c>
      <c r="B1177" s="17" t="s">
        <v>2232</v>
      </c>
      <c r="C1177" s="17" t="s">
        <v>2233</v>
      </c>
      <c r="D1177" s="25" t="s">
        <v>2153</v>
      </c>
      <c r="E1177" s="19" t="s">
        <v>2202</v>
      </c>
      <c r="F1177" s="19" t="s">
        <v>2234</v>
      </c>
      <c r="G1177" s="2" t="str">
        <f t="shared" si="103"/>
        <v>http://jsmh.umin.jp/journal/21-2/21-2.pdf</v>
      </c>
      <c r="H1177" s="43" t="str">
        <f t="shared" si="104"/>
        <v>http://dl.ndl.go.jp/info:ndljp/pid/3359268</v>
      </c>
    </row>
    <row r="1178" spans="1:8" ht="30" customHeight="1" x14ac:dyDescent="0.15">
      <c r="A1178" s="16" t="s">
        <v>91</v>
      </c>
      <c r="B1178" s="17" t="s">
        <v>2235</v>
      </c>
      <c r="C1178" s="17" t="s">
        <v>830</v>
      </c>
      <c r="D1178" s="25" t="s">
        <v>2153</v>
      </c>
      <c r="E1178" s="19" t="s">
        <v>2202</v>
      </c>
      <c r="F1178" s="19" t="s">
        <v>1516</v>
      </c>
      <c r="G1178" s="2" t="str">
        <f t="shared" si="103"/>
        <v>http://jsmh.umin.jp/journal/21-2/21-2.pdf</v>
      </c>
      <c r="H1178" s="43" t="str">
        <f t="shared" si="104"/>
        <v>http://dl.ndl.go.jp/info:ndljp/pid/3359268</v>
      </c>
    </row>
    <row r="1179" spans="1:8" ht="30" customHeight="1" x14ac:dyDescent="0.15">
      <c r="A1179" s="16" t="s">
        <v>91</v>
      </c>
      <c r="B1179" s="17" t="s">
        <v>2236</v>
      </c>
      <c r="C1179" s="17" t="s">
        <v>2237</v>
      </c>
      <c r="D1179" s="25" t="s">
        <v>2153</v>
      </c>
      <c r="E1179" s="19" t="s">
        <v>2202</v>
      </c>
      <c r="F1179" s="19" t="s">
        <v>1520</v>
      </c>
      <c r="G1179" s="2" t="str">
        <f t="shared" si="103"/>
        <v>http://jsmh.umin.jp/journal/21-2/21-2.pdf</v>
      </c>
      <c r="H1179" s="43" t="str">
        <f t="shared" si="104"/>
        <v>http://dl.ndl.go.jp/info:ndljp/pid/3359268</v>
      </c>
    </row>
    <row r="1180" spans="1:8" ht="30" customHeight="1" x14ac:dyDescent="0.15">
      <c r="A1180" s="16" t="s">
        <v>91</v>
      </c>
      <c r="B1180" s="17" t="s">
        <v>2238</v>
      </c>
      <c r="C1180" s="17" t="s">
        <v>966</v>
      </c>
      <c r="D1180" s="25" t="s">
        <v>2153</v>
      </c>
      <c r="E1180" s="19" t="s">
        <v>2202</v>
      </c>
      <c r="F1180" s="19" t="s">
        <v>1522</v>
      </c>
      <c r="G1180" s="2" t="str">
        <f t="shared" si="103"/>
        <v>http://jsmh.umin.jp/journal/21-2/21-2.pdf</v>
      </c>
      <c r="H1180" s="43" t="str">
        <f t="shared" si="104"/>
        <v>http://dl.ndl.go.jp/info:ndljp/pid/3359268</v>
      </c>
    </row>
    <row r="1181" spans="1:8" ht="30" customHeight="1" x14ac:dyDescent="0.15">
      <c r="A1181" s="16" t="s">
        <v>91</v>
      </c>
      <c r="B1181" s="17" t="s">
        <v>2239</v>
      </c>
      <c r="C1181" s="17" t="s">
        <v>1299</v>
      </c>
      <c r="D1181" s="25" t="s">
        <v>2153</v>
      </c>
      <c r="E1181" s="19" t="s">
        <v>2202</v>
      </c>
      <c r="F1181" s="19" t="s">
        <v>2240</v>
      </c>
      <c r="G1181" s="2" t="str">
        <f t="shared" si="103"/>
        <v>http://jsmh.umin.jp/journal/21-2/21-2.pdf</v>
      </c>
      <c r="H1181" s="43" t="str">
        <f t="shared" si="104"/>
        <v>http://dl.ndl.go.jp/info:ndljp/pid/3359268</v>
      </c>
    </row>
    <row r="1182" spans="1:8" ht="30" customHeight="1" x14ac:dyDescent="0.15">
      <c r="A1182" s="16" t="s">
        <v>91</v>
      </c>
      <c r="B1182" s="17" t="s">
        <v>2241</v>
      </c>
      <c r="C1182" s="17" t="s">
        <v>191</v>
      </c>
      <c r="D1182" s="25" t="s">
        <v>2153</v>
      </c>
      <c r="E1182" s="19" t="s">
        <v>2202</v>
      </c>
      <c r="F1182" s="19" t="s">
        <v>2242</v>
      </c>
      <c r="G1182" s="2" t="str">
        <f t="shared" si="103"/>
        <v>http://jsmh.umin.jp/journal/21-2/21-2.pdf</v>
      </c>
      <c r="H1182" s="43" t="str">
        <f t="shared" si="104"/>
        <v>http://dl.ndl.go.jp/info:ndljp/pid/3359268</v>
      </c>
    </row>
    <row r="1183" spans="1:8" ht="30" customHeight="1" x14ac:dyDescent="0.15">
      <c r="A1183" s="16" t="s">
        <v>91</v>
      </c>
      <c r="B1183" s="17" t="s">
        <v>2243</v>
      </c>
      <c r="C1183" s="17" t="s">
        <v>198</v>
      </c>
      <c r="D1183" s="25" t="s">
        <v>2153</v>
      </c>
      <c r="E1183" s="19" t="s">
        <v>2202</v>
      </c>
      <c r="F1183" s="19" t="s">
        <v>2244</v>
      </c>
      <c r="G1183" s="2" t="str">
        <f t="shared" si="103"/>
        <v>http://jsmh.umin.jp/journal/21-2/21-2.pdf</v>
      </c>
      <c r="H1183" s="43" t="str">
        <f t="shared" si="104"/>
        <v>http://dl.ndl.go.jp/info:ndljp/pid/3359268</v>
      </c>
    </row>
    <row r="1184" spans="1:8" ht="30" customHeight="1" x14ac:dyDescent="0.15">
      <c r="A1184" s="16" t="s">
        <v>91</v>
      </c>
      <c r="B1184" s="17" t="s">
        <v>10093</v>
      </c>
      <c r="C1184" s="17" t="s">
        <v>1097</v>
      </c>
      <c r="D1184" s="25" t="s">
        <v>2153</v>
      </c>
      <c r="E1184" s="19" t="s">
        <v>2202</v>
      </c>
      <c r="F1184" s="19" t="s">
        <v>2245</v>
      </c>
      <c r="G1184" s="2" t="str">
        <f t="shared" si="103"/>
        <v>http://jsmh.umin.jp/journal/21-2/21-2.pdf</v>
      </c>
      <c r="H1184" s="43" t="str">
        <f t="shared" si="104"/>
        <v>http://dl.ndl.go.jp/info:ndljp/pid/3359268</v>
      </c>
    </row>
    <row r="1185" spans="1:8" ht="30" customHeight="1" x14ac:dyDescent="0.15">
      <c r="A1185" s="16" t="s">
        <v>91</v>
      </c>
      <c r="B1185" s="17" t="s">
        <v>2246</v>
      </c>
      <c r="C1185" s="17" t="s">
        <v>838</v>
      </c>
      <c r="D1185" s="25" t="s">
        <v>2153</v>
      </c>
      <c r="E1185" s="19" t="s">
        <v>2202</v>
      </c>
      <c r="F1185" s="19" t="s">
        <v>61</v>
      </c>
      <c r="G1185" s="2" t="str">
        <f t="shared" si="103"/>
        <v>http://jsmh.umin.jp/journal/21-2/21-2.pdf</v>
      </c>
      <c r="H1185" s="43" t="str">
        <f t="shared" si="104"/>
        <v>http://dl.ndl.go.jp/info:ndljp/pid/3359268</v>
      </c>
    </row>
    <row r="1186" spans="1:8" ht="30" customHeight="1" x14ac:dyDescent="0.15">
      <c r="A1186" s="16" t="s">
        <v>91</v>
      </c>
      <c r="B1186" s="17" t="s">
        <v>2247</v>
      </c>
      <c r="C1186" s="17" t="s">
        <v>599</v>
      </c>
      <c r="D1186" s="25" t="s">
        <v>2153</v>
      </c>
      <c r="E1186" s="19" t="s">
        <v>2202</v>
      </c>
      <c r="F1186" s="19" t="s">
        <v>2248</v>
      </c>
      <c r="G1186" s="2" t="str">
        <f t="shared" si="103"/>
        <v>http://jsmh.umin.jp/journal/21-2/21-2.pdf</v>
      </c>
      <c r="H1186" s="43" t="str">
        <f t="shared" si="104"/>
        <v>http://dl.ndl.go.jp/info:ndljp/pid/3359268</v>
      </c>
    </row>
    <row r="1187" spans="1:8" ht="30" customHeight="1" x14ac:dyDescent="0.15">
      <c r="A1187" s="16" t="s">
        <v>91</v>
      </c>
      <c r="B1187" s="17" t="s">
        <v>2249</v>
      </c>
      <c r="C1187" s="17" t="s">
        <v>1457</v>
      </c>
      <c r="D1187" s="25" t="s">
        <v>2153</v>
      </c>
      <c r="E1187" s="19" t="s">
        <v>2202</v>
      </c>
      <c r="F1187" s="19" t="s">
        <v>2250</v>
      </c>
      <c r="G1187" s="2" t="str">
        <f t="shared" si="103"/>
        <v>http://jsmh.umin.jp/journal/21-2/21-2.pdf</v>
      </c>
      <c r="H1187" s="43" t="str">
        <f t="shared" si="104"/>
        <v>http://dl.ndl.go.jp/info:ndljp/pid/3359268</v>
      </c>
    </row>
    <row r="1188" spans="1:8" ht="30" customHeight="1" x14ac:dyDescent="0.15">
      <c r="A1188" s="16" t="s">
        <v>91</v>
      </c>
      <c r="B1188" s="17" t="s">
        <v>2251</v>
      </c>
      <c r="C1188" s="17" t="s">
        <v>2252</v>
      </c>
      <c r="D1188" s="25" t="s">
        <v>2153</v>
      </c>
      <c r="E1188" s="19" t="s">
        <v>2202</v>
      </c>
      <c r="F1188" s="19" t="s">
        <v>2253</v>
      </c>
      <c r="G1188" s="2" t="str">
        <f t="shared" si="103"/>
        <v>http://jsmh.umin.jp/journal/21-2/21-2.pdf</v>
      </c>
      <c r="H1188" s="43" t="str">
        <f t="shared" si="104"/>
        <v>http://dl.ndl.go.jp/info:ndljp/pid/3359268</v>
      </c>
    </row>
    <row r="1189" spans="1:8" ht="30" customHeight="1" x14ac:dyDescent="0.15">
      <c r="A1189" s="16" t="s">
        <v>91</v>
      </c>
      <c r="B1189" s="17" t="s">
        <v>2254</v>
      </c>
      <c r="C1189" s="17" t="s">
        <v>1699</v>
      </c>
      <c r="D1189" s="25" t="s">
        <v>2153</v>
      </c>
      <c r="E1189" s="19" t="s">
        <v>2202</v>
      </c>
      <c r="F1189" s="19" t="s">
        <v>1691</v>
      </c>
      <c r="G1189" s="2" t="str">
        <f t="shared" si="103"/>
        <v>http://jsmh.umin.jp/journal/21-2/21-2.pdf</v>
      </c>
      <c r="H1189" s="43" t="str">
        <f t="shared" si="104"/>
        <v>http://dl.ndl.go.jp/info:ndljp/pid/3359268</v>
      </c>
    </row>
    <row r="1190" spans="1:8" ht="30" customHeight="1" x14ac:dyDescent="0.15">
      <c r="A1190" s="16" t="s">
        <v>91</v>
      </c>
      <c r="B1190" s="17" t="s">
        <v>2255</v>
      </c>
      <c r="C1190" s="17" t="s">
        <v>2256</v>
      </c>
      <c r="D1190" s="25" t="s">
        <v>2153</v>
      </c>
      <c r="E1190" s="19" t="s">
        <v>2202</v>
      </c>
      <c r="F1190" s="19" t="s">
        <v>2257</v>
      </c>
      <c r="G1190" s="2" t="str">
        <f t="shared" si="103"/>
        <v>http://jsmh.umin.jp/journal/21-2/21-2.pdf</v>
      </c>
      <c r="H1190" s="43" t="str">
        <f t="shared" si="104"/>
        <v>http://dl.ndl.go.jp/info:ndljp/pid/3359268</v>
      </c>
    </row>
    <row r="1191" spans="1:8" ht="30" customHeight="1" x14ac:dyDescent="0.15">
      <c r="A1191" s="16" t="s">
        <v>91</v>
      </c>
      <c r="B1191" s="17" t="s">
        <v>2258</v>
      </c>
      <c r="C1191" s="17" t="s">
        <v>479</v>
      </c>
      <c r="D1191" s="25" t="s">
        <v>2153</v>
      </c>
      <c r="E1191" s="19" t="s">
        <v>2202</v>
      </c>
      <c r="F1191" s="19" t="s">
        <v>2259</v>
      </c>
      <c r="G1191" s="2" t="str">
        <f t="shared" si="103"/>
        <v>http://jsmh.umin.jp/journal/21-2/21-2.pdf</v>
      </c>
      <c r="H1191" s="43" t="str">
        <f t="shared" si="104"/>
        <v>http://dl.ndl.go.jp/info:ndljp/pid/3359268</v>
      </c>
    </row>
    <row r="1192" spans="1:8" ht="30" customHeight="1" x14ac:dyDescent="0.15">
      <c r="A1192" s="16" t="s">
        <v>17</v>
      </c>
      <c r="B1192" s="17" t="s">
        <v>2260</v>
      </c>
      <c r="C1192" s="17" t="s">
        <v>18</v>
      </c>
      <c r="D1192" s="25" t="s">
        <v>2153</v>
      </c>
      <c r="E1192" s="19" t="s">
        <v>2202</v>
      </c>
      <c r="F1192" s="19" t="s">
        <v>2261</v>
      </c>
      <c r="G1192" s="2" t="str">
        <f t="shared" si="103"/>
        <v>http://jsmh.umin.jp/journal/21-2/21-2.pdf</v>
      </c>
      <c r="H1192" s="43" t="str">
        <f t="shared" si="104"/>
        <v>http://dl.ndl.go.jp/info:ndljp/pid/3359268</v>
      </c>
    </row>
    <row r="1193" spans="1:8" ht="30" customHeight="1" x14ac:dyDescent="0.15">
      <c r="A1193" s="16" t="s">
        <v>17</v>
      </c>
      <c r="B1193" s="17" t="s">
        <v>2262</v>
      </c>
      <c r="C1193" s="17" t="s">
        <v>303</v>
      </c>
      <c r="D1193" s="25" t="s">
        <v>2153</v>
      </c>
      <c r="E1193" s="19" t="s">
        <v>2202</v>
      </c>
      <c r="F1193" s="19" t="s">
        <v>2263</v>
      </c>
      <c r="G1193" s="2" t="str">
        <f t="shared" si="103"/>
        <v>http://jsmh.umin.jp/journal/21-2/21-2.pdf</v>
      </c>
      <c r="H1193" s="43" t="str">
        <f t="shared" si="104"/>
        <v>http://dl.ndl.go.jp/info:ndljp/pid/3359268</v>
      </c>
    </row>
    <row r="1194" spans="1:8" ht="30" customHeight="1" x14ac:dyDescent="0.15">
      <c r="A1194" s="16" t="s">
        <v>17</v>
      </c>
      <c r="B1194" s="17" t="s">
        <v>2264</v>
      </c>
      <c r="C1194" s="17" t="s">
        <v>2100</v>
      </c>
      <c r="D1194" s="25" t="s">
        <v>2153</v>
      </c>
      <c r="E1194" s="19" t="s">
        <v>2202</v>
      </c>
      <c r="F1194" s="19" t="s">
        <v>2265</v>
      </c>
      <c r="G1194" s="2" t="str">
        <f t="shared" si="103"/>
        <v>http://jsmh.umin.jp/journal/21-2/21-2.pdf</v>
      </c>
      <c r="H1194" s="43" t="str">
        <f t="shared" si="104"/>
        <v>http://dl.ndl.go.jp/info:ndljp/pid/3359268</v>
      </c>
    </row>
    <row r="1195" spans="1:8" ht="30" customHeight="1" x14ac:dyDescent="0.15">
      <c r="A1195" s="16" t="s">
        <v>17</v>
      </c>
      <c r="B1195" s="17" t="s">
        <v>2266</v>
      </c>
      <c r="C1195" s="17" t="s">
        <v>1781</v>
      </c>
      <c r="D1195" s="25" t="s">
        <v>2153</v>
      </c>
      <c r="E1195" s="19" t="s">
        <v>2267</v>
      </c>
      <c r="F1195" s="19" t="s">
        <v>2268</v>
      </c>
      <c r="G1195" s="2" t="str">
        <f t="shared" ref="G1195:G1218" si="105">HYPERLINK("http://jsmh.umin.jp/journal/21-3/21-3.pdf")</f>
        <v>http://jsmh.umin.jp/journal/21-3/21-3.pdf</v>
      </c>
      <c r="H1195" s="42" t="str">
        <f t="shared" ref="H1195:H1218" si="106">HYPERLINK("http://dl.ndl.go.jp/info:ndljp/pid/3359269")</f>
        <v>http://dl.ndl.go.jp/info:ndljp/pid/3359269</v>
      </c>
    </row>
    <row r="1196" spans="1:8" ht="30" customHeight="1" x14ac:dyDescent="0.15">
      <c r="A1196" s="16" t="s">
        <v>17</v>
      </c>
      <c r="B1196" s="17" t="s">
        <v>2254</v>
      </c>
      <c r="C1196" s="17" t="s">
        <v>1699</v>
      </c>
      <c r="D1196" s="25" t="s">
        <v>2153</v>
      </c>
      <c r="E1196" s="19" t="s">
        <v>2267</v>
      </c>
      <c r="F1196" s="19" t="s">
        <v>2269</v>
      </c>
      <c r="G1196" s="2" t="str">
        <f t="shared" si="105"/>
        <v>http://jsmh.umin.jp/journal/21-3/21-3.pdf</v>
      </c>
      <c r="H1196" s="43" t="str">
        <f t="shared" si="106"/>
        <v>http://dl.ndl.go.jp/info:ndljp/pid/3359269</v>
      </c>
    </row>
    <row r="1197" spans="1:8" ht="30" customHeight="1" x14ac:dyDescent="0.15">
      <c r="A1197" s="16" t="s">
        <v>17</v>
      </c>
      <c r="B1197" s="17" t="s">
        <v>2223</v>
      </c>
      <c r="C1197" s="17" t="s">
        <v>76</v>
      </c>
      <c r="D1197" s="25" t="s">
        <v>2153</v>
      </c>
      <c r="E1197" s="19" t="s">
        <v>2267</v>
      </c>
      <c r="F1197" s="19" t="s">
        <v>2270</v>
      </c>
      <c r="G1197" s="2" t="str">
        <f t="shared" si="105"/>
        <v>http://jsmh.umin.jp/journal/21-3/21-3.pdf</v>
      </c>
      <c r="H1197" s="43" t="str">
        <f t="shared" si="106"/>
        <v>http://dl.ndl.go.jp/info:ndljp/pid/3359269</v>
      </c>
    </row>
    <row r="1198" spans="1:8" ht="30" customHeight="1" x14ac:dyDescent="0.15">
      <c r="A1198" s="16" t="s">
        <v>17</v>
      </c>
      <c r="B1198" s="17" t="s">
        <v>2271</v>
      </c>
      <c r="C1198" s="17" t="s">
        <v>1534</v>
      </c>
      <c r="D1198" s="25" t="s">
        <v>2153</v>
      </c>
      <c r="E1198" s="19" t="s">
        <v>2267</v>
      </c>
      <c r="F1198" s="19" t="s">
        <v>2272</v>
      </c>
      <c r="G1198" s="2" t="str">
        <f t="shared" si="105"/>
        <v>http://jsmh.umin.jp/journal/21-3/21-3.pdf</v>
      </c>
      <c r="H1198" s="43" t="str">
        <f t="shared" si="106"/>
        <v>http://dl.ndl.go.jp/info:ndljp/pid/3359269</v>
      </c>
    </row>
    <row r="1199" spans="1:8" ht="30" customHeight="1" x14ac:dyDescent="0.15">
      <c r="A1199" s="16" t="s">
        <v>17</v>
      </c>
      <c r="B1199" s="17" t="s">
        <v>2273</v>
      </c>
      <c r="C1199" s="17" t="s">
        <v>198</v>
      </c>
      <c r="D1199" s="25" t="s">
        <v>2153</v>
      </c>
      <c r="E1199" s="19" t="s">
        <v>2267</v>
      </c>
      <c r="F1199" s="19" t="s">
        <v>2274</v>
      </c>
      <c r="G1199" s="2" t="str">
        <f t="shared" si="105"/>
        <v>http://jsmh.umin.jp/journal/21-3/21-3.pdf</v>
      </c>
      <c r="H1199" s="43" t="str">
        <f t="shared" si="106"/>
        <v>http://dl.ndl.go.jp/info:ndljp/pid/3359269</v>
      </c>
    </row>
    <row r="1200" spans="1:8" ht="30" customHeight="1" x14ac:dyDescent="0.15">
      <c r="A1200" s="16" t="s">
        <v>17</v>
      </c>
      <c r="B1200" s="17" t="s">
        <v>2275</v>
      </c>
      <c r="C1200" s="17" t="s">
        <v>1097</v>
      </c>
      <c r="D1200" s="25" t="s">
        <v>2153</v>
      </c>
      <c r="E1200" s="19" t="s">
        <v>2267</v>
      </c>
      <c r="F1200" s="19" t="s">
        <v>2276</v>
      </c>
      <c r="G1200" s="2" t="str">
        <f t="shared" si="105"/>
        <v>http://jsmh.umin.jp/journal/21-3/21-3.pdf</v>
      </c>
      <c r="H1200" s="43" t="str">
        <f t="shared" si="106"/>
        <v>http://dl.ndl.go.jp/info:ndljp/pid/3359269</v>
      </c>
    </row>
    <row r="1201" spans="1:8" ht="30" customHeight="1" x14ac:dyDescent="0.15">
      <c r="A1201" s="16" t="s">
        <v>17</v>
      </c>
      <c r="B1201" s="17" t="s">
        <v>2277</v>
      </c>
      <c r="C1201" s="17" t="s">
        <v>1803</v>
      </c>
      <c r="D1201" s="25" t="s">
        <v>2153</v>
      </c>
      <c r="E1201" s="19" t="s">
        <v>2267</v>
      </c>
      <c r="F1201" s="19" t="s">
        <v>2278</v>
      </c>
      <c r="G1201" s="2" t="str">
        <f t="shared" si="105"/>
        <v>http://jsmh.umin.jp/journal/21-3/21-3.pdf</v>
      </c>
      <c r="H1201" s="43" t="str">
        <f t="shared" si="106"/>
        <v>http://dl.ndl.go.jp/info:ndljp/pid/3359269</v>
      </c>
    </row>
    <row r="1202" spans="1:8" ht="30" customHeight="1" x14ac:dyDescent="0.15">
      <c r="A1202" s="16" t="s">
        <v>17</v>
      </c>
      <c r="B1202" s="17" t="s">
        <v>2201</v>
      </c>
      <c r="C1202" s="17" t="s">
        <v>1292</v>
      </c>
      <c r="D1202" s="25" t="s">
        <v>2153</v>
      </c>
      <c r="E1202" s="19" t="s">
        <v>2267</v>
      </c>
      <c r="F1202" s="19" t="s">
        <v>2279</v>
      </c>
      <c r="G1202" s="2" t="str">
        <f t="shared" si="105"/>
        <v>http://jsmh.umin.jp/journal/21-3/21-3.pdf</v>
      </c>
      <c r="H1202" s="43" t="str">
        <f t="shared" si="106"/>
        <v>http://dl.ndl.go.jp/info:ndljp/pid/3359269</v>
      </c>
    </row>
    <row r="1203" spans="1:8" ht="30" customHeight="1" x14ac:dyDescent="0.15">
      <c r="A1203" s="16" t="s">
        <v>159</v>
      </c>
      <c r="B1203" s="17" t="s">
        <v>2280</v>
      </c>
      <c r="C1203" s="17" t="s">
        <v>1769</v>
      </c>
      <c r="D1203" s="25" t="s">
        <v>2153</v>
      </c>
      <c r="E1203" s="19" t="s">
        <v>2267</v>
      </c>
      <c r="F1203" s="19" t="s">
        <v>2281</v>
      </c>
      <c r="G1203" s="2" t="str">
        <f t="shared" si="105"/>
        <v>http://jsmh.umin.jp/journal/21-3/21-3.pdf</v>
      </c>
      <c r="H1203" s="43" t="str">
        <f t="shared" si="106"/>
        <v>http://dl.ndl.go.jp/info:ndljp/pid/3359269</v>
      </c>
    </row>
    <row r="1204" spans="1:8" ht="30" customHeight="1" x14ac:dyDescent="0.15">
      <c r="A1204" s="16" t="s">
        <v>704</v>
      </c>
      <c r="B1204" s="17" t="s">
        <v>2282</v>
      </c>
      <c r="C1204" s="17" t="s">
        <v>2283</v>
      </c>
      <c r="D1204" s="25" t="s">
        <v>2153</v>
      </c>
      <c r="E1204" s="19" t="s">
        <v>2267</v>
      </c>
      <c r="F1204" s="19" t="s">
        <v>2284</v>
      </c>
      <c r="G1204" s="2" t="str">
        <f t="shared" si="105"/>
        <v>http://jsmh.umin.jp/journal/21-3/21-3.pdf</v>
      </c>
      <c r="H1204" s="43" t="str">
        <f t="shared" si="106"/>
        <v>http://dl.ndl.go.jp/info:ndljp/pid/3359269</v>
      </c>
    </row>
    <row r="1205" spans="1:8" ht="30" customHeight="1" x14ac:dyDescent="0.15">
      <c r="A1205" s="16" t="s">
        <v>704</v>
      </c>
      <c r="B1205" s="17" t="s">
        <v>2285</v>
      </c>
      <c r="C1205" s="17" t="s">
        <v>2286</v>
      </c>
      <c r="D1205" s="25" t="s">
        <v>2153</v>
      </c>
      <c r="E1205" s="19" t="s">
        <v>2267</v>
      </c>
      <c r="F1205" s="19" t="s">
        <v>2284</v>
      </c>
      <c r="G1205" s="2" t="str">
        <f t="shared" si="105"/>
        <v>http://jsmh.umin.jp/journal/21-3/21-3.pdf</v>
      </c>
      <c r="H1205" s="43" t="str">
        <f t="shared" si="106"/>
        <v>http://dl.ndl.go.jp/info:ndljp/pid/3359269</v>
      </c>
    </row>
    <row r="1206" spans="1:8" ht="30" customHeight="1" x14ac:dyDescent="0.15">
      <c r="A1206" s="16" t="s">
        <v>704</v>
      </c>
      <c r="B1206" s="17" t="s">
        <v>2287</v>
      </c>
      <c r="C1206" s="17" t="s">
        <v>2288</v>
      </c>
      <c r="D1206" s="25" t="s">
        <v>2153</v>
      </c>
      <c r="E1206" s="19" t="s">
        <v>2267</v>
      </c>
      <c r="F1206" s="19" t="s">
        <v>2284</v>
      </c>
      <c r="G1206" s="2" t="str">
        <f t="shared" si="105"/>
        <v>http://jsmh.umin.jp/journal/21-3/21-3.pdf</v>
      </c>
      <c r="H1206" s="43" t="str">
        <f t="shared" si="106"/>
        <v>http://dl.ndl.go.jp/info:ndljp/pid/3359269</v>
      </c>
    </row>
    <row r="1207" spans="1:8" ht="30" customHeight="1" x14ac:dyDescent="0.15">
      <c r="A1207" s="16" t="s">
        <v>704</v>
      </c>
      <c r="B1207" s="17" t="s">
        <v>2289</v>
      </c>
      <c r="C1207" s="17" t="s">
        <v>303</v>
      </c>
      <c r="D1207" s="25" t="s">
        <v>2153</v>
      </c>
      <c r="E1207" s="19" t="s">
        <v>2267</v>
      </c>
      <c r="F1207" s="19" t="s">
        <v>2284</v>
      </c>
      <c r="G1207" s="2" t="str">
        <f t="shared" si="105"/>
        <v>http://jsmh.umin.jp/journal/21-3/21-3.pdf</v>
      </c>
      <c r="H1207" s="43" t="str">
        <f t="shared" si="106"/>
        <v>http://dl.ndl.go.jp/info:ndljp/pid/3359269</v>
      </c>
    </row>
    <row r="1208" spans="1:8" ht="30" customHeight="1" x14ac:dyDescent="0.15">
      <c r="A1208" s="16" t="s">
        <v>704</v>
      </c>
      <c r="B1208" s="17" t="s">
        <v>2290</v>
      </c>
      <c r="C1208" s="17" t="s">
        <v>1994</v>
      </c>
      <c r="D1208" s="25" t="s">
        <v>2153</v>
      </c>
      <c r="E1208" s="19" t="s">
        <v>2267</v>
      </c>
      <c r="F1208" s="19" t="s">
        <v>2284</v>
      </c>
      <c r="G1208" s="2" t="str">
        <f t="shared" si="105"/>
        <v>http://jsmh.umin.jp/journal/21-3/21-3.pdf</v>
      </c>
      <c r="H1208" s="43" t="str">
        <f t="shared" si="106"/>
        <v>http://dl.ndl.go.jp/info:ndljp/pid/3359269</v>
      </c>
    </row>
    <row r="1209" spans="1:8" ht="30" customHeight="1" x14ac:dyDescent="0.15">
      <c r="A1209" s="16" t="s">
        <v>704</v>
      </c>
      <c r="B1209" s="17" t="s">
        <v>2291</v>
      </c>
      <c r="C1209" s="17" t="s">
        <v>1820</v>
      </c>
      <c r="D1209" s="25" t="s">
        <v>2153</v>
      </c>
      <c r="E1209" s="19" t="s">
        <v>2267</v>
      </c>
      <c r="F1209" s="19" t="s">
        <v>2284</v>
      </c>
      <c r="G1209" s="2" t="str">
        <f t="shared" si="105"/>
        <v>http://jsmh.umin.jp/journal/21-3/21-3.pdf</v>
      </c>
      <c r="H1209" s="43" t="str">
        <f t="shared" si="106"/>
        <v>http://dl.ndl.go.jp/info:ndljp/pid/3359269</v>
      </c>
    </row>
    <row r="1210" spans="1:8" ht="30" customHeight="1" x14ac:dyDescent="0.15">
      <c r="A1210" s="16" t="s">
        <v>704</v>
      </c>
      <c r="B1210" s="17" t="s">
        <v>2292</v>
      </c>
      <c r="C1210" s="17" t="s">
        <v>48</v>
      </c>
      <c r="D1210" s="25" t="s">
        <v>2153</v>
      </c>
      <c r="E1210" s="19" t="s">
        <v>2267</v>
      </c>
      <c r="F1210" s="19" t="s">
        <v>2284</v>
      </c>
      <c r="G1210" s="2" t="str">
        <f t="shared" si="105"/>
        <v>http://jsmh.umin.jp/journal/21-3/21-3.pdf</v>
      </c>
      <c r="H1210" s="43" t="str">
        <f t="shared" si="106"/>
        <v>http://dl.ndl.go.jp/info:ndljp/pid/3359269</v>
      </c>
    </row>
    <row r="1211" spans="1:8" ht="30" customHeight="1" x14ac:dyDescent="0.15">
      <c r="A1211" s="16" t="s">
        <v>704</v>
      </c>
      <c r="B1211" s="17" t="s">
        <v>2293</v>
      </c>
      <c r="C1211" s="17" t="s">
        <v>303</v>
      </c>
      <c r="D1211" s="25" t="s">
        <v>2153</v>
      </c>
      <c r="E1211" s="19" t="s">
        <v>2267</v>
      </c>
      <c r="F1211" s="19" t="s">
        <v>2284</v>
      </c>
      <c r="G1211" s="2" t="str">
        <f t="shared" si="105"/>
        <v>http://jsmh.umin.jp/journal/21-3/21-3.pdf</v>
      </c>
      <c r="H1211" s="43" t="str">
        <f t="shared" si="106"/>
        <v>http://dl.ndl.go.jp/info:ndljp/pid/3359269</v>
      </c>
    </row>
    <row r="1212" spans="1:8" ht="30" customHeight="1" x14ac:dyDescent="0.15">
      <c r="A1212" s="16" t="s">
        <v>1236</v>
      </c>
      <c r="B1212" s="17" t="s">
        <v>2294</v>
      </c>
      <c r="C1212" s="17" t="s">
        <v>2295</v>
      </c>
      <c r="D1212" s="25" t="s">
        <v>2153</v>
      </c>
      <c r="E1212" s="19" t="s">
        <v>2267</v>
      </c>
      <c r="F1212" s="19" t="s">
        <v>2296</v>
      </c>
      <c r="G1212" s="2" t="str">
        <f t="shared" si="105"/>
        <v>http://jsmh.umin.jp/journal/21-3/21-3.pdf</v>
      </c>
      <c r="H1212" s="43" t="str">
        <f t="shared" si="106"/>
        <v>http://dl.ndl.go.jp/info:ndljp/pid/3359269</v>
      </c>
    </row>
    <row r="1213" spans="1:8" ht="30" customHeight="1" x14ac:dyDescent="0.15">
      <c r="A1213" s="16" t="s">
        <v>704</v>
      </c>
      <c r="B1213" s="17" t="s">
        <v>2297</v>
      </c>
      <c r="C1213" s="17" t="s">
        <v>1602</v>
      </c>
      <c r="D1213" s="25" t="s">
        <v>2153</v>
      </c>
      <c r="E1213" s="19" t="s">
        <v>2267</v>
      </c>
      <c r="F1213" s="19" t="s">
        <v>2298</v>
      </c>
      <c r="G1213" s="2" t="str">
        <f t="shared" si="105"/>
        <v>http://jsmh.umin.jp/journal/21-3/21-3.pdf</v>
      </c>
      <c r="H1213" s="43" t="str">
        <f t="shared" si="106"/>
        <v>http://dl.ndl.go.jp/info:ndljp/pid/3359269</v>
      </c>
    </row>
    <row r="1214" spans="1:8" ht="30" customHeight="1" x14ac:dyDescent="0.15">
      <c r="A1214" s="16" t="s">
        <v>704</v>
      </c>
      <c r="B1214" s="17" t="s">
        <v>2299</v>
      </c>
      <c r="C1214" s="17" t="s">
        <v>18</v>
      </c>
      <c r="D1214" s="25" t="s">
        <v>2153</v>
      </c>
      <c r="E1214" s="19" t="s">
        <v>2267</v>
      </c>
      <c r="F1214" s="19" t="s">
        <v>2298</v>
      </c>
      <c r="G1214" s="2" t="str">
        <f t="shared" si="105"/>
        <v>http://jsmh.umin.jp/journal/21-3/21-3.pdf</v>
      </c>
      <c r="H1214" s="43" t="str">
        <f t="shared" si="106"/>
        <v>http://dl.ndl.go.jp/info:ndljp/pid/3359269</v>
      </c>
    </row>
    <row r="1215" spans="1:8" ht="30" customHeight="1" x14ac:dyDescent="0.15">
      <c r="A1215" s="16" t="s">
        <v>704</v>
      </c>
      <c r="B1215" s="17" t="s">
        <v>2300</v>
      </c>
      <c r="C1215" s="17" t="s">
        <v>303</v>
      </c>
      <c r="D1215" s="25" t="s">
        <v>2153</v>
      </c>
      <c r="E1215" s="19" t="s">
        <v>2267</v>
      </c>
      <c r="F1215" s="19" t="s">
        <v>2298</v>
      </c>
      <c r="G1215" s="2" t="str">
        <f t="shared" si="105"/>
        <v>http://jsmh.umin.jp/journal/21-3/21-3.pdf</v>
      </c>
      <c r="H1215" s="43" t="str">
        <f t="shared" si="106"/>
        <v>http://dl.ndl.go.jp/info:ndljp/pid/3359269</v>
      </c>
    </row>
    <row r="1216" spans="1:8" ht="30" customHeight="1" x14ac:dyDescent="0.15">
      <c r="A1216" s="16" t="s">
        <v>704</v>
      </c>
      <c r="B1216" s="17" t="s">
        <v>2301</v>
      </c>
      <c r="C1216" s="17" t="s">
        <v>1070</v>
      </c>
      <c r="D1216" s="25" t="s">
        <v>2153</v>
      </c>
      <c r="E1216" s="19" t="s">
        <v>2267</v>
      </c>
      <c r="F1216" s="19" t="s">
        <v>2298</v>
      </c>
      <c r="G1216" s="2" t="str">
        <f t="shared" si="105"/>
        <v>http://jsmh.umin.jp/journal/21-3/21-3.pdf</v>
      </c>
      <c r="H1216" s="43" t="str">
        <f t="shared" si="106"/>
        <v>http://dl.ndl.go.jp/info:ndljp/pid/3359269</v>
      </c>
    </row>
    <row r="1217" spans="1:8" ht="30" customHeight="1" x14ac:dyDescent="0.15">
      <c r="A1217" s="16" t="s">
        <v>704</v>
      </c>
      <c r="B1217" s="17" t="s">
        <v>2302</v>
      </c>
      <c r="C1217" s="17" t="s">
        <v>479</v>
      </c>
      <c r="D1217" s="25" t="s">
        <v>2153</v>
      </c>
      <c r="E1217" s="19" t="s">
        <v>2267</v>
      </c>
      <c r="F1217" s="19" t="s">
        <v>2298</v>
      </c>
      <c r="G1217" s="2" t="str">
        <f t="shared" si="105"/>
        <v>http://jsmh.umin.jp/journal/21-3/21-3.pdf</v>
      </c>
      <c r="H1217" s="43" t="str">
        <f t="shared" si="106"/>
        <v>http://dl.ndl.go.jp/info:ndljp/pid/3359269</v>
      </c>
    </row>
    <row r="1218" spans="1:8" ht="30" customHeight="1" x14ac:dyDescent="0.15">
      <c r="A1218" s="16" t="s">
        <v>1623</v>
      </c>
      <c r="B1218" s="17" t="s">
        <v>2303</v>
      </c>
      <c r="C1218" s="17" t="s">
        <v>1659</v>
      </c>
      <c r="D1218" s="25" t="s">
        <v>2153</v>
      </c>
      <c r="E1218" s="19" t="s">
        <v>2267</v>
      </c>
      <c r="F1218" s="19" t="s">
        <v>2304</v>
      </c>
      <c r="G1218" s="2" t="str">
        <f t="shared" si="105"/>
        <v>http://jsmh.umin.jp/journal/21-3/21-3.pdf</v>
      </c>
      <c r="H1218" s="43" t="str">
        <f t="shared" si="106"/>
        <v>http://dl.ndl.go.jp/info:ndljp/pid/3359269</v>
      </c>
    </row>
    <row r="1219" spans="1:8" ht="30" customHeight="1" x14ac:dyDescent="0.15">
      <c r="A1219" s="16" t="s">
        <v>17</v>
      </c>
      <c r="B1219" s="17" t="s">
        <v>2305</v>
      </c>
      <c r="C1219" s="17" t="s">
        <v>1659</v>
      </c>
      <c r="D1219" s="25" t="s">
        <v>2153</v>
      </c>
      <c r="E1219" s="19" t="s">
        <v>2306</v>
      </c>
      <c r="F1219" s="19" t="s">
        <v>2307</v>
      </c>
      <c r="G1219" s="2" t="str">
        <f t="shared" ref="G1219:G1240" si="107">HYPERLINK("http://jsmh.umin.jp/journal/21-4/21-4.pdf")</f>
        <v>http://jsmh.umin.jp/journal/21-4/21-4.pdf</v>
      </c>
      <c r="H1219" s="42" t="str">
        <f t="shared" ref="H1219:H1240" si="108">HYPERLINK("http://dl.ndl.go.jp/info:ndljp/pid/3359270")</f>
        <v>http://dl.ndl.go.jp/info:ndljp/pid/3359270</v>
      </c>
    </row>
    <row r="1220" spans="1:8" ht="30" customHeight="1" x14ac:dyDescent="0.15">
      <c r="A1220" s="16" t="s">
        <v>17</v>
      </c>
      <c r="B1220" s="17" t="s">
        <v>2308</v>
      </c>
      <c r="C1220" s="17" t="s">
        <v>2158</v>
      </c>
      <c r="D1220" s="25" t="s">
        <v>2153</v>
      </c>
      <c r="E1220" s="19" t="s">
        <v>2306</v>
      </c>
      <c r="F1220" s="19" t="s">
        <v>2309</v>
      </c>
      <c r="G1220" s="2" t="str">
        <f t="shared" si="107"/>
        <v>http://jsmh.umin.jp/journal/21-4/21-4.pdf</v>
      </c>
      <c r="H1220" s="43" t="str">
        <f t="shared" si="108"/>
        <v>http://dl.ndl.go.jp/info:ndljp/pid/3359270</v>
      </c>
    </row>
    <row r="1221" spans="1:8" ht="30" customHeight="1" x14ac:dyDescent="0.15">
      <c r="A1221" s="16" t="s">
        <v>17</v>
      </c>
      <c r="B1221" s="17" t="s">
        <v>2310</v>
      </c>
      <c r="C1221" s="17" t="s">
        <v>439</v>
      </c>
      <c r="D1221" s="25" t="s">
        <v>2153</v>
      </c>
      <c r="E1221" s="19" t="s">
        <v>2306</v>
      </c>
      <c r="F1221" s="19" t="s">
        <v>2311</v>
      </c>
      <c r="G1221" s="2" t="str">
        <f t="shared" si="107"/>
        <v>http://jsmh.umin.jp/journal/21-4/21-4.pdf</v>
      </c>
      <c r="H1221" s="43" t="str">
        <f t="shared" si="108"/>
        <v>http://dl.ndl.go.jp/info:ndljp/pid/3359270</v>
      </c>
    </row>
    <row r="1222" spans="1:8" ht="30" customHeight="1" x14ac:dyDescent="0.15">
      <c r="A1222" s="16" t="s">
        <v>17</v>
      </c>
      <c r="B1222" s="17" t="s">
        <v>2312</v>
      </c>
      <c r="C1222" s="17" t="s">
        <v>198</v>
      </c>
      <c r="D1222" s="25" t="s">
        <v>2153</v>
      </c>
      <c r="E1222" s="19" t="s">
        <v>2306</v>
      </c>
      <c r="F1222" s="19" t="s">
        <v>2313</v>
      </c>
      <c r="G1222" s="2" t="str">
        <f t="shared" si="107"/>
        <v>http://jsmh.umin.jp/journal/21-4/21-4.pdf</v>
      </c>
      <c r="H1222" s="43" t="str">
        <f t="shared" si="108"/>
        <v>http://dl.ndl.go.jp/info:ndljp/pid/3359270</v>
      </c>
    </row>
    <row r="1223" spans="1:8" ht="30" customHeight="1" x14ac:dyDescent="0.15">
      <c r="A1223" s="16" t="s">
        <v>17</v>
      </c>
      <c r="B1223" s="17" t="s">
        <v>2181</v>
      </c>
      <c r="C1223" s="17" t="s">
        <v>18</v>
      </c>
      <c r="D1223" s="25" t="s">
        <v>2153</v>
      </c>
      <c r="E1223" s="19" t="s">
        <v>2306</v>
      </c>
      <c r="F1223" s="19" t="s">
        <v>2314</v>
      </c>
      <c r="G1223" s="2" t="str">
        <f t="shared" si="107"/>
        <v>http://jsmh.umin.jp/journal/21-4/21-4.pdf</v>
      </c>
      <c r="H1223" s="43" t="str">
        <f t="shared" si="108"/>
        <v>http://dl.ndl.go.jp/info:ndljp/pid/3359270</v>
      </c>
    </row>
    <row r="1224" spans="1:8" ht="30" customHeight="1" x14ac:dyDescent="0.15">
      <c r="A1224" s="16" t="s">
        <v>2315</v>
      </c>
      <c r="B1224" s="17" t="s">
        <v>2316</v>
      </c>
      <c r="C1224" s="17"/>
      <c r="D1224" s="25" t="s">
        <v>2153</v>
      </c>
      <c r="E1224" s="19" t="s">
        <v>2306</v>
      </c>
      <c r="F1224" s="19" t="s">
        <v>2317</v>
      </c>
      <c r="G1224" s="2" t="str">
        <f t="shared" si="107"/>
        <v>http://jsmh.umin.jp/journal/21-4/21-4.pdf</v>
      </c>
      <c r="H1224" s="43" t="str">
        <f t="shared" si="108"/>
        <v>http://dl.ndl.go.jp/info:ndljp/pid/3359270</v>
      </c>
    </row>
    <row r="1225" spans="1:8" ht="30" customHeight="1" x14ac:dyDescent="0.15">
      <c r="A1225" s="16" t="s">
        <v>81</v>
      </c>
      <c r="B1225" s="17" t="s">
        <v>2318</v>
      </c>
      <c r="C1225" s="17"/>
      <c r="D1225" s="25" t="s">
        <v>2153</v>
      </c>
      <c r="E1225" s="19" t="s">
        <v>2306</v>
      </c>
      <c r="F1225" s="19" t="s">
        <v>2317</v>
      </c>
      <c r="G1225" s="2" t="str">
        <f t="shared" si="107"/>
        <v>http://jsmh.umin.jp/journal/21-4/21-4.pdf</v>
      </c>
      <c r="H1225" s="43" t="str">
        <f t="shared" si="108"/>
        <v>http://dl.ndl.go.jp/info:ndljp/pid/3359270</v>
      </c>
    </row>
    <row r="1226" spans="1:8" ht="30" customHeight="1" x14ac:dyDescent="0.15">
      <c r="A1226" s="16" t="s">
        <v>1623</v>
      </c>
      <c r="B1226" s="17" t="s">
        <v>2319</v>
      </c>
      <c r="C1226" s="17" t="s">
        <v>479</v>
      </c>
      <c r="D1226" s="25" t="s">
        <v>2153</v>
      </c>
      <c r="E1226" s="19" t="s">
        <v>2306</v>
      </c>
      <c r="F1226" s="19" t="s">
        <v>2320</v>
      </c>
      <c r="G1226" s="2" t="str">
        <f t="shared" si="107"/>
        <v>http://jsmh.umin.jp/journal/21-4/21-4.pdf</v>
      </c>
      <c r="H1226" s="43" t="str">
        <f t="shared" si="108"/>
        <v>http://dl.ndl.go.jp/info:ndljp/pid/3359270</v>
      </c>
    </row>
    <row r="1227" spans="1:8" ht="30" customHeight="1" x14ac:dyDescent="0.15">
      <c r="A1227" s="16" t="s">
        <v>704</v>
      </c>
      <c r="B1227" s="17" t="s">
        <v>2321</v>
      </c>
      <c r="C1227" s="17" t="s">
        <v>303</v>
      </c>
      <c r="D1227" s="25" t="s">
        <v>2153</v>
      </c>
      <c r="E1227" s="19" t="s">
        <v>2306</v>
      </c>
      <c r="F1227" s="19" t="s">
        <v>2322</v>
      </c>
      <c r="G1227" s="2" t="str">
        <f t="shared" si="107"/>
        <v>http://jsmh.umin.jp/journal/21-4/21-4.pdf</v>
      </c>
      <c r="H1227" s="43" t="str">
        <f t="shared" si="108"/>
        <v>http://dl.ndl.go.jp/info:ndljp/pid/3359270</v>
      </c>
    </row>
    <row r="1228" spans="1:8" ht="30" customHeight="1" x14ac:dyDescent="0.15">
      <c r="A1228" s="16" t="s">
        <v>704</v>
      </c>
      <c r="B1228" s="17" t="s">
        <v>2323</v>
      </c>
      <c r="C1228" s="17" t="s">
        <v>18</v>
      </c>
      <c r="D1228" s="25" t="s">
        <v>2153</v>
      </c>
      <c r="E1228" s="19" t="s">
        <v>2306</v>
      </c>
      <c r="F1228" s="19" t="s">
        <v>2322</v>
      </c>
      <c r="G1228" s="2" t="str">
        <f t="shared" si="107"/>
        <v>http://jsmh.umin.jp/journal/21-4/21-4.pdf</v>
      </c>
      <c r="H1228" s="43" t="str">
        <f t="shared" si="108"/>
        <v>http://dl.ndl.go.jp/info:ndljp/pid/3359270</v>
      </c>
    </row>
    <row r="1229" spans="1:8" ht="30" customHeight="1" x14ac:dyDescent="0.15">
      <c r="A1229" s="16" t="s">
        <v>704</v>
      </c>
      <c r="B1229" s="17" t="s">
        <v>2324</v>
      </c>
      <c r="C1229" s="17" t="s">
        <v>2325</v>
      </c>
      <c r="D1229" s="25" t="s">
        <v>2153</v>
      </c>
      <c r="E1229" s="19" t="s">
        <v>2306</v>
      </c>
      <c r="F1229" s="19" t="s">
        <v>2322</v>
      </c>
      <c r="G1229" s="2" t="str">
        <f t="shared" si="107"/>
        <v>http://jsmh.umin.jp/journal/21-4/21-4.pdf</v>
      </c>
      <c r="H1229" s="43" t="str">
        <f t="shared" si="108"/>
        <v>http://dl.ndl.go.jp/info:ndljp/pid/3359270</v>
      </c>
    </row>
    <row r="1230" spans="1:8" ht="30" customHeight="1" x14ac:dyDescent="0.15">
      <c r="A1230" s="16" t="s">
        <v>704</v>
      </c>
      <c r="B1230" s="17" t="s">
        <v>2326</v>
      </c>
      <c r="C1230" s="17" t="s">
        <v>2327</v>
      </c>
      <c r="D1230" s="25" t="s">
        <v>2153</v>
      </c>
      <c r="E1230" s="19" t="s">
        <v>2306</v>
      </c>
      <c r="F1230" s="19" t="s">
        <v>2322</v>
      </c>
      <c r="G1230" s="2" t="str">
        <f t="shared" si="107"/>
        <v>http://jsmh.umin.jp/journal/21-4/21-4.pdf</v>
      </c>
      <c r="H1230" s="43" t="str">
        <f t="shared" si="108"/>
        <v>http://dl.ndl.go.jp/info:ndljp/pid/3359270</v>
      </c>
    </row>
    <row r="1231" spans="1:8" ht="30" customHeight="1" x14ac:dyDescent="0.15">
      <c r="A1231" s="16" t="s">
        <v>704</v>
      </c>
      <c r="B1231" s="17" t="s">
        <v>2328</v>
      </c>
      <c r="C1231" s="17" t="s">
        <v>1659</v>
      </c>
      <c r="D1231" s="25" t="s">
        <v>2153</v>
      </c>
      <c r="E1231" s="19" t="s">
        <v>2306</v>
      </c>
      <c r="F1231" s="19" t="s">
        <v>2322</v>
      </c>
      <c r="G1231" s="2" t="str">
        <f t="shared" si="107"/>
        <v>http://jsmh.umin.jp/journal/21-4/21-4.pdf</v>
      </c>
      <c r="H1231" s="43" t="str">
        <f t="shared" si="108"/>
        <v>http://dl.ndl.go.jp/info:ndljp/pid/3359270</v>
      </c>
    </row>
    <row r="1232" spans="1:8" ht="30" customHeight="1" x14ac:dyDescent="0.15">
      <c r="A1232" s="16" t="s">
        <v>704</v>
      </c>
      <c r="B1232" s="17" t="s">
        <v>2329</v>
      </c>
      <c r="C1232" s="17" t="s">
        <v>1281</v>
      </c>
      <c r="D1232" s="25" t="s">
        <v>2153</v>
      </c>
      <c r="E1232" s="19" t="s">
        <v>2306</v>
      </c>
      <c r="F1232" s="19" t="s">
        <v>2322</v>
      </c>
      <c r="G1232" s="2" t="str">
        <f t="shared" si="107"/>
        <v>http://jsmh.umin.jp/journal/21-4/21-4.pdf</v>
      </c>
      <c r="H1232" s="43" t="str">
        <f t="shared" si="108"/>
        <v>http://dl.ndl.go.jp/info:ndljp/pid/3359270</v>
      </c>
    </row>
    <row r="1233" spans="1:8" ht="30" customHeight="1" x14ac:dyDescent="0.15">
      <c r="A1233" s="16" t="s">
        <v>1623</v>
      </c>
      <c r="B1233" s="17" t="s">
        <v>2330</v>
      </c>
      <c r="C1233" s="17" t="s">
        <v>198</v>
      </c>
      <c r="D1233" s="25" t="s">
        <v>2153</v>
      </c>
      <c r="E1233" s="19" t="s">
        <v>2306</v>
      </c>
      <c r="F1233" s="19" t="s">
        <v>2331</v>
      </c>
      <c r="G1233" s="2" t="str">
        <f t="shared" si="107"/>
        <v>http://jsmh.umin.jp/journal/21-4/21-4.pdf</v>
      </c>
      <c r="H1233" s="43" t="str">
        <f t="shared" si="108"/>
        <v>http://dl.ndl.go.jp/info:ndljp/pid/3359270</v>
      </c>
    </row>
    <row r="1234" spans="1:8" ht="30" customHeight="1" x14ac:dyDescent="0.15">
      <c r="A1234" s="16" t="s">
        <v>1623</v>
      </c>
      <c r="B1234" s="17" t="s">
        <v>2332</v>
      </c>
      <c r="C1234" s="17" t="s">
        <v>198</v>
      </c>
      <c r="D1234" s="25" t="s">
        <v>2153</v>
      </c>
      <c r="E1234" s="19" t="s">
        <v>2306</v>
      </c>
      <c r="F1234" s="19" t="s">
        <v>2333</v>
      </c>
      <c r="G1234" s="2" t="str">
        <f t="shared" si="107"/>
        <v>http://jsmh.umin.jp/journal/21-4/21-4.pdf</v>
      </c>
      <c r="H1234" s="43" t="str">
        <f t="shared" si="108"/>
        <v>http://dl.ndl.go.jp/info:ndljp/pid/3359270</v>
      </c>
    </row>
    <row r="1235" spans="1:8" ht="30" customHeight="1" x14ac:dyDescent="0.15">
      <c r="A1235" s="16" t="s">
        <v>1518</v>
      </c>
      <c r="B1235" s="17" t="s">
        <v>2334</v>
      </c>
      <c r="C1235" s="17" t="s">
        <v>2335</v>
      </c>
      <c r="D1235" s="25" t="s">
        <v>2153</v>
      </c>
      <c r="E1235" s="19" t="s">
        <v>2306</v>
      </c>
      <c r="F1235" s="19" t="s">
        <v>2336</v>
      </c>
      <c r="G1235" s="2" t="str">
        <f t="shared" si="107"/>
        <v>http://jsmh.umin.jp/journal/21-4/21-4.pdf</v>
      </c>
      <c r="H1235" s="43" t="str">
        <f t="shared" si="108"/>
        <v>http://dl.ndl.go.jp/info:ndljp/pid/3359270</v>
      </c>
    </row>
    <row r="1236" spans="1:8" ht="30" customHeight="1" x14ac:dyDescent="0.15">
      <c r="A1236" s="16" t="s">
        <v>1518</v>
      </c>
      <c r="B1236" s="17" t="s">
        <v>2337</v>
      </c>
      <c r="C1236" s="17" t="s">
        <v>2335</v>
      </c>
      <c r="D1236" s="25" t="s">
        <v>2153</v>
      </c>
      <c r="E1236" s="19" t="s">
        <v>2306</v>
      </c>
      <c r="F1236" s="19" t="s">
        <v>2338</v>
      </c>
      <c r="G1236" s="2" t="str">
        <f t="shared" si="107"/>
        <v>http://jsmh.umin.jp/journal/21-4/21-4.pdf</v>
      </c>
      <c r="H1236" s="43" t="str">
        <f t="shared" si="108"/>
        <v>http://dl.ndl.go.jp/info:ndljp/pid/3359270</v>
      </c>
    </row>
    <row r="1237" spans="1:8" ht="30" customHeight="1" x14ac:dyDescent="0.15">
      <c r="A1237" s="16" t="s">
        <v>1518</v>
      </c>
      <c r="B1237" s="17" t="s">
        <v>2339</v>
      </c>
      <c r="C1237" s="17" t="s">
        <v>2335</v>
      </c>
      <c r="D1237" s="25" t="s">
        <v>2153</v>
      </c>
      <c r="E1237" s="19" t="s">
        <v>2306</v>
      </c>
      <c r="F1237" s="19" t="s">
        <v>2340</v>
      </c>
      <c r="G1237" s="2" t="str">
        <f t="shared" si="107"/>
        <v>http://jsmh.umin.jp/journal/21-4/21-4.pdf</v>
      </c>
      <c r="H1237" s="43" t="str">
        <f t="shared" si="108"/>
        <v>http://dl.ndl.go.jp/info:ndljp/pid/3359270</v>
      </c>
    </row>
    <row r="1238" spans="1:8" ht="30" customHeight="1" x14ac:dyDescent="0.15">
      <c r="A1238" s="16" t="s">
        <v>1518</v>
      </c>
      <c r="B1238" s="17" t="s">
        <v>2341</v>
      </c>
      <c r="C1238" s="17" t="s">
        <v>2335</v>
      </c>
      <c r="D1238" s="25" t="s">
        <v>2153</v>
      </c>
      <c r="E1238" s="19" t="s">
        <v>2306</v>
      </c>
      <c r="F1238" s="19" t="s">
        <v>2340</v>
      </c>
      <c r="G1238" s="2" t="str">
        <f t="shared" si="107"/>
        <v>http://jsmh.umin.jp/journal/21-4/21-4.pdf</v>
      </c>
      <c r="H1238" s="43" t="str">
        <f t="shared" si="108"/>
        <v>http://dl.ndl.go.jp/info:ndljp/pid/3359270</v>
      </c>
    </row>
    <row r="1239" spans="1:8" ht="30" customHeight="1" x14ac:dyDescent="0.15">
      <c r="A1239" s="16" t="s">
        <v>1518</v>
      </c>
      <c r="B1239" s="17" t="s">
        <v>2342</v>
      </c>
      <c r="C1239" s="17"/>
      <c r="D1239" s="25" t="s">
        <v>2153</v>
      </c>
      <c r="E1239" s="19" t="s">
        <v>2306</v>
      </c>
      <c r="F1239" s="19" t="s">
        <v>2340</v>
      </c>
      <c r="G1239" s="2" t="str">
        <f t="shared" si="107"/>
        <v>http://jsmh.umin.jp/journal/21-4/21-4.pdf</v>
      </c>
      <c r="H1239" s="43" t="str">
        <f t="shared" si="108"/>
        <v>http://dl.ndl.go.jp/info:ndljp/pid/3359270</v>
      </c>
    </row>
    <row r="1240" spans="1:8" ht="30" customHeight="1" x14ac:dyDescent="0.15">
      <c r="A1240" s="16" t="s">
        <v>17</v>
      </c>
      <c r="B1240" s="17" t="s">
        <v>2343</v>
      </c>
      <c r="C1240" s="17" t="s">
        <v>2344</v>
      </c>
      <c r="D1240" s="25" t="s">
        <v>2153</v>
      </c>
      <c r="E1240" s="19" t="s">
        <v>2306</v>
      </c>
      <c r="F1240" s="19" t="s">
        <v>2345</v>
      </c>
      <c r="G1240" s="2" t="str">
        <f t="shared" si="107"/>
        <v>http://jsmh.umin.jp/journal/21-4/21-4.pdf</v>
      </c>
      <c r="H1240" s="43" t="str">
        <f t="shared" si="108"/>
        <v>http://dl.ndl.go.jp/info:ndljp/pid/3359270</v>
      </c>
    </row>
    <row r="1241" spans="1:8" ht="30" customHeight="1" x14ac:dyDescent="0.15">
      <c r="A1241" s="16" t="s">
        <v>17</v>
      </c>
      <c r="B1241" s="17" t="s">
        <v>2216</v>
      </c>
      <c r="C1241" s="17" t="s">
        <v>66</v>
      </c>
      <c r="D1241" s="18" t="s">
        <v>2346</v>
      </c>
      <c r="E1241" s="19" t="s">
        <v>2347</v>
      </c>
      <c r="F1241" s="19" t="s">
        <v>2348</v>
      </c>
      <c r="G1241" s="2" t="str">
        <f t="shared" ref="G1241:G1261" si="109">HYPERLINK("http://jsmh.umin.jp/journal/22-1/22-1.pdf")</f>
        <v>http://jsmh.umin.jp/journal/22-1/22-1.pdf</v>
      </c>
      <c r="H1241" s="42" t="str">
        <f t="shared" ref="H1241:H1261" si="110">HYPERLINK("http://dl.ndl.go.jp/info:ndljp/pid/3359271")</f>
        <v>http://dl.ndl.go.jp/info:ndljp/pid/3359271</v>
      </c>
    </row>
    <row r="1242" spans="1:8" ht="30" customHeight="1" x14ac:dyDescent="0.15">
      <c r="A1242" s="16" t="s">
        <v>17</v>
      </c>
      <c r="B1242" s="17" t="s">
        <v>2349</v>
      </c>
      <c r="C1242" s="17" t="s">
        <v>2350</v>
      </c>
      <c r="D1242" s="25" t="s">
        <v>2346</v>
      </c>
      <c r="E1242" s="19" t="s">
        <v>2347</v>
      </c>
      <c r="F1242" s="19" t="s">
        <v>526</v>
      </c>
      <c r="G1242" s="2" t="str">
        <f t="shared" si="109"/>
        <v>http://jsmh.umin.jp/journal/22-1/22-1.pdf</v>
      </c>
      <c r="H1242" s="43" t="str">
        <f t="shared" si="110"/>
        <v>http://dl.ndl.go.jp/info:ndljp/pid/3359271</v>
      </c>
    </row>
    <row r="1243" spans="1:8" ht="30" customHeight="1" x14ac:dyDescent="0.15">
      <c r="A1243" s="16" t="s">
        <v>17</v>
      </c>
      <c r="B1243" s="17" t="s">
        <v>2351</v>
      </c>
      <c r="C1243" s="17" t="s">
        <v>191</v>
      </c>
      <c r="D1243" s="25" t="s">
        <v>2346</v>
      </c>
      <c r="E1243" s="19" t="s">
        <v>2347</v>
      </c>
      <c r="F1243" s="19" t="s">
        <v>2352</v>
      </c>
      <c r="G1243" s="2" t="str">
        <f t="shared" si="109"/>
        <v>http://jsmh.umin.jp/journal/22-1/22-1.pdf</v>
      </c>
      <c r="H1243" s="43" t="str">
        <f t="shared" si="110"/>
        <v>http://dl.ndl.go.jp/info:ndljp/pid/3359271</v>
      </c>
    </row>
    <row r="1244" spans="1:8" ht="30" customHeight="1" x14ac:dyDescent="0.15">
      <c r="A1244" s="16" t="s">
        <v>17</v>
      </c>
      <c r="B1244" s="17" t="s">
        <v>2221</v>
      </c>
      <c r="C1244" s="17" t="s">
        <v>2222</v>
      </c>
      <c r="D1244" s="25" t="s">
        <v>2346</v>
      </c>
      <c r="E1244" s="19" t="s">
        <v>2347</v>
      </c>
      <c r="F1244" s="19" t="s">
        <v>2353</v>
      </c>
      <c r="G1244" s="2" t="str">
        <f t="shared" si="109"/>
        <v>http://jsmh.umin.jp/journal/22-1/22-1.pdf</v>
      </c>
      <c r="H1244" s="43" t="str">
        <f t="shared" si="110"/>
        <v>http://dl.ndl.go.jp/info:ndljp/pid/3359271</v>
      </c>
    </row>
    <row r="1245" spans="1:8" ht="30" customHeight="1" x14ac:dyDescent="0.15">
      <c r="A1245" s="16" t="s">
        <v>17</v>
      </c>
      <c r="B1245" s="17" t="s">
        <v>2354</v>
      </c>
      <c r="C1245" s="17" t="s">
        <v>2158</v>
      </c>
      <c r="D1245" s="25" t="s">
        <v>2346</v>
      </c>
      <c r="E1245" s="19" t="s">
        <v>2347</v>
      </c>
      <c r="F1245" s="19" t="s">
        <v>2355</v>
      </c>
      <c r="G1245" s="2" t="str">
        <f t="shared" si="109"/>
        <v>http://jsmh.umin.jp/journal/22-1/22-1.pdf</v>
      </c>
      <c r="H1245" s="43" t="str">
        <f t="shared" si="110"/>
        <v>http://dl.ndl.go.jp/info:ndljp/pid/3359271</v>
      </c>
    </row>
    <row r="1246" spans="1:8" ht="30" customHeight="1" x14ac:dyDescent="0.15">
      <c r="A1246" s="16" t="s">
        <v>17</v>
      </c>
      <c r="B1246" s="17" t="s">
        <v>2356</v>
      </c>
      <c r="C1246" s="17" t="s">
        <v>1803</v>
      </c>
      <c r="D1246" s="25" t="s">
        <v>2346</v>
      </c>
      <c r="E1246" s="19" t="s">
        <v>2347</v>
      </c>
      <c r="F1246" s="19" t="s">
        <v>2357</v>
      </c>
      <c r="G1246" s="2" t="str">
        <f t="shared" si="109"/>
        <v>http://jsmh.umin.jp/journal/22-1/22-1.pdf</v>
      </c>
      <c r="H1246" s="43" t="str">
        <f t="shared" si="110"/>
        <v>http://dl.ndl.go.jp/info:ndljp/pid/3359271</v>
      </c>
    </row>
    <row r="1247" spans="1:8" ht="30" customHeight="1" x14ac:dyDescent="0.15">
      <c r="A1247" s="16" t="s">
        <v>17</v>
      </c>
      <c r="B1247" s="17" t="s">
        <v>2358</v>
      </c>
      <c r="C1247" s="17" t="s">
        <v>2233</v>
      </c>
      <c r="D1247" s="25" t="s">
        <v>2346</v>
      </c>
      <c r="E1247" s="19" t="s">
        <v>2347</v>
      </c>
      <c r="F1247" s="19" t="s">
        <v>2359</v>
      </c>
      <c r="G1247" s="2" t="str">
        <f t="shared" si="109"/>
        <v>http://jsmh.umin.jp/journal/22-1/22-1.pdf</v>
      </c>
      <c r="H1247" s="43" t="str">
        <f t="shared" si="110"/>
        <v>http://dl.ndl.go.jp/info:ndljp/pid/3359271</v>
      </c>
    </row>
    <row r="1248" spans="1:8" ht="30" customHeight="1" x14ac:dyDescent="0.15">
      <c r="A1248" s="16" t="s">
        <v>17</v>
      </c>
      <c r="B1248" s="17" t="s">
        <v>2360</v>
      </c>
      <c r="C1248" s="17" t="s">
        <v>2212</v>
      </c>
      <c r="D1248" s="25" t="s">
        <v>2346</v>
      </c>
      <c r="E1248" s="19" t="s">
        <v>2347</v>
      </c>
      <c r="F1248" s="19" t="s">
        <v>2361</v>
      </c>
      <c r="G1248" s="2" t="str">
        <f t="shared" si="109"/>
        <v>http://jsmh.umin.jp/journal/22-1/22-1.pdf</v>
      </c>
      <c r="H1248" s="43" t="str">
        <f t="shared" si="110"/>
        <v>http://dl.ndl.go.jp/info:ndljp/pid/3359271</v>
      </c>
    </row>
    <row r="1249" spans="1:8" ht="30" customHeight="1" x14ac:dyDescent="0.15">
      <c r="A1249" s="16" t="s">
        <v>704</v>
      </c>
      <c r="B1249" s="17" t="s">
        <v>2362</v>
      </c>
      <c r="C1249" s="17" t="s">
        <v>507</v>
      </c>
      <c r="D1249" s="25" t="s">
        <v>2346</v>
      </c>
      <c r="E1249" s="19" t="s">
        <v>2347</v>
      </c>
      <c r="F1249" s="19" t="s">
        <v>831</v>
      </c>
      <c r="G1249" s="2" t="str">
        <f t="shared" si="109"/>
        <v>http://jsmh.umin.jp/journal/22-1/22-1.pdf</v>
      </c>
      <c r="H1249" s="43" t="str">
        <f t="shared" si="110"/>
        <v>http://dl.ndl.go.jp/info:ndljp/pid/3359271</v>
      </c>
    </row>
    <row r="1250" spans="1:8" ht="30" customHeight="1" x14ac:dyDescent="0.15">
      <c r="A1250" s="16" t="s">
        <v>704</v>
      </c>
      <c r="B1250" s="17" t="s">
        <v>2363</v>
      </c>
      <c r="C1250" s="17" t="s">
        <v>209</v>
      </c>
      <c r="D1250" s="25" t="s">
        <v>2346</v>
      </c>
      <c r="E1250" s="19" t="s">
        <v>2347</v>
      </c>
      <c r="F1250" s="19" t="s">
        <v>2364</v>
      </c>
      <c r="G1250" s="2" t="str">
        <f t="shared" si="109"/>
        <v>http://jsmh.umin.jp/journal/22-1/22-1.pdf</v>
      </c>
      <c r="H1250" s="43" t="str">
        <f t="shared" si="110"/>
        <v>http://dl.ndl.go.jp/info:ndljp/pid/3359271</v>
      </c>
    </row>
    <row r="1251" spans="1:8" ht="30" customHeight="1" x14ac:dyDescent="0.15">
      <c r="A1251" s="16" t="s">
        <v>704</v>
      </c>
      <c r="B1251" s="17" t="s">
        <v>2365</v>
      </c>
      <c r="C1251" s="17" t="s">
        <v>1820</v>
      </c>
      <c r="D1251" s="25" t="s">
        <v>2346</v>
      </c>
      <c r="E1251" s="19" t="s">
        <v>2347</v>
      </c>
      <c r="F1251" s="19" t="s">
        <v>2366</v>
      </c>
      <c r="G1251" s="2" t="str">
        <f t="shared" si="109"/>
        <v>http://jsmh.umin.jp/journal/22-1/22-1.pdf</v>
      </c>
      <c r="H1251" s="43" t="str">
        <f t="shared" si="110"/>
        <v>http://dl.ndl.go.jp/info:ndljp/pid/3359271</v>
      </c>
    </row>
    <row r="1252" spans="1:8" ht="30" customHeight="1" x14ac:dyDescent="0.15">
      <c r="A1252" s="16" t="s">
        <v>704</v>
      </c>
      <c r="B1252" s="17" t="s">
        <v>2362</v>
      </c>
      <c r="C1252" s="17" t="s">
        <v>507</v>
      </c>
      <c r="D1252" s="25" t="s">
        <v>2346</v>
      </c>
      <c r="E1252" s="19" t="s">
        <v>2347</v>
      </c>
      <c r="F1252" s="19" t="s">
        <v>2367</v>
      </c>
      <c r="G1252" s="2" t="str">
        <f t="shared" si="109"/>
        <v>http://jsmh.umin.jp/journal/22-1/22-1.pdf</v>
      </c>
      <c r="H1252" s="43" t="str">
        <f t="shared" si="110"/>
        <v>http://dl.ndl.go.jp/info:ndljp/pid/3359271</v>
      </c>
    </row>
    <row r="1253" spans="1:8" ht="30" customHeight="1" x14ac:dyDescent="0.15">
      <c r="A1253" s="16" t="s">
        <v>704</v>
      </c>
      <c r="B1253" s="17" t="s">
        <v>2368</v>
      </c>
      <c r="C1253" s="17"/>
      <c r="D1253" s="25" t="s">
        <v>2346</v>
      </c>
      <c r="E1253" s="19" t="s">
        <v>2347</v>
      </c>
      <c r="F1253" s="19" t="s">
        <v>2367</v>
      </c>
      <c r="G1253" s="2" t="str">
        <f t="shared" si="109"/>
        <v>http://jsmh.umin.jp/journal/22-1/22-1.pdf</v>
      </c>
      <c r="H1253" s="43" t="str">
        <f t="shared" si="110"/>
        <v>http://dl.ndl.go.jp/info:ndljp/pid/3359271</v>
      </c>
    </row>
    <row r="1254" spans="1:8" ht="30" customHeight="1" x14ac:dyDescent="0.15">
      <c r="A1254" s="16" t="s">
        <v>704</v>
      </c>
      <c r="B1254" s="17" t="s">
        <v>2369</v>
      </c>
      <c r="C1254" s="17" t="s">
        <v>2370</v>
      </c>
      <c r="D1254" s="25" t="s">
        <v>2346</v>
      </c>
      <c r="E1254" s="19" t="s">
        <v>2347</v>
      </c>
      <c r="F1254" s="19" t="s">
        <v>2367</v>
      </c>
      <c r="G1254" s="2" t="str">
        <f t="shared" si="109"/>
        <v>http://jsmh.umin.jp/journal/22-1/22-1.pdf</v>
      </c>
      <c r="H1254" s="43" t="str">
        <f t="shared" si="110"/>
        <v>http://dl.ndl.go.jp/info:ndljp/pid/3359271</v>
      </c>
    </row>
    <row r="1255" spans="1:8" ht="30" customHeight="1" x14ac:dyDescent="0.15">
      <c r="A1255" s="16" t="s">
        <v>704</v>
      </c>
      <c r="B1255" s="17" t="s">
        <v>2371</v>
      </c>
      <c r="C1255" s="17" t="s">
        <v>2283</v>
      </c>
      <c r="D1255" s="25" t="s">
        <v>2346</v>
      </c>
      <c r="E1255" s="19" t="s">
        <v>2347</v>
      </c>
      <c r="F1255" s="19" t="s">
        <v>2367</v>
      </c>
      <c r="G1255" s="2" t="str">
        <f t="shared" si="109"/>
        <v>http://jsmh.umin.jp/journal/22-1/22-1.pdf</v>
      </c>
      <c r="H1255" s="43" t="str">
        <f t="shared" si="110"/>
        <v>http://dl.ndl.go.jp/info:ndljp/pid/3359271</v>
      </c>
    </row>
    <row r="1256" spans="1:8" ht="30" customHeight="1" x14ac:dyDescent="0.15">
      <c r="A1256" s="16" t="s">
        <v>704</v>
      </c>
      <c r="B1256" s="17" t="s">
        <v>2372</v>
      </c>
      <c r="C1256" s="17" t="s">
        <v>209</v>
      </c>
      <c r="D1256" s="25" t="s">
        <v>2346</v>
      </c>
      <c r="E1256" s="19" t="s">
        <v>2347</v>
      </c>
      <c r="F1256" s="19" t="s">
        <v>2367</v>
      </c>
      <c r="G1256" s="2" t="str">
        <f t="shared" si="109"/>
        <v>http://jsmh.umin.jp/journal/22-1/22-1.pdf</v>
      </c>
      <c r="H1256" s="43" t="str">
        <f t="shared" si="110"/>
        <v>http://dl.ndl.go.jp/info:ndljp/pid/3359271</v>
      </c>
    </row>
    <row r="1257" spans="1:8" ht="30" customHeight="1" x14ac:dyDescent="0.15">
      <c r="A1257" s="16" t="s">
        <v>704</v>
      </c>
      <c r="B1257" s="17" t="s">
        <v>2373</v>
      </c>
      <c r="C1257" s="17" t="s">
        <v>1063</v>
      </c>
      <c r="D1257" s="25" t="s">
        <v>2346</v>
      </c>
      <c r="E1257" s="19" t="s">
        <v>2347</v>
      </c>
      <c r="F1257" s="19" t="s">
        <v>2367</v>
      </c>
      <c r="G1257" s="2" t="str">
        <f t="shared" si="109"/>
        <v>http://jsmh.umin.jp/journal/22-1/22-1.pdf</v>
      </c>
      <c r="H1257" s="43" t="str">
        <f t="shared" si="110"/>
        <v>http://dl.ndl.go.jp/info:ndljp/pid/3359271</v>
      </c>
    </row>
    <row r="1258" spans="1:8" ht="30" customHeight="1" x14ac:dyDescent="0.15">
      <c r="A1258" s="16" t="s">
        <v>704</v>
      </c>
      <c r="B1258" s="17" t="s">
        <v>2365</v>
      </c>
      <c r="C1258" s="17" t="s">
        <v>1820</v>
      </c>
      <c r="D1258" s="25" t="s">
        <v>2346</v>
      </c>
      <c r="E1258" s="19" t="s">
        <v>2347</v>
      </c>
      <c r="F1258" s="19" t="s">
        <v>2367</v>
      </c>
      <c r="G1258" s="2" t="str">
        <f t="shared" si="109"/>
        <v>http://jsmh.umin.jp/journal/22-1/22-1.pdf</v>
      </c>
      <c r="H1258" s="43" t="str">
        <f t="shared" si="110"/>
        <v>http://dl.ndl.go.jp/info:ndljp/pid/3359271</v>
      </c>
    </row>
    <row r="1259" spans="1:8" ht="30" customHeight="1" x14ac:dyDescent="0.15">
      <c r="A1259" s="16" t="s">
        <v>704</v>
      </c>
      <c r="B1259" s="17" t="s">
        <v>10094</v>
      </c>
      <c r="C1259" s="17" t="s">
        <v>2374</v>
      </c>
      <c r="D1259" s="25" t="s">
        <v>2346</v>
      </c>
      <c r="E1259" s="19" t="s">
        <v>2347</v>
      </c>
      <c r="F1259" s="19" t="s">
        <v>2367</v>
      </c>
      <c r="G1259" s="2" t="str">
        <f t="shared" si="109"/>
        <v>http://jsmh.umin.jp/journal/22-1/22-1.pdf</v>
      </c>
      <c r="H1259" s="43" t="str">
        <f t="shared" si="110"/>
        <v>http://dl.ndl.go.jp/info:ndljp/pid/3359271</v>
      </c>
    </row>
    <row r="1260" spans="1:8" ht="30" customHeight="1" x14ac:dyDescent="0.15">
      <c r="A1260" s="16" t="s">
        <v>704</v>
      </c>
      <c r="B1260" s="17" t="s">
        <v>2375</v>
      </c>
      <c r="C1260" s="17" t="s">
        <v>198</v>
      </c>
      <c r="D1260" s="25" t="s">
        <v>2346</v>
      </c>
      <c r="E1260" s="19" t="s">
        <v>2347</v>
      </c>
      <c r="F1260" s="19" t="s">
        <v>2367</v>
      </c>
      <c r="G1260" s="2" t="str">
        <f t="shared" si="109"/>
        <v>http://jsmh.umin.jp/journal/22-1/22-1.pdf</v>
      </c>
      <c r="H1260" s="43" t="str">
        <f t="shared" si="110"/>
        <v>http://dl.ndl.go.jp/info:ndljp/pid/3359271</v>
      </c>
    </row>
    <row r="1261" spans="1:8" ht="30" customHeight="1" x14ac:dyDescent="0.15">
      <c r="A1261" s="16" t="s">
        <v>704</v>
      </c>
      <c r="B1261" s="17" t="s">
        <v>2376</v>
      </c>
      <c r="C1261" s="17" t="s">
        <v>1783</v>
      </c>
      <c r="D1261" s="25" t="s">
        <v>2346</v>
      </c>
      <c r="E1261" s="19" t="s">
        <v>2347</v>
      </c>
      <c r="F1261" s="19" t="s">
        <v>2367</v>
      </c>
      <c r="G1261" s="2" t="str">
        <f t="shared" si="109"/>
        <v>http://jsmh.umin.jp/journal/22-1/22-1.pdf</v>
      </c>
      <c r="H1261" s="43" t="str">
        <f t="shared" si="110"/>
        <v>http://dl.ndl.go.jp/info:ndljp/pid/3359271</v>
      </c>
    </row>
    <row r="1262" spans="1:8" ht="30" customHeight="1" x14ac:dyDescent="0.15">
      <c r="A1262" s="16" t="s">
        <v>88</v>
      </c>
      <c r="B1262" s="17" t="s">
        <v>2377</v>
      </c>
      <c r="C1262" s="17" t="s">
        <v>627</v>
      </c>
      <c r="D1262" s="25" t="s">
        <v>2346</v>
      </c>
      <c r="E1262" s="19" t="s">
        <v>2378</v>
      </c>
      <c r="F1262" s="19" t="s">
        <v>2379</v>
      </c>
      <c r="G1262" s="2" t="str">
        <f t="shared" ref="G1262:G1297" si="111">HYPERLINK("http://jsmh.umin.jp/journal/22-2/22-2.pdf")</f>
        <v>http://jsmh.umin.jp/journal/22-2/22-2.pdf</v>
      </c>
      <c r="H1262" s="42" t="str">
        <f t="shared" ref="H1262:H1297" si="112">HYPERLINK("http://dl.ndl.go.jp/info:ndljp/pid/3359272")</f>
        <v>http://dl.ndl.go.jp/info:ndljp/pid/3359272</v>
      </c>
    </row>
    <row r="1263" spans="1:8" ht="30" customHeight="1" x14ac:dyDescent="0.15">
      <c r="A1263" s="16" t="s">
        <v>88</v>
      </c>
      <c r="B1263" s="17" t="s">
        <v>2380</v>
      </c>
      <c r="C1263" s="17" t="s">
        <v>5106</v>
      </c>
      <c r="D1263" s="25" t="s">
        <v>2346</v>
      </c>
      <c r="E1263" s="19" t="s">
        <v>2378</v>
      </c>
      <c r="F1263" s="19" t="s">
        <v>2381</v>
      </c>
      <c r="G1263" s="2" t="str">
        <f t="shared" si="111"/>
        <v>http://jsmh.umin.jp/journal/22-2/22-2.pdf</v>
      </c>
      <c r="H1263" s="43" t="str">
        <f t="shared" si="112"/>
        <v>http://dl.ndl.go.jp/info:ndljp/pid/3359272</v>
      </c>
    </row>
    <row r="1264" spans="1:8" ht="30" customHeight="1" x14ac:dyDescent="0.15">
      <c r="A1264" s="16" t="s">
        <v>499</v>
      </c>
      <c r="B1264" s="17" t="s">
        <v>2382</v>
      </c>
      <c r="C1264" s="17" t="s">
        <v>2383</v>
      </c>
      <c r="D1264" s="25" t="s">
        <v>2346</v>
      </c>
      <c r="E1264" s="19" t="s">
        <v>2378</v>
      </c>
      <c r="F1264" s="19" t="s">
        <v>186</v>
      </c>
      <c r="G1264" s="2" t="str">
        <f t="shared" si="111"/>
        <v>http://jsmh.umin.jp/journal/22-2/22-2.pdf</v>
      </c>
      <c r="H1264" s="43" t="str">
        <f t="shared" si="112"/>
        <v>http://dl.ndl.go.jp/info:ndljp/pid/3359272</v>
      </c>
    </row>
    <row r="1265" spans="1:8" ht="30" customHeight="1" x14ac:dyDescent="0.15">
      <c r="A1265" s="16" t="s">
        <v>91</v>
      </c>
      <c r="B1265" s="17" t="s">
        <v>2384</v>
      </c>
      <c r="C1265" s="17" t="s">
        <v>1299</v>
      </c>
      <c r="D1265" s="25" t="s">
        <v>2346</v>
      </c>
      <c r="E1265" s="19" t="s">
        <v>2378</v>
      </c>
      <c r="F1265" s="19" t="s">
        <v>189</v>
      </c>
      <c r="G1265" s="2" t="str">
        <f t="shared" si="111"/>
        <v>http://jsmh.umin.jp/journal/22-2/22-2.pdf</v>
      </c>
      <c r="H1265" s="43" t="str">
        <f t="shared" si="112"/>
        <v>http://dl.ndl.go.jp/info:ndljp/pid/3359272</v>
      </c>
    </row>
    <row r="1266" spans="1:8" ht="30" customHeight="1" x14ac:dyDescent="0.15">
      <c r="A1266" s="16" t="s">
        <v>91</v>
      </c>
      <c r="B1266" s="17" t="s">
        <v>2385</v>
      </c>
      <c r="C1266" s="17" t="s">
        <v>2386</v>
      </c>
      <c r="D1266" s="25" t="s">
        <v>2346</v>
      </c>
      <c r="E1266" s="19" t="s">
        <v>2378</v>
      </c>
      <c r="F1266" s="19" t="s">
        <v>194</v>
      </c>
      <c r="G1266" s="2" t="str">
        <f t="shared" si="111"/>
        <v>http://jsmh.umin.jp/journal/22-2/22-2.pdf</v>
      </c>
      <c r="H1266" s="43" t="str">
        <f t="shared" si="112"/>
        <v>http://dl.ndl.go.jp/info:ndljp/pid/3359272</v>
      </c>
    </row>
    <row r="1267" spans="1:8" ht="30" customHeight="1" x14ac:dyDescent="0.15">
      <c r="A1267" s="16" t="s">
        <v>91</v>
      </c>
      <c r="B1267" s="17" t="s">
        <v>2387</v>
      </c>
      <c r="C1267" s="17" t="s">
        <v>599</v>
      </c>
      <c r="D1267" s="25" t="s">
        <v>2346</v>
      </c>
      <c r="E1267" s="19" t="s">
        <v>2378</v>
      </c>
      <c r="F1267" s="19" t="s">
        <v>196</v>
      </c>
      <c r="G1267" s="2" t="str">
        <f t="shared" si="111"/>
        <v>http://jsmh.umin.jp/journal/22-2/22-2.pdf</v>
      </c>
      <c r="H1267" s="43" t="str">
        <f t="shared" si="112"/>
        <v>http://dl.ndl.go.jp/info:ndljp/pid/3359272</v>
      </c>
    </row>
    <row r="1268" spans="1:8" ht="30" customHeight="1" x14ac:dyDescent="0.15">
      <c r="A1268" s="16" t="s">
        <v>91</v>
      </c>
      <c r="B1268" s="17" t="s">
        <v>2388</v>
      </c>
      <c r="C1268" s="17" t="s">
        <v>1175</v>
      </c>
      <c r="D1268" s="25" t="s">
        <v>2346</v>
      </c>
      <c r="E1268" s="19" t="s">
        <v>2378</v>
      </c>
      <c r="F1268" s="19" t="s">
        <v>2389</v>
      </c>
      <c r="G1268" s="2" t="str">
        <f t="shared" si="111"/>
        <v>http://jsmh.umin.jp/journal/22-2/22-2.pdf</v>
      </c>
      <c r="H1268" s="43" t="str">
        <f t="shared" si="112"/>
        <v>http://dl.ndl.go.jp/info:ndljp/pid/3359272</v>
      </c>
    </row>
    <row r="1269" spans="1:8" ht="30" customHeight="1" x14ac:dyDescent="0.15">
      <c r="A1269" s="16" t="s">
        <v>91</v>
      </c>
      <c r="B1269" s="17" t="s">
        <v>2390</v>
      </c>
      <c r="C1269" s="17" t="s">
        <v>273</v>
      </c>
      <c r="D1269" s="25" t="s">
        <v>2346</v>
      </c>
      <c r="E1269" s="19" t="s">
        <v>2378</v>
      </c>
      <c r="F1269" s="19" t="s">
        <v>202</v>
      </c>
      <c r="G1269" s="2" t="str">
        <f t="shared" si="111"/>
        <v>http://jsmh.umin.jp/journal/22-2/22-2.pdf</v>
      </c>
      <c r="H1269" s="43" t="str">
        <f t="shared" si="112"/>
        <v>http://dl.ndl.go.jp/info:ndljp/pid/3359272</v>
      </c>
    </row>
    <row r="1270" spans="1:8" ht="30" customHeight="1" x14ac:dyDescent="0.15">
      <c r="A1270" s="16" t="s">
        <v>91</v>
      </c>
      <c r="B1270" s="17" t="s">
        <v>2391</v>
      </c>
      <c r="C1270" s="17" t="s">
        <v>1468</v>
      </c>
      <c r="D1270" s="25" t="s">
        <v>2346</v>
      </c>
      <c r="E1270" s="19" t="s">
        <v>2378</v>
      </c>
      <c r="F1270" s="19" t="s">
        <v>2392</v>
      </c>
      <c r="G1270" s="2" t="str">
        <f t="shared" si="111"/>
        <v>http://jsmh.umin.jp/journal/22-2/22-2.pdf</v>
      </c>
      <c r="H1270" s="43" t="str">
        <f t="shared" si="112"/>
        <v>http://dl.ndl.go.jp/info:ndljp/pid/3359272</v>
      </c>
    </row>
    <row r="1271" spans="1:8" ht="30" customHeight="1" x14ac:dyDescent="0.15">
      <c r="A1271" s="16" t="s">
        <v>91</v>
      </c>
      <c r="B1271" s="17" t="s">
        <v>2393</v>
      </c>
      <c r="C1271" s="17" t="s">
        <v>2233</v>
      </c>
      <c r="D1271" s="25" t="s">
        <v>2346</v>
      </c>
      <c r="E1271" s="19" t="s">
        <v>2378</v>
      </c>
      <c r="F1271" s="19" t="s">
        <v>2394</v>
      </c>
      <c r="G1271" s="2" t="str">
        <f t="shared" si="111"/>
        <v>http://jsmh.umin.jp/journal/22-2/22-2.pdf</v>
      </c>
      <c r="H1271" s="43" t="str">
        <f t="shared" si="112"/>
        <v>http://dl.ndl.go.jp/info:ndljp/pid/3359272</v>
      </c>
    </row>
    <row r="1272" spans="1:8" ht="30" customHeight="1" x14ac:dyDescent="0.15">
      <c r="A1272" s="16" t="s">
        <v>91</v>
      </c>
      <c r="B1272" s="17" t="s">
        <v>2395</v>
      </c>
      <c r="C1272" s="17" t="s">
        <v>198</v>
      </c>
      <c r="D1272" s="25" t="s">
        <v>2346</v>
      </c>
      <c r="E1272" s="19" t="s">
        <v>2378</v>
      </c>
      <c r="F1272" s="19" t="s">
        <v>2396</v>
      </c>
      <c r="G1272" s="2" t="str">
        <f t="shared" si="111"/>
        <v>http://jsmh.umin.jp/journal/22-2/22-2.pdf</v>
      </c>
      <c r="H1272" s="43" t="str">
        <f t="shared" si="112"/>
        <v>http://dl.ndl.go.jp/info:ndljp/pid/3359272</v>
      </c>
    </row>
    <row r="1273" spans="1:8" ht="30" customHeight="1" x14ac:dyDescent="0.15">
      <c r="A1273" s="16" t="s">
        <v>91</v>
      </c>
      <c r="B1273" s="17" t="s">
        <v>2397</v>
      </c>
      <c r="C1273" s="17" t="s">
        <v>928</v>
      </c>
      <c r="D1273" s="25" t="s">
        <v>2346</v>
      </c>
      <c r="E1273" s="19" t="s">
        <v>2378</v>
      </c>
      <c r="F1273" s="19" t="s">
        <v>2398</v>
      </c>
      <c r="G1273" s="2" t="str">
        <f t="shared" si="111"/>
        <v>http://jsmh.umin.jp/journal/22-2/22-2.pdf</v>
      </c>
      <c r="H1273" s="43" t="str">
        <f t="shared" si="112"/>
        <v>http://dl.ndl.go.jp/info:ndljp/pid/3359272</v>
      </c>
    </row>
    <row r="1274" spans="1:8" ht="30" customHeight="1" x14ac:dyDescent="0.15">
      <c r="A1274" s="16" t="s">
        <v>91</v>
      </c>
      <c r="B1274" s="17" t="s">
        <v>10095</v>
      </c>
      <c r="C1274" s="17" t="s">
        <v>2399</v>
      </c>
      <c r="D1274" s="25" t="s">
        <v>2346</v>
      </c>
      <c r="E1274" s="19" t="s">
        <v>2378</v>
      </c>
      <c r="F1274" s="19" t="s">
        <v>2400</v>
      </c>
      <c r="G1274" s="2" t="str">
        <f t="shared" si="111"/>
        <v>http://jsmh.umin.jp/journal/22-2/22-2.pdf</v>
      </c>
      <c r="H1274" s="43" t="str">
        <f t="shared" si="112"/>
        <v>http://dl.ndl.go.jp/info:ndljp/pid/3359272</v>
      </c>
    </row>
    <row r="1275" spans="1:8" ht="30" customHeight="1" x14ac:dyDescent="0.15">
      <c r="A1275" s="16" t="s">
        <v>91</v>
      </c>
      <c r="B1275" s="17" t="s">
        <v>2401</v>
      </c>
      <c r="C1275" s="17" t="s">
        <v>1338</v>
      </c>
      <c r="D1275" s="25" t="s">
        <v>2346</v>
      </c>
      <c r="E1275" s="19" t="s">
        <v>2378</v>
      </c>
      <c r="F1275" s="19" t="s">
        <v>2402</v>
      </c>
      <c r="G1275" s="2" t="str">
        <f t="shared" si="111"/>
        <v>http://jsmh.umin.jp/journal/22-2/22-2.pdf</v>
      </c>
      <c r="H1275" s="43" t="str">
        <f t="shared" si="112"/>
        <v>http://dl.ndl.go.jp/info:ndljp/pid/3359272</v>
      </c>
    </row>
    <row r="1276" spans="1:8" ht="30" customHeight="1" x14ac:dyDescent="0.15">
      <c r="A1276" s="16" t="s">
        <v>91</v>
      </c>
      <c r="B1276" s="17" t="s">
        <v>2403</v>
      </c>
      <c r="C1276" s="17" t="s">
        <v>2222</v>
      </c>
      <c r="D1276" s="25" t="s">
        <v>2346</v>
      </c>
      <c r="E1276" s="19" t="s">
        <v>2378</v>
      </c>
      <c r="F1276" s="19" t="s">
        <v>2404</v>
      </c>
      <c r="G1276" s="2" t="str">
        <f t="shared" si="111"/>
        <v>http://jsmh.umin.jp/journal/22-2/22-2.pdf</v>
      </c>
      <c r="H1276" s="43" t="str">
        <f t="shared" si="112"/>
        <v>http://dl.ndl.go.jp/info:ndljp/pid/3359272</v>
      </c>
    </row>
    <row r="1277" spans="1:8" ht="30" customHeight="1" x14ac:dyDescent="0.15">
      <c r="A1277" s="16" t="s">
        <v>91</v>
      </c>
      <c r="B1277" s="17" t="s">
        <v>2405</v>
      </c>
      <c r="C1277" s="17" t="s">
        <v>1803</v>
      </c>
      <c r="D1277" s="25" t="s">
        <v>2346</v>
      </c>
      <c r="E1277" s="19" t="s">
        <v>2378</v>
      </c>
      <c r="F1277" s="19" t="s">
        <v>2406</v>
      </c>
      <c r="G1277" s="2" t="str">
        <f t="shared" si="111"/>
        <v>http://jsmh.umin.jp/journal/22-2/22-2.pdf</v>
      </c>
      <c r="H1277" s="43" t="str">
        <f t="shared" si="112"/>
        <v>http://dl.ndl.go.jp/info:ndljp/pid/3359272</v>
      </c>
    </row>
    <row r="1278" spans="1:8" ht="30" customHeight="1" x14ac:dyDescent="0.15">
      <c r="A1278" s="16" t="s">
        <v>91</v>
      </c>
      <c r="B1278" s="17" t="s">
        <v>2407</v>
      </c>
      <c r="C1278" s="17" t="s">
        <v>76</v>
      </c>
      <c r="D1278" s="25" t="s">
        <v>2346</v>
      </c>
      <c r="E1278" s="19" t="s">
        <v>2378</v>
      </c>
      <c r="F1278" s="19" t="s">
        <v>2408</v>
      </c>
      <c r="G1278" s="2" t="str">
        <f t="shared" si="111"/>
        <v>http://jsmh.umin.jp/journal/22-2/22-2.pdf</v>
      </c>
      <c r="H1278" s="43" t="str">
        <f t="shared" si="112"/>
        <v>http://dl.ndl.go.jp/info:ndljp/pid/3359272</v>
      </c>
    </row>
    <row r="1279" spans="1:8" ht="30" customHeight="1" x14ac:dyDescent="0.15">
      <c r="A1279" s="16" t="s">
        <v>91</v>
      </c>
      <c r="B1279" s="17" t="s">
        <v>2409</v>
      </c>
      <c r="C1279" s="17" t="s">
        <v>2212</v>
      </c>
      <c r="D1279" s="25" t="s">
        <v>2346</v>
      </c>
      <c r="E1279" s="19" t="s">
        <v>2378</v>
      </c>
      <c r="F1279" s="19" t="s">
        <v>2410</v>
      </c>
      <c r="G1279" s="2" t="str">
        <f t="shared" si="111"/>
        <v>http://jsmh.umin.jp/journal/22-2/22-2.pdf</v>
      </c>
      <c r="H1279" s="43" t="str">
        <f t="shared" si="112"/>
        <v>http://dl.ndl.go.jp/info:ndljp/pid/3359272</v>
      </c>
    </row>
    <row r="1280" spans="1:8" ht="30" customHeight="1" x14ac:dyDescent="0.15">
      <c r="A1280" s="16" t="s">
        <v>91</v>
      </c>
      <c r="B1280" s="17" t="s">
        <v>2411</v>
      </c>
      <c r="C1280" s="17" t="s">
        <v>1699</v>
      </c>
      <c r="D1280" s="25" t="s">
        <v>2346</v>
      </c>
      <c r="E1280" s="19" t="s">
        <v>2378</v>
      </c>
      <c r="F1280" s="19" t="s">
        <v>2412</v>
      </c>
      <c r="G1280" s="2" t="str">
        <f t="shared" si="111"/>
        <v>http://jsmh.umin.jp/journal/22-2/22-2.pdf</v>
      </c>
      <c r="H1280" s="43" t="str">
        <f t="shared" si="112"/>
        <v>http://dl.ndl.go.jp/info:ndljp/pid/3359272</v>
      </c>
    </row>
    <row r="1281" spans="1:8" ht="30" customHeight="1" x14ac:dyDescent="0.15">
      <c r="A1281" s="16" t="s">
        <v>91</v>
      </c>
      <c r="B1281" s="17" t="s">
        <v>2413</v>
      </c>
      <c r="C1281" s="17" t="s">
        <v>191</v>
      </c>
      <c r="D1281" s="25" t="s">
        <v>2346</v>
      </c>
      <c r="E1281" s="19" t="s">
        <v>2378</v>
      </c>
      <c r="F1281" s="19" t="s">
        <v>2414</v>
      </c>
      <c r="G1281" s="2" t="str">
        <f t="shared" si="111"/>
        <v>http://jsmh.umin.jp/journal/22-2/22-2.pdf</v>
      </c>
      <c r="H1281" s="43" t="str">
        <f t="shared" si="112"/>
        <v>http://dl.ndl.go.jp/info:ndljp/pid/3359272</v>
      </c>
    </row>
    <row r="1282" spans="1:8" ht="30" customHeight="1" x14ac:dyDescent="0.15">
      <c r="A1282" s="16" t="s">
        <v>91</v>
      </c>
      <c r="B1282" s="17" t="s">
        <v>10096</v>
      </c>
      <c r="C1282" s="17" t="s">
        <v>1659</v>
      </c>
      <c r="D1282" s="25" t="s">
        <v>2346</v>
      </c>
      <c r="E1282" s="19" t="s">
        <v>2378</v>
      </c>
      <c r="F1282" s="19" t="s">
        <v>2415</v>
      </c>
      <c r="G1282" s="2" t="str">
        <f t="shared" si="111"/>
        <v>http://jsmh.umin.jp/journal/22-2/22-2.pdf</v>
      </c>
      <c r="H1282" s="43" t="str">
        <f t="shared" si="112"/>
        <v>http://dl.ndl.go.jp/info:ndljp/pid/3359272</v>
      </c>
    </row>
    <row r="1283" spans="1:8" ht="30" customHeight="1" x14ac:dyDescent="0.15">
      <c r="A1283" s="16" t="s">
        <v>91</v>
      </c>
      <c r="B1283" s="17" t="s">
        <v>2416</v>
      </c>
      <c r="C1283" s="17" t="s">
        <v>134</v>
      </c>
      <c r="D1283" s="25" t="s">
        <v>2346</v>
      </c>
      <c r="E1283" s="19" t="s">
        <v>2378</v>
      </c>
      <c r="F1283" s="19" t="s">
        <v>2417</v>
      </c>
      <c r="G1283" s="2" t="str">
        <f t="shared" si="111"/>
        <v>http://jsmh.umin.jp/journal/22-2/22-2.pdf</v>
      </c>
      <c r="H1283" s="43" t="str">
        <f t="shared" si="112"/>
        <v>http://dl.ndl.go.jp/info:ndljp/pid/3359272</v>
      </c>
    </row>
    <row r="1284" spans="1:8" ht="30" customHeight="1" x14ac:dyDescent="0.15">
      <c r="A1284" s="16" t="s">
        <v>91</v>
      </c>
      <c r="B1284" s="17" t="s">
        <v>2418</v>
      </c>
      <c r="C1284" s="17" t="s">
        <v>2419</v>
      </c>
      <c r="D1284" s="25" t="s">
        <v>2346</v>
      </c>
      <c r="E1284" s="19" t="s">
        <v>2378</v>
      </c>
      <c r="F1284" s="19" t="s">
        <v>2417</v>
      </c>
      <c r="G1284" s="2" t="str">
        <f t="shared" si="111"/>
        <v>http://jsmh.umin.jp/journal/22-2/22-2.pdf</v>
      </c>
      <c r="H1284" s="43" t="str">
        <f t="shared" si="112"/>
        <v>http://dl.ndl.go.jp/info:ndljp/pid/3359272</v>
      </c>
    </row>
    <row r="1285" spans="1:8" ht="30" customHeight="1" x14ac:dyDescent="0.15">
      <c r="A1285" s="16" t="s">
        <v>91</v>
      </c>
      <c r="B1285" s="17" t="s">
        <v>2420</v>
      </c>
      <c r="C1285" s="17" t="s">
        <v>444</v>
      </c>
      <c r="D1285" s="25" t="s">
        <v>2346</v>
      </c>
      <c r="E1285" s="19" t="s">
        <v>2378</v>
      </c>
      <c r="F1285" s="19" t="s">
        <v>58</v>
      </c>
      <c r="G1285" s="2" t="str">
        <f t="shared" si="111"/>
        <v>http://jsmh.umin.jp/journal/22-2/22-2.pdf</v>
      </c>
      <c r="H1285" s="43" t="str">
        <f t="shared" si="112"/>
        <v>http://dl.ndl.go.jp/info:ndljp/pid/3359272</v>
      </c>
    </row>
    <row r="1286" spans="1:8" ht="30" customHeight="1" x14ac:dyDescent="0.15">
      <c r="A1286" s="16" t="s">
        <v>91</v>
      </c>
      <c r="B1286" s="17" t="s">
        <v>2421</v>
      </c>
      <c r="C1286" s="17" t="s">
        <v>479</v>
      </c>
      <c r="D1286" s="25" t="s">
        <v>2346</v>
      </c>
      <c r="E1286" s="19" t="s">
        <v>2378</v>
      </c>
      <c r="F1286" s="19" t="s">
        <v>2215</v>
      </c>
      <c r="G1286" s="2" t="str">
        <f t="shared" si="111"/>
        <v>http://jsmh.umin.jp/journal/22-2/22-2.pdf</v>
      </c>
      <c r="H1286" s="43" t="str">
        <f t="shared" si="112"/>
        <v>http://dl.ndl.go.jp/info:ndljp/pid/3359272</v>
      </c>
    </row>
    <row r="1287" spans="1:8" ht="30" customHeight="1" x14ac:dyDescent="0.15">
      <c r="A1287" s="16" t="s">
        <v>91</v>
      </c>
      <c r="B1287" s="17" t="s">
        <v>2422</v>
      </c>
      <c r="C1287" s="17" t="s">
        <v>507</v>
      </c>
      <c r="D1287" s="25" t="s">
        <v>2346</v>
      </c>
      <c r="E1287" s="19" t="s">
        <v>2378</v>
      </c>
      <c r="F1287" s="19" t="s">
        <v>2217</v>
      </c>
      <c r="G1287" s="2" t="str">
        <f t="shared" si="111"/>
        <v>http://jsmh.umin.jp/journal/22-2/22-2.pdf</v>
      </c>
      <c r="H1287" s="43" t="str">
        <f t="shared" si="112"/>
        <v>http://dl.ndl.go.jp/info:ndljp/pid/3359272</v>
      </c>
    </row>
    <row r="1288" spans="1:8" ht="30" customHeight="1" x14ac:dyDescent="0.15">
      <c r="A1288" s="16" t="s">
        <v>91</v>
      </c>
      <c r="B1288" s="17" t="s">
        <v>2423</v>
      </c>
      <c r="C1288" s="17" t="s">
        <v>2424</v>
      </c>
      <c r="D1288" s="25" t="s">
        <v>2346</v>
      </c>
      <c r="E1288" s="19" t="s">
        <v>2378</v>
      </c>
      <c r="F1288" s="19" t="s">
        <v>2425</v>
      </c>
      <c r="G1288" s="2" t="str">
        <f t="shared" si="111"/>
        <v>http://jsmh.umin.jp/journal/22-2/22-2.pdf</v>
      </c>
      <c r="H1288" s="43" t="str">
        <f t="shared" si="112"/>
        <v>http://dl.ndl.go.jp/info:ndljp/pid/3359272</v>
      </c>
    </row>
    <row r="1289" spans="1:8" ht="30" customHeight="1" x14ac:dyDescent="0.15">
      <c r="A1289" s="16" t="s">
        <v>91</v>
      </c>
      <c r="B1289" s="17" t="s">
        <v>2426</v>
      </c>
      <c r="C1289" s="17" t="s">
        <v>1292</v>
      </c>
      <c r="D1289" s="25" t="s">
        <v>2346</v>
      </c>
      <c r="E1289" s="19" t="s">
        <v>2378</v>
      </c>
      <c r="F1289" s="19" t="s">
        <v>1345</v>
      </c>
      <c r="G1289" s="2" t="str">
        <f t="shared" si="111"/>
        <v>http://jsmh.umin.jp/journal/22-2/22-2.pdf</v>
      </c>
      <c r="H1289" s="43" t="str">
        <f t="shared" si="112"/>
        <v>http://dl.ndl.go.jp/info:ndljp/pid/3359272</v>
      </c>
    </row>
    <row r="1290" spans="1:8" ht="30" customHeight="1" x14ac:dyDescent="0.15">
      <c r="A1290" s="16" t="s">
        <v>91</v>
      </c>
      <c r="B1290" s="17" t="s">
        <v>2427</v>
      </c>
      <c r="C1290" s="17" t="s">
        <v>916</v>
      </c>
      <c r="D1290" s="25" t="s">
        <v>2346</v>
      </c>
      <c r="E1290" s="19" t="s">
        <v>2378</v>
      </c>
      <c r="F1290" s="19" t="s">
        <v>1349</v>
      </c>
      <c r="G1290" s="2" t="str">
        <f t="shared" si="111"/>
        <v>http://jsmh.umin.jp/journal/22-2/22-2.pdf</v>
      </c>
      <c r="H1290" s="43" t="str">
        <f t="shared" si="112"/>
        <v>http://dl.ndl.go.jp/info:ndljp/pid/3359272</v>
      </c>
    </row>
    <row r="1291" spans="1:8" ht="30" customHeight="1" x14ac:dyDescent="0.15">
      <c r="A1291" s="16" t="s">
        <v>91</v>
      </c>
      <c r="B1291" s="17" t="s">
        <v>2428</v>
      </c>
      <c r="C1291" s="17" t="s">
        <v>1932</v>
      </c>
      <c r="D1291" s="25" t="s">
        <v>2346</v>
      </c>
      <c r="E1291" s="19" t="s">
        <v>2378</v>
      </c>
      <c r="F1291" s="19" t="s">
        <v>2228</v>
      </c>
      <c r="G1291" s="2" t="str">
        <f t="shared" si="111"/>
        <v>http://jsmh.umin.jp/journal/22-2/22-2.pdf</v>
      </c>
      <c r="H1291" s="43" t="str">
        <f t="shared" si="112"/>
        <v>http://dl.ndl.go.jp/info:ndljp/pid/3359272</v>
      </c>
    </row>
    <row r="1292" spans="1:8" ht="30" customHeight="1" x14ac:dyDescent="0.15">
      <c r="A1292" s="16" t="s">
        <v>17</v>
      </c>
      <c r="B1292" s="17" t="s">
        <v>2429</v>
      </c>
      <c r="C1292" s="17" t="s">
        <v>1457</v>
      </c>
      <c r="D1292" s="25" t="s">
        <v>2346</v>
      </c>
      <c r="E1292" s="19" t="s">
        <v>2378</v>
      </c>
      <c r="F1292" s="19" t="s">
        <v>2430</v>
      </c>
      <c r="G1292" s="2" t="str">
        <f t="shared" si="111"/>
        <v>http://jsmh.umin.jp/journal/22-2/22-2.pdf</v>
      </c>
      <c r="H1292" s="43" t="str">
        <f t="shared" si="112"/>
        <v>http://dl.ndl.go.jp/info:ndljp/pid/3359272</v>
      </c>
    </row>
    <row r="1293" spans="1:8" ht="30" customHeight="1" x14ac:dyDescent="0.15">
      <c r="A1293" s="16" t="s">
        <v>17</v>
      </c>
      <c r="B1293" s="17" t="s">
        <v>2431</v>
      </c>
      <c r="C1293" s="17" t="s">
        <v>2158</v>
      </c>
      <c r="D1293" s="25" t="s">
        <v>2346</v>
      </c>
      <c r="E1293" s="19" t="s">
        <v>2378</v>
      </c>
      <c r="F1293" s="19" t="s">
        <v>2432</v>
      </c>
      <c r="G1293" s="2" t="str">
        <f t="shared" si="111"/>
        <v>http://jsmh.umin.jp/journal/22-2/22-2.pdf</v>
      </c>
      <c r="H1293" s="43" t="str">
        <f t="shared" si="112"/>
        <v>http://dl.ndl.go.jp/info:ndljp/pid/3359272</v>
      </c>
    </row>
    <row r="1294" spans="1:8" ht="30" customHeight="1" x14ac:dyDescent="0.15">
      <c r="A1294" s="16" t="s">
        <v>17</v>
      </c>
      <c r="B1294" s="17" t="s">
        <v>2433</v>
      </c>
      <c r="C1294" s="17" t="s">
        <v>2237</v>
      </c>
      <c r="D1294" s="25" t="s">
        <v>2346</v>
      </c>
      <c r="E1294" s="19" t="s">
        <v>2378</v>
      </c>
      <c r="F1294" s="19" t="s">
        <v>2434</v>
      </c>
      <c r="G1294" s="2" t="str">
        <f t="shared" si="111"/>
        <v>http://jsmh.umin.jp/journal/22-2/22-2.pdf</v>
      </c>
      <c r="H1294" s="43" t="str">
        <f t="shared" si="112"/>
        <v>http://dl.ndl.go.jp/info:ndljp/pid/3359272</v>
      </c>
    </row>
    <row r="1295" spans="1:8" ht="30" customHeight="1" x14ac:dyDescent="0.15">
      <c r="A1295" s="16" t="s">
        <v>17</v>
      </c>
      <c r="B1295" s="17" t="s">
        <v>2435</v>
      </c>
      <c r="C1295" s="17" t="s">
        <v>2350</v>
      </c>
      <c r="D1295" s="25" t="s">
        <v>2346</v>
      </c>
      <c r="E1295" s="19" t="s">
        <v>2378</v>
      </c>
      <c r="F1295" s="19" t="s">
        <v>2436</v>
      </c>
      <c r="G1295" s="2" t="str">
        <f t="shared" si="111"/>
        <v>http://jsmh.umin.jp/journal/22-2/22-2.pdf</v>
      </c>
      <c r="H1295" s="43" t="str">
        <f t="shared" si="112"/>
        <v>http://dl.ndl.go.jp/info:ndljp/pid/3359272</v>
      </c>
    </row>
    <row r="1296" spans="1:8" ht="30" customHeight="1" x14ac:dyDescent="0.15">
      <c r="A1296" s="16" t="s">
        <v>81</v>
      </c>
      <c r="B1296" s="17" t="s">
        <v>2437</v>
      </c>
      <c r="C1296" s="17" t="s">
        <v>273</v>
      </c>
      <c r="D1296" s="25" t="s">
        <v>2346</v>
      </c>
      <c r="E1296" s="19" t="s">
        <v>2378</v>
      </c>
      <c r="F1296" s="19" t="s">
        <v>2438</v>
      </c>
      <c r="G1296" s="2" t="str">
        <f t="shared" si="111"/>
        <v>http://jsmh.umin.jp/journal/22-2/22-2.pdf</v>
      </c>
      <c r="H1296" s="43" t="str">
        <f t="shared" si="112"/>
        <v>http://dl.ndl.go.jp/info:ndljp/pid/3359272</v>
      </c>
    </row>
    <row r="1297" spans="1:8" ht="30" customHeight="1" x14ac:dyDescent="0.15">
      <c r="A1297" s="16" t="s">
        <v>81</v>
      </c>
      <c r="B1297" s="17" t="s">
        <v>2439</v>
      </c>
      <c r="C1297" s="17"/>
      <c r="D1297" s="25" t="s">
        <v>2346</v>
      </c>
      <c r="E1297" s="19" t="s">
        <v>2378</v>
      </c>
      <c r="F1297" s="19" t="s">
        <v>2440</v>
      </c>
      <c r="G1297" s="2" t="str">
        <f t="shared" si="111"/>
        <v>http://jsmh.umin.jp/journal/22-2/22-2.pdf</v>
      </c>
      <c r="H1297" s="43" t="str">
        <f t="shared" si="112"/>
        <v>http://dl.ndl.go.jp/info:ndljp/pid/3359272</v>
      </c>
    </row>
    <row r="1298" spans="1:8" ht="30" customHeight="1" x14ac:dyDescent="0.15">
      <c r="A1298" s="16" t="s">
        <v>17</v>
      </c>
      <c r="B1298" s="17" t="s">
        <v>2441</v>
      </c>
      <c r="C1298" s="17" t="s">
        <v>76</v>
      </c>
      <c r="D1298" s="25" t="s">
        <v>2346</v>
      </c>
      <c r="E1298" s="19" t="s">
        <v>2442</v>
      </c>
      <c r="F1298" s="19" t="s">
        <v>2443</v>
      </c>
      <c r="G1298" s="2" t="str">
        <f t="shared" ref="G1298:G1314" si="113">HYPERLINK("http://jsmh.umin.jp/journal/22-3/22-3.pdf")</f>
        <v>http://jsmh.umin.jp/journal/22-3/22-3.pdf</v>
      </c>
      <c r="H1298" s="42" t="str">
        <f t="shared" ref="H1298:H1314" si="114">HYPERLINK("http://dl.ndl.go.jp/info:ndljp/pid/3359273")</f>
        <v>http://dl.ndl.go.jp/info:ndljp/pid/3359273</v>
      </c>
    </row>
    <row r="1299" spans="1:8" ht="30" customHeight="1" x14ac:dyDescent="0.15">
      <c r="A1299" s="16" t="s">
        <v>17</v>
      </c>
      <c r="B1299" s="17" t="s">
        <v>2444</v>
      </c>
      <c r="C1299" s="17" t="s">
        <v>191</v>
      </c>
      <c r="D1299" s="25" t="s">
        <v>2346</v>
      </c>
      <c r="E1299" s="19" t="s">
        <v>2442</v>
      </c>
      <c r="F1299" s="19" t="s">
        <v>2445</v>
      </c>
      <c r="G1299" s="2" t="str">
        <f t="shared" si="113"/>
        <v>http://jsmh.umin.jp/journal/22-3/22-3.pdf</v>
      </c>
      <c r="H1299" s="43" t="str">
        <f t="shared" si="114"/>
        <v>http://dl.ndl.go.jp/info:ndljp/pid/3359273</v>
      </c>
    </row>
    <row r="1300" spans="1:8" ht="30" customHeight="1" x14ac:dyDescent="0.15">
      <c r="A1300" s="16" t="s">
        <v>17</v>
      </c>
      <c r="B1300" s="17" t="s">
        <v>2446</v>
      </c>
      <c r="C1300" s="17" t="s">
        <v>1097</v>
      </c>
      <c r="D1300" s="25" t="s">
        <v>2346</v>
      </c>
      <c r="E1300" s="19" t="s">
        <v>2442</v>
      </c>
      <c r="F1300" s="19" t="s">
        <v>2447</v>
      </c>
      <c r="G1300" s="2" t="str">
        <f t="shared" si="113"/>
        <v>http://jsmh.umin.jp/journal/22-3/22-3.pdf</v>
      </c>
      <c r="H1300" s="43" t="str">
        <f t="shared" si="114"/>
        <v>http://dl.ndl.go.jp/info:ndljp/pid/3359273</v>
      </c>
    </row>
    <row r="1301" spans="1:8" ht="30" customHeight="1" x14ac:dyDescent="0.15">
      <c r="A1301" s="16" t="s">
        <v>17</v>
      </c>
      <c r="B1301" s="17" t="s">
        <v>2448</v>
      </c>
      <c r="C1301" s="17" t="s">
        <v>2286</v>
      </c>
      <c r="D1301" s="25" t="s">
        <v>2346</v>
      </c>
      <c r="E1301" s="19" t="s">
        <v>2442</v>
      </c>
      <c r="F1301" s="19" t="s">
        <v>2449</v>
      </c>
      <c r="G1301" s="2" t="str">
        <f t="shared" si="113"/>
        <v>http://jsmh.umin.jp/journal/22-3/22-3.pdf</v>
      </c>
      <c r="H1301" s="43" t="str">
        <f t="shared" si="114"/>
        <v>http://dl.ndl.go.jp/info:ndljp/pid/3359273</v>
      </c>
    </row>
    <row r="1302" spans="1:8" ht="30" customHeight="1" x14ac:dyDescent="0.15">
      <c r="A1302" s="16" t="s">
        <v>17</v>
      </c>
      <c r="B1302" s="17" t="s">
        <v>10097</v>
      </c>
      <c r="C1302" s="17" t="s">
        <v>1803</v>
      </c>
      <c r="D1302" s="25" t="s">
        <v>2346</v>
      </c>
      <c r="E1302" s="19" t="s">
        <v>2442</v>
      </c>
      <c r="F1302" s="19" t="s">
        <v>2450</v>
      </c>
      <c r="G1302" s="2" t="str">
        <f t="shared" si="113"/>
        <v>http://jsmh.umin.jp/journal/22-3/22-3.pdf</v>
      </c>
      <c r="H1302" s="43" t="str">
        <f t="shared" si="114"/>
        <v>http://dl.ndl.go.jp/info:ndljp/pid/3359273</v>
      </c>
    </row>
    <row r="1303" spans="1:8" ht="30" customHeight="1" x14ac:dyDescent="0.15">
      <c r="A1303" s="16" t="s">
        <v>17</v>
      </c>
      <c r="B1303" s="17" t="s">
        <v>2451</v>
      </c>
      <c r="C1303" s="17" t="s">
        <v>1097</v>
      </c>
      <c r="D1303" s="25" t="s">
        <v>2346</v>
      </c>
      <c r="E1303" s="19" t="s">
        <v>2442</v>
      </c>
      <c r="F1303" s="19" t="s">
        <v>2452</v>
      </c>
      <c r="G1303" s="2" t="str">
        <f t="shared" si="113"/>
        <v>http://jsmh.umin.jp/journal/22-3/22-3.pdf</v>
      </c>
      <c r="H1303" s="43" t="str">
        <f t="shared" si="114"/>
        <v>http://dl.ndl.go.jp/info:ndljp/pid/3359273</v>
      </c>
    </row>
    <row r="1304" spans="1:8" ht="30" customHeight="1" x14ac:dyDescent="0.15">
      <c r="A1304" s="16" t="s">
        <v>2039</v>
      </c>
      <c r="B1304" s="17" t="s">
        <v>2453</v>
      </c>
      <c r="C1304" s="17" t="s">
        <v>2325</v>
      </c>
      <c r="D1304" s="25" t="s">
        <v>2346</v>
      </c>
      <c r="E1304" s="19" t="s">
        <v>2442</v>
      </c>
      <c r="F1304" s="19" t="s">
        <v>2454</v>
      </c>
      <c r="G1304" s="2" t="str">
        <f t="shared" si="113"/>
        <v>http://jsmh.umin.jp/journal/22-3/22-3.pdf</v>
      </c>
      <c r="H1304" s="43" t="str">
        <f t="shared" si="114"/>
        <v>http://dl.ndl.go.jp/info:ndljp/pid/3359273</v>
      </c>
    </row>
    <row r="1305" spans="1:8" ht="30" customHeight="1" x14ac:dyDescent="0.15">
      <c r="A1305" s="16" t="s">
        <v>159</v>
      </c>
      <c r="B1305" s="17" t="s">
        <v>10098</v>
      </c>
      <c r="C1305" s="17" t="s">
        <v>2455</v>
      </c>
      <c r="D1305" s="25" t="s">
        <v>2346</v>
      </c>
      <c r="E1305" s="19" t="s">
        <v>2442</v>
      </c>
      <c r="F1305" s="19" t="s">
        <v>2456</v>
      </c>
      <c r="G1305" s="2" t="str">
        <f t="shared" si="113"/>
        <v>http://jsmh.umin.jp/journal/22-3/22-3.pdf</v>
      </c>
      <c r="H1305" s="43" t="str">
        <f t="shared" si="114"/>
        <v>http://dl.ndl.go.jp/info:ndljp/pid/3359273</v>
      </c>
    </row>
    <row r="1306" spans="1:8" ht="30" customHeight="1" x14ac:dyDescent="0.15">
      <c r="A1306" s="16" t="s">
        <v>159</v>
      </c>
      <c r="B1306" s="17" t="s">
        <v>2457</v>
      </c>
      <c r="C1306" s="17"/>
      <c r="D1306" s="25" t="s">
        <v>2346</v>
      </c>
      <c r="E1306" s="19" t="s">
        <v>2442</v>
      </c>
      <c r="F1306" s="19" t="s">
        <v>2458</v>
      </c>
      <c r="G1306" s="2" t="str">
        <f t="shared" si="113"/>
        <v>http://jsmh.umin.jp/journal/22-3/22-3.pdf</v>
      </c>
      <c r="H1306" s="43" t="str">
        <f t="shared" si="114"/>
        <v>http://dl.ndl.go.jp/info:ndljp/pid/3359273</v>
      </c>
    </row>
    <row r="1307" spans="1:8" ht="30" customHeight="1" x14ac:dyDescent="0.15">
      <c r="A1307" s="16" t="s">
        <v>159</v>
      </c>
      <c r="B1307" s="17" t="s">
        <v>2459</v>
      </c>
      <c r="C1307" s="17"/>
      <c r="D1307" s="25" t="s">
        <v>2346</v>
      </c>
      <c r="E1307" s="19" t="s">
        <v>2442</v>
      </c>
      <c r="F1307" s="19" t="s">
        <v>1603</v>
      </c>
      <c r="G1307" s="2" t="str">
        <f t="shared" si="113"/>
        <v>http://jsmh.umin.jp/journal/22-3/22-3.pdf</v>
      </c>
      <c r="H1307" s="43" t="str">
        <f t="shared" si="114"/>
        <v>http://dl.ndl.go.jp/info:ndljp/pid/3359273</v>
      </c>
    </row>
    <row r="1308" spans="1:8" ht="30" customHeight="1" x14ac:dyDescent="0.15">
      <c r="A1308" s="16" t="s">
        <v>704</v>
      </c>
      <c r="B1308" s="17" t="s">
        <v>2460</v>
      </c>
      <c r="C1308" s="17" t="s">
        <v>2461</v>
      </c>
      <c r="D1308" s="25" t="s">
        <v>2346</v>
      </c>
      <c r="E1308" s="19" t="s">
        <v>2442</v>
      </c>
      <c r="F1308" s="19" t="s">
        <v>1603</v>
      </c>
      <c r="G1308" s="2" t="str">
        <f t="shared" si="113"/>
        <v>http://jsmh.umin.jp/journal/22-3/22-3.pdf</v>
      </c>
      <c r="H1308" s="43" t="str">
        <f t="shared" si="114"/>
        <v>http://dl.ndl.go.jp/info:ndljp/pid/3359273</v>
      </c>
    </row>
    <row r="1309" spans="1:8" ht="30" customHeight="1" x14ac:dyDescent="0.15">
      <c r="A1309" s="16" t="s">
        <v>704</v>
      </c>
      <c r="B1309" s="17" t="s">
        <v>2462</v>
      </c>
      <c r="C1309" s="17" t="s">
        <v>1338</v>
      </c>
      <c r="D1309" s="25" t="s">
        <v>2346</v>
      </c>
      <c r="E1309" s="19" t="s">
        <v>2442</v>
      </c>
      <c r="F1309" s="19" t="s">
        <v>1603</v>
      </c>
      <c r="G1309" s="2" t="str">
        <f t="shared" si="113"/>
        <v>http://jsmh.umin.jp/journal/22-3/22-3.pdf</v>
      </c>
      <c r="H1309" s="43" t="str">
        <f t="shared" si="114"/>
        <v>http://dl.ndl.go.jp/info:ndljp/pid/3359273</v>
      </c>
    </row>
    <row r="1310" spans="1:8" ht="30" customHeight="1" x14ac:dyDescent="0.15">
      <c r="A1310" s="16" t="s">
        <v>704</v>
      </c>
      <c r="B1310" s="17" t="s">
        <v>2463</v>
      </c>
      <c r="C1310" s="17" t="s">
        <v>1070</v>
      </c>
      <c r="D1310" s="25" t="s">
        <v>2346</v>
      </c>
      <c r="E1310" s="19" t="s">
        <v>2442</v>
      </c>
      <c r="F1310" s="19" t="s">
        <v>1603</v>
      </c>
      <c r="G1310" s="2" t="str">
        <f t="shared" si="113"/>
        <v>http://jsmh.umin.jp/journal/22-3/22-3.pdf</v>
      </c>
      <c r="H1310" s="43" t="str">
        <f t="shared" si="114"/>
        <v>http://dl.ndl.go.jp/info:ndljp/pid/3359273</v>
      </c>
    </row>
    <row r="1311" spans="1:8" ht="30" customHeight="1" x14ac:dyDescent="0.15">
      <c r="A1311" s="16" t="s">
        <v>704</v>
      </c>
      <c r="B1311" s="17" t="s">
        <v>2464</v>
      </c>
      <c r="C1311" s="17" t="s">
        <v>2465</v>
      </c>
      <c r="D1311" s="25" t="s">
        <v>2346</v>
      </c>
      <c r="E1311" s="19" t="s">
        <v>2442</v>
      </c>
      <c r="F1311" s="19" t="s">
        <v>1603</v>
      </c>
      <c r="G1311" s="2" t="str">
        <f t="shared" si="113"/>
        <v>http://jsmh.umin.jp/journal/22-3/22-3.pdf</v>
      </c>
      <c r="H1311" s="43" t="str">
        <f t="shared" si="114"/>
        <v>http://dl.ndl.go.jp/info:ndljp/pid/3359273</v>
      </c>
    </row>
    <row r="1312" spans="1:8" ht="30" customHeight="1" x14ac:dyDescent="0.15">
      <c r="A1312" s="16" t="s">
        <v>704</v>
      </c>
      <c r="B1312" s="17" t="s">
        <v>2466</v>
      </c>
      <c r="C1312" s="17" t="s">
        <v>2467</v>
      </c>
      <c r="D1312" s="25" t="s">
        <v>2346</v>
      </c>
      <c r="E1312" s="19" t="s">
        <v>2442</v>
      </c>
      <c r="F1312" s="19" t="s">
        <v>1603</v>
      </c>
      <c r="G1312" s="2" t="str">
        <f t="shared" si="113"/>
        <v>http://jsmh.umin.jp/journal/22-3/22-3.pdf</v>
      </c>
      <c r="H1312" s="43" t="str">
        <f t="shared" si="114"/>
        <v>http://dl.ndl.go.jp/info:ndljp/pid/3359273</v>
      </c>
    </row>
    <row r="1313" spans="1:8" ht="30" customHeight="1" x14ac:dyDescent="0.15">
      <c r="A1313" s="16" t="s">
        <v>704</v>
      </c>
      <c r="B1313" s="17" t="s">
        <v>2468</v>
      </c>
      <c r="C1313" s="17" t="s">
        <v>830</v>
      </c>
      <c r="D1313" s="25" t="s">
        <v>2346</v>
      </c>
      <c r="E1313" s="19" t="s">
        <v>2442</v>
      </c>
      <c r="F1313" s="19" t="s">
        <v>1603</v>
      </c>
      <c r="G1313" s="2" t="str">
        <f t="shared" si="113"/>
        <v>http://jsmh.umin.jp/journal/22-3/22-3.pdf</v>
      </c>
      <c r="H1313" s="43" t="str">
        <f t="shared" si="114"/>
        <v>http://dl.ndl.go.jp/info:ndljp/pid/3359273</v>
      </c>
    </row>
    <row r="1314" spans="1:8" ht="30" customHeight="1" x14ac:dyDescent="0.15">
      <c r="A1314" s="16" t="s">
        <v>704</v>
      </c>
      <c r="B1314" s="17" t="s">
        <v>2469</v>
      </c>
      <c r="C1314" s="17" t="s">
        <v>2470</v>
      </c>
      <c r="D1314" s="25" t="s">
        <v>2346</v>
      </c>
      <c r="E1314" s="19" t="s">
        <v>2442</v>
      </c>
      <c r="F1314" s="19" t="s">
        <v>1603</v>
      </c>
      <c r="G1314" s="2" t="str">
        <f t="shared" si="113"/>
        <v>http://jsmh.umin.jp/journal/22-3/22-3.pdf</v>
      </c>
      <c r="H1314" s="43" t="str">
        <f t="shared" si="114"/>
        <v>http://dl.ndl.go.jp/info:ndljp/pid/3359273</v>
      </c>
    </row>
    <row r="1315" spans="1:8" ht="30" customHeight="1" x14ac:dyDescent="0.15">
      <c r="A1315" s="16" t="s">
        <v>17</v>
      </c>
      <c r="B1315" s="17" t="s">
        <v>2471</v>
      </c>
      <c r="C1315" s="17" t="s">
        <v>191</v>
      </c>
      <c r="D1315" s="25" t="s">
        <v>2346</v>
      </c>
      <c r="E1315" s="19" t="s">
        <v>2472</v>
      </c>
      <c r="F1315" s="19" t="s">
        <v>2309</v>
      </c>
      <c r="G1315" s="2" t="str">
        <f t="shared" ref="G1315:G1331" si="115">HYPERLINK("http://jsmh.umin.jp/journal/22-4/22-4.pdf")</f>
        <v>http://jsmh.umin.jp/journal/22-4/22-4.pdf</v>
      </c>
      <c r="H1315" s="42" t="str">
        <f t="shared" ref="H1315:H1331" si="116">HYPERLINK("http://dl.ndl.go.jp/info:ndljp/pid/3359274")</f>
        <v>http://dl.ndl.go.jp/info:ndljp/pid/3359274</v>
      </c>
    </row>
    <row r="1316" spans="1:8" ht="30" customHeight="1" x14ac:dyDescent="0.15">
      <c r="A1316" s="16" t="s">
        <v>17</v>
      </c>
      <c r="B1316" s="17" t="s">
        <v>2473</v>
      </c>
      <c r="C1316" s="17" t="s">
        <v>2465</v>
      </c>
      <c r="D1316" s="25" t="s">
        <v>2346</v>
      </c>
      <c r="E1316" s="19" t="s">
        <v>2472</v>
      </c>
      <c r="F1316" s="19" t="s">
        <v>2474</v>
      </c>
      <c r="G1316" s="2" t="str">
        <f t="shared" si="115"/>
        <v>http://jsmh.umin.jp/journal/22-4/22-4.pdf</v>
      </c>
      <c r="H1316" s="43" t="str">
        <f t="shared" si="116"/>
        <v>http://dl.ndl.go.jp/info:ndljp/pid/3359274</v>
      </c>
    </row>
    <row r="1317" spans="1:8" ht="30" customHeight="1" x14ac:dyDescent="0.15">
      <c r="A1317" s="16" t="s">
        <v>17</v>
      </c>
      <c r="B1317" s="17" t="s">
        <v>2475</v>
      </c>
      <c r="C1317" s="17" t="s">
        <v>1781</v>
      </c>
      <c r="D1317" s="25" t="s">
        <v>2346</v>
      </c>
      <c r="E1317" s="19" t="s">
        <v>2472</v>
      </c>
      <c r="F1317" s="19" t="s">
        <v>2476</v>
      </c>
      <c r="G1317" s="2" t="str">
        <f t="shared" si="115"/>
        <v>http://jsmh.umin.jp/journal/22-4/22-4.pdf</v>
      </c>
      <c r="H1317" s="43" t="str">
        <f t="shared" si="116"/>
        <v>http://dl.ndl.go.jp/info:ndljp/pid/3359274</v>
      </c>
    </row>
    <row r="1318" spans="1:8" ht="30" customHeight="1" x14ac:dyDescent="0.15">
      <c r="A1318" s="16" t="s">
        <v>17</v>
      </c>
      <c r="B1318" s="17" t="s">
        <v>2477</v>
      </c>
      <c r="C1318" s="17" t="s">
        <v>2158</v>
      </c>
      <c r="D1318" s="25" t="s">
        <v>2346</v>
      </c>
      <c r="E1318" s="19" t="s">
        <v>2472</v>
      </c>
      <c r="F1318" s="19" t="s">
        <v>2478</v>
      </c>
      <c r="G1318" s="2" t="str">
        <f t="shared" si="115"/>
        <v>http://jsmh.umin.jp/journal/22-4/22-4.pdf</v>
      </c>
      <c r="H1318" s="43" t="str">
        <f t="shared" si="116"/>
        <v>http://dl.ndl.go.jp/info:ndljp/pid/3359274</v>
      </c>
    </row>
    <row r="1319" spans="1:8" ht="30" customHeight="1" x14ac:dyDescent="0.15">
      <c r="A1319" s="16" t="s">
        <v>17</v>
      </c>
      <c r="B1319" s="17" t="s">
        <v>2479</v>
      </c>
      <c r="C1319" s="17" t="s">
        <v>2286</v>
      </c>
      <c r="D1319" s="25" t="s">
        <v>2346</v>
      </c>
      <c r="E1319" s="19" t="s">
        <v>2472</v>
      </c>
      <c r="F1319" s="19" t="s">
        <v>2480</v>
      </c>
      <c r="G1319" s="2" t="str">
        <f t="shared" si="115"/>
        <v>http://jsmh.umin.jp/journal/22-4/22-4.pdf</v>
      </c>
      <c r="H1319" s="43" t="str">
        <f t="shared" si="116"/>
        <v>http://dl.ndl.go.jp/info:ndljp/pid/3359274</v>
      </c>
    </row>
    <row r="1320" spans="1:8" ht="30" customHeight="1" x14ac:dyDescent="0.15">
      <c r="A1320" s="16" t="s">
        <v>17</v>
      </c>
      <c r="B1320" s="17" t="s">
        <v>2462</v>
      </c>
      <c r="C1320" s="17" t="s">
        <v>1338</v>
      </c>
      <c r="D1320" s="25" t="s">
        <v>2346</v>
      </c>
      <c r="E1320" s="19" t="s">
        <v>2472</v>
      </c>
      <c r="F1320" s="19" t="s">
        <v>2481</v>
      </c>
      <c r="G1320" s="2" t="str">
        <f t="shared" si="115"/>
        <v>http://jsmh.umin.jp/journal/22-4/22-4.pdf</v>
      </c>
      <c r="H1320" s="43" t="str">
        <f t="shared" si="116"/>
        <v>http://dl.ndl.go.jp/info:ndljp/pid/3359274</v>
      </c>
    </row>
    <row r="1321" spans="1:8" ht="30" customHeight="1" x14ac:dyDescent="0.15">
      <c r="A1321" s="16" t="s">
        <v>1102</v>
      </c>
      <c r="B1321" s="17" t="s">
        <v>2482</v>
      </c>
      <c r="C1321" s="17" t="s">
        <v>1659</v>
      </c>
      <c r="D1321" s="25" t="s">
        <v>2346</v>
      </c>
      <c r="E1321" s="19" t="s">
        <v>2472</v>
      </c>
      <c r="F1321" s="19" t="s">
        <v>2483</v>
      </c>
      <c r="G1321" s="2" t="str">
        <f t="shared" si="115"/>
        <v>http://jsmh.umin.jp/journal/22-4/22-4.pdf</v>
      </c>
      <c r="H1321" s="43" t="str">
        <f t="shared" si="116"/>
        <v>http://dl.ndl.go.jp/info:ndljp/pid/3359274</v>
      </c>
    </row>
    <row r="1322" spans="1:8" ht="30" customHeight="1" x14ac:dyDescent="0.15">
      <c r="A1322" s="16" t="s">
        <v>704</v>
      </c>
      <c r="B1322" s="17" t="s">
        <v>2484</v>
      </c>
      <c r="C1322" s="17" t="s">
        <v>2485</v>
      </c>
      <c r="D1322" s="25" t="s">
        <v>2346</v>
      </c>
      <c r="E1322" s="19" t="s">
        <v>2472</v>
      </c>
      <c r="F1322" s="19" t="s">
        <v>2486</v>
      </c>
      <c r="G1322" s="2" t="str">
        <f t="shared" si="115"/>
        <v>http://jsmh.umin.jp/journal/22-4/22-4.pdf</v>
      </c>
      <c r="H1322" s="43" t="str">
        <f t="shared" si="116"/>
        <v>http://dl.ndl.go.jp/info:ndljp/pid/3359274</v>
      </c>
    </row>
    <row r="1323" spans="1:8" ht="30" customHeight="1" x14ac:dyDescent="0.15">
      <c r="A1323" s="16" t="s">
        <v>704</v>
      </c>
      <c r="B1323" s="17" t="s">
        <v>2487</v>
      </c>
      <c r="C1323" s="17" t="s">
        <v>2488</v>
      </c>
      <c r="D1323" s="25" t="s">
        <v>2346</v>
      </c>
      <c r="E1323" s="19" t="s">
        <v>2472</v>
      </c>
      <c r="F1323" s="19" t="s">
        <v>2486</v>
      </c>
      <c r="G1323" s="2" t="str">
        <f t="shared" si="115"/>
        <v>http://jsmh.umin.jp/journal/22-4/22-4.pdf</v>
      </c>
      <c r="H1323" s="43" t="str">
        <f t="shared" si="116"/>
        <v>http://dl.ndl.go.jp/info:ndljp/pid/3359274</v>
      </c>
    </row>
    <row r="1324" spans="1:8" ht="30" customHeight="1" x14ac:dyDescent="0.15">
      <c r="A1324" s="16" t="s">
        <v>704</v>
      </c>
      <c r="B1324" s="17" t="s">
        <v>10099</v>
      </c>
      <c r="C1324" s="17" t="s">
        <v>2489</v>
      </c>
      <c r="D1324" s="25" t="s">
        <v>2346</v>
      </c>
      <c r="E1324" s="19" t="s">
        <v>2472</v>
      </c>
      <c r="F1324" s="19" t="s">
        <v>2486</v>
      </c>
      <c r="G1324" s="2" t="str">
        <f t="shared" si="115"/>
        <v>http://jsmh.umin.jp/journal/22-4/22-4.pdf</v>
      </c>
      <c r="H1324" s="43" t="str">
        <f t="shared" si="116"/>
        <v>http://dl.ndl.go.jp/info:ndljp/pid/3359274</v>
      </c>
    </row>
    <row r="1325" spans="1:8" ht="30" customHeight="1" x14ac:dyDescent="0.15">
      <c r="A1325" s="16" t="s">
        <v>704</v>
      </c>
      <c r="B1325" s="17" t="s">
        <v>2490</v>
      </c>
      <c r="C1325" s="17" t="s">
        <v>1097</v>
      </c>
      <c r="D1325" s="25" t="s">
        <v>2346</v>
      </c>
      <c r="E1325" s="19" t="s">
        <v>2472</v>
      </c>
      <c r="F1325" s="19" t="s">
        <v>2486</v>
      </c>
      <c r="G1325" s="2" t="str">
        <f t="shared" si="115"/>
        <v>http://jsmh.umin.jp/journal/22-4/22-4.pdf</v>
      </c>
      <c r="H1325" s="43" t="str">
        <f t="shared" si="116"/>
        <v>http://dl.ndl.go.jp/info:ndljp/pid/3359274</v>
      </c>
    </row>
    <row r="1326" spans="1:8" ht="30" customHeight="1" x14ac:dyDescent="0.15">
      <c r="A1326" s="16" t="s">
        <v>704</v>
      </c>
      <c r="B1326" s="17" t="s">
        <v>2491</v>
      </c>
      <c r="C1326" s="17" t="s">
        <v>507</v>
      </c>
      <c r="D1326" s="25" t="s">
        <v>2346</v>
      </c>
      <c r="E1326" s="19" t="s">
        <v>2472</v>
      </c>
      <c r="F1326" s="19" t="s">
        <v>2486</v>
      </c>
      <c r="G1326" s="2" t="str">
        <f t="shared" si="115"/>
        <v>http://jsmh.umin.jp/journal/22-4/22-4.pdf</v>
      </c>
      <c r="H1326" s="43" t="str">
        <f t="shared" si="116"/>
        <v>http://dl.ndl.go.jp/info:ndljp/pid/3359274</v>
      </c>
    </row>
    <row r="1327" spans="1:8" ht="30" customHeight="1" x14ac:dyDescent="0.15">
      <c r="A1327" s="16" t="s">
        <v>1102</v>
      </c>
      <c r="B1327" s="17" t="s">
        <v>2492</v>
      </c>
      <c r="C1327" s="17" t="s">
        <v>2493</v>
      </c>
      <c r="D1327" s="25" t="s">
        <v>2346</v>
      </c>
      <c r="E1327" s="19" t="s">
        <v>2472</v>
      </c>
      <c r="F1327" s="19" t="s">
        <v>2494</v>
      </c>
      <c r="G1327" s="2" t="str">
        <f t="shared" si="115"/>
        <v>http://jsmh.umin.jp/journal/22-4/22-4.pdf</v>
      </c>
      <c r="H1327" s="43" t="str">
        <f t="shared" si="116"/>
        <v>http://dl.ndl.go.jp/info:ndljp/pid/3359274</v>
      </c>
    </row>
    <row r="1328" spans="1:8" ht="30" customHeight="1" x14ac:dyDescent="0.15">
      <c r="A1328" s="16" t="s">
        <v>1102</v>
      </c>
      <c r="B1328" s="17" t="s">
        <v>2495</v>
      </c>
      <c r="C1328" s="17" t="s">
        <v>1659</v>
      </c>
      <c r="D1328" s="25" t="s">
        <v>2346</v>
      </c>
      <c r="E1328" s="19" t="s">
        <v>2472</v>
      </c>
      <c r="F1328" s="19" t="s">
        <v>2496</v>
      </c>
      <c r="G1328" s="2" t="str">
        <f t="shared" si="115"/>
        <v>http://jsmh.umin.jp/journal/22-4/22-4.pdf</v>
      </c>
      <c r="H1328" s="43" t="str">
        <f t="shared" si="116"/>
        <v>http://dl.ndl.go.jp/info:ndljp/pid/3359274</v>
      </c>
    </row>
    <row r="1329" spans="1:8" ht="30" customHeight="1" x14ac:dyDescent="0.15">
      <c r="A1329" s="16" t="s">
        <v>81</v>
      </c>
      <c r="B1329" s="17" t="s">
        <v>2497</v>
      </c>
      <c r="C1329" s="17"/>
      <c r="D1329" s="25" t="s">
        <v>2346</v>
      </c>
      <c r="E1329" s="19" t="s">
        <v>2472</v>
      </c>
      <c r="F1329" s="19" t="s">
        <v>2498</v>
      </c>
      <c r="G1329" s="2" t="str">
        <f t="shared" si="115"/>
        <v>http://jsmh.umin.jp/journal/22-4/22-4.pdf</v>
      </c>
      <c r="H1329" s="43" t="str">
        <f t="shared" si="116"/>
        <v>http://dl.ndl.go.jp/info:ndljp/pid/3359274</v>
      </c>
    </row>
    <row r="1330" spans="1:8" ht="30" customHeight="1" x14ac:dyDescent="0.15">
      <c r="A1330" s="16" t="s">
        <v>81</v>
      </c>
      <c r="B1330" s="17" t="s">
        <v>2499</v>
      </c>
      <c r="C1330" s="17"/>
      <c r="D1330" s="25" t="s">
        <v>2346</v>
      </c>
      <c r="E1330" s="19" t="s">
        <v>2472</v>
      </c>
      <c r="F1330" s="19" t="s">
        <v>2498</v>
      </c>
      <c r="G1330" s="2" t="str">
        <f t="shared" si="115"/>
        <v>http://jsmh.umin.jp/journal/22-4/22-4.pdf</v>
      </c>
      <c r="H1330" s="43" t="str">
        <f t="shared" si="116"/>
        <v>http://dl.ndl.go.jp/info:ndljp/pid/3359274</v>
      </c>
    </row>
    <row r="1331" spans="1:8" ht="30" customHeight="1" x14ac:dyDescent="0.15">
      <c r="A1331" s="16" t="s">
        <v>17</v>
      </c>
      <c r="B1331" s="17" t="s">
        <v>2500</v>
      </c>
      <c r="C1331" s="17"/>
      <c r="D1331" s="25" t="s">
        <v>2346</v>
      </c>
      <c r="E1331" s="19" t="s">
        <v>2472</v>
      </c>
      <c r="F1331" s="19" t="s">
        <v>5</v>
      </c>
      <c r="G1331" s="2" t="str">
        <f t="shared" si="115"/>
        <v>http://jsmh.umin.jp/journal/22-4/22-4.pdf</v>
      </c>
      <c r="H1331" s="43" t="str">
        <f t="shared" si="116"/>
        <v>http://dl.ndl.go.jp/info:ndljp/pid/3359274</v>
      </c>
    </row>
    <row r="1332" spans="1:8" ht="30" customHeight="1" x14ac:dyDescent="0.15">
      <c r="A1332" s="16" t="s">
        <v>17</v>
      </c>
      <c r="B1332" s="17" t="s">
        <v>2501</v>
      </c>
      <c r="C1332" s="17" t="s">
        <v>198</v>
      </c>
      <c r="D1332" s="18" t="s">
        <v>2502</v>
      </c>
      <c r="E1332" s="19" t="s">
        <v>2503</v>
      </c>
      <c r="F1332" s="19" t="s">
        <v>526</v>
      </c>
      <c r="G1332" s="2" t="str">
        <f t="shared" ref="G1332:G1349" si="117">HYPERLINK("http://jsmh.umin.jp/journal/23-1/23-1.pdf")</f>
        <v>http://jsmh.umin.jp/journal/23-1/23-1.pdf</v>
      </c>
      <c r="H1332" s="42" t="str">
        <f t="shared" ref="H1332:H1349" si="118">HYPERLINK("http://dl.ndl.go.jp/info:ndljp/pid/3359275")</f>
        <v>http://dl.ndl.go.jp/info:ndljp/pid/3359275</v>
      </c>
    </row>
    <row r="1333" spans="1:8" ht="30" customHeight="1" x14ac:dyDescent="0.15">
      <c r="A1333" s="16" t="s">
        <v>17</v>
      </c>
      <c r="B1333" s="17" t="s">
        <v>2504</v>
      </c>
      <c r="C1333" s="17" t="s">
        <v>2505</v>
      </c>
      <c r="D1333" s="25" t="s">
        <v>2502</v>
      </c>
      <c r="E1333" s="19" t="s">
        <v>2503</v>
      </c>
      <c r="F1333" s="19" t="s">
        <v>796</v>
      </c>
      <c r="G1333" s="2" t="str">
        <f t="shared" si="117"/>
        <v>http://jsmh.umin.jp/journal/23-1/23-1.pdf</v>
      </c>
      <c r="H1333" s="43" t="str">
        <f t="shared" si="118"/>
        <v>http://dl.ndl.go.jp/info:ndljp/pid/3359275</v>
      </c>
    </row>
    <row r="1334" spans="1:8" ht="30" customHeight="1" x14ac:dyDescent="0.15">
      <c r="A1334" s="16" t="s">
        <v>17</v>
      </c>
      <c r="B1334" s="17" t="s">
        <v>2411</v>
      </c>
      <c r="C1334" s="17" t="s">
        <v>1699</v>
      </c>
      <c r="D1334" s="25" t="s">
        <v>2502</v>
      </c>
      <c r="E1334" s="19" t="s">
        <v>2503</v>
      </c>
      <c r="F1334" s="19" t="s">
        <v>2506</v>
      </c>
      <c r="G1334" s="2" t="str">
        <f t="shared" si="117"/>
        <v>http://jsmh.umin.jp/journal/23-1/23-1.pdf</v>
      </c>
      <c r="H1334" s="43" t="str">
        <f t="shared" si="118"/>
        <v>http://dl.ndl.go.jp/info:ndljp/pid/3359275</v>
      </c>
    </row>
    <row r="1335" spans="1:8" ht="30" customHeight="1" x14ac:dyDescent="0.15">
      <c r="A1335" s="16" t="s">
        <v>17</v>
      </c>
      <c r="B1335" s="17" t="s">
        <v>2507</v>
      </c>
      <c r="C1335" s="17" t="s">
        <v>838</v>
      </c>
      <c r="D1335" s="25" t="s">
        <v>2502</v>
      </c>
      <c r="E1335" s="19" t="s">
        <v>2503</v>
      </c>
      <c r="F1335" s="19" t="s">
        <v>2508</v>
      </c>
      <c r="G1335" s="2" t="str">
        <f t="shared" si="117"/>
        <v>http://jsmh.umin.jp/journal/23-1/23-1.pdf</v>
      </c>
      <c r="H1335" s="43" t="str">
        <f t="shared" si="118"/>
        <v>http://dl.ndl.go.jp/info:ndljp/pid/3359275</v>
      </c>
    </row>
    <row r="1336" spans="1:8" ht="30" customHeight="1" x14ac:dyDescent="0.15">
      <c r="A1336" s="16" t="s">
        <v>17</v>
      </c>
      <c r="B1336" s="17" t="s">
        <v>10095</v>
      </c>
      <c r="C1336" s="17" t="s">
        <v>2399</v>
      </c>
      <c r="D1336" s="25" t="s">
        <v>2502</v>
      </c>
      <c r="E1336" s="19" t="s">
        <v>2503</v>
      </c>
      <c r="F1336" s="19" t="s">
        <v>32</v>
      </c>
      <c r="G1336" s="2" t="str">
        <f t="shared" si="117"/>
        <v>http://jsmh.umin.jp/journal/23-1/23-1.pdf</v>
      </c>
      <c r="H1336" s="43" t="str">
        <f t="shared" si="118"/>
        <v>http://dl.ndl.go.jp/info:ndljp/pid/3359275</v>
      </c>
    </row>
    <row r="1337" spans="1:8" ht="30" customHeight="1" x14ac:dyDescent="0.15">
      <c r="A1337" s="16" t="s">
        <v>17</v>
      </c>
      <c r="B1337" s="17" t="s">
        <v>2509</v>
      </c>
      <c r="C1337" s="17" t="s">
        <v>2465</v>
      </c>
      <c r="D1337" s="25" t="s">
        <v>2502</v>
      </c>
      <c r="E1337" s="19" t="s">
        <v>2503</v>
      </c>
      <c r="F1337" s="19" t="s">
        <v>2510</v>
      </c>
      <c r="G1337" s="2" t="str">
        <f t="shared" si="117"/>
        <v>http://jsmh.umin.jp/journal/23-1/23-1.pdf</v>
      </c>
      <c r="H1337" s="43" t="str">
        <f t="shared" si="118"/>
        <v>http://dl.ndl.go.jp/info:ndljp/pid/3359275</v>
      </c>
    </row>
    <row r="1338" spans="1:8" ht="30" customHeight="1" x14ac:dyDescent="0.15">
      <c r="A1338" s="16" t="s">
        <v>692</v>
      </c>
      <c r="B1338" s="17" t="s">
        <v>2511</v>
      </c>
      <c r="C1338" s="17" t="s">
        <v>2424</v>
      </c>
      <c r="D1338" s="25" t="s">
        <v>2502</v>
      </c>
      <c r="E1338" s="19" t="s">
        <v>2503</v>
      </c>
      <c r="F1338" s="19" t="s">
        <v>2512</v>
      </c>
      <c r="G1338" s="2" t="str">
        <f t="shared" si="117"/>
        <v>http://jsmh.umin.jp/journal/23-1/23-1.pdf</v>
      </c>
      <c r="H1338" s="43" t="str">
        <f t="shared" si="118"/>
        <v>http://dl.ndl.go.jp/info:ndljp/pid/3359275</v>
      </c>
    </row>
    <row r="1339" spans="1:8" ht="30" customHeight="1" x14ac:dyDescent="0.15">
      <c r="A1339" s="16" t="s">
        <v>704</v>
      </c>
      <c r="B1339" s="17" t="s">
        <v>2513</v>
      </c>
      <c r="C1339" s="17" t="s">
        <v>1070</v>
      </c>
      <c r="D1339" s="25" t="s">
        <v>2502</v>
      </c>
      <c r="E1339" s="19" t="s">
        <v>2503</v>
      </c>
      <c r="F1339" s="19" t="s">
        <v>2514</v>
      </c>
      <c r="G1339" s="2" t="str">
        <f t="shared" si="117"/>
        <v>http://jsmh.umin.jp/journal/23-1/23-1.pdf</v>
      </c>
      <c r="H1339" s="43" t="str">
        <f t="shared" si="118"/>
        <v>http://dl.ndl.go.jp/info:ndljp/pid/3359275</v>
      </c>
    </row>
    <row r="1340" spans="1:8" ht="30" customHeight="1" x14ac:dyDescent="0.15">
      <c r="A1340" s="16" t="s">
        <v>704</v>
      </c>
      <c r="B1340" s="17" t="s">
        <v>2515</v>
      </c>
      <c r="C1340" s="17" t="s">
        <v>209</v>
      </c>
      <c r="D1340" s="25" t="s">
        <v>2502</v>
      </c>
      <c r="E1340" s="19" t="s">
        <v>2503</v>
      </c>
      <c r="F1340" s="19" t="s">
        <v>2514</v>
      </c>
      <c r="G1340" s="2" t="str">
        <f t="shared" si="117"/>
        <v>http://jsmh.umin.jp/journal/23-1/23-1.pdf</v>
      </c>
      <c r="H1340" s="43" t="str">
        <f t="shared" si="118"/>
        <v>http://dl.ndl.go.jp/info:ndljp/pid/3359275</v>
      </c>
    </row>
    <row r="1341" spans="1:8" ht="30" customHeight="1" x14ac:dyDescent="0.15">
      <c r="A1341" s="16" t="s">
        <v>704</v>
      </c>
      <c r="B1341" s="17" t="s">
        <v>10100</v>
      </c>
      <c r="C1341" s="17" t="s">
        <v>1781</v>
      </c>
      <c r="D1341" s="25" t="s">
        <v>2502</v>
      </c>
      <c r="E1341" s="19" t="s">
        <v>2503</v>
      </c>
      <c r="F1341" s="19" t="s">
        <v>2514</v>
      </c>
      <c r="G1341" s="2" t="str">
        <f t="shared" si="117"/>
        <v>http://jsmh.umin.jp/journal/23-1/23-1.pdf</v>
      </c>
      <c r="H1341" s="43" t="str">
        <f t="shared" si="118"/>
        <v>http://dl.ndl.go.jp/info:ndljp/pid/3359275</v>
      </c>
    </row>
    <row r="1342" spans="1:8" ht="30" customHeight="1" x14ac:dyDescent="0.15">
      <c r="A1342" s="16" t="s">
        <v>704</v>
      </c>
      <c r="B1342" s="17" t="s">
        <v>2516</v>
      </c>
      <c r="C1342" s="17" t="s">
        <v>2088</v>
      </c>
      <c r="D1342" s="25" t="s">
        <v>2502</v>
      </c>
      <c r="E1342" s="19" t="s">
        <v>2503</v>
      </c>
      <c r="F1342" s="19" t="s">
        <v>2514</v>
      </c>
      <c r="G1342" s="2" t="str">
        <f t="shared" si="117"/>
        <v>http://jsmh.umin.jp/journal/23-1/23-1.pdf</v>
      </c>
      <c r="H1342" s="43" t="str">
        <f t="shared" si="118"/>
        <v>http://dl.ndl.go.jp/info:ndljp/pid/3359275</v>
      </c>
    </row>
    <row r="1343" spans="1:8" ht="30" customHeight="1" x14ac:dyDescent="0.15">
      <c r="A1343" s="16" t="s">
        <v>704</v>
      </c>
      <c r="B1343" s="17" t="s">
        <v>2517</v>
      </c>
      <c r="C1343" s="17" t="s">
        <v>1097</v>
      </c>
      <c r="D1343" s="25" t="s">
        <v>2502</v>
      </c>
      <c r="E1343" s="19" t="s">
        <v>2503</v>
      </c>
      <c r="F1343" s="19" t="s">
        <v>2514</v>
      </c>
      <c r="G1343" s="2" t="str">
        <f t="shared" si="117"/>
        <v>http://jsmh.umin.jp/journal/23-1/23-1.pdf</v>
      </c>
      <c r="H1343" s="43" t="str">
        <f t="shared" si="118"/>
        <v>http://dl.ndl.go.jp/info:ndljp/pid/3359275</v>
      </c>
    </row>
    <row r="1344" spans="1:8" ht="30" customHeight="1" x14ac:dyDescent="0.15">
      <c r="A1344" s="16" t="s">
        <v>704</v>
      </c>
      <c r="B1344" s="17" t="s">
        <v>2518</v>
      </c>
      <c r="C1344" s="17" t="s">
        <v>198</v>
      </c>
      <c r="D1344" s="25" t="s">
        <v>2502</v>
      </c>
      <c r="E1344" s="19" t="s">
        <v>2503</v>
      </c>
      <c r="F1344" s="19" t="s">
        <v>2514</v>
      </c>
      <c r="G1344" s="2" t="str">
        <f t="shared" si="117"/>
        <v>http://jsmh.umin.jp/journal/23-1/23-1.pdf</v>
      </c>
      <c r="H1344" s="43" t="str">
        <f t="shared" si="118"/>
        <v>http://dl.ndl.go.jp/info:ndljp/pid/3359275</v>
      </c>
    </row>
    <row r="1345" spans="1:8" ht="30" customHeight="1" x14ac:dyDescent="0.15">
      <c r="A1345" s="16" t="s">
        <v>704</v>
      </c>
      <c r="B1345" s="17" t="s">
        <v>2519</v>
      </c>
      <c r="C1345" s="17" t="s">
        <v>2520</v>
      </c>
      <c r="D1345" s="25" t="s">
        <v>2502</v>
      </c>
      <c r="E1345" s="19" t="s">
        <v>2503</v>
      </c>
      <c r="F1345" s="19" t="s">
        <v>2514</v>
      </c>
      <c r="G1345" s="2" t="str">
        <f t="shared" si="117"/>
        <v>http://jsmh.umin.jp/journal/23-1/23-1.pdf</v>
      </c>
      <c r="H1345" s="43" t="str">
        <f t="shared" si="118"/>
        <v>http://dl.ndl.go.jp/info:ndljp/pid/3359275</v>
      </c>
    </row>
    <row r="1346" spans="1:8" ht="30" customHeight="1" x14ac:dyDescent="0.15">
      <c r="A1346" s="16" t="s">
        <v>704</v>
      </c>
      <c r="B1346" s="17" t="s">
        <v>2521</v>
      </c>
      <c r="C1346" s="17" t="s">
        <v>2522</v>
      </c>
      <c r="D1346" s="25" t="s">
        <v>2502</v>
      </c>
      <c r="E1346" s="19" t="s">
        <v>2503</v>
      </c>
      <c r="F1346" s="19" t="s">
        <v>2514</v>
      </c>
      <c r="G1346" s="2" t="str">
        <f t="shared" si="117"/>
        <v>http://jsmh.umin.jp/journal/23-1/23-1.pdf</v>
      </c>
      <c r="H1346" s="43" t="str">
        <f t="shared" si="118"/>
        <v>http://dl.ndl.go.jp/info:ndljp/pid/3359275</v>
      </c>
    </row>
    <row r="1347" spans="1:8" ht="30" customHeight="1" x14ac:dyDescent="0.15">
      <c r="A1347" s="16" t="s">
        <v>704</v>
      </c>
      <c r="B1347" s="17" t="s">
        <v>2523</v>
      </c>
      <c r="C1347" s="17" t="s">
        <v>303</v>
      </c>
      <c r="D1347" s="25" t="s">
        <v>2502</v>
      </c>
      <c r="E1347" s="19" t="s">
        <v>2503</v>
      </c>
      <c r="F1347" s="19" t="s">
        <v>2514</v>
      </c>
      <c r="G1347" s="2" t="str">
        <f t="shared" si="117"/>
        <v>http://jsmh.umin.jp/journal/23-1/23-1.pdf</v>
      </c>
      <c r="H1347" s="43" t="str">
        <f t="shared" si="118"/>
        <v>http://dl.ndl.go.jp/info:ndljp/pid/3359275</v>
      </c>
    </row>
    <row r="1348" spans="1:8" ht="30" customHeight="1" x14ac:dyDescent="0.15">
      <c r="A1348" s="16" t="s">
        <v>704</v>
      </c>
      <c r="B1348" s="17" t="s">
        <v>2524</v>
      </c>
      <c r="C1348" s="17" t="s">
        <v>2525</v>
      </c>
      <c r="D1348" s="25" t="s">
        <v>2502</v>
      </c>
      <c r="E1348" s="19" t="s">
        <v>2503</v>
      </c>
      <c r="F1348" s="19" t="s">
        <v>2514</v>
      </c>
      <c r="G1348" s="2" t="str">
        <f t="shared" si="117"/>
        <v>http://jsmh.umin.jp/journal/23-1/23-1.pdf</v>
      </c>
      <c r="H1348" s="43" t="str">
        <f t="shared" si="118"/>
        <v>http://dl.ndl.go.jp/info:ndljp/pid/3359275</v>
      </c>
    </row>
    <row r="1349" spans="1:8" ht="30" customHeight="1" x14ac:dyDescent="0.15">
      <c r="A1349" s="16" t="s">
        <v>17</v>
      </c>
      <c r="B1349" s="17" t="s">
        <v>2526</v>
      </c>
      <c r="C1349" s="17"/>
      <c r="D1349" s="25" t="s">
        <v>2502</v>
      </c>
      <c r="E1349" s="19" t="s">
        <v>2503</v>
      </c>
      <c r="F1349" s="19" t="s">
        <v>5</v>
      </c>
      <c r="G1349" s="2" t="str">
        <f t="shared" si="117"/>
        <v>http://jsmh.umin.jp/journal/23-1/23-1.pdf</v>
      </c>
      <c r="H1349" s="43" t="str">
        <f t="shared" si="118"/>
        <v>http://dl.ndl.go.jp/info:ndljp/pid/3359275</v>
      </c>
    </row>
    <row r="1350" spans="1:8" ht="30" customHeight="1" x14ac:dyDescent="0.15">
      <c r="A1350" s="16" t="s">
        <v>88</v>
      </c>
      <c r="B1350" s="17" t="s">
        <v>2527</v>
      </c>
      <c r="C1350" s="17" t="s">
        <v>2528</v>
      </c>
      <c r="D1350" s="25" t="s">
        <v>2502</v>
      </c>
      <c r="E1350" s="19" t="s">
        <v>2529</v>
      </c>
      <c r="F1350" s="19" t="s">
        <v>2530</v>
      </c>
      <c r="G1350" s="2" t="str">
        <f t="shared" ref="G1350:G1381" si="119">HYPERLINK("http://jsmh.umin.jp/journal/23-2/23-2.pdf")</f>
        <v>http://jsmh.umin.jp/journal/23-2/23-2.pdf</v>
      </c>
      <c r="H1350" s="42" t="str">
        <f t="shared" ref="H1350:H1381" si="120">HYPERLINK("http://dl.ndl.go.jp/info:ndljp/pid/3359276")</f>
        <v>http://dl.ndl.go.jp/info:ndljp/pid/3359276</v>
      </c>
    </row>
    <row r="1351" spans="1:8" ht="30" customHeight="1" x14ac:dyDescent="0.15">
      <c r="A1351" s="16" t="s">
        <v>88</v>
      </c>
      <c r="B1351" s="17" t="s">
        <v>2531</v>
      </c>
      <c r="C1351" s="17" t="s">
        <v>928</v>
      </c>
      <c r="D1351" s="25" t="s">
        <v>2502</v>
      </c>
      <c r="E1351" s="19" t="s">
        <v>2529</v>
      </c>
      <c r="F1351" s="19" t="s">
        <v>2532</v>
      </c>
      <c r="G1351" s="2" t="str">
        <f t="shared" si="119"/>
        <v>http://jsmh.umin.jp/journal/23-2/23-2.pdf</v>
      </c>
      <c r="H1351" s="43" t="str">
        <f t="shared" si="120"/>
        <v>http://dl.ndl.go.jp/info:ndljp/pid/3359276</v>
      </c>
    </row>
    <row r="1352" spans="1:8" ht="30" customHeight="1" x14ac:dyDescent="0.15">
      <c r="A1352" s="16" t="s">
        <v>88</v>
      </c>
      <c r="B1352" s="17" t="s">
        <v>2533</v>
      </c>
      <c r="C1352" s="17" t="s">
        <v>1247</v>
      </c>
      <c r="D1352" s="25" t="s">
        <v>2502</v>
      </c>
      <c r="E1352" s="19" t="s">
        <v>2529</v>
      </c>
      <c r="F1352" s="19" t="s">
        <v>2534</v>
      </c>
      <c r="G1352" s="2" t="str">
        <f t="shared" si="119"/>
        <v>http://jsmh.umin.jp/journal/23-2/23-2.pdf</v>
      </c>
      <c r="H1352" s="43" t="str">
        <f t="shared" si="120"/>
        <v>http://dl.ndl.go.jp/info:ndljp/pid/3359276</v>
      </c>
    </row>
    <row r="1353" spans="1:8" ht="30" customHeight="1" x14ac:dyDescent="0.15">
      <c r="A1353" s="16" t="s">
        <v>499</v>
      </c>
      <c r="B1353" s="17" t="s">
        <v>2535</v>
      </c>
      <c r="C1353" s="17" t="s">
        <v>2536</v>
      </c>
      <c r="D1353" s="25" t="s">
        <v>2502</v>
      </c>
      <c r="E1353" s="19" t="s">
        <v>2529</v>
      </c>
      <c r="F1353" s="19" t="s">
        <v>2537</v>
      </c>
      <c r="G1353" s="2" t="str">
        <f t="shared" si="119"/>
        <v>http://jsmh.umin.jp/journal/23-2/23-2.pdf</v>
      </c>
      <c r="H1353" s="43" t="str">
        <f t="shared" si="120"/>
        <v>http://dl.ndl.go.jp/info:ndljp/pid/3359276</v>
      </c>
    </row>
    <row r="1354" spans="1:8" ht="30" customHeight="1" x14ac:dyDescent="0.15">
      <c r="A1354" s="16" t="s">
        <v>91</v>
      </c>
      <c r="B1354" s="17" t="s">
        <v>2538</v>
      </c>
      <c r="C1354" s="17" t="s">
        <v>1299</v>
      </c>
      <c r="D1354" s="25" t="s">
        <v>2502</v>
      </c>
      <c r="E1354" s="19" t="s">
        <v>2529</v>
      </c>
      <c r="F1354" s="19" t="s">
        <v>2539</v>
      </c>
      <c r="G1354" s="2" t="str">
        <f t="shared" si="119"/>
        <v>http://jsmh.umin.jp/journal/23-2/23-2.pdf</v>
      </c>
      <c r="H1354" s="43" t="str">
        <f t="shared" si="120"/>
        <v>http://dl.ndl.go.jp/info:ndljp/pid/3359276</v>
      </c>
    </row>
    <row r="1355" spans="1:8" ht="30" customHeight="1" x14ac:dyDescent="0.15">
      <c r="A1355" s="16" t="s">
        <v>91</v>
      </c>
      <c r="B1355" s="17" t="s">
        <v>2540</v>
      </c>
      <c r="C1355" s="17" t="s">
        <v>1769</v>
      </c>
      <c r="D1355" s="25" t="s">
        <v>2502</v>
      </c>
      <c r="E1355" s="19" t="s">
        <v>2529</v>
      </c>
      <c r="F1355" s="19" t="s">
        <v>1692</v>
      </c>
      <c r="G1355" s="2" t="str">
        <f t="shared" si="119"/>
        <v>http://jsmh.umin.jp/journal/23-2/23-2.pdf</v>
      </c>
      <c r="H1355" s="43" t="str">
        <f t="shared" si="120"/>
        <v>http://dl.ndl.go.jp/info:ndljp/pid/3359276</v>
      </c>
    </row>
    <row r="1356" spans="1:8" ht="30" customHeight="1" x14ac:dyDescent="0.15">
      <c r="A1356" s="16" t="s">
        <v>91</v>
      </c>
      <c r="B1356" s="17" t="s">
        <v>2541</v>
      </c>
      <c r="C1356" s="17" t="s">
        <v>2542</v>
      </c>
      <c r="D1356" s="25" t="s">
        <v>2502</v>
      </c>
      <c r="E1356" s="19" t="s">
        <v>2529</v>
      </c>
      <c r="F1356" s="19" t="s">
        <v>1696</v>
      </c>
      <c r="G1356" s="2" t="str">
        <f t="shared" si="119"/>
        <v>http://jsmh.umin.jp/journal/23-2/23-2.pdf</v>
      </c>
      <c r="H1356" s="43" t="str">
        <f t="shared" si="120"/>
        <v>http://dl.ndl.go.jp/info:ndljp/pid/3359276</v>
      </c>
    </row>
    <row r="1357" spans="1:8" ht="30" customHeight="1" x14ac:dyDescent="0.15">
      <c r="A1357" s="16" t="s">
        <v>91</v>
      </c>
      <c r="B1357" s="17" t="s">
        <v>2543</v>
      </c>
      <c r="C1357" s="17" t="s">
        <v>854</v>
      </c>
      <c r="D1357" s="25" t="s">
        <v>2502</v>
      </c>
      <c r="E1357" s="19" t="s">
        <v>2529</v>
      </c>
      <c r="F1357" s="19" t="s">
        <v>2544</v>
      </c>
      <c r="G1357" s="2" t="str">
        <f t="shared" si="119"/>
        <v>http://jsmh.umin.jp/journal/23-2/23-2.pdf</v>
      </c>
      <c r="H1357" s="43" t="str">
        <f t="shared" si="120"/>
        <v>http://dl.ndl.go.jp/info:ndljp/pid/3359276</v>
      </c>
    </row>
    <row r="1358" spans="1:8" ht="30" customHeight="1" x14ac:dyDescent="0.15">
      <c r="A1358" s="16" t="s">
        <v>91</v>
      </c>
      <c r="B1358" s="17" t="s">
        <v>2545</v>
      </c>
      <c r="C1358" s="17" t="s">
        <v>444</v>
      </c>
      <c r="D1358" s="25" t="s">
        <v>2502</v>
      </c>
      <c r="E1358" s="19" t="s">
        <v>2529</v>
      </c>
      <c r="F1358" s="19" t="s">
        <v>2546</v>
      </c>
      <c r="G1358" s="2" t="str">
        <f t="shared" si="119"/>
        <v>http://jsmh.umin.jp/journal/23-2/23-2.pdf</v>
      </c>
      <c r="H1358" s="43" t="str">
        <f t="shared" si="120"/>
        <v>http://dl.ndl.go.jp/info:ndljp/pid/3359276</v>
      </c>
    </row>
    <row r="1359" spans="1:8" ht="30" customHeight="1" x14ac:dyDescent="0.15">
      <c r="A1359" s="16" t="s">
        <v>91</v>
      </c>
      <c r="B1359" s="17" t="s">
        <v>2547</v>
      </c>
      <c r="C1359" s="17" t="s">
        <v>273</v>
      </c>
      <c r="D1359" s="25" t="s">
        <v>2502</v>
      </c>
      <c r="E1359" s="19" t="s">
        <v>2529</v>
      </c>
      <c r="F1359" s="19" t="s">
        <v>2548</v>
      </c>
      <c r="G1359" s="2" t="str">
        <f t="shared" si="119"/>
        <v>http://jsmh.umin.jp/journal/23-2/23-2.pdf</v>
      </c>
      <c r="H1359" s="43" t="str">
        <f t="shared" si="120"/>
        <v>http://dl.ndl.go.jp/info:ndljp/pid/3359276</v>
      </c>
    </row>
    <row r="1360" spans="1:8" ht="30" customHeight="1" x14ac:dyDescent="0.15">
      <c r="A1360" s="16" t="s">
        <v>91</v>
      </c>
      <c r="B1360" s="17" t="s">
        <v>2549</v>
      </c>
      <c r="C1360" s="17" t="s">
        <v>439</v>
      </c>
      <c r="D1360" s="25" t="s">
        <v>2502</v>
      </c>
      <c r="E1360" s="19" t="s">
        <v>2529</v>
      </c>
      <c r="F1360" s="19" t="s">
        <v>2041</v>
      </c>
      <c r="G1360" s="2" t="str">
        <f t="shared" si="119"/>
        <v>http://jsmh.umin.jp/journal/23-2/23-2.pdf</v>
      </c>
      <c r="H1360" s="43" t="str">
        <f t="shared" si="120"/>
        <v>http://dl.ndl.go.jp/info:ndljp/pid/3359276</v>
      </c>
    </row>
    <row r="1361" spans="1:8" ht="30" customHeight="1" x14ac:dyDescent="0.15">
      <c r="A1361" s="16" t="s">
        <v>91</v>
      </c>
      <c r="B1361" s="17" t="s">
        <v>2550</v>
      </c>
      <c r="C1361" s="17" t="s">
        <v>963</v>
      </c>
      <c r="D1361" s="25" t="s">
        <v>2502</v>
      </c>
      <c r="E1361" s="19" t="s">
        <v>2529</v>
      </c>
      <c r="F1361" s="19" t="s">
        <v>2551</v>
      </c>
      <c r="G1361" s="2" t="str">
        <f t="shared" si="119"/>
        <v>http://jsmh.umin.jp/journal/23-2/23-2.pdf</v>
      </c>
      <c r="H1361" s="43" t="str">
        <f t="shared" si="120"/>
        <v>http://dl.ndl.go.jp/info:ndljp/pid/3359276</v>
      </c>
    </row>
    <row r="1362" spans="1:8" ht="30" customHeight="1" x14ac:dyDescent="0.15">
      <c r="A1362" s="16" t="s">
        <v>91</v>
      </c>
      <c r="B1362" s="17" t="s">
        <v>2552</v>
      </c>
      <c r="C1362" s="17" t="s">
        <v>2553</v>
      </c>
      <c r="D1362" s="25" t="s">
        <v>2502</v>
      </c>
      <c r="E1362" s="19" t="s">
        <v>2529</v>
      </c>
      <c r="F1362" s="19" t="s">
        <v>2554</v>
      </c>
      <c r="G1362" s="2" t="str">
        <f t="shared" si="119"/>
        <v>http://jsmh.umin.jp/journal/23-2/23-2.pdf</v>
      </c>
      <c r="H1362" s="43" t="str">
        <f t="shared" si="120"/>
        <v>http://dl.ndl.go.jp/info:ndljp/pid/3359276</v>
      </c>
    </row>
    <row r="1363" spans="1:8" ht="30" customHeight="1" x14ac:dyDescent="0.15">
      <c r="A1363" s="16" t="s">
        <v>91</v>
      </c>
      <c r="B1363" s="17" t="s">
        <v>2555</v>
      </c>
      <c r="C1363" s="17" t="s">
        <v>134</v>
      </c>
      <c r="D1363" s="25" t="s">
        <v>2502</v>
      </c>
      <c r="E1363" s="19" t="s">
        <v>2529</v>
      </c>
      <c r="F1363" s="19" t="s">
        <v>73</v>
      </c>
      <c r="G1363" s="2" t="str">
        <f t="shared" si="119"/>
        <v>http://jsmh.umin.jp/journal/23-2/23-2.pdf</v>
      </c>
      <c r="H1363" s="43" t="str">
        <f t="shared" si="120"/>
        <v>http://dl.ndl.go.jp/info:ndljp/pid/3359276</v>
      </c>
    </row>
    <row r="1364" spans="1:8" ht="30" customHeight="1" x14ac:dyDescent="0.15">
      <c r="A1364" s="16" t="s">
        <v>91</v>
      </c>
      <c r="B1364" s="17" t="s">
        <v>2556</v>
      </c>
      <c r="C1364" s="17" t="s">
        <v>1994</v>
      </c>
      <c r="D1364" s="25" t="s">
        <v>2502</v>
      </c>
      <c r="E1364" s="19" t="s">
        <v>2529</v>
      </c>
      <c r="F1364" s="19" t="s">
        <v>2557</v>
      </c>
      <c r="G1364" s="2" t="str">
        <f t="shared" si="119"/>
        <v>http://jsmh.umin.jp/journal/23-2/23-2.pdf</v>
      </c>
      <c r="H1364" s="43" t="str">
        <f t="shared" si="120"/>
        <v>http://dl.ndl.go.jp/info:ndljp/pid/3359276</v>
      </c>
    </row>
    <row r="1365" spans="1:8" ht="30" customHeight="1" x14ac:dyDescent="0.15">
      <c r="A1365" s="16" t="s">
        <v>91</v>
      </c>
      <c r="B1365" s="17" t="s">
        <v>2558</v>
      </c>
      <c r="C1365" s="17" t="s">
        <v>2209</v>
      </c>
      <c r="D1365" s="25" t="s">
        <v>2502</v>
      </c>
      <c r="E1365" s="19" t="s">
        <v>2529</v>
      </c>
      <c r="F1365" s="19" t="s">
        <v>2559</v>
      </c>
      <c r="G1365" s="2" t="str">
        <f t="shared" si="119"/>
        <v>http://jsmh.umin.jp/journal/23-2/23-2.pdf</v>
      </c>
      <c r="H1365" s="43" t="str">
        <f t="shared" si="120"/>
        <v>http://dl.ndl.go.jp/info:ndljp/pid/3359276</v>
      </c>
    </row>
    <row r="1366" spans="1:8" ht="30" customHeight="1" x14ac:dyDescent="0.15">
      <c r="A1366" s="16" t="s">
        <v>91</v>
      </c>
      <c r="B1366" s="17" t="s">
        <v>2560</v>
      </c>
      <c r="C1366" s="17" t="s">
        <v>2222</v>
      </c>
      <c r="D1366" s="25" t="s">
        <v>2502</v>
      </c>
      <c r="E1366" s="19" t="s">
        <v>2529</v>
      </c>
      <c r="F1366" s="19" t="s">
        <v>2561</v>
      </c>
      <c r="G1366" s="2" t="str">
        <f t="shared" si="119"/>
        <v>http://jsmh.umin.jp/journal/23-2/23-2.pdf</v>
      </c>
      <c r="H1366" s="43" t="str">
        <f t="shared" si="120"/>
        <v>http://dl.ndl.go.jp/info:ndljp/pid/3359276</v>
      </c>
    </row>
    <row r="1367" spans="1:8" ht="30" customHeight="1" x14ac:dyDescent="0.15">
      <c r="A1367" s="16" t="s">
        <v>91</v>
      </c>
      <c r="B1367" s="17" t="s">
        <v>2562</v>
      </c>
      <c r="C1367" s="17" t="s">
        <v>209</v>
      </c>
      <c r="D1367" s="25" t="s">
        <v>2502</v>
      </c>
      <c r="E1367" s="19" t="s">
        <v>2529</v>
      </c>
      <c r="F1367" s="19" t="s">
        <v>2561</v>
      </c>
      <c r="G1367" s="2" t="str">
        <f t="shared" si="119"/>
        <v>http://jsmh.umin.jp/journal/23-2/23-2.pdf</v>
      </c>
      <c r="H1367" s="43" t="str">
        <f t="shared" si="120"/>
        <v>http://dl.ndl.go.jp/info:ndljp/pid/3359276</v>
      </c>
    </row>
    <row r="1368" spans="1:8" ht="30" customHeight="1" x14ac:dyDescent="0.15">
      <c r="A1368" s="16" t="s">
        <v>91</v>
      </c>
      <c r="B1368" s="17" t="s">
        <v>2563</v>
      </c>
      <c r="C1368" s="17" t="s">
        <v>69</v>
      </c>
      <c r="D1368" s="25" t="s">
        <v>2502</v>
      </c>
      <c r="E1368" s="19" t="s">
        <v>2529</v>
      </c>
      <c r="F1368" s="19" t="s">
        <v>2564</v>
      </c>
      <c r="G1368" s="2" t="str">
        <f t="shared" si="119"/>
        <v>http://jsmh.umin.jp/journal/23-2/23-2.pdf</v>
      </c>
      <c r="H1368" s="43" t="str">
        <f t="shared" si="120"/>
        <v>http://dl.ndl.go.jp/info:ndljp/pid/3359276</v>
      </c>
    </row>
    <row r="1369" spans="1:8" ht="30" customHeight="1" x14ac:dyDescent="0.15">
      <c r="A1369" s="16" t="s">
        <v>91</v>
      </c>
      <c r="B1369" s="17" t="s">
        <v>2565</v>
      </c>
      <c r="C1369" s="17" t="s">
        <v>2199</v>
      </c>
      <c r="D1369" s="25" t="s">
        <v>2502</v>
      </c>
      <c r="E1369" s="19" t="s">
        <v>2529</v>
      </c>
      <c r="F1369" s="19" t="s">
        <v>2566</v>
      </c>
      <c r="G1369" s="2" t="str">
        <f t="shared" si="119"/>
        <v>http://jsmh.umin.jp/journal/23-2/23-2.pdf</v>
      </c>
      <c r="H1369" s="43" t="str">
        <f t="shared" si="120"/>
        <v>http://dl.ndl.go.jp/info:ndljp/pid/3359276</v>
      </c>
    </row>
    <row r="1370" spans="1:8" ht="30" customHeight="1" x14ac:dyDescent="0.15">
      <c r="A1370" s="16" t="s">
        <v>91</v>
      </c>
      <c r="B1370" s="17" t="s">
        <v>2567</v>
      </c>
      <c r="C1370" s="17" t="s">
        <v>1292</v>
      </c>
      <c r="D1370" s="25" t="s">
        <v>2502</v>
      </c>
      <c r="E1370" s="19" t="s">
        <v>2529</v>
      </c>
      <c r="F1370" s="19" t="s">
        <v>2568</v>
      </c>
      <c r="G1370" s="2" t="str">
        <f t="shared" si="119"/>
        <v>http://jsmh.umin.jp/journal/23-2/23-2.pdf</v>
      </c>
      <c r="H1370" s="43" t="str">
        <f t="shared" si="120"/>
        <v>http://dl.ndl.go.jp/info:ndljp/pid/3359276</v>
      </c>
    </row>
    <row r="1371" spans="1:8" ht="30" customHeight="1" x14ac:dyDescent="0.15">
      <c r="A1371" s="16" t="s">
        <v>91</v>
      </c>
      <c r="B1371" s="17" t="s">
        <v>2569</v>
      </c>
      <c r="C1371" s="17" t="s">
        <v>2570</v>
      </c>
      <c r="D1371" s="25" t="s">
        <v>2502</v>
      </c>
      <c r="E1371" s="19" t="s">
        <v>2529</v>
      </c>
      <c r="F1371" s="19" t="s">
        <v>2571</v>
      </c>
      <c r="G1371" s="2" t="str">
        <f t="shared" si="119"/>
        <v>http://jsmh.umin.jp/journal/23-2/23-2.pdf</v>
      </c>
      <c r="H1371" s="43" t="str">
        <f t="shared" si="120"/>
        <v>http://dl.ndl.go.jp/info:ndljp/pid/3359276</v>
      </c>
    </row>
    <row r="1372" spans="1:8" ht="30" customHeight="1" x14ac:dyDescent="0.15">
      <c r="A1372" s="16" t="s">
        <v>91</v>
      </c>
      <c r="B1372" s="17" t="s">
        <v>2572</v>
      </c>
      <c r="C1372" s="17" t="s">
        <v>2573</v>
      </c>
      <c r="D1372" s="25" t="s">
        <v>2502</v>
      </c>
      <c r="E1372" s="19" t="s">
        <v>2529</v>
      </c>
      <c r="F1372" s="19" t="s">
        <v>2574</v>
      </c>
      <c r="G1372" s="2" t="str">
        <f t="shared" si="119"/>
        <v>http://jsmh.umin.jp/journal/23-2/23-2.pdf</v>
      </c>
      <c r="H1372" s="43" t="str">
        <f t="shared" si="120"/>
        <v>http://dl.ndl.go.jp/info:ndljp/pid/3359276</v>
      </c>
    </row>
    <row r="1373" spans="1:8" ht="30" customHeight="1" x14ac:dyDescent="0.15">
      <c r="A1373" s="16" t="s">
        <v>91</v>
      </c>
      <c r="B1373" s="17" t="s">
        <v>2575</v>
      </c>
      <c r="C1373" s="17" t="s">
        <v>2576</v>
      </c>
      <c r="D1373" s="25" t="s">
        <v>2502</v>
      </c>
      <c r="E1373" s="19" t="s">
        <v>2529</v>
      </c>
      <c r="F1373" s="19" t="s">
        <v>2577</v>
      </c>
      <c r="G1373" s="2" t="str">
        <f t="shared" si="119"/>
        <v>http://jsmh.umin.jp/journal/23-2/23-2.pdf</v>
      </c>
      <c r="H1373" s="43" t="str">
        <f t="shared" si="120"/>
        <v>http://dl.ndl.go.jp/info:ndljp/pid/3359276</v>
      </c>
    </row>
    <row r="1374" spans="1:8" ht="30" customHeight="1" x14ac:dyDescent="0.15">
      <c r="A1374" s="16" t="s">
        <v>91</v>
      </c>
      <c r="B1374" s="17" t="s">
        <v>2578</v>
      </c>
      <c r="C1374" s="17" t="s">
        <v>2579</v>
      </c>
      <c r="D1374" s="25" t="s">
        <v>2502</v>
      </c>
      <c r="E1374" s="19" t="s">
        <v>2529</v>
      </c>
      <c r="F1374" s="19" t="s">
        <v>2580</v>
      </c>
      <c r="G1374" s="2" t="str">
        <f t="shared" si="119"/>
        <v>http://jsmh.umin.jp/journal/23-2/23-2.pdf</v>
      </c>
      <c r="H1374" s="43" t="str">
        <f t="shared" si="120"/>
        <v>http://dl.ndl.go.jp/info:ndljp/pid/3359276</v>
      </c>
    </row>
    <row r="1375" spans="1:8" ht="30" customHeight="1" x14ac:dyDescent="0.15">
      <c r="A1375" s="16" t="s">
        <v>91</v>
      </c>
      <c r="B1375" s="17" t="s">
        <v>2581</v>
      </c>
      <c r="C1375" s="17" t="s">
        <v>916</v>
      </c>
      <c r="D1375" s="25" t="s">
        <v>2502</v>
      </c>
      <c r="E1375" s="19" t="s">
        <v>2529</v>
      </c>
      <c r="F1375" s="19" t="s">
        <v>2582</v>
      </c>
      <c r="G1375" s="2" t="str">
        <f t="shared" si="119"/>
        <v>http://jsmh.umin.jp/journal/23-2/23-2.pdf</v>
      </c>
      <c r="H1375" s="43" t="str">
        <f t="shared" si="120"/>
        <v>http://dl.ndl.go.jp/info:ndljp/pid/3359276</v>
      </c>
    </row>
    <row r="1376" spans="1:8" ht="30" customHeight="1" x14ac:dyDescent="0.15">
      <c r="A1376" s="16" t="s">
        <v>91</v>
      </c>
      <c r="B1376" s="17" t="s">
        <v>2583</v>
      </c>
      <c r="C1376" s="17" t="s">
        <v>2584</v>
      </c>
      <c r="D1376" s="25" t="s">
        <v>2502</v>
      </c>
      <c r="E1376" s="19" t="s">
        <v>2529</v>
      </c>
      <c r="F1376" s="19" t="s">
        <v>988</v>
      </c>
      <c r="G1376" s="2" t="str">
        <f t="shared" si="119"/>
        <v>http://jsmh.umin.jp/journal/23-2/23-2.pdf</v>
      </c>
      <c r="H1376" s="43" t="str">
        <f t="shared" si="120"/>
        <v>http://dl.ndl.go.jp/info:ndljp/pid/3359276</v>
      </c>
    </row>
    <row r="1377" spans="1:8" ht="30" customHeight="1" x14ac:dyDescent="0.15">
      <c r="A1377" s="16" t="s">
        <v>91</v>
      </c>
      <c r="B1377" s="17" t="s">
        <v>2585</v>
      </c>
      <c r="C1377" s="17" t="s">
        <v>1457</v>
      </c>
      <c r="D1377" s="25" t="s">
        <v>2502</v>
      </c>
      <c r="E1377" s="19" t="s">
        <v>2529</v>
      </c>
      <c r="F1377" s="19" t="s">
        <v>990</v>
      </c>
      <c r="G1377" s="2" t="str">
        <f t="shared" si="119"/>
        <v>http://jsmh.umin.jp/journal/23-2/23-2.pdf</v>
      </c>
      <c r="H1377" s="43" t="str">
        <f t="shared" si="120"/>
        <v>http://dl.ndl.go.jp/info:ndljp/pid/3359276</v>
      </c>
    </row>
    <row r="1378" spans="1:8" ht="30" customHeight="1" x14ac:dyDescent="0.15">
      <c r="A1378" s="16" t="s">
        <v>91</v>
      </c>
      <c r="B1378" s="17" t="s">
        <v>2586</v>
      </c>
      <c r="C1378" s="17" t="s">
        <v>2587</v>
      </c>
      <c r="D1378" s="25" t="s">
        <v>2502</v>
      </c>
      <c r="E1378" s="19" t="s">
        <v>2529</v>
      </c>
      <c r="F1378" s="19" t="s">
        <v>1734</v>
      </c>
      <c r="G1378" s="2" t="str">
        <f t="shared" si="119"/>
        <v>http://jsmh.umin.jp/journal/23-2/23-2.pdf</v>
      </c>
      <c r="H1378" s="43" t="str">
        <f t="shared" si="120"/>
        <v>http://dl.ndl.go.jp/info:ndljp/pid/3359276</v>
      </c>
    </row>
    <row r="1379" spans="1:8" ht="30" customHeight="1" x14ac:dyDescent="0.15">
      <c r="A1379" s="16" t="s">
        <v>91</v>
      </c>
      <c r="B1379" s="17" t="s">
        <v>10101</v>
      </c>
      <c r="C1379" s="17" t="s">
        <v>1468</v>
      </c>
      <c r="D1379" s="25" t="s">
        <v>2502</v>
      </c>
      <c r="E1379" s="19" t="s">
        <v>2529</v>
      </c>
      <c r="F1379" s="19" t="s">
        <v>999</v>
      </c>
      <c r="G1379" s="2" t="str">
        <f t="shared" si="119"/>
        <v>http://jsmh.umin.jp/journal/23-2/23-2.pdf</v>
      </c>
      <c r="H1379" s="43" t="str">
        <f t="shared" si="120"/>
        <v>http://dl.ndl.go.jp/info:ndljp/pid/3359276</v>
      </c>
    </row>
    <row r="1380" spans="1:8" ht="30" customHeight="1" x14ac:dyDescent="0.15">
      <c r="A1380" s="16" t="s">
        <v>91</v>
      </c>
      <c r="B1380" s="17" t="s">
        <v>2588</v>
      </c>
      <c r="C1380" s="17" t="s">
        <v>212</v>
      </c>
      <c r="D1380" s="25" t="s">
        <v>2502</v>
      </c>
      <c r="E1380" s="19" t="s">
        <v>2529</v>
      </c>
      <c r="F1380" s="19" t="s">
        <v>2440</v>
      </c>
      <c r="G1380" s="2" t="str">
        <f t="shared" si="119"/>
        <v>http://jsmh.umin.jp/journal/23-2/23-2.pdf</v>
      </c>
      <c r="H1380" s="43" t="str">
        <f t="shared" si="120"/>
        <v>http://dl.ndl.go.jp/info:ndljp/pid/3359276</v>
      </c>
    </row>
    <row r="1381" spans="1:8" ht="30" customHeight="1" x14ac:dyDescent="0.15">
      <c r="A1381" s="16" t="s">
        <v>91</v>
      </c>
      <c r="B1381" s="17" t="s">
        <v>2589</v>
      </c>
      <c r="C1381" s="17" t="s">
        <v>485</v>
      </c>
      <c r="D1381" s="25" t="s">
        <v>2502</v>
      </c>
      <c r="E1381" s="19" t="s">
        <v>2529</v>
      </c>
      <c r="F1381" s="19" t="s">
        <v>1742</v>
      </c>
      <c r="G1381" s="2" t="str">
        <f t="shared" si="119"/>
        <v>http://jsmh.umin.jp/journal/23-2/23-2.pdf</v>
      </c>
      <c r="H1381" s="43" t="str">
        <f t="shared" si="120"/>
        <v>http://dl.ndl.go.jp/info:ndljp/pid/3359276</v>
      </c>
    </row>
    <row r="1382" spans="1:8" ht="30" customHeight="1" x14ac:dyDescent="0.15">
      <c r="A1382" s="16" t="s">
        <v>91</v>
      </c>
      <c r="B1382" s="17" t="s">
        <v>2590</v>
      </c>
      <c r="C1382" s="17" t="s">
        <v>2591</v>
      </c>
      <c r="D1382" s="25" t="s">
        <v>2502</v>
      </c>
      <c r="E1382" s="19" t="s">
        <v>2529</v>
      </c>
      <c r="F1382" s="19" t="s">
        <v>1743</v>
      </c>
      <c r="G1382" s="2" t="str">
        <f t="shared" ref="G1382:G1413" si="121">HYPERLINK("http://jsmh.umin.jp/journal/23-2/23-2.pdf")</f>
        <v>http://jsmh.umin.jp/journal/23-2/23-2.pdf</v>
      </c>
      <c r="H1382" s="43" t="str">
        <f t="shared" ref="H1382:H1413" si="122">HYPERLINK("http://dl.ndl.go.jp/info:ndljp/pid/3359276")</f>
        <v>http://dl.ndl.go.jp/info:ndljp/pid/3359276</v>
      </c>
    </row>
    <row r="1383" spans="1:8" ht="30" customHeight="1" x14ac:dyDescent="0.15">
      <c r="A1383" s="16" t="s">
        <v>91</v>
      </c>
      <c r="B1383" s="17" t="s">
        <v>10102</v>
      </c>
      <c r="C1383" s="17" t="s">
        <v>2592</v>
      </c>
      <c r="D1383" s="25" t="s">
        <v>2502</v>
      </c>
      <c r="E1383" s="19" t="s">
        <v>2529</v>
      </c>
      <c r="F1383" s="19" t="s">
        <v>80</v>
      </c>
      <c r="G1383" s="2" t="str">
        <f t="shared" si="121"/>
        <v>http://jsmh.umin.jp/journal/23-2/23-2.pdf</v>
      </c>
      <c r="H1383" s="43" t="str">
        <f t="shared" si="122"/>
        <v>http://dl.ndl.go.jp/info:ndljp/pid/3359276</v>
      </c>
    </row>
    <row r="1384" spans="1:8" ht="30" customHeight="1" x14ac:dyDescent="0.15">
      <c r="A1384" s="16" t="s">
        <v>91</v>
      </c>
      <c r="B1384" s="17" t="s">
        <v>2593</v>
      </c>
      <c r="C1384" s="17" t="s">
        <v>838</v>
      </c>
      <c r="D1384" s="25" t="s">
        <v>2502</v>
      </c>
      <c r="E1384" s="19" t="s">
        <v>2529</v>
      </c>
      <c r="F1384" s="19" t="s">
        <v>2594</v>
      </c>
      <c r="G1384" s="2" t="str">
        <f t="shared" si="121"/>
        <v>http://jsmh.umin.jp/journal/23-2/23-2.pdf</v>
      </c>
      <c r="H1384" s="43" t="str">
        <f t="shared" si="122"/>
        <v>http://dl.ndl.go.jp/info:ndljp/pid/3359276</v>
      </c>
    </row>
    <row r="1385" spans="1:8" ht="30" customHeight="1" x14ac:dyDescent="0.15">
      <c r="A1385" s="16" t="s">
        <v>91</v>
      </c>
      <c r="B1385" s="17" t="s">
        <v>2595</v>
      </c>
      <c r="C1385" s="17" t="s">
        <v>2237</v>
      </c>
      <c r="D1385" s="25" t="s">
        <v>2502</v>
      </c>
      <c r="E1385" s="19" t="s">
        <v>2529</v>
      </c>
      <c r="F1385" s="19" t="s">
        <v>256</v>
      </c>
      <c r="G1385" s="2" t="str">
        <f t="shared" si="121"/>
        <v>http://jsmh.umin.jp/journal/23-2/23-2.pdf</v>
      </c>
      <c r="H1385" s="43" t="str">
        <f t="shared" si="122"/>
        <v>http://dl.ndl.go.jp/info:ndljp/pid/3359276</v>
      </c>
    </row>
    <row r="1386" spans="1:8" ht="30" customHeight="1" x14ac:dyDescent="0.15">
      <c r="A1386" s="16" t="s">
        <v>91</v>
      </c>
      <c r="B1386" s="17" t="s">
        <v>2596</v>
      </c>
      <c r="C1386" s="17" t="s">
        <v>937</v>
      </c>
      <c r="D1386" s="25" t="s">
        <v>2502</v>
      </c>
      <c r="E1386" s="19" t="s">
        <v>2529</v>
      </c>
      <c r="F1386" s="19" t="s">
        <v>2068</v>
      </c>
      <c r="G1386" s="2" t="str">
        <f t="shared" si="121"/>
        <v>http://jsmh.umin.jp/journal/23-2/23-2.pdf</v>
      </c>
      <c r="H1386" s="43" t="str">
        <f t="shared" si="122"/>
        <v>http://dl.ndl.go.jp/info:ndljp/pid/3359276</v>
      </c>
    </row>
    <row r="1387" spans="1:8" ht="30" customHeight="1" x14ac:dyDescent="0.15">
      <c r="A1387" s="16" t="s">
        <v>91</v>
      </c>
      <c r="B1387" s="17" t="s">
        <v>2597</v>
      </c>
      <c r="C1387" s="17" t="s">
        <v>1699</v>
      </c>
      <c r="D1387" s="25" t="s">
        <v>2502</v>
      </c>
      <c r="E1387" s="19" t="s">
        <v>2529</v>
      </c>
      <c r="F1387" s="19" t="s">
        <v>2598</v>
      </c>
      <c r="G1387" s="2" t="str">
        <f t="shared" si="121"/>
        <v>http://jsmh.umin.jp/journal/23-2/23-2.pdf</v>
      </c>
      <c r="H1387" s="43" t="str">
        <f t="shared" si="122"/>
        <v>http://dl.ndl.go.jp/info:ndljp/pid/3359276</v>
      </c>
    </row>
    <row r="1388" spans="1:8" ht="30" customHeight="1" x14ac:dyDescent="0.15">
      <c r="A1388" s="16" t="s">
        <v>91</v>
      </c>
      <c r="B1388" s="17" t="s">
        <v>2599</v>
      </c>
      <c r="C1388" s="17" t="s">
        <v>925</v>
      </c>
      <c r="D1388" s="25" t="s">
        <v>2502</v>
      </c>
      <c r="E1388" s="19" t="s">
        <v>2529</v>
      </c>
      <c r="F1388" s="19" t="s">
        <v>2600</v>
      </c>
      <c r="G1388" s="2" t="str">
        <f t="shared" si="121"/>
        <v>http://jsmh.umin.jp/journal/23-2/23-2.pdf</v>
      </c>
      <c r="H1388" s="43" t="str">
        <f t="shared" si="122"/>
        <v>http://dl.ndl.go.jp/info:ndljp/pid/3359276</v>
      </c>
    </row>
    <row r="1389" spans="1:8" ht="30" customHeight="1" x14ac:dyDescent="0.15">
      <c r="A1389" s="16" t="s">
        <v>91</v>
      </c>
      <c r="B1389" s="17" t="s">
        <v>2601</v>
      </c>
      <c r="C1389" s="17" t="s">
        <v>2465</v>
      </c>
      <c r="D1389" s="25" t="s">
        <v>2502</v>
      </c>
      <c r="E1389" s="19" t="s">
        <v>2529</v>
      </c>
      <c r="F1389" s="19" t="s">
        <v>2076</v>
      </c>
      <c r="G1389" s="2" t="str">
        <f t="shared" si="121"/>
        <v>http://jsmh.umin.jp/journal/23-2/23-2.pdf</v>
      </c>
      <c r="H1389" s="43" t="str">
        <f t="shared" si="122"/>
        <v>http://dl.ndl.go.jp/info:ndljp/pid/3359276</v>
      </c>
    </row>
    <row r="1390" spans="1:8" ht="30" customHeight="1" x14ac:dyDescent="0.15">
      <c r="A1390" s="16" t="s">
        <v>91</v>
      </c>
      <c r="B1390" s="17" t="s">
        <v>2602</v>
      </c>
      <c r="C1390" s="17" t="s">
        <v>191</v>
      </c>
      <c r="D1390" s="25" t="s">
        <v>2502</v>
      </c>
      <c r="E1390" s="19" t="s">
        <v>2529</v>
      </c>
      <c r="F1390" s="19" t="s">
        <v>2603</v>
      </c>
      <c r="G1390" s="2" t="str">
        <f t="shared" si="121"/>
        <v>http://jsmh.umin.jp/journal/23-2/23-2.pdf</v>
      </c>
      <c r="H1390" s="43" t="str">
        <f t="shared" si="122"/>
        <v>http://dl.ndl.go.jp/info:ndljp/pid/3359276</v>
      </c>
    </row>
    <row r="1391" spans="1:8" ht="30" customHeight="1" x14ac:dyDescent="0.15">
      <c r="A1391" s="16" t="s">
        <v>91</v>
      </c>
      <c r="B1391" s="17" t="s">
        <v>2604</v>
      </c>
      <c r="C1391" s="17" t="s">
        <v>76</v>
      </c>
      <c r="D1391" s="25" t="s">
        <v>2502</v>
      </c>
      <c r="E1391" s="19" t="s">
        <v>2529</v>
      </c>
      <c r="F1391" s="19" t="s">
        <v>2083</v>
      </c>
      <c r="G1391" s="2" t="str">
        <f t="shared" si="121"/>
        <v>http://jsmh.umin.jp/journal/23-2/23-2.pdf</v>
      </c>
      <c r="H1391" s="43" t="str">
        <f t="shared" si="122"/>
        <v>http://dl.ndl.go.jp/info:ndljp/pid/3359276</v>
      </c>
    </row>
    <row r="1392" spans="1:8" ht="30" customHeight="1" x14ac:dyDescent="0.15">
      <c r="A1392" s="16" t="s">
        <v>91</v>
      </c>
      <c r="B1392" s="17" t="s">
        <v>2605</v>
      </c>
      <c r="C1392" s="17" t="s">
        <v>2606</v>
      </c>
      <c r="D1392" s="25" t="s">
        <v>2502</v>
      </c>
      <c r="E1392" s="19" t="s">
        <v>2529</v>
      </c>
      <c r="F1392" s="19" t="s">
        <v>2607</v>
      </c>
      <c r="G1392" s="2" t="str">
        <f t="shared" si="121"/>
        <v>http://jsmh.umin.jp/journal/23-2/23-2.pdf</v>
      </c>
      <c r="H1392" s="43" t="str">
        <f t="shared" si="122"/>
        <v>http://dl.ndl.go.jp/info:ndljp/pid/3359276</v>
      </c>
    </row>
    <row r="1393" spans="1:8" ht="30" customHeight="1" x14ac:dyDescent="0.15">
      <c r="A1393" s="16" t="s">
        <v>91</v>
      </c>
      <c r="B1393" s="17" t="s">
        <v>2608</v>
      </c>
      <c r="C1393" s="17" t="s">
        <v>479</v>
      </c>
      <c r="D1393" s="25" t="s">
        <v>2502</v>
      </c>
      <c r="E1393" s="19" t="s">
        <v>2529</v>
      </c>
      <c r="F1393" s="19" t="s">
        <v>1390</v>
      </c>
      <c r="G1393" s="2" t="str">
        <f t="shared" si="121"/>
        <v>http://jsmh.umin.jp/journal/23-2/23-2.pdf</v>
      </c>
      <c r="H1393" s="43" t="str">
        <f t="shared" si="122"/>
        <v>http://dl.ndl.go.jp/info:ndljp/pid/3359276</v>
      </c>
    </row>
    <row r="1394" spans="1:8" ht="30" customHeight="1" x14ac:dyDescent="0.15">
      <c r="A1394" s="16" t="s">
        <v>91</v>
      </c>
      <c r="B1394" s="17" t="s">
        <v>2609</v>
      </c>
      <c r="C1394" s="17" t="s">
        <v>1745</v>
      </c>
      <c r="D1394" s="25" t="s">
        <v>2502</v>
      </c>
      <c r="E1394" s="19" t="s">
        <v>2529</v>
      </c>
      <c r="F1394" s="19" t="s">
        <v>1263</v>
      </c>
      <c r="G1394" s="2" t="str">
        <f t="shared" si="121"/>
        <v>http://jsmh.umin.jp/journal/23-2/23-2.pdf</v>
      </c>
      <c r="H1394" s="43" t="str">
        <f t="shared" si="122"/>
        <v>http://dl.ndl.go.jp/info:ndljp/pid/3359276</v>
      </c>
    </row>
    <row r="1395" spans="1:8" ht="30" customHeight="1" x14ac:dyDescent="0.15">
      <c r="A1395" s="16" t="s">
        <v>91</v>
      </c>
      <c r="B1395" s="17" t="s">
        <v>2610</v>
      </c>
      <c r="C1395" s="17" t="s">
        <v>2386</v>
      </c>
      <c r="D1395" s="25" t="s">
        <v>2502</v>
      </c>
      <c r="E1395" s="19" t="s">
        <v>2529</v>
      </c>
      <c r="F1395" s="19" t="s">
        <v>1393</v>
      </c>
      <c r="G1395" s="2" t="str">
        <f t="shared" si="121"/>
        <v>http://jsmh.umin.jp/journal/23-2/23-2.pdf</v>
      </c>
      <c r="H1395" s="43" t="str">
        <f t="shared" si="122"/>
        <v>http://dl.ndl.go.jp/info:ndljp/pid/3359276</v>
      </c>
    </row>
    <row r="1396" spans="1:8" ht="30" customHeight="1" x14ac:dyDescent="0.15">
      <c r="A1396" s="16" t="s">
        <v>91</v>
      </c>
      <c r="B1396" s="17" t="s">
        <v>2611</v>
      </c>
      <c r="C1396" s="17" t="s">
        <v>66</v>
      </c>
      <c r="D1396" s="25" t="s">
        <v>2502</v>
      </c>
      <c r="E1396" s="19" t="s">
        <v>2529</v>
      </c>
      <c r="F1396" s="19" t="s">
        <v>2612</v>
      </c>
      <c r="G1396" s="2" t="str">
        <f t="shared" si="121"/>
        <v>http://jsmh.umin.jp/journal/23-2/23-2.pdf</v>
      </c>
      <c r="H1396" s="43" t="str">
        <f t="shared" si="122"/>
        <v>http://dl.ndl.go.jp/info:ndljp/pid/3359276</v>
      </c>
    </row>
    <row r="1397" spans="1:8" ht="30" customHeight="1" x14ac:dyDescent="0.15">
      <c r="A1397" s="16" t="s">
        <v>91</v>
      </c>
      <c r="B1397" s="17" t="s">
        <v>2613</v>
      </c>
      <c r="C1397" s="17" t="s">
        <v>2233</v>
      </c>
      <c r="D1397" s="25" t="s">
        <v>2502</v>
      </c>
      <c r="E1397" s="19" t="s">
        <v>2529</v>
      </c>
      <c r="F1397" s="19" t="s">
        <v>108</v>
      </c>
      <c r="G1397" s="2" t="str">
        <f t="shared" si="121"/>
        <v>http://jsmh.umin.jp/journal/23-2/23-2.pdf</v>
      </c>
      <c r="H1397" s="43" t="str">
        <f t="shared" si="122"/>
        <v>http://dl.ndl.go.jp/info:ndljp/pid/3359276</v>
      </c>
    </row>
    <row r="1398" spans="1:8" ht="30" customHeight="1" x14ac:dyDescent="0.15">
      <c r="A1398" s="16" t="s">
        <v>91</v>
      </c>
      <c r="B1398" s="17" t="s">
        <v>2614</v>
      </c>
      <c r="C1398" s="17" t="s">
        <v>790</v>
      </c>
      <c r="D1398" s="25" t="s">
        <v>2502</v>
      </c>
      <c r="E1398" s="19" t="s">
        <v>2529</v>
      </c>
      <c r="F1398" s="19" t="s">
        <v>2615</v>
      </c>
      <c r="G1398" s="2" t="str">
        <f t="shared" si="121"/>
        <v>http://jsmh.umin.jp/journal/23-2/23-2.pdf</v>
      </c>
      <c r="H1398" s="43" t="str">
        <f t="shared" si="122"/>
        <v>http://dl.ndl.go.jp/info:ndljp/pid/3359276</v>
      </c>
    </row>
    <row r="1399" spans="1:8" ht="30" customHeight="1" x14ac:dyDescent="0.15">
      <c r="A1399" s="16" t="s">
        <v>17</v>
      </c>
      <c r="B1399" s="17" t="s">
        <v>2616</v>
      </c>
      <c r="C1399" s="17" t="s">
        <v>134</v>
      </c>
      <c r="D1399" s="25" t="s">
        <v>2502</v>
      </c>
      <c r="E1399" s="19" t="s">
        <v>2529</v>
      </c>
      <c r="F1399" s="19" t="s">
        <v>2617</v>
      </c>
      <c r="G1399" s="2" t="str">
        <f t="shared" si="121"/>
        <v>http://jsmh.umin.jp/journal/23-2/23-2.pdf</v>
      </c>
      <c r="H1399" s="43" t="str">
        <f t="shared" si="122"/>
        <v>http://dl.ndl.go.jp/info:ndljp/pid/3359276</v>
      </c>
    </row>
    <row r="1400" spans="1:8" ht="30" customHeight="1" x14ac:dyDescent="0.15">
      <c r="A1400" s="16" t="s">
        <v>159</v>
      </c>
      <c r="B1400" s="17" t="s">
        <v>2618</v>
      </c>
      <c r="C1400" s="17"/>
      <c r="D1400" s="25" t="s">
        <v>2502</v>
      </c>
      <c r="E1400" s="19" t="s">
        <v>2529</v>
      </c>
      <c r="F1400" s="19" t="s">
        <v>2619</v>
      </c>
      <c r="G1400" s="2" t="str">
        <f t="shared" si="121"/>
        <v>http://jsmh.umin.jp/journal/23-2/23-2.pdf</v>
      </c>
      <c r="H1400" s="43" t="str">
        <f t="shared" si="122"/>
        <v>http://dl.ndl.go.jp/info:ndljp/pid/3359276</v>
      </c>
    </row>
    <row r="1401" spans="1:8" ht="30" customHeight="1" x14ac:dyDescent="0.15">
      <c r="A1401" s="16" t="s">
        <v>704</v>
      </c>
      <c r="B1401" s="17" t="s">
        <v>2620</v>
      </c>
      <c r="C1401" s="17" t="s">
        <v>1423</v>
      </c>
      <c r="D1401" s="25" t="s">
        <v>2502</v>
      </c>
      <c r="E1401" s="19" t="s">
        <v>2529</v>
      </c>
      <c r="F1401" s="19" t="s">
        <v>2621</v>
      </c>
      <c r="G1401" s="2" t="str">
        <f t="shared" si="121"/>
        <v>http://jsmh.umin.jp/journal/23-2/23-2.pdf</v>
      </c>
      <c r="H1401" s="43" t="str">
        <f t="shared" si="122"/>
        <v>http://dl.ndl.go.jp/info:ndljp/pid/3359276</v>
      </c>
    </row>
    <row r="1402" spans="1:8" ht="30" customHeight="1" x14ac:dyDescent="0.15">
      <c r="A1402" s="16" t="s">
        <v>704</v>
      </c>
      <c r="B1402" s="17" t="s">
        <v>2622</v>
      </c>
      <c r="C1402" s="17" t="s">
        <v>1119</v>
      </c>
      <c r="D1402" s="25" t="s">
        <v>2502</v>
      </c>
      <c r="E1402" s="19" t="s">
        <v>2529</v>
      </c>
      <c r="F1402" s="19" t="s">
        <v>2621</v>
      </c>
      <c r="G1402" s="2" t="str">
        <f t="shared" si="121"/>
        <v>http://jsmh.umin.jp/journal/23-2/23-2.pdf</v>
      </c>
      <c r="H1402" s="43" t="str">
        <f t="shared" si="122"/>
        <v>http://dl.ndl.go.jp/info:ndljp/pid/3359276</v>
      </c>
    </row>
    <row r="1403" spans="1:8" ht="30" customHeight="1" x14ac:dyDescent="0.15">
      <c r="A1403" s="16" t="s">
        <v>704</v>
      </c>
      <c r="B1403" s="17" t="s">
        <v>2623</v>
      </c>
      <c r="C1403" s="17" t="s">
        <v>2624</v>
      </c>
      <c r="D1403" s="25" t="s">
        <v>2502</v>
      </c>
      <c r="E1403" s="19" t="s">
        <v>2529</v>
      </c>
      <c r="F1403" s="19" t="s">
        <v>2621</v>
      </c>
      <c r="G1403" s="2" t="str">
        <f t="shared" si="121"/>
        <v>http://jsmh.umin.jp/journal/23-2/23-2.pdf</v>
      </c>
      <c r="H1403" s="43" t="str">
        <f t="shared" si="122"/>
        <v>http://dl.ndl.go.jp/info:ndljp/pid/3359276</v>
      </c>
    </row>
    <row r="1404" spans="1:8" ht="30" customHeight="1" x14ac:dyDescent="0.15">
      <c r="A1404" s="16" t="s">
        <v>704</v>
      </c>
      <c r="B1404" s="17" t="s">
        <v>2625</v>
      </c>
      <c r="C1404" s="17" t="s">
        <v>18</v>
      </c>
      <c r="D1404" s="25" t="s">
        <v>2502</v>
      </c>
      <c r="E1404" s="19" t="s">
        <v>2529</v>
      </c>
      <c r="F1404" s="19" t="s">
        <v>2621</v>
      </c>
      <c r="G1404" s="2" t="str">
        <f t="shared" si="121"/>
        <v>http://jsmh.umin.jp/journal/23-2/23-2.pdf</v>
      </c>
      <c r="H1404" s="43" t="str">
        <f t="shared" si="122"/>
        <v>http://dl.ndl.go.jp/info:ndljp/pid/3359276</v>
      </c>
    </row>
    <row r="1405" spans="1:8" ht="30" customHeight="1" x14ac:dyDescent="0.15">
      <c r="A1405" s="16" t="s">
        <v>704</v>
      </c>
      <c r="B1405" s="17" t="s">
        <v>2626</v>
      </c>
      <c r="C1405" s="17" t="s">
        <v>57</v>
      </c>
      <c r="D1405" s="25" t="s">
        <v>2502</v>
      </c>
      <c r="E1405" s="19" t="s">
        <v>2529</v>
      </c>
      <c r="F1405" s="19" t="s">
        <v>2621</v>
      </c>
      <c r="G1405" s="2" t="str">
        <f t="shared" si="121"/>
        <v>http://jsmh.umin.jp/journal/23-2/23-2.pdf</v>
      </c>
      <c r="H1405" s="43" t="str">
        <f t="shared" si="122"/>
        <v>http://dl.ndl.go.jp/info:ndljp/pid/3359276</v>
      </c>
    </row>
    <row r="1406" spans="1:8" ht="30" customHeight="1" x14ac:dyDescent="0.15">
      <c r="A1406" s="16" t="s">
        <v>704</v>
      </c>
      <c r="B1406" s="17" t="s">
        <v>2627</v>
      </c>
      <c r="C1406" s="17" t="s">
        <v>1268</v>
      </c>
      <c r="D1406" s="25" t="s">
        <v>2502</v>
      </c>
      <c r="E1406" s="19" t="s">
        <v>2529</v>
      </c>
      <c r="F1406" s="19" t="s">
        <v>2621</v>
      </c>
      <c r="G1406" s="2" t="str">
        <f t="shared" si="121"/>
        <v>http://jsmh.umin.jp/journal/23-2/23-2.pdf</v>
      </c>
      <c r="H1406" s="43" t="str">
        <f t="shared" si="122"/>
        <v>http://dl.ndl.go.jp/info:ndljp/pid/3359276</v>
      </c>
    </row>
    <row r="1407" spans="1:8" ht="30" customHeight="1" x14ac:dyDescent="0.15">
      <c r="A1407" s="16" t="s">
        <v>704</v>
      </c>
      <c r="B1407" s="17" t="s">
        <v>2628</v>
      </c>
      <c r="C1407" s="17" t="s">
        <v>191</v>
      </c>
      <c r="D1407" s="25" t="s">
        <v>2502</v>
      </c>
      <c r="E1407" s="19" t="s">
        <v>2529</v>
      </c>
      <c r="F1407" s="19" t="s">
        <v>2621</v>
      </c>
      <c r="G1407" s="2" t="str">
        <f t="shared" si="121"/>
        <v>http://jsmh.umin.jp/journal/23-2/23-2.pdf</v>
      </c>
      <c r="H1407" s="43" t="str">
        <f t="shared" si="122"/>
        <v>http://dl.ndl.go.jp/info:ndljp/pid/3359276</v>
      </c>
    </row>
    <row r="1408" spans="1:8" ht="30" customHeight="1" x14ac:dyDescent="0.15">
      <c r="A1408" s="16" t="s">
        <v>704</v>
      </c>
      <c r="B1408" s="17" t="s">
        <v>2629</v>
      </c>
      <c r="C1408" s="17" t="s">
        <v>76</v>
      </c>
      <c r="D1408" s="25" t="s">
        <v>2502</v>
      </c>
      <c r="E1408" s="19" t="s">
        <v>2529</v>
      </c>
      <c r="F1408" s="19" t="s">
        <v>2621</v>
      </c>
      <c r="G1408" s="2" t="str">
        <f t="shared" si="121"/>
        <v>http://jsmh.umin.jp/journal/23-2/23-2.pdf</v>
      </c>
      <c r="H1408" s="43" t="str">
        <f t="shared" si="122"/>
        <v>http://dl.ndl.go.jp/info:ndljp/pid/3359276</v>
      </c>
    </row>
    <row r="1409" spans="1:8" ht="30" customHeight="1" x14ac:dyDescent="0.15">
      <c r="A1409" s="16" t="s">
        <v>704</v>
      </c>
      <c r="B1409" s="17" t="s">
        <v>10103</v>
      </c>
      <c r="C1409" s="17" t="s">
        <v>273</v>
      </c>
      <c r="D1409" s="25" t="s">
        <v>2502</v>
      </c>
      <c r="E1409" s="19" t="s">
        <v>2529</v>
      </c>
      <c r="F1409" s="19" t="s">
        <v>2621</v>
      </c>
      <c r="G1409" s="2" t="str">
        <f t="shared" si="121"/>
        <v>http://jsmh.umin.jp/journal/23-2/23-2.pdf</v>
      </c>
      <c r="H1409" s="43" t="str">
        <f t="shared" si="122"/>
        <v>http://dl.ndl.go.jp/info:ndljp/pid/3359276</v>
      </c>
    </row>
    <row r="1410" spans="1:8" ht="30" customHeight="1" x14ac:dyDescent="0.15">
      <c r="A1410" s="16" t="s">
        <v>704</v>
      </c>
      <c r="B1410" s="17" t="s">
        <v>2630</v>
      </c>
      <c r="C1410" s="17" t="s">
        <v>2233</v>
      </c>
      <c r="D1410" s="25" t="s">
        <v>2502</v>
      </c>
      <c r="E1410" s="19" t="s">
        <v>2529</v>
      </c>
      <c r="F1410" s="19" t="s">
        <v>2621</v>
      </c>
      <c r="G1410" s="2" t="str">
        <f t="shared" si="121"/>
        <v>http://jsmh.umin.jp/journal/23-2/23-2.pdf</v>
      </c>
      <c r="H1410" s="43" t="str">
        <f t="shared" si="122"/>
        <v>http://dl.ndl.go.jp/info:ndljp/pid/3359276</v>
      </c>
    </row>
    <row r="1411" spans="1:8" ht="30" customHeight="1" x14ac:dyDescent="0.15">
      <c r="A1411" s="16" t="s">
        <v>704</v>
      </c>
      <c r="B1411" s="17" t="s">
        <v>10104</v>
      </c>
      <c r="C1411" s="17" t="s">
        <v>838</v>
      </c>
      <c r="D1411" s="25" t="s">
        <v>2502</v>
      </c>
      <c r="E1411" s="19" t="s">
        <v>2529</v>
      </c>
      <c r="F1411" s="19" t="s">
        <v>2621</v>
      </c>
      <c r="G1411" s="2" t="str">
        <f t="shared" si="121"/>
        <v>http://jsmh.umin.jp/journal/23-2/23-2.pdf</v>
      </c>
      <c r="H1411" s="43" t="str">
        <f t="shared" si="122"/>
        <v>http://dl.ndl.go.jp/info:ndljp/pid/3359276</v>
      </c>
    </row>
    <row r="1412" spans="1:8" ht="30" customHeight="1" x14ac:dyDescent="0.15">
      <c r="A1412" s="16" t="s">
        <v>704</v>
      </c>
      <c r="B1412" s="17" t="s">
        <v>2631</v>
      </c>
      <c r="C1412" s="17" t="s">
        <v>1247</v>
      </c>
      <c r="D1412" s="25" t="s">
        <v>2502</v>
      </c>
      <c r="E1412" s="19" t="s">
        <v>2529</v>
      </c>
      <c r="F1412" s="19" t="s">
        <v>2621</v>
      </c>
      <c r="G1412" s="2" t="str">
        <f t="shared" si="121"/>
        <v>http://jsmh.umin.jp/journal/23-2/23-2.pdf</v>
      </c>
      <c r="H1412" s="43" t="str">
        <f t="shared" si="122"/>
        <v>http://dl.ndl.go.jp/info:ndljp/pid/3359276</v>
      </c>
    </row>
    <row r="1413" spans="1:8" ht="30" customHeight="1" x14ac:dyDescent="0.15">
      <c r="A1413" s="16" t="s">
        <v>704</v>
      </c>
      <c r="B1413" s="17" t="s">
        <v>2632</v>
      </c>
      <c r="C1413" s="17" t="s">
        <v>2633</v>
      </c>
      <c r="D1413" s="25" t="s">
        <v>2502</v>
      </c>
      <c r="E1413" s="19" t="s">
        <v>2529</v>
      </c>
      <c r="F1413" s="19" t="s">
        <v>2621</v>
      </c>
      <c r="G1413" s="2" t="str">
        <f t="shared" si="121"/>
        <v>http://jsmh.umin.jp/journal/23-2/23-2.pdf</v>
      </c>
      <c r="H1413" s="43" t="str">
        <f t="shared" si="122"/>
        <v>http://dl.ndl.go.jp/info:ndljp/pid/3359276</v>
      </c>
    </row>
    <row r="1414" spans="1:8" ht="30" customHeight="1" x14ac:dyDescent="0.15">
      <c r="A1414" s="16" t="s">
        <v>704</v>
      </c>
      <c r="B1414" s="17" t="s">
        <v>2634</v>
      </c>
      <c r="C1414" s="17" t="s">
        <v>599</v>
      </c>
      <c r="D1414" s="25" t="s">
        <v>2502</v>
      </c>
      <c r="E1414" s="19" t="s">
        <v>2529</v>
      </c>
      <c r="F1414" s="19" t="s">
        <v>2621</v>
      </c>
      <c r="G1414" s="2" t="str">
        <f t="shared" ref="G1414:G1429" si="123">HYPERLINK("http://jsmh.umin.jp/journal/23-2/23-2.pdf")</f>
        <v>http://jsmh.umin.jp/journal/23-2/23-2.pdf</v>
      </c>
      <c r="H1414" s="43" t="str">
        <f t="shared" ref="H1414:H1429" si="124">HYPERLINK("http://dl.ndl.go.jp/info:ndljp/pid/3359276")</f>
        <v>http://dl.ndl.go.jp/info:ndljp/pid/3359276</v>
      </c>
    </row>
    <row r="1415" spans="1:8" ht="30" customHeight="1" x14ac:dyDescent="0.15">
      <c r="A1415" s="16" t="s">
        <v>704</v>
      </c>
      <c r="B1415" s="17" t="s">
        <v>2635</v>
      </c>
      <c r="C1415" s="17" t="s">
        <v>2199</v>
      </c>
      <c r="D1415" s="25" t="s">
        <v>2502</v>
      </c>
      <c r="E1415" s="19" t="s">
        <v>2529</v>
      </c>
      <c r="F1415" s="19" t="s">
        <v>2621</v>
      </c>
      <c r="G1415" s="2" t="str">
        <f t="shared" si="123"/>
        <v>http://jsmh.umin.jp/journal/23-2/23-2.pdf</v>
      </c>
      <c r="H1415" s="43" t="str">
        <f t="shared" si="124"/>
        <v>http://dl.ndl.go.jp/info:ndljp/pid/3359276</v>
      </c>
    </row>
    <row r="1416" spans="1:8" ht="30" customHeight="1" x14ac:dyDescent="0.15">
      <c r="A1416" s="16" t="s">
        <v>704</v>
      </c>
      <c r="B1416" s="17" t="s">
        <v>2636</v>
      </c>
      <c r="C1416" s="17" t="s">
        <v>925</v>
      </c>
      <c r="D1416" s="25" t="s">
        <v>2502</v>
      </c>
      <c r="E1416" s="19" t="s">
        <v>2529</v>
      </c>
      <c r="F1416" s="19" t="s">
        <v>2621</v>
      </c>
      <c r="G1416" s="2" t="str">
        <f t="shared" si="123"/>
        <v>http://jsmh.umin.jp/journal/23-2/23-2.pdf</v>
      </c>
      <c r="H1416" s="43" t="str">
        <f t="shared" si="124"/>
        <v>http://dl.ndl.go.jp/info:ndljp/pid/3359276</v>
      </c>
    </row>
    <row r="1417" spans="1:8" ht="30" customHeight="1" x14ac:dyDescent="0.15">
      <c r="A1417" s="16" t="s">
        <v>704</v>
      </c>
      <c r="B1417" s="17" t="s">
        <v>2637</v>
      </c>
      <c r="C1417" s="17" t="s">
        <v>2638</v>
      </c>
      <c r="D1417" s="25" t="s">
        <v>2502</v>
      </c>
      <c r="E1417" s="19" t="s">
        <v>2529</v>
      </c>
      <c r="F1417" s="19" t="s">
        <v>2621</v>
      </c>
      <c r="G1417" s="2" t="str">
        <f t="shared" si="123"/>
        <v>http://jsmh.umin.jp/journal/23-2/23-2.pdf</v>
      </c>
      <c r="H1417" s="43" t="str">
        <f t="shared" si="124"/>
        <v>http://dl.ndl.go.jp/info:ndljp/pid/3359276</v>
      </c>
    </row>
    <row r="1418" spans="1:8" ht="30" customHeight="1" x14ac:dyDescent="0.15">
      <c r="A1418" s="16" t="s">
        <v>704</v>
      </c>
      <c r="B1418" s="17" t="s">
        <v>2639</v>
      </c>
      <c r="C1418" s="17" t="s">
        <v>1136</v>
      </c>
      <c r="D1418" s="25" t="s">
        <v>2502</v>
      </c>
      <c r="E1418" s="19" t="s">
        <v>2529</v>
      </c>
      <c r="F1418" s="19" t="s">
        <v>2621</v>
      </c>
      <c r="G1418" s="2" t="str">
        <f t="shared" si="123"/>
        <v>http://jsmh.umin.jp/journal/23-2/23-2.pdf</v>
      </c>
      <c r="H1418" s="43" t="str">
        <f t="shared" si="124"/>
        <v>http://dl.ndl.go.jp/info:ndljp/pid/3359276</v>
      </c>
    </row>
    <row r="1419" spans="1:8" ht="30" customHeight="1" x14ac:dyDescent="0.15">
      <c r="A1419" s="16" t="s">
        <v>704</v>
      </c>
      <c r="B1419" s="17" t="s">
        <v>2640</v>
      </c>
      <c r="C1419" s="17" t="s">
        <v>1177</v>
      </c>
      <c r="D1419" s="25" t="s">
        <v>2502</v>
      </c>
      <c r="E1419" s="19" t="s">
        <v>2529</v>
      </c>
      <c r="F1419" s="19" t="s">
        <v>2621</v>
      </c>
      <c r="G1419" s="2" t="str">
        <f t="shared" si="123"/>
        <v>http://jsmh.umin.jp/journal/23-2/23-2.pdf</v>
      </c>
      <c r="H1419" s="43" t="str">
        <f t="shared" si="124"/>
        <v>http://dl.ndl.go.jp/info:ndljp/pid/3359276</v>
      </c>
    </row>
    <row r="1420" spans="1:8" ht="30" customHeight="1" x14ac:dyDescent="0.15">
      <c r="A1420" s="16" t="s">
        <v>704</v>
      </c>
      <c r="B1420" s="17" t="s">
        <v>2641</v>
      </c>
      <c r="C1420" s="17" t="s">
        <v>479</v>
      </c>
      <c r="D1420" s="25" t="s">
        <v>2502</v>
      </c>
      <c r="E1420" s="19" t="s">
        <v>2529</v>
      </c>
      <c r="F1420" s="19" t="s">
        <v>2621</v>
      </c>
      <c r="G1420" s="2" t="str">
        <f t="shared" si="123"/>
        <v>http://jsmh.umin.jp/journal/23-2/23-2.pdf</v>
      </c>
      <c r="H1420" s="43" t="str">
        <f t="shared" si="124"/>
        <v>http://dl.ndl.go.jp/info:ndljp/pid/3359276</v>
      </c>
    </row>
    <row r="1421" spans="1:8" ht="30" customHeight="1" x14ac:dyDescent="0.15">
      <c r="A1421" s="16" t="s">
        <v>704</v>
      </c>
      <c r="B1421" s="17" t="s">
        <v>2642</v>
      </c>
      <c r="C1421" s="17" t="s">
        <v>1468</v>
      </c>
      <c r="D1421" s="25" t="s">
        <v>2502</v>
      </c>
      <c r="E1421" s="19" t="s">
        <v>2529</v>
      </c>
      <c r="F1421" s="19" t="s">
        <v>2621</v>
      </c>
      <c r="G1421" s="2" t="str">
        <f t="shared" si="123"/>
        <v>http://jsmh.umin.jp/journal/23-2/23-2.pdf</v>
      </c>
      <c r="H1421" s="43" t="str">
        <f t="shared" si="124"/>
        <v>http://dl.ndl.go.jp/info:ndljp/pid/3359276</v>
      </c>
    </row>
    <row r="1422" spans="1:8" ht="30" customHeight="1" x14ac:dyDescent="0.15">
      <c r="A1422" s="16" t="s">
        <v>704</v>
      </c>
      <c r="B1422" s="17" t="s">
        <v>2643</v>
      </c>
      <c r="C1422" s="17" t="s">
        <v>928</v>
      </c>
      <c r="D1422" s="25" t="s">
        <v>2502</v>
      </c>
      <c r="E1422" s="19" t="s">
        <v>2529</v>
      </c>
      <c r="F1422" s="19" t="s">
        <v>2621</v>
      </c>
      <c r="G1422" s="2" t="str">
        <f t="shared" si="123"/>
        <v>http://jsmh.umin.jp/journal/23-2/23-2.pdf</v>
      </c>
      <c r="H1422" s="43" t="str">
        <f t="shared" si="124"/>
        <v>http://dl.ndl.go.jp/info:ndljp/pid/3359276</v>
      </c>
    </row>
    <row r="1423" spans="1:8" ht="30" customHeight="1" x14ac:dyDescent="0.15">
      <c r="A1423" s="16" t="s">
        <v>1623</v>
      </c>
      <c r="B1423" s="17" t="s">
        <v>2644</v>
      </c>
      <c r="C1423" s="17" t="s">
        <v>1659</v>
      </c>
      <c r="D1423" s="25" t="s">
        <v>2502</v>
      </c>
      <c r="E1423" s="19" t="s">
        <v>2529</v>
      </c>
      <c r="F1423" s="19" t="s">
        <v>1897</v>
      </c>
      <c r="G1423" s="2" t="str">
        <f t="shared" si="123"/>
        <v>http://jsmh.umin.jp/journal/23-2/23-2.pdf</v>
      </c>
      <c r="H1423" s="43" t="str">
        <f t="shared" si="124"/>
        <v>http://dl.ndl.go.jp/info:ndljp/pid/3359276</v>
      </c>
    </row>
    <row r="1424" spans="1:8" ht="30" customHeight="1" x14ac:dyDescent="0.15">
      <c r="A1424" s="16" t="s">
        <v>1623</v>
      </c>
      <c r="B1424" s="17" t="s">
        <v>2645</v>
      </c>
      <c r="C1424" s="17" t="s">
        <v>1994</v>
      </c>
      <c r="D1424" s="25" t="s">
        <v>2502</v>
      </c>
      <c r="E1424" s="19" t="s">
        <v>2529</v>
      </c>
      <c r="F1424" s="19" t="s">
        <v>1899</v>
      </c>
      <c r="G1424" s="2" t="str">
        <f t="shared" si="123"/>
        <v>http://jsmh.umin.jp/journal/23-2/23-2.pdf</v>
      </c>
      <c r="H1424" s="43" t="str">
        <f t="shared" si="124"/>
        <v>http://dl.ndl.go.jp/info:ndljp/pid/3359276</v>
      </c>
    </row>
    <row r="1425" spans="1:8" ht="30" customHeight="1" x14ac:dyDescent="0.15">
      <c r="A1425" s="16" t="s">
        <v>1623</v>
      </c>
      <c r="B1425" s="17" t="s">
        <v>2646</v>
      </c>
      <c r="C1425" s="17" t="s">
        <v>1994</v>
      </c>
      <c r="D1425" s="25" t="s">
        <v>2502</v>
      </c>
      <c r="E1425" s="19" t="s">
        <v>2529</v>
      </c>
      <c r="F1425" s="19" t="s">
        <v>2647</v>
      </c>
      <c r="G1425" s="2" t="str">
        <f t="shared" si="123"/>
        <v>http://jsmh.umin.jp/journal/23-2/23-2.pdf</v>
      </c>
      <c r="H1425" s="43" t="str">
        <f t="shared" si="124"/>
        <v>http://dl.ndl.go.jp/info:ndljp/pid/3359276</v>
      </c>
    </row>
    <row r="1426" spans="1:8" ht="30" customHeight="1" x14ac:dyDescent="0.15">
      <c r="A1426" s="16" t="s">
        <v>81</v>
      </c>
      <c r="B1426" s="17" t="s">
        <v>10105</v>
      </c>
      <c r="C1426" s="17"/>
      <c r="D1426" s="25" t="s">
        <v>2502</v>
      </c>
      <c r="E1426" s="19" t="s">
        <v>2529</v>
      </c>
      <c r="F1426" s="19" t="s">
        <v>1901</v>
      </c>
      <c r="G1426" s="2" t="str">
        <f t="shared" si="123"/>
        <v>http://jsmh.umin.jp/journal/23-2/23-2.pdf</v>
      </c>
      <c r="H1426" s="43" t="str">
        <f t="shared" si="124"/>
        <v>http://dl.ndl.go.jp/info:ndljp/pid/3359276</v>
      </c>
    </row>
    <row r="1427" spans="1:8" ht="30" customHeight="1" x14ac:dyDescent="0.15">
      <c r="A1427" s="16" t="s">
        <v>81</v>
      </c>
      <c r="B1427" s="17" t="s">
        <v>2648</v>
      </c>
      <c r="C1427" s="17"/>
      <c r="D1427" s="25" t="s">
        <v>2502</v>
      </c>
      <c r="E1427" s="19" t="s">
        <v>2529</v>
      </c>
      <c r="F1427" s="19" t="s">
        <v>2649</v>
      </c>
      <c r="G1427" s="2" t="str">
        <f t="shared" si="123"/>
        <v>http://jsmh.umin.jp/journal/23-2/23-2.pdf</v>
      </c>
      <c r="H1427" s="43" t="str">
        <f t="shared" si="124"/>
        <v>http://dl.ndl.go.jp/info:ndljp/pid/3359276</v>
      </c>
    </row>
    <row r="1428" spans="1:8" ht="30" customHeight="1" x14ac:dyDescent="0.15">
      <c r="A1428" s="16" t="s">
        <v>17</v>
      </c>
      <c r="B1428" s="17" t="s">
        <v>2650</v>
      </c>
      <c r="C1428" s="17" t="s">
        <v>2651</v>
      </c>
      <c r="D1428" s="25" t="s">
        <v>2502</v>
      </c>
      <c r="E1428" s="19" t="s">
        <v>2529</v>
      </c>
      <c r="F1428" s="19" t="s">
        <v>2652</v>
      </c>
      <c r="G1428" s="2" t="str">
        <f t="shared" si="123"/>
        <v>http://jsmh.umin.jp/journal/23-2/23-2.pdf</v>
      </c>
      <c r="H1428" s="43" t="str">
        <f t="shared" si="124"/>
        <v>http://dl.ndl.go.jp/info:ndljp/pid/3359276</v>
      </c>
    </row>
    <row r="1429" spans="1:8" ht="30" customHeight="1" x14ac:dyDescent="0.15">
      <c r="A1429" s="16" t="s">
        <v>17</v>
      </c>
      <c r="B1429" s="17" t="s">
        <v>2653</v>
      </c>
      <c r="C1429" s="17" t="s">
        <v>2654</v>
      </c>
      <c r="D1429" s="25" t="s">
        <v>2502</v>
      </c>
      <c r="E1429" s="19" t="s">
        <v>2529</v>
      </c>
      <c r="F1429" s="19" t="s">
        <v>2655</v>
      </c>
      <c r="G1429" s="2" t="str">
        <f t="shared" si="123"/>
        <v>http://jsmh.umin.jp/journal/23-2/23-2.pdf</v>
      </c>
      <c r="H1429" s="43" t="str">
        <f t="shared" si="124"/>
        <v>http://dl.ndl.go.jp/info:ndljp/pid/3359276</v>
      </c>
    </row>
    <row r="1430" spans="1:8" ht="30" customHeight="1" x14ac:dyDescent="0.15">
      <c r="A1430" s="16" t="s">
        <v>17</v>
      </c>
      <c r="B1430" s="17" t="s">
        <v>2656</v>
      </c>
      <c r="C1430" s="17" t="s">
        <v>794</v>
      </c>
      <c r="D1430" s="25" t="s">
        <v>2502</v>
      </c>
      <c r="E1430" s="19" t="s">
        <v>2657</v>
      </c>
      <c r="F1430" s="19" t="s">
        <v>2658</v>
      </c>
      <c r="G1430" s="2" t="str">
        <f t="shared" ref="G1430:G1450" si="125">HYPERLINK("http://jsmh.umin.jp/journal/23-3/23-3.pdf")</f>
        <v>http://jsmh.umin.jp/journal/23-3/23-3.pdf</v>
      </c>
      <c r="H1430" s="42" t="str">
        <f t="shared" ref="H1430:H1450" si="126">HYPERLINK("http://dl.ndl.go.jp/info:ndljp/pid/3359277")</f>
        <v>http://dl.ndl.go.jp/info:ndljp/pid/3359277</v>
      </c>
    </row>
    <row r="1431" spans="1:8" ht="30" customHeight="1" x14ac:dyDescent="0.15">
      <c r="A1431" s="16" t="s">
        <v>17</v>
      </c>
      <c r="B1431" s="17" t="s">
        <v>2659</v>
      </c>
      <c r="C1431" s="17" t="s">
        <v>2520</v>
      </c>
      <c r="D1431" s="25" t="s">
        <v>2502</v>
      </c>
      <c r="E1431" s="19" t="s">
        <v>2657</v>
      </c>
      <c r="F1431" s="19" t="s">
        <v>2660</v>
      </c>
      <c r="G1431" s="2" t="str">
        <f t="shared" si="125"/>
        <v>http://jsmh.umin.jp/journal/23-3/23-3.pdf</v>
      </c>
      <c r="H1431" s="43" t="str">
        <f t="shared" si="126"/>
        <v>http://dl.ndl.go.jp/info:ndljp/pid/3359277</v>
      </c>
    </row>
    <row r="1432" spans="1:8" ht="30" customHeight="1" x14ac:dyDescent="0.15">
      <c r="A1432" s="16" t="s">
        <v>17</v>
      </c>
      <c r="B1432" s="17" t="s">
        <v>2661</v>
      </c>
      <c r="C1432" s="17" t="s">
        <v>3010</v>
      </c>
      <c r="D1432" s="25" t="s">
        <v>2502</v>
      </c>
      <c r="E1432" s="19" t="s">
        <v>2657</v>
      </c>
      <c r="F1432" s="19" t="s">
        <v>2662</v>
      </c>
      <c r="G1432" s="2" t="str">
        <f t="shared" si="125"/>
        <v>http://jsmh.umin.jp/journal/23-3/23-3.pdf</v>
      </c>
      <c r="H1432" s="43" t="str">
        <f t="shared" si="126"/>
        <v>http://dl.ndl.go.jp/info:ndljp/pid/3359277</v>
      </c>
    </row>
    <row r="1433" spans="1:8" ht="30" customHeight="1" x14ac:dyDescent="0.15">
      <c r="A1433" s="16" t="s">
        <v>17</v>
      </c>
      <c r="B1433" s="17" t="s">
        <v>2663</v>
      </c>
      <c r="C1433" s="17" t="s">
        <v>2664</v>
      </c>
      <c r="D1433" s="25" t="s">
        <v>2502</v>
      </c>
      <c r="E1433" s="19" t="s">
        <v>2657</v>
      </c>
      <c r="F1433" s="19" t="s">
        <v>2665</v>
      </c>
      <c r="G1433" s="2" t="str">
        <f t="shared" si="125"/>
        <v>http://jsmh.umin.jp/journal/23-3/23-3.pdf</v>
      </c>
      <c r="H1433" s="43" t="str">
        <f t="shared" si="126"/>
        <v>http://dl.ndl.go.jp/info:ndljp/pid/3359277</v>
      </c>
    </row>
    <row r="1434" spans="1:8" ht="30" customHeight="1" x14ac:dyDescent="0.15">
      <c r="A1434" s="16" t="s">
        <v>17</v>
      </c>
      <c r="B1434" s="17" t="s">
        <v>2666</v>
      </c>
      <c r="C1434" s="17" t="s">
        <v>2667</v>
      </c>
      <c r="D1434" s="25" t="s">
        <v>2502</v>
      </c>
      <c r="E1434" s="19" t="s">
        <v>2657</v>
      </c>
      <c r="F1434" s="19" t="s">
        <v>2668</v>
      </c>
      <c r="G1434" s="2" t="str">
        <f t="shared" si="125"/>
        <v>http://jsmh.umin.jp/journal/23-3/23-3.pdf</v>
      </c>
      <c r="H1434" s="43" t="str">
        <f t="shared" si="126"/>
        <v>http://dl.ndl.go.jp/info:ndljp/pid/3359277</v>
      </c>
    </row>
    <row r="1435" spans="1:8" ht="30" customHeight="1" x14ac:dyDescent="0.15">
      <c r="A1435" s="16" t="s">
        <v>159</v>
      </c>
      <c r="B1435" s="17" t="s">
        <v>2669</v>
      </c>
      <c r="C1435" s="17" t="s">
        <v>2670</v>
      </c>
      <c r="D1435" s="25" t="s">
        <v>2502</v>
      </c>
      <c r="E1435" s="19" t="s">
        <v>2657</v>
      </c>
      <c r="F1435" s="19" t="s">
        <v>2671</v>
      </c>
      <c r="G1435" s="2" t="str">
        <f t="shared" si="125"/>
        <v>http://jsmh.umin.jp/journal/23-3/23-3.pdf</v>
      </c>
      <c r="H1435" s="43" t="str">
        <f t="shared" si="126"/>
        <v>http://dl.ndl.go.jp/info:ndljp/pid/3359277</v>
      </c>
    </row>
    <row r="1436" spans="1:8" ht="30" customHeight="1" x14ac:dyDescent="0.15">
      <c r="A1436" s="16" t="s">
        <v>704</v>
      </c>
      <c r="B1436" s="17" t="s">
        <v>2672</v>
      </c>
      <c r="C1436" s="17" t="s">
        <v>2673</v>
      </c>
      <c r="D1436" s="25" t="s">
        <v>2502</v>
      </c>
      <c r="E1436" s="19" t="s">
        <v>2657</v>
      </c>
      <c r="F1436" s="19" t="s">
        <v>2674</v>
      </c>
      <c r="G1436" s="2" t="str">
        <f t="shared" si="125"/>
        <v>http://jsmh.umin.jp/journal/23-3/23-3.pdf</v>
      </c>
      <c r="H1436" s="43" t="str">
        <f t="shared" si="126"/>
        <v>http://dl.ndl.go.jp/info:ndljp/pid/3359277</v>
      </c>
    </row>
    <row r="1437" spans="1:8" ht="30" customHeight="1" x14ac:dyDescent="0.15">
      <c r="A1437" s="16" t="s">
        <v>704</v>
      </c>
      <c r="B1437" s="17" t="s">
        <v>2675</v>
      </c>
      <c r="C1437" s="17" t="s">
        <v>2676</v>
      </c>
      <c r="D1437" s="25" t="s">
        <v>2502</v>
      </c>
      <c r="E1437" s="19" t="s">
        <v>2657</v>
      </c>
      <c r="F1437" s="19" t="s">
        <v>2674</v>
      </c>
      <c r="G1437" s="2" t="str">
        <f t="shared" si="125"/>
        <v>http://jsmh.umin.jp/journal/23-3/23-3.pdf</v>
      </c>
      <c r="H1437" s="43" t="str">
        <f t="shared" si="126"/>
        <v>http://dl.ndl.go.jp/info:ndljp/pid/3359277</v>
      </c>
    </row>
    <row r="1438" spans="1:8" ht="30" customHeight="1" x14ac:dyDescent="0.15">
      <c r="A1438" s="16" t="s">
        <v>704</v>
      </c>
      <c r="B1438" s="17" t="s">
        <v>10106</v>
      </c>
      <c r="C1438" s="17" t="s">
        <v>2677</v>
      </c>
      <c r="D1438" s="25" t="s">
        <v>2502</v>
      </c>
      <c r="E1438" s="19" t="s">
        <v>2657</v>
      </c>
      <c r="F1438" s="19" t="s">
        <v>2674</v>
      </c>
      <c r="G1438" s="2" t="str">
        <f t="shared" si="125"/>
        <v>http://jsmh.umin.jp/journal/23-3/23-3.pdf</v>
      </c>
      <c r="H1438" s="43" t="str">
        <f t="shared" si="126"/>
        <v>http://dl.ndl.go.jp/info:ndljp/pid/3359277</v>
      </c>
    </row>
    <row r="1439" spans="1:8" ht="30" customHeight="1" x14ac:dyDescent="0.15">
      <c r="A1439" s="16" t="s">
        <v>704</v>
      </c>
      <c r="B1439" s="17" t="s">
        <v>2678</v>
      </c>
      <c r="C1439" s="17" t="s">
        <v>2679</v>
      </c>
      <c r="D1439" s="25" t="s">
        <v>2502</v>
      </c>
      <c r="E1439" s="19" t="s">
        <v>2657</v>
      </c>
      <c r="F1439" s="19" t="s">
        <v>2674</v>
      </c>
      <c r="G1439" s="2" t="str">
        <f t="shared" si="125"/>
        <v>http://jsmh.umin.jp/journal/23-3/23-3.pdf</v>
      </c>
      <c r="H1439" s="43" t="str">
        <f t="shared" si="126"/>
        <v>http://dl.ndl.go.jp/info:ndljp/pid/3359277</v>
      </c>
    </row>
    <row r="1440" spans="1:8" ht="30" customHeight="1" x14ac:dyDescent="0.15">
      <c r="A1440" s="16" t="s">
        <v>704</v>
      </c>
      <c r="B1440" s="17" t="s">
        <v>10107</v>
      </c>
      <c r="C1440" s="17" t="s">
        <v>1070</v>
      </c>
      <c r="D1440" s="25" t="s">
        <v>2502</v>
      </c>
      <c r="E1440" s="19" t="s">
        <v>2657</v>
      </c>
      <c r="F1440" s="19" t="s">
        <v>2674</v>
      </c>
      <c r="G1440" s="2" t="str">
        <f t="shared" si="125"/>
        <v>http://jsmh.umin.jp/journal/23-3/23-3.pdf</v>
      </c>
      <c r="H1440" s="43" t="str">
        <f t="shared" si="126"/>
        <v>http://dl.ndl.go.jp/info:ndljp/pid/3359277</v>
      </c>
    </row>
    <row r="1441" spans="1:8" ht="30" customHeight="1" x14ac:dyDescent="0.15">
      <c r="A1441" s="16" t="s">
        <v>704</v>
      </c>
      <c r="B1441" s="17" t="s">
        <v>2680</v>
      </c>
      <c r="C1441" s="17" t="s">
        <v>2553</v>
      </c>
      <c r="D1441" s="25" t="s">
        <v>2502</v>
      </c>
      <c r="E1441" s="19" t="s">
        <v>2657</v>
      </c>
      <c r="F1441" s="19" t="s">
        <v>2674</v>
      </c>
      <c r="G1441" s="2" t="str">
        <f t="shared" si="125"/>
        <v>http://jsmh.umin.jp/journal/23-3/23-3.pdf</v>
      </c>
      <c r="H1441" s="43" t="str">
        <f t="shared" si="126"/>
        <v>http://dl.ndl.go.jp/info:ndljp/pid/3359277</v>
      </c>
    </row>
    <row r="1442" spans="1:8" ht="30" customHeight="1" x14ac:dyDescent="0.15">
      <c r="A1442" s="16" t="s">
        <v>704</v>
      </c>
      <c r="B1442" s="17" t="s">
        <v>2681</v>
      </c>
      <c r="C1442" s="17" t="s">
        <v>198</v>
      </c>
      <c r="D1442" s="25" t="s">
        <v>2502</v>
      </c>
      <c r="E1442" s="19" t="s">
        <v>2657</v>
      </c>
      <c r="F1442" s="19" t="s">
        <v>2674</v>
      </c>
      <c r="G1442" s="2" t="str">
        <f t="shared" si="125"/>
        <v>http://jsmh.umin.jp/journal/23-3/23-3.pdf</v>
      </c>
      <c r="H1442" s="43" t="str">
        <f t="shared" si="126"/>
        <v>http://dl.ndl.go.jp/info:ndljp/pid/3359277</v>
      </c>
    </row>
    <row r="1443" spans="1:8" ht="30" customHeight="1" x14ac:dyDescent="0.15">
      <c r="A1443" s="16" t="s">
        <v>704</v>
      </c>
      <c r="B1443" s="17" t="s">
        <v>2682</v>
      </c>
      <c r="C1443" s="17" t="s">
        <v>18</v>
      </c>
      <c r="D1443" s="25" t="s">
        <v>2502</v>
      </c>
      <c r="E1443" s="19" t="s">
        <v>2657</v>
      </c>
      <c r="F1443" s="19" t="s">
        <v>2674</v>
      </c>
      <c r="G1443" s="2" t="str">
        <f t="shared" si="125"/>
        <v>http://jsmh.umin.jp/journal/23-3/23-3.pdf</v>
      </c>
      <c r="H1443" s="43" t="str">
        <f t="shared" si="126"/>
        <v>http://dl.ndl.go.jp/info:ndljp/pid/3359277</v>
      </c>
    </row>
    <row r="1444" spans="1:8" ht="30" customHeight="1" x14ac:dyDescent="0.15">
      <c r="A1444" s="16" t="s">
        <v>81</v>
      </c>
      <c r="B1444" s="17" t="s">
        <v>2683</v>
      </c>
      <c r="C1444" s="17" t="s">
        <v>1247</v>
      </c>
      <c r="D1444" s="25" t="s">
        <v>2502</v>
      </c>
      <c r="E1444" s="19" t="s">
        <v>2657</v>
      </c>
      <c r="F1444" s="19" t="s">
        <v>2684</v>
      </c>
      <c r="G1444" s="2" t="str">
        <f t="shared" si="125"/>
        <v>http://jsmh.umin.jp/journal/23-3/23-3.pdf</v>
      </c>
      <c r="H1444" s="43" t="str">
        <f t="shared" si="126"/>
        <v>http://dl.ndl.go.jp/info:ndljp/pid/3359277</v>
      </c>
    </row>
    <row r="1445" spans="1:8" ht="30" customHeight="1" x14ac:dyDescent="0.15">
      <c r="A1445" s="16" t="s">
        <v>81</v>
      </c>
      <c r="B1445" s="17" t="s">
        <v>2685</v>
      </c>
      <c r="C1445" s="17"/>
      <c r="D1445" s="25" t="s">
        <v>2502</v>
      </c>
      <c r="E1445" s="19" t="s">
        <v>2657</v>
      </c>
      <c r="F1445" s="19" t="s">
        <v>2317</v>
      </c>
      <c r="G1445" s="2" t="str">
        <f t="shared" si="125"/>
        <v>http://jsmh.umin.jp/journal/23-3/23-3.pdf</v>
      </c>
      <c r="H1445" s="43" t="str">
        <f t="shared" si="126"/>
        <v>http://dl.ndl.go.jp/info:ndljp/pid/3359277</v>
      </c>
    </row>
    <row r="1446" spans="1:8" ht="30" customHeight="1" x14ac:dyDescent="0.15">
      <c r="A1446" s="16" t="s">
        <v>1623</v>
      </c>
      <c r="B1446" s="17" t="s">
        <v>2686</v>
      </c>
      <c r="C1446" s="17" t="s">
        <v>830</v>
      </c>
      <c r="D1446" s="25" t="s">
        <v>2502</v>
      </c>
      <c r="E1446" s="19" t="s">
        <v>2657</v>
      </c>
      <c r="F1446" s="19" t="s">
        <v>2320</v>
      </c>
      <c r="G1446" s="2" t="str">
        <f t="shared" si="125"/>
        <v>http://jsmh.umin.jp/journal/23-3/23-3.pdf</v>
      </c>
      <c r="H1446" s="43" t="str">
        <f t="shared" si="126"/>
        <v>http://dl.ndl.go.jp/info:ndljp/pid/3359277</v>
      </c>
    </row>
    <row r="1447" spans="1:8" ht="30" customHeight="1" x14ac:dyDescent="0.15">
      <c r="A1447" s="16" t="s">
        <v>1623</v>
      </c>
      <c r="B1447" s="17" t="s">
        <v>2687</v>
      </c>
      <c r="C1447" s="17" t="s">
        <v>830</v>
      </c>
      <c r="D1447" s="25" t="s">
        <v>2502</v>
      </c>
      <c r="E1447" s="19" t="s">
        <v>2657</v>
      </c>
      <c r="F1447" s="19" t="s">
        <v>2322</v>
      </c>
      <c r="G1447" s="2" t="str">
        <f t="shared" si="125"/>
        <v>http://jsmh.umin.jp/journal/23-3/23-3.pdf</v>
      </c>
      <c r="H1447" s="43" t="str">
        <f t="shared" si="126"/>
        <v>http://dl.ndl.go.jp/info:ndljp/pid/3359277</v>
      </c>
    </row>
    <row r="1448" spans="1:8" ht="30" customHeight="1" x14ac:dyDescent="0.15">
      <c r="A1448" s="16" t="s">
        <v>1623</v>
      </c>
      <c r="B1448" s="17" t="s">
        <v>2688</v>
      </c>
      <c r="C1448" s="17" t="s">
        <v>1659</v>
      </c>
      <c r="D1448" s="25" t="s">
        <v>2502</v>
      </c>
      <c r="E1448" s="19" t="s">
        <v>2657</v>
      </c>
      <c r="F1448" s="19" t="s">
        <v>2331</v>
      </c>
      <c r="G1448" s="2" t="str">
        <f t="shared" si="125"/>
        <v>http://jsmh.umin.jp/journal/23-3/23-3.pdf</v>
      </c>
      <c r="H1448" s="43" t="str">
        <f t="shared" si="126"/>
        <v>http://dl.ndl.go.jp/info:ndljp/pid/3359277</v>
      </c>
    </row>
    <row r="1449" spans="1:8" ht="30" customHeight="1" x14ac:dyDescent="0.15">
      <c r="A1449" s="16" t="s">
        <v>81</v>
      </c>
      <c r="B1449" s="17" t="s">
        <v>2689</v>
      </c>
      <c r="C1449" s="17"/>
      <c r="D1449" s="25" t="s">
        <v>2502</v>
      </c>
      <c r="E1449" s="19" t="s">
        <v>2657</v>
      </c>
      <c r="F1449" s="19" t="s">
        <v>2340</v>
      </c>
      <c r="G1449" s="2" t="str">
        <f t="shared" si="125"/>
        <v>http://jsmh.umin.jp/journal/23-3/23-3.pdf</v>
      </c>
      <c r="H1449" s="43" t="str">
        <f t="shared" si="126"/>
        <v>http://dl.ndl.go.jp/info:ndljp/pid/3359277</v>
      </c>
    </row>
    <row r="1450" spans="1:8" ht="30" customHeight="1" x14ac:dyDescent="0.15">
      <c r="A1450" s="16" t="s">
        <v>17</v>
      </c>
      <c r="B1450" s="17" t="s">
        <v>2690</v>
      </c>
      <c r="C1450" s="17" t="s">
        <v>2691</v>
      </c>
      <c r="D1450" s="25" t="s">
        <v>2502</v>
      </c>
      <c r="E1450" s="19" t="s">
        <v>2657</v>
      </c>
      <c r="F1450" s="19" t="s">
        <v>2692</v>
      </c>
      <c r="G1450" s="2" t="str">
        <f t="shared" si="125"/>
        <v>http://jsmh.umin.jp/journal/23-3/23-3.pdf</v>
      </c>
      <c r="H1450" s="43" t="str">
        <f t="shared" si="126"/>
        <v>http://dl.ndl.go.jp/info:ndljp/pid/3359277</v>
      </c>
    </row>
    <row r="1451" spans="1:8" ht="30" customHeight="1" x14ac:dyDescent="0.15">
      <c r="A1451" s="16" t="s">
        <v>1236</v>
      </c>
      <c r="B1451" s="17" t="s">
        <v>2693</v>
      </c>
      <c r="C1451" s="17" t="s">
        <v>1823</v>
      </c>
      <c r="D1451" s="25" t="s">
        <v>2502</v>
      </c>
      <c r="E1451" s="19" t="s">
        <v>2694</v>
      </c>
      <c r="F1451" s="19" t="s">
        <v>723</v>
      </c>
      <c r="G1451" s="2" t="str">
        <f t="shared" ref="G1451:G1466" si="127">HYPERLINK("http://jsmh.umin.jp/journal/23-4/23-4.pdf")</f>
        <v>http://jsmh.umin.jp/journal/23-4/23-4.pdf</v>
      </c>
      <c r="H1451" s="42" t="str">
        <f t="shared" ref="H1451:H1466" si="128">HYPERLINK("http://dl.ndl.go.jp/info:ndljp/pid/3359278")</f>
        <v>http://dl.ndl.go.jp/info:ndljp/pid/3359278</v>
      </c>
    </row>
    <row r="1452" spans="1:8" ht="30" customHeight="1" x14ac:dyDescent="0.15">
      <c r="A1452" s="16" t="s">
        <v>17</v>
      </c>
      <c r="B1452" s="17" t="s">
        <v>2597</v>
      </c>
      <c r="C1452" s="17" t="s">
        <v>1699</v>
      </c>
      <c r="D1452" s="25" t="s">
        <v>2502</v>
      </c>
      <c r="E1452" s="19" t="s">
        <v>2694</v>
      </c>
      <c r="F1452" s="19" t="s">
        <v>2695</v>
      </c>
      <c r="G1452" s="2" t="str">
        <f t="shared" si="127"/>
        <v>http://jsmh.umin.jp/journal/23-4/23-4.pdf</v>
      </c>
      <c r="H1452" s="43" t="str">
        <f t="shared" si="128"/>
        <v>http://dl.ndl.go.jp/info:ndljp/pid/3359278</v>
      </c>
    </row>
    <row r="1453" spans="1:8" ht="30" customHeight="1" x14ac:dyDescent="0.15">
      <c r="A1453" s="16" t="s">
        <v>17</v>
      </c>
      <c r="B1453" s="17" t="s">
        <v>2696</v>
      </c>
      <c r="C1453" s="17" t="s">
        <v>2697</v>
      </c>
      <c r="D1453" s="25" t="s">
        <v>2502</v>
      </c>
      <c r="E1453" s="19" t="s">
        <v>2694</v>
      </c>
      <c r="F1453" s="19" t="s">
        <v>2698</v>
      </c>
      <c r="G1453" s="2" t="str">
        <f t="shared" si="127"/>
        <v>http://jsmh.umin.jp/journal/23-4/23-4.pdf</v>
      </c>
      <c r="H1453" s="43" t="str">
        <f t="shared" si="128"/>
        <v>http://dl.ndl.go.jp/info:ndljp/pid/3359278</v>
      </c>
    </row>
    <row r="1454" spans="1:8" ht="30" customHeight="1" x14ac:dyDescent="0.15">
      <c r="A1454" s="16" t="s">
        <v>17</v>
      </c>
      <c r="B1454" s="17" t="s">
        <v>2699</v>
      </c>
      <c r="C1454" s="17" t="s">
        <v>48</v>
      </c>
      <c r="D1454" s="25" t="s">
        <v>2502</v>
      </c>
      <c r="E1454" s="19" t="s">
        <v>2694</v>
      </c>
      <c r="F1454" s="19" t="s">
        <v>2700</v>
      </c>
      <c r="G1454" s="2" t="str">
        <f t="shared" si="127"/>
        <v>http://jsmh.umin.jp/journal/23-4/23-4.pdf</v>
      </c>
      <c r="H1454" s="43" t="str">
        <f t="shared" si="128"/>
        <v>http://dl.ndl.go.jp/info:ndljp/pid/3359278</v>
      </c>
    </row>
    <row r="1455" spans="1:8" ht="30" customHeight="1" x14ac:dyDescent="0.15">
      <c r="A1455" s="16" t="s">
        <v>17</v>
      </c>
      <c r="B1455" s="17" t="s">
        <v>2701</v>
      </c>
      <c r="C1455" s="17" t="s">
        <v>2702</v>
      </c>
      <c r="D1455" s="25" t="s">
        <v>2502</v>
      </c>
      <c r="E1455" s="19" t="s">
        <v>2694</v>
      </c>
      <c r="F1455" s="19" t="s">
        <v>2703</v>
      </c>
      <c r="G1455" s="2" t="str">
        <f t="shared" si="127"/>
        <v>http://jsmh.umin.jp/journal/23-4/23-4.pdf</v>
      </c>
      <c r="H1455" s="43" t="str">
        <f t="shared" si="128"/>
        <v>http://dl.ndl.go.jp/info:ndljp/pid/3359278</v>
      </c>
    </row>
    <row r="1456" spans="1:8" ht="30" customHeight="1" x14ac:dyDescent="0.15">
      <c r="A1456" s="16" t="s">
        <v>17</v>
      </c>
      <c r="B1456" s="17" t="s">
        <v>2704</v>
      </c>
      <c r="C1456" s="17" t="s">
        <v>198</v>
      </c>
      <c r="D1456" s="25" t="s">
        <v>2502</v>
      </c>
      <c r="E1456" s="19" t="s">
        <v>2694</v>
      </c>
      <c r="F1456" s="19" t="s">
        <v>2705</v>
      </c>
      <c r="G1456" s="2" t="str">
        <f t="shared" si="127"/>
        <v>http://jsmh.umin.jp/journal/23-4/23-4.pdf</v>
      </c>
      <c r="H1456" s="43" t="str">
        <f t="shared" si="128"/>
        <v>http://dl.ndl.go.jp/info:ndljp/pid/3359278</v>
      </c>
    </row>
    <row r="1457" spans="1:8" ht="30" customHeight="1" x14ac:dyDescent="0.15">
      <c r="A1457" s="16" t="s">
        <v>159</v>
      </c>
      <c r="B1457" s="17" t="s">
        <v>2706</v>
      </c>
      <c r="C1457" s="17" t="s">
        <v>690</v>
      </c>
      <c r="D1457" s="25" t="s">
        <v>2502</v>
      </c>
      <c r="E1457" s="19" t="s">
        <v>2694</v>
      </c>
      <c r="F1457" s="19" t="s">
        <v>2707</v>
      </c>
      <c r="G1457" s="2" t="str">
        <f t="shared" si="127"/>
        <v>http://jsmh.umin.jp/journal/23-4/23-4.pdf</v>
      </c>
      <c r="H1457" s="43" t="str">
        <f t="shared" si="128"/>
        <v>http://dl.ndl.go.jp/info:ndljp/pid/3359278</v>
      </c>
    </row>
    <row r="1458" spans="1:8" ht="30" customHeight="1" x14ac:dyDescent="0.15">
      <c r="A1458" s="16" t="s">
        <v>704</v>
      </c>
      <c r="B1458" s="17" t="s">
        <v>2708</v>
      </c>
      <c r="C1458" s="17" t="s">
        <v>2222</v>
      </c>
      <c r="D1458" s="25" t="s">
        <v>2502</v>
      </c>
      <c r="E1458" s="19" t="s">
        <v>2694</v>
      </c>
      <c r="F1458" s="19" t="s">
        <v>2709</v>
      </c>
      <c r="G1458" s="2" t="str">
        <f t="shared" si="127"/>
        <v>http://jsmh.umin.jp/journal/23-4/23-4.pdf</v>
      </c>
      <c r="H1458" s="43" t="str">
        <f t="shared" si="128"/>
        <v>http://dl.ndl.go.jp/info:ndljp/pid/3359278</v>
      </c>
    </row>
    <row r="1459" spans="1:8" ht="30" customHeight="1" x14ac:dyDescent="0.15">
      <c r="A1459" s="16" t="s">
        <v>704</v>
      </c>
      <c r="B1459" s="17" t="s">
        <v>2710</v>
      </c>
      <c r="C1459" s="17" t="s">
        <v>212</v>
      </c>
      <c r="D1459" s="25" t="s">
        <v>2502</v>
      </c>
      <c r="E1459" s="19" t="s">
        <v>2694</v>
      </c>
      <c r="F1459" s="19" t="s">
        <v>2709</v>
      </c>
      <c r="G1459" s="2" t="str">
        <f t="shared" si="127"/>
        <v>http://jsmh.umin.jp/journal/23-4/23-4.pdf</v>
      </c>
      <c r="H1459" s="43" t="str">
        <f t="shared" si="128"/>
        <v>http://dl.ndl.go.jp/info:ndljp/pid/3359278</v>
      </c>
    </row>
    <row r="1460" spans="1:8" ht="30" customHeight="1" x14ac:dyDescent="0.15">
      <c r="A1460" s="16" t="s">
        <v>704</v>
      </c>
      <c r="B1460" s="17" t="s">
        <v>2711</v>
      </c>
      <c r="C1460" s="17" t="s">
        <v>1070</v>
      </c>
      <c r="D1460" s="25" t="s">
        <v>2502</v>
      </c>
      <c r="E1460" s="19" t="s">
        <v>2694</v>
      </c>
      <c r="F1460" s="19" t="s">
        <v>2709</v>
      </c>
      <c r="G1460" s="2" t="str">
        <f t="shared" si="127"/>
        <v>http://jsmh.umin.jp/journal/23-4/23-4.pdf</v>
      </c>
      <c r="H1460" s="43" t="str">
        <f t="shared" si="128"/>
        <v>http://dl.ndl.go.jp/info:ndljp/pid/3359278</v>
      </c>
    </row>
    <row r="1461" spans="1:8" ht="30" customHeight="1" x14ac:dyDescent="0.15">
      <c r="A1461" s="16" t="s">
        <v>704</v>
      </c>
      <c r="B1461" s="17" t="s">
        <v>2712</v>
      </c>
      <c r="C1461" s="17" t="s">
        <v>1338</v>
      </c>
      <c r="D1461" s="25" t="s">
        <v>2502</v>
      </c>
      <c r="E1461" s="19" t="s">
        <v>2694</v>
      </c>
      <c r="F1461" s="19" t="s">
        <v>2709</v>
      </c>
      <c r="G1461" s="2" t="str">
        <f t="shared" si="127"/>
        <v>http://jsmh.umin.jp/journal/23-4/23-4.pdf</v>
      </c>
      <c r="H1461" s="43" t="str">
        <f t="shared" si="128"/>
        <v>http://dl.ndl.go.jp/info:ndljp/pid/3359278</v>
      </c>
    </row>
    <row r="1462" spans="1:8" ht="30" customHeight="1" x14ac:dyDescent="0.15">
      <c r="A1462" s="16" t="s">
        <v>81</v>
      </c>
      <c r="B1462" s="17" t="s">
        <v>2713</v>
      </c>
      <c r="C1462" s="17"/>
      <c r="D1462" s="25" t="s">
        <v>2502</v>
      </c>
      <c r="E1462" s="19" t="s">
        <v>2694</v>
      </c>
      <c r="F1462" s="19" t="s">
        <v>2709</v>
      </c>
      <c r="G1462" s="2" t="str">
        <f t="shared" si="127"/>
        <v>http://jsmh.umin.jp/journal/23-4/23-4.pdf</v>
      </c>
      <c r="H1462" s="43" t="str">
        <f t="shared" si="128"/>
        <v>http://dl.ndl.go.jp/info:ndljp/pid/3359278</v>
      </c>
    </row>
    <row r="1463" spans="1:8" ht="30" customHeight="1" x14ac:dyDescent="0.15">
      <c r="A1463" s="16" t="s">
        <v>81</v>
      </c>
      <c r="B1463" s="17" t="s">
        <v>2714</v>
      </c>
      <c r="C1463" s="17" t="s">
        <v>2233</v>
      </c>
      <c r="D1463" s="25" t="s">
        <v>2502</v>
      </c>
      <c r="E1463" s="19" t="s">
        <v>2694</v>
      </c>
      <c r="F1463" s="19" t="s">
        <v>2715</v>
      </c>
      <c r="G1463" s="2" t="str">
        <f t="shared" si="127"/>
        <v>http://jsmh.umin.jp/journal/23-4/23-4.pdf</v>
      </c>
      <c r="H1463" s="43" t="str">
        <f t="shared" si="128"/>
        <v>http://dl.ndl.go.jp/info:ndljp/pid/3359278</v>
      </c>
    </row>
    <row r="1464" spans="1:8" ht="30" customHeight="1" x14ac:dyDescent="0.15">
      <c r="A1464" s="16" t="s">
        <v>1623</v>
      </c>
      <c r="B1464" s="17" t="s">
        <v>2716</v>
      </c>
      <c r="C1464" s="17" t="s">
        <v>2717</v>
      </c>
      <c r="D1464" s="25" t="s">
        <v>2502</v>
      </c>
      <c r="E1464" s="19" t="s">
        <v>2694</v>
      </c>
      <c r="F1464" s="19" t="s">
        <v>2718</v>
      </c>
      <c r="G1464" s="2" t="str">
        <f t="shared" si="127"/>
        <v>http://jsmh.umin.jp/journal/23-4/23-4.pdf</v>
      </c>
      <c r="H1464" s="43" t="str">
        <f t="shared" si="128"/>
        <v>http://dl.ndl.go.jp/info:ndljp/pid/3359278</v>
      </c>
    </row>
    <row r="1465" spans="1:8" ht="30" customHeight="1" x14ac:dyDescent="0.15">
      <c r="A1465" s="16" t="s">
        <v>1623</v>
      </c>
      <c r="B1465" s="17" t="s">
        <v>2719</v>
      </c>
      <c r="C1465" s="17"/>
      <c r="D1465" s="25" t="s">
        <v>2502</v>
      </c>
      <c r="E1465" s="19" t="s">
        <v>2694</v>
      </c>
      <c r="F1465" s="19" t="s">
        <v>2720</v>
      </c>
      <c r="G1465" s="2" t="str">
        <f t="shared" si="127"/>
        <v>http://jsmh.umin.jp/journal/23-4/23-4.pdf</v>
      </c>
      <c r="H1465" s="43" t="str">
        <f t="shared" si="128"/>
        <v>http://dl.ndl.go.jp/info:ndljp/pid/3359278</v>
      </c>
    </row>
    <row r="1466" spans="1:8" ht="30" customHeight="1" x14ac:dyDescent="0.15">
      <c r="A1466" s="16" t="s">
        <v>17</v>
      </c>
      <c r="B1466" s="17" t="s">
        <v>2721</v>
      </c>
      <c r="C1466" s="17" t="s">
        <v>2722</v>
      </c>
      <c r="D1466" s="25" t="s">
        <v>2502</v>
      </c>
      <c r="E1466" s="19" t="s">
        <v>2694</v>
      </c>
      <c r="F1466" s="19" t="s">
        <v>2723</v>
      </c>
      <c r="G1466" s="2" t="str">
        <f t="shared" si="127"/>
        <v>http://jsmh.umin.jp/journal/23-4/23-4.pdf</v>
      </c>
      <c r="H1466" s="43" t="str">
        <f t="shared" si="128"/>
        <v>http://dl.ndl.go.jp/info:ndljp/pid/3359278</v>
      </c>
    </row>
    <row r="1467" spans="1:8" ht="30" customHeight="1" x14ac:dyDescent="0.15">
      <c r="A1467" s="16" t="s">
        <v>17</v>
      </c>
      <c r="B1467" s="17" t="s">
        <v>2724</v>
      </c>
      <c r="C1467" s="17" t="s">
        <v>1876</v>
      </c>
      <c r="D1467" s="18" t="s">
        <v>2725</v>
      </c>
      <c r="E1467" s="19" t="s">
        <v>2726</v>
      </c>
      <c r="F1467" s="19" t="s">
        <v>2727</v>
      </c>
      <c r="G1467" s="2" t="str">
        <f t="shared" ref="G1467:G1474" si="129">HYPERLINK("http://jsmh.umin.jp/journal/24-1/24-1.pdf")</f>
        <v>http://jsmh.umin.jp/journal/24-1/24-1.pdf</v>
      </c>
      <c r="H1467" s="42" t="str">
        <f t="shared" ref="H1467:H1474" si="130">HYPERLINK("http://dl.ndl.go.jp/info:ndljp/pid/3359279")</f>
        <v>http://dl.ndl.go.jp/info:ndljp/pid/3359279</v>
      </c>
    </row>
    <row r="1468" spans="1:8" ht="30" customHeight="1" x14ac:dyDescent="0.15">
      <c r="A1468" s="16" t="s">
        <v>17</v>
      </c>
      <c r="B1468" s="17" t="s">
        <v>10108</v>
      </c>
      <c r="C1468" s="17" t="s">
        <v>1659</v>
      </c>
      <c r="D1468" s="25" t="s">
        <v>2725</v>
      </c>
      <c r="E1468" s="19" t="s">
        <v>2726</v>
      </c>
      <c r="F1468" s="19" t="s">
        <v>2728</v>
      </c>
      <c r="G1468" s="2" t="str">
        <f t="shared" si="129"/>
        <v>http://jsmh.umin.jp/journal/24-1/24-1.pdf</v>
      </c>
      <c r="H1468" s="43" t="str">
        <f t="shared" si="130"/>
        <v>http://dl.ndl.go.jp/info:ndljp/pid/3359279</v>
      </c>
    </row>
    <row r="1469" spans="1:8" ht="30" customHeight="1" x14ac:dyDescent="0.15">
      <c r="A1469" s="16" t="s">
        <v>17</v>
      </c>
      <c r="B1469" s="17" t="s">
        <v>2729</v>
      </c>
      <c r="C1469" s="17" t="s">
        <v>2465</v>
      </c>
      <c r="D1469" s="25" t="s">
        <v>2725</v>
      </c>
      <c r="E1469" s="19" t="s">
        <v>2726</v>
      </c>
      <c r="F1469" s="19" t="s">
        <v>2730</v>
      </c>
      <c r="G1469" s="2" t="str">
        <f t="shared" si="129"/>
        <v>http://jsmh.umin.jp/journal/24-1/24-1.pdf</v>
      </c>
      <c r="H1469" s="43" t="str">
        <f t="shared" si="130"/>
        <v>http://dl.ndl.go.jp/info:ndljp/pid/3359279</v>
      </c>
    </row>
    <row r="1470" spans="1:8" ht="30" customHeight="1" x14ac:dyDescent="0.15">
      <c r="A1470" s="16" t="s">
        <v>17</v>
      </c>
      <c r="B1470" s="17" t="s">
        <v>2731</v>
      </c>
      <c r="C1470" s="17" t="s">
        <v>2732</v>
      </c>
      <c r="D1470" s="25" t="s">
        <v>2725</v>
      </c>
      <c r="E1470" s="19" t="s">
        <v>2726</v>
      </c>
      <c r="F1470" s="19" t="s">
        <v>2733</v>
      </c>
      <c r="G1470" s="2" t="str">
        <f t="shared" si="129"/>
        <v>http://jsmh.umin.jp/journal/24-1/24-1.pdf</v>
      </c>
      <c r="H1470" s="43" t="str">
        <f t="shared" si="130"/>
        <v>http://dl.ndl.go.jp/info:ndljp/pid/3359279</v>
      </c>
    </row>
    <row r="1471" spans="1:8" ht="30" customHeight="1" x14ac:dyDescent="0.15">
      <c r="A1471" s="16" t="s">
        <v>17</v>
      </c>
      <c r="B1471" s="17" t="s">
        <v>2734</v>
      </c>
      <c r="C1471" s="17" t="s">
        <v>790</v>
      </c>
      <c r="D1471" s="25" t="s">
        <v>2725</v>
      </c>
      <c r="E1471" s="19" t="s">
        <v>2726</v>
      </c>
      <c r="F1471" s="19" t="s">
        <v>2735</v>
      </c>
      <c r="G1471" s="2" t="str">
        <f t="shared" si="129"/>
        <v>http://jsmh.umin.jp/journal/24-1/24-1.pdf</v>
      </c>
      <c r="H1471" s="43" t="str">
        <f t="shared" si="130"/>
        <v>http://dl.ndl.go.jp/info:ndljp/pid/3359279</v>
      </c>
    </row>
    <row r="1472" spans="1:8" ht="30" customHeight="1" x14ac:dyDescent="0.15">
      <c r="A1472" s="16" t="s">
        <v>17</v>
      </c>
      <c r="B1472" s="17" t="s">
        <v>2736</v>
      </c>
      <c r="C1472" s="17" t="s">
        <v>198</v>
      </c>
      <c r="D1472" s="25" t="s">
        <v>2725</v>
      </c>
      <c r="E1472" s="19" t="s">
        <v>2726</v>
      </c>
      <c r="F1472" s="19" t="s">
        <v>2737</v>
      </c>
      <c r="G1472" s="2" t="str">
        <f t="shared" si="129"/>
        <v>http://jsmh.umin.jp/journal/24-1/24-1.pdf</v>
      </c>
      <c r="H1472" s="43" t="str">
        <f t="shared" si="130"/>
        <v>http://dl.ndl.go.jp/info:ndljp/pid/3359279</v>
      </c>
    </row>
    <row r="1473" spans="1:8" ht="30" customHeight="1" x14ac:dyDescent="0.15">
      <c r="A1473" s="16" t="s">
        <v>159</v>
      </c>
      <c r="B1473" s="17" t="s">
        <v>2738</v>
      </c>
      <c r="C1473" s="17" t="s">
        <v>1097</v>
      </c>
      <c r="D1473" s="25" t="s">
        <v>2725</v>
      </c>
      <c r="E1473" s="19" t="s">
        <v>2726</v>
      </c>
      <c r="F1473" s="19" t="s">
        <v>2739</v>
      </c>
      <c r="G1473" s="2" t="str">
        <f t="shared" si="129"/>
        <v>http://jsmh.umin.jp/journal/24-1/24-1.pdf</v>
      </c>
      <c r="H1473" s="43" t="str">
        <f t="shared" si="130"/>
        <v>http://dl.ndl.go.jp/info:ndljp/pid/3359279</v>
      </c>
    </row>
    <row r="1474" spans="1:8" ht="30" customHeight="1" x14ac:dyDescent="0.15">
      <c r="A1474" s="16" t="s">
        <v>704</v>
      </c>
      <c r="B1474" s="17" t="s">
        <v>2740</v>
      </c>
      <c r="C1474" s="17" t="s">
        <v>2741</v>
      </c>
      <c r="D1474" s="25" t="s">
        <v>2725</v>
      </c>
      <c r="E1474" s="19" t="s">
        <v>2726</v>
      </c>
      <c r="F1474" s="19" t="s">
        <v>213</v>
      </c>
      <c r="G1474" s="2" t="str">
        <f t="shared" si="129"/>
        <v>http://jsmh.umin.jp/journal/24-1/24-1.pdf</v>
      </c>
      <c r="H1474" s="43" t="str">
        <f t="shared" si="130"/>
        <v>http://dl.ndl.go.jp/info:ndljp/pid/3359279</v>
      </c>
    </row>
    <row r="1475" spans="1:8" ht="30" customHeight="1" x14ac:dyDescent="0.15">
      <c r="A1475" s="16" t="s">
        <v>91</v>
      </c>
      <c r="B1475" s="17" t="s">
        <v>2742</v>
      </c>
      <c r="C1475" s="17" t="s">
        <v>273</v>
      </c>
      <c r="D1475" s="25" t="s">
        <v>2725</v>
      </c>
      <c r="E1475" s="19" t="s">
        <v>2743</v>
      </c>
      <c r="F1475" s="19" t="s">
        <v>2744</v>
      </c>
      <c r="G1475" s="2" t="str">
        <f t="shared" ref="G1475:G1518" si="131">HYPERLINK("http://jsmh.umin.jp/journal/24-2/24-2.pdf")</f>
        <v>http://jsmh.umin.jp/journal/24-2/24-2.pdf</v>
      </c>
      <c r="H1475" s="42" t="str">
        <f t="shared" ref="H1475:H1518" si="132">HYPERLINK("http://dl.ndl.go.jp/info:ndljp/pid/3359280")</f>
        <v>http://dl.ndl.go.jp/info:ndljp/pid/3359280</v>
      </c>
    </row>
    <row r="1476" spans="1:8" ht="30" customHeight="1" x14ac:dyDescent="0.15">
      <c r="A1476" s="16" t="s">
        <v>88</v>
      </c>
      <c r="B1476" s="17" t="s">
        <v>2745</v>
      </c>
      <c r="C1476" s="17" t="s">
        <v>2746</v>
      </c>
      <c r="D1476" s="25" t="s">
        <v>2725</v>
      </c>
      <c r="E1476" s="19" t="s">
        <v>2743</v>
      </c>
      <c r="F1476" s="19" t="s">
        <v>2415</v>
      </c>
      <c r="G1476" s="2" t="str">
        <f t="shared" si="131"/>
        <v>http://jsmh.umin.jp/journal/24-2/24-2.pdf</v>
      </c>
      <c r="H1476" s="43" t="str">
        <f t="shared" si="132"/>
        <v>http://dl.ndl.go.jp/info:ndljp/pid/3359280</v>
      </c>
    </row>
    <row r="1477" spans="1:8" ht="30" customHeight="1" x14ac:dyDescent="0.15">
      <c r="A1477" s="16" t="s">
        <v>88</v>
      </c>
      <c r="B1477" s="17" t="s">
        <v>2747</v>
      </c>
      <c r="C1477" s="17" t="s">
        <v>116</v>
      </c>
      <c r="D1477" s="25" t="s">
        <v>2725</v>
      </c>
      <c r="E1477" s="19" t="s">
        <v>2743</v>
      </c>
      <c r="F1477" s="19" t="s">
        <v>2417</v>
      </c>
      <c r="G1477" s="2" t="str">
        <f t="shared" si="131"/>
        <v>http://jsmh.umin.jp/journal/24-2/24-2.pdf</v>
      </c>
      <c r="H1477" s="43" t="str">
        <f t="shared" si="132"/>
        <v>http://dl.ndl.go.jp/info:ndljp/pid/3359280</v>
      </c>
    </row>
    <row r="1478" spans="1:8" ht="30" customHeight="1" x14ac:dyDescent="0.15">
      <c r="A1478" s="16" t="s">
        <v>499</v>
      </c>
      <c r="B1478" s="17" t="s">
        <v>2748</v>
      </c>
      <c r="C1478" s="17" t="s">
        <v>2749</v>
      </c>
      <c r="D1478" s="25" t="s">
        <v>2725</v>
      </c>
      <c r="E1478" s="19" t="s">
        <v>2743</v>
      </c>
      <c r="F1478" s="19" t="s">
        <v>2213</v>
      </c>
      <c r="G1478" s="2" t="str">
        <f t="shared" si="131"/>
        <v>http://jsmh.umin.jp/journal/24-2/24-2.pdf</v>
      </c>
      <c r="H1478" s="43" t="str">
        <f t="shared" si="132"/>
        <v>http://dl.ndl.go.jp/info:ndljp/pid/3359280</v>
      </c>
    </row>
    <row r="1479" spans="1:8" ht="30" customHeight="1" x14ac:dyDescent="0.15">
      <c r="A1479" s="16" t="s">
        <v>91</v>
      </c>
      <c r="B1479" s="17" t="s">
        <v>2750</v>
      </c>
      <c r="C1479" s="17" t="s">
        <v>479</v>
      </c>
      <c r="D1479" s="25" t="s">
        <v>2725</v>
      </c>
      <c r="E1479" s="19" t="s">
        <v>2743</v>
      </c>
      <c r="F1479" s="19" t="s">
        <v>2217</v>
      </c>
      <c r="G1479" s="2" t="str">
        <f t="shared" si="131"/>
        <v>http://jsmh.umin.jp/journal/24-2/24-2.pdf</v>
      </c>
      <c r="H1479" s="43" t="str">
        <f t="shared" si="132"/>
        <v>http://dl.ndl.go.jp/info:ndljp/pid/3359280</v>
      </c>
    </row>
    <row r="1480" spans="1:8" ht="30" customHeight="1" x14ac:dyDescent="0.15">
      <c r="A1480" s="16" t="s">
        <v>91</v>
      </c>
      <c r="B1480" s="17" t="s">
        <v>2751</v>
      </c>
      <c r="C1480" s="17" t="s">
        <v>444</v>
      </c>
      <c r="D1480" s="25" t="s">
        <v>2725</v>
      </c>
      <c r="E1480" s="19" t="s">
        <v>2743</v>
      </c>
      <c r="F1480" s="19" t="s">
        <v>2425</v>
      </c>
      <c r="G1480" s="2" t="str">
        <f t="shared" si="131"/>
        <v>http://jsmh.umin.jp/journal/24-2/24-2.pdf</v>
      </c>
      <c r="H1480" s="43" t="str">
        <f t="shared" si="132"/>
        <v>http://dl.ndl.go.jp/info:ndljp/pid/3359280</v>
      </c>
    </row>
    <row r="1481" spans="1:8" ht="30" customHeight="1" x14ac:dyDescent="0.15">
      <c r="A1481" s="16" t="s">
        <v>91</v>
      </c>
      <c r="B1481" s="17" t="s">
        <v>2752</v>
      </c>
      <c r="C1481" s="17" t="s">
        <v>838</v>
      </c>
      <c r="D1481" s="25" t="s">
        <v>2725</v>
      </c>
      <c r="E1481" s="19" t="s">
        <v>2743</v>
      </c>
      <c r="F1481" s="19" t="s">
        <v>1347</v>
      </c>
      <c r="G1481" s="2" t="str">
        <f t="shared" si="131"/>
        <v>http://jsmh.umin.jp/journal/24-2/24-2.pdf</v>
      </c>
      <c r="H1481" s="43" t="str">
        <f t="shared" si="132"/>
        <v>http://dl.ndl.go.jp/info:ndljp/pid/3359280</v>
      </c>
    </row>
    <row r="1482" spans="1:8" ht="30" customHeight="1" x14ac:dyDescent="0.15">
      <c r="A1482" s="16" t="s">
        <v>91</v>
      </c>
      <c r="B1482" s="17" t="s">
        <v>2753</v>
      </c>
      <c r="C1482" s="17" t="s">
        <v>2570</v>
      </c>
      <c r="D1482" s="25" t="s">
        <v>2725</v>
      </c>
      <c r="E1482" s="19" t="s">
        <v>2743</v>
      </c>
      <c r="F1482" s="19" t="s">
        <v>1349</v>
      </c>
      <c r="G1482" s="2" t="str">
        <f t="shared" si="131"/>
        <v>http://jsmh.umin.jp/journal/24-2/24-2.pdf</v>
      </c>
      <c r="H1482" s="43" t="str">
        <f t="shared" si="132"/>
        <v>http://dl.ndl.go.jp/info:ndljp/pid/3359280</v>
      </c>
    </row>
    <row r="1483" spans="1:8" ht="30" customHeight="1" x14ac:dyDescent="0.15">
      <c r="A1483" s="16" t="s">
        <v>91</v>
      </c>
      <c r="B1483" s="17" t="s">
        <v>2754</v>
      </c>
      <c r="C1483" s="17" t="s">
        <v>2755</v>
      </c>
      <c r="D1483" s="25" t="s">
        <v>2725</v>
      </c>
      <c r="E1483" s="19" t="s">
        <v>2743</v>
      </c>
      <c r="F1483" s="19" t="s">
        <v>2756</v>
      </c>
      <c r="G1483" s="2" t="str">
        <f t="shared" si="131"/>
        <v>http://jsmh.umin.jp/journal/24-2/24-2.pdf</v>
      </c>
      <c r="H1483" s="43" t="str">
        <f t="shared" si="132"/>
        <v>http://dl.ndl.go.jp/info:ndljp/pid/3359280</v>
      </c>
    </row>
    <row r="1484" spans="1:8" ht="30" customHeight="1" x14ac:dyDescent="0.15">
      <c r="A1484" s="16" t="s">
        <v>91</v>
      </c>
      <c r="B1484" s="17" t="s">
        <v>2757</v>
      </c>
      <c r="C1484" s="17" t="s">
        <v>507</v>
      </c>
      <c r="D1484" s="25" t="s">
        <v>2725</v>
      </c>
      <c r="E1484" s="19" t="s">
        <v>2743</v>
      </c>
      <c r="F1484" s="19" t="s">
        <v>2758</v>
      </c>
      <c r="G1484" s="2" t="str">
        <f t="shared" si="131"/>
        <v>http://jsmh.umin.jp/journal/24-2/24-2.pdf</v>
      </c>
      <c r="H1484" s="43" t="str">
        <f t="shared" si="132"/>
        <v>http://dl.ndl.go.jp/info:ndljp/pid/3359280</v>
      </c>
    </row>
    <row r="1485" spans="1:8" ht="30" customHeight="1" x14ac:dyDescent="0.15">
      <c r="A1485" s="16" t="s">
        <v>91</v>
      </c>
      <c r="B1485" s="17" t="s">
        <v>2759</v>
      </c>
      <c r="C1485" s="17" t="s">
        <v>485</v>
      </c>
      <c r="D1485" s="25" t="s">
        <v>2725</v>
      </c>
      <c r="E1485" s="19" t="s">
        <v>2743</v>
      </c>
      <c r="F1485" s="19" t="s">
        <v>1516</v>
      </c>
      <c r="G1485" s="2" t="str">
        <f t="shared" si="131"/>
        <v>http://jsmh.umin.jp/journal/24-2/24-2.pdf</v>
      </c>
      <c r="H1485" s="43" t="str">
        <f t="shared" si="132"/>
        <v>http://dl.ndl.go.jp/info:ndljp/pid/3359280</v>
      </c>
    </row>
    <row r="1486" spans="1:8" ht="30" customHeight="1" x14ac:dyDescent="0.15">
      <c r="A1486" s="16" t="s">
        <v>91</v>
      </c>
      <c r="B1486" s="17" t="s">
        <v>2760</v>
      </c>
      <c r="C1486" s="17" t="s">
        <v>69</v>
      </c>
      <c r="D1486" s="25" t="s">
        <v>2725</v>
      </c>
      <c r="E1486" s="19" t="s">
        <v>2743</v>
      </c>
      <c r="F1486" s="19" t="s">
        <v>2761</v>
      </c>
      <c r="G1486" s="2" t="str">
        <f t="shared" si="131"/>
        <v>http://jsmh.umin.jp/journal/24-2/24-2.pdf</v>
      </c>
      <c r="H1486" s="43" t="str">
        <f t="shared" si="132"/>
        <v>http://dl.ndl.go.jp/info:ndljp/pid/3359280</v>
      </c>
    </row>
    <row r="1487" spans="1:8" ht="30" customHeight="1" x14ac:dyDescent="0.15">
      <c r="A1487" s="16" t="s">
        <v>91</v>
      </c>
      <c r="B1487" s="17" t="s">
        <v>2762</v>
      </c>
      <c r="C1487" s="17" t="s">
        <v>2465</v>
      </c>
      <c r="D1487" s="25" t="s">
        <v>2725</v>
      </c>
      <c r="E1487" s="19" t="s">
        <v>2743</v>
      </c>
      <c r="F1487" s="19" t="s">
        <v>1522</v>
      </c>
      <c r="G1487" s="2" t="str">
        <f t="shared" si="131"/>
        <v>http://jsmh.umin.jp/journal/24-2/24-2.pdf</v>
      </c>
      <c r="H1487" s="43" t="str">
        <f t="shared" si="132"/>
        <v>http://dl.ndl.go.jp/info:ndljp/pid/3359280</v>
      </c>
    </row>
    <row r="1488" spans="1:8" ht="30" customHeight="1" x14ac:dyDescent="0.15">
      <c r="A1488" s="16" t="s">
        <v>91</v>
      </c>
      <c r="B1488" s="17" t="s">
        <v>2763</v>
      </c>
      <c r="C1488" s="17" t="s">
        <v>1932</v>
      </c>
      <c r="D1488" s="25" t="s">
        <v>2725</v>
      </c>
      <c r="E1488" s="19" t="s">
        <v>2743</v>
      </c>
      <c r="F1488" s="19" t="s">
        <v>2240</v>
      </c>
      <c r="G1488" s="2" t="str">
        <f t="shared" si="131"/>
        <v>http://jsmh.umin.jp/journal/24-2/24-2.pdf</v>
      </c>
      <c r="H1488" s="43" t="str">
        <f t="shared" si="132"/>
        <v>http://dl.ndl.go.jp/info:ndljp/pid/3359280</v>
      </c>
    </row>
    <row r="1489" spans="1:8" ht="30" customHeight="1" x14ac:dyDescent="0.15">
      <c r="A1489" s="16" t="s">
        <v>91</v>
      </c>
      <c r="B1489" s="17" t="s">
        <v>2742</v>
      </c>
      <c r="C1489" s="17" t="s">
        <v>273</v>
      </c>
      <c r="D1489" s="25" t="s">
        <v>2725</v>
      </c>
      <c r="E1489" s="19" t="s">
        <v>2743</v>
      </c>
      <c r="F1489" s="19" t="s">
        <v>2764</v>
      </c>
      <c r="G1489" s="2" t="str">
        <f t="shared" si="131"/>
        <v>http://jsmh.umin.jp/journal/24-2/24-2.pdf</v>
      </c>
      <c r="H1489" s="43" t="str">
        <f t="shared" si="132"/>
        <v>http://dl.ndl.go.jp/info:ndljp/pid/3359280</v>
      </c>
    </row>
    <row r="1490" spans="1:8" ht="30" customHeight="1" x14ac:dyDescent="0.15">
      <c r="A1490" s="16" t="s">
        <v>91</v>
      </c>
      <c r="B1490" s="17" t="s">
        <v>2765</v>
      </c>
      <c r="C1490" s="17" t="s">
        <v>1929</v>
      </c>
      <c r="D1490" s="25" t="s">
        <v>2725</v>
      </c>
      <c r="E1490" s="19" t="s">
        <v>2743</v>
      </c>
      <c r="F1490" s="19" t="s">
        <v>2766</v>
      </c>
      <c r="G1490" s="2" t="str">
        <f t="shared" si="131"/>
        <v>http://jsmh.umin.jp/journal/24-2/24-2.pdf</v>
      </c>
      <c r="H1490" s="43" t="str">
        <f t="shared" si="132"/>
        <v>http://dl.ndl.go.jp/info:ndljp/pid/3359280</v>
      </c>
    </row>
    <row r="1491" spans="1:8" ht="30" customHeight="1" x14ac:dyDescent="0.15">
      <c r="A1491" s="16" t="s">
        <v>91</v>
      </c>
      <c r="B1491" s="17" t="s">
        <v>2767</v>
      </c>
      <c r="C1491" s="17" t="s">
        <v>66</v>
      </c>
      <c r="D1491" s="25" t="s">
        <v>2725</v>
      </c>
      <c r="E1491" s="19" t="s">
        <v>2743</v>
      </c>
      <c r="F1491" s="19" t="s">
        <v>2539</v>
      </c>
      <c r="G1491" s="2" t="str">
        <f t="shared" si="131"/>
        <v>http://jsmh.umin.jp/journal/24-2/24-2.pdf</v>
      </c>
      <c r="H1491" s="43" t="str">
        <f t="shared" si="132"/>
        <v>http://dl.ndl.go.jp/info:ndljp/pid/3359280</v>
      </c>
    </row>
    <row r="1492" spans="1:8" ht="30" customHeight="1" x14ac:dyDescent="0.15">
      <c r="A1492" s="16" t="s">
        <v>91</v>
      </c>
      <c r="B1492" s="17" t="s">
        <v>2768</v>
      </c>
      <c r="C1492" s="17" t="s">
        <v>2212</v>
      </c>
      <c r="D1492" s="25" t="s">
        <v>2725</v>
      </c>
      <c r="E1492" s="19" t="s">
        <v>2743</v>
      </c>
      <c r="F1492" s="19" t="s">
        <v>2257</v>
      </c>
      <c r="G1492" s="2" t="str">
        <f t="shared" si="131"/>
        <v>http://jsmh.umin.jp/journal/24-2/24-2.pdf</v>
      </c>
      <c r="H1492" s="43" t="str">
        <f t="shared" si="132"/>
        <v>http://dl.ndl.go.jp/info:ndljp/pid/3359280</v>
      </c>
    </row>
    <row r="1493" spans="1:8" ht="30" customHeight="1" x14ac:dyDescent="0.15">
      <c r="A1493" s="16" t="s">
        <v>91</v>
      </c>
      <c r="B1493" s="17" t="s">
        <v>2769</v>
      </c>
      <c r="C1493" s="17" t="s">
        <v>2233</v>
      </c>
      <c r="D1493" s="25" t="s">
        <v>2725</v>
      </c>
      <c r="E1493" s="19" t="s">
        <v>2743</v>
      </c>
      <c r="F1493" s="19" t="s">
        <v>2770</v>
      </c>
      <c r="G1493" s="2" t="str">
        <f t="shared" si="131"/>
        <v>http://jsmh.umin.jp/journal/24-2/24-2.pdf</v>
      </c>
      <c r="H1493" s="43" t="str">
        <f t="shared" si="132"/>
        <v>http://dl.ndl.go.jp/info:ndljp/pid/3359280</v>
      </c>
    </row>
    <row r="1494" spans="1:8" ht="30" customHeight="1" x14ac:dyDescent="0.15">
      <c r="A1494" s="16" t="s">
        <v>91</v>
      </c>
      <c r="B1494" s="17" t="s">
        <v>2771</v>
      </c>
      <c r="C1494" s="17" t="s">
        <v>1699</v>
      </c>
      <c r="D1494" s="25" t="s">
        <v>2725</v>
      </c>
      <c r="E1494" s="19" t="s">
        <v>2743</v>
      </c>
      <c r="F1494" s="19" t="s">
        <v>2772</v>
      </c>
      <c r="G1494" s="2" t="str">
        <f t="shared" si="131"/>
        <v>http://jsmh.umin.jp/journal/24-2/24-2.pdf</v>
      </c>
      <c r="H1494" s="43" t="str">
        <f t="shared" si="132"/>
        <v>http://dl.ndl.go.jp/info:ndljp/pid/3359280</v>
      </c>
    </row>
    <row r="1495" spans="1:8" ht="30" customHeight="1" x14ac:dyDescent="0.15">
      <c r="A1495" s="16" t="s">
        <v>91</v>
      </c>
      <c r="B1495" s="17" t="s">
        <v>10109</v>
      </c>
      <c r="C1495" s="17" t="s">
        <v>2773</v>
      </c>
      <c r="D1495" s="25" t="s">
        <v>2725</v>
      </c>
      <c r="E1495" s="19" t="s">
        <v>2743</v>
      </c>
      <c r="F1495" s="19" t="s">
        <v>2041</v>
      </c>
      <c r="G1495" s="2" t="str">
        <f t="shared" si="131"/>
        <v>http://jsmh.umin.jp/journal/24-2/24-2.pdf</v>
      </c>
      <c r="H1495" s="43" t="str">
        <f t="shared" si="132"/>
        <v>http://dl.ndl.go.jp/info:ndljp/pid/3359280</v>
      </c>
    </row>
    <row r="1496" spans="1:8" ht="30" customHeight="1" x14ac:dyDescent="0.15">
      <c r="A1496" s="16" t="s">
        <v>91</v>
      </c>
      <c r="B1496" s="17" t="s">
        <v>2774</v>
      </c>
      <c r="C1496" s="17" t="s">
        <v>2775</v>
      </c>
      <c r="D1496" s="25" t="s">
        <v>2725</v>
      </c>
      <c r="E1496" s="19" t="s">
        <v>2743</v>
      </c>
      <c r="F1496" s="19" t="s">
        <v>2776</v>
      </c>
      <c r="G1496" s="2" t="str">
        <f t="shared" si="131"/>
        <v>http://jsmh.umin.jp/journal/24-2/24-2.pdf</v>
      </c>
      <c r="H1496" s="43" t="str">
        <f t="shared" si="132"/>
        <v>http://dl.ndl.go.jp/info:ndljp/pid/3359280</v>
      </c>
    </row>
    <row r="1497" spans="1:8" ht="30" customHeight="1" x14ac:dyDescent="0.15">
      <c r="A1497" s="16" t="s">
        <v>91</v>
      </c>
      <c r="B1497" s="17" t="s">
        <v>2777</v>
      </c>
      <c r="C1497" s="17" t="s">
        <v>1299</v>
      </c>
      <c r="D1497" s="25" t="s">
        <v>2725</v>
      </c>
      <c r="E1497" s="19" t="s">
        <v>2743</v>
      </c>
      <c r="F1497" s="19" t="s">
        <v>2554</v>
      </c>
      <c r="G1497" s="2" t="str">
        <f t="shared" si="131"/>
        <v>http://jsmh.umin.jp/journal/24-2/24-2.pdf</v>
      </c>
      <c r="H1497" s="43" t="str">
        <f t="shared" si="132"/>
        <v>http://dl.ndl.go.jp/info:ndljp/pid/3359280</v>
      </c>
    </row>
    <row r="1498" spans="1:8" ht="30" customHeight="1" x14ac:dyDescent="0.15">
      <c r="A1498" s="16" t="s">
        <v>91</v>
      </c>
      <c r="B1498" s="17" t="s">
        <v>2778</v>
      </c>
      <c r="C1498" s="17" t="s">
        <v>1659</v>
      </c>
      <c r="D1498" s="25" t="s">
        <v>2725</v>
      </c>
      <c r="E1498" s="19" t="s">
        <v>2743</v>
      </c>
      <c r="F1498" s="19" t="s">
        <v>1703</v>
      </c>
      <c r="G1498" s="2" t="str">
        <f t="shared" si="131"/>
        <v>http://jsmh.umin.jp/journal/24-2/24-2.pdf</v>
      </c>
      <c r="H1498" s="43" t="str">
        <f t="shared" si="132"/>
        <v>http://dl.ndl.go.jp/info:ndljp/pid/3359280</v>
      </c>
    </row>
    <row r="1499" spans="1:8" ht="30" customHeight="1" x14ac:dyDescent="0.15">
      <c r="A1499" s="16" t="s">
        <v>91</v>
      </c>
      <c r="B1499" s="17" t="s">
        <v>2779</v>
      </c>
      <c r="C1499" s="17" t="s">
        <v>2325</v>
      </c>
      <c r="D1499" s="25" t="s">
        <v>2725</v>
      </c>
      <c r="E1499" s="19" t="s">
        <v>2743</v>
      </c>
      <c r="F1499" s="19" t="s">
        <v>2561</v>
      </c>
      <c r="G1499" s="2" t="str">
        <f t="shared" si="131"/>
        <v>http://jsmh.umin.jp/journal/24-2/24-2.pdf</v>
      </c>
      <c r="H1499" s="43" t="str">
        <f t="shared" si="132"/>
        <v>http://dl.ndl.go.jp/info:ndljp/pid/3359280</v>
      </c>
    </row>
    <row r="1500" spans="1:8" ht="30" customHeight="1" x14ac:dyDescent="0.15">
      <c r="A1500" s="16" t="s">
        <v>91</v>
      </c>
      <c r="B1500" s="17" t="s">
        <v>2780</v>
      </c>
      <c r="C1500" s="17" t="s">
        <v>2781</v>
      </c>
      <c r="D1500" s="25" t="s">
        <v>2725</v>
      </c>
      <c r="E1500" s="19" t="s">
        <v>2743</v>
      </c>
      <c r="F1500" s="19" t="s">
        <v>2782</v>
      </c>
      <c r="G1500" s="2" t="str">
        <f t="shared" si="131"/>
        <v>http://jsmh.umin.jp/journal/24-2/24-2.pdf</v>
      </c>
      <c r="H1500" s="43" t="str">
        <f t="shared" si="132"/>
        <v>http://dl.ndl.go.jp/info:ndljp/pid/3359280</v>
      </c>
    </row>
    <row r="1501" spans="1:8" ht="30" customHeight="1" x14ac:dyDescent="0.15">
      <c r="A1501" s="16" t="s">
        <v>91</v>
      </c>
      <c r="B1501" s="17" t="s">
        <v>2783</v>
      </c>
      <c r="C1501" s="17" t="s">
        <v>1972</v>
      </c>
      <c r="D1501" s="25" t="s">
        <v>2725</v>
      </c>
      <c r="E1501" s="19" t="s">
        <v>2743</v>
      </c>
      <c r="F1501" s="19" t="s">
        <v>2784</v>
      </c>
      <c r="G1501" s="2" t="str">
        <f t="shared" si="131"/>
        <v>http://jsmh.umin.jp/journal/24-2/24-2.pdf</v>
      </c>
      <c r="H1501" s="43" t="str">
        <f t="shared" si="132"/>
        <v>http://dl.ndl.go.jp/info:ndljp/pid/3359280</v>
      </c>
    </row>
    <row r="1502" spans="1:8" ht="30" customHeight="1" x14ac:dyDescent="0.15">
      <c r="A1502" s="16" t="s">
        <v>91</v>
      </c>
      <c r="B1502" s="17" t="s">
        <v>2785</v>
      </c>
      <c r="C1502" s="17" t="s">
        <v>2786</v>
      </c>
      <c r="D1502" s="25" t="s">
        <v>2725</v>
      </c>
      <c r="E1502" s="19" t="s">
        <v>2743</v>
      </c>
      <c r="F1502" s="19" t="s">
        <v>2787</v>
      </c>
      <c r="G1502" s="2" t="str">
        <f t="shared" si="131"/>
        <v>http://jsmh.umin.jp/journal/24-2/24-2.pdf</v>
      </c>
      <c r="H1502" s="43" t="str">
        <f t="shared" si="132"/>
        <v>http://dl.ndl.go.jp/info:ndljp/pid/3359280</v>
      </c>
    </row>
    <row r="1503" spans="1:8" ht="30" customHeight="1" x14ac:dyDescent="0.15">
      <c r="A1503" s="16" t="s">
        <v>91</v>
      </c>
      <c r="B1503" s="17" t="s">
        <v>2788</v>
      </c>
      <c r="C1503" s="17" t="s">
        <v>1912</v>
      </c>
      <c r="D1503" s="25" t="s">
        <v>2725</v>
      </c>
      <c r="E1503" s="19" t="s">
        <v>2743</v>
      </c>
      <c r="F1503" s="19" t="s">
        <v>2566</v>
      </c>
      <c r="G1503" s="2" t="str">
        <f t="shared" si="131"/>
        <v>http://jsmh.umin.jp/journal/24-2/24-2.pdf</v>
      </c>
      <c r="H1503" s="43" t="str">
        <f t="shared" si="132"/>
        <v>http://dl.ndl.go.jp/info:ndljp/pid/3359280</v>
      </c>
    </row>
    <row r="1504" spans="1:8" ht="30" customHeight="1" x14ac:dyDescent="0.15">
      <c r="A1504" s="16" t="s">
        <v>91</v>
      </c>
      <c r="B1504" s="17" t="s">
        <v>2789</v>
      </c>
      <c r="C1504" s="17" t="s">
        <v>963</v>
      </c>
      <c r="D1504" s="25" t="s">
        <v>2725</v>
      </c>
      <c r="E1504" s="19" t="s">
        <v>2743</v>
      </c>
      <c r="F1504" s="19" t="s">
        <v>1713</v>
      </c>
      <c r="G1504" s="2" t="str">
        <f t="shared" si="131"/>
        <v>http://jsmh.umin.jp/journal/24-2/24-2.pdf</v>
      </c>
      <c r="H1504" s="43" t="str">
        <f t="shared" si="132"/>
        <v>http://dl.ndl.go.jp/info:ndljp/pid/3359280</v>
      </c>
    </row>
    <row r="1505" spans="1:8" ht="30" customHeight="1" x14ac:dyDescent="0.15">
      <c r="A1505" s="16" t="s">
        <v>91</v>
      </c>
      <c r="B1505" s="17" t="s">
        <v>2790</v>
      </c>
      <c r="C1505" s="17" t="s">
        <v>2485</v>
      </c>
      <c r="D1505" s="25" t="s">
        <v>2725</v>
      </c>
      <c r="E1505" s="19" t="s">
        <v>2743</v>
      </c>
      <c r="F1505" s="19" t="s">
        <v>2791</v>
      </c>
      <c r="G1505" s="2" t="str">
        <f t="shared" si="131"/>
        <v>http://jsmh.umin.jp/journal/24-2/24-2.pdf</v>
      </c>
      <c r="H1505" s="43" t="str">
        <f t="shared" si="132"/>
        <v>http://dl.ndl.go.jp/info:ndljp/pid/3359280</v>
      </c>
    </row>
    <row r="1506" spans="1:8" ht="30" customHeight="1" x14ac:dyDescent="0.15">
      <c r="A1506" s="16" t="s">
        <v>91</v>
      </c>
      <c r="B1506" s="17" t="s">
        <v>2792</v>
      </c>
      <c r="C1506" s="17" t="s">
        <v>76</v>
      </c>
      <c r="D1506" s="25" t="s">
        <v>2725</v>
      </c>
      <c r="E1506" s="19" t="s">
        <v>2743</v>
      </c>
      <c r="F1506" s="19" t="s">
        <v>1715</v>
      </c>
      <c r="G1506" s="2" t="str">
        <f t="shared" si="131"/>
        <v>http://jsmh.umin.jp/journal/24-2/24-2.pdf</v>
      </c>
      <c r="H1506" s="43" t="str">
        <f t="shared" si="132"/>
        <v>http://dl.ndl.go.jp/info:ndljp/pid/3359280</v>
      </c>
    </row>
    <row r="1507" spans="1:8" ht="30" customHeight="1" x14ac:dyDescent="0.15">
      <c r="A1507" s="16" t="s">
        <v>91</v>
      </c>
      <c r="B1507" s="17" t="s">
        <v>2793</v>
      </c>
      <c r="C1507" s="17" t="s">
        <v>1338</v>
      </c>
      <c r="D1507" s="25" t="s">
        <v>2725</v>
      </c>
      <c r="E1507" s="19" t="s">
        <v>2743</v>
      </c>
      <c r="F1507" s="19" t="s">
        <v>2571</v>
      </c>
      <c r="G1507" s="2" t="str">
        <f t="shared" si="131"/>
        <v>http://jsmh.umin.jp/journal/24-2/24-2.pdf</v>
      </c>
      <c r="H1507" s="43" t="str">
        <f t="shared" si="132"/>
        <v>http://dl.ndl.go.jp/info:ndljp/pid/3359280</v>
      </c>
    </row>
    <row r="1508" spans="1:8" ht="30" customHeight="1" x14ac:dyDescent="0.15">
      <c r="A1508" s="16" t="s">
        <v>91</v>
      </c>
      <c r="B1508" s="17" t="s">
        <v>2794</v>
      </c>
      <c r="C1508" s="17" t="s">
        <v>2553</v>
      </c>
      <c r="D1508" s="25" t="s">
        <v>2725</v>
      </c>
      <c r="E1508" s="19" t="s">
        <v>2743</v>
      </c>
      <c r="F1508" s="19" t="s">
        <v>2795</v>
      </c>
      <c r="G1508" s="2" t="str">
        <f t="shared" si="131"/>
        <v>http://jsmh.umin.jp/journal/24-2/24-2.pdf</v>
      </c>
      <c r="H1508" s="43" t="str">
        <f t="shared" si="132"/>
        <v>http://dl.ndl.go.jp/info:ndljp/pid/3359280</v>
      </c>
    </row>
    <row r="1509" spans="1:8" ht="30" customHeight="1" x14ac:dyDescent="0.15">
      <c r="A1509" s="16" t="s">
        <v>91</v>
      </c>
      <c r="B1509" s="17" t="s">
        <v>2796</v>
      </c>
      <c r="C1509" s="17" t="s">
        <v>2222</v>
      </c>
      <c r="D1509" s="25" t="s">
        <v>2725</v>
      </c>
      <c r="E1509" s="19" t="s">
        <v>2743</v>
      </c>
      <c r="F1509" s="19" t="s">
        <v>2797</v>
      </c>
      <c r="G1509" s="2" t="str">
        <f t="shared" si="131"/>
        <v>http://jsmh.umin.jp/journal/24-2/24-2.pdf</v>
      </c>
      <c r="H1509" s="43" t="str">
        <f t="shared" si="132"/>
        <v>http://dl.ndl.go.jp/info:ndljp/pid/3359280</v>
      </c>
    </row>
    <row r="1510" spans="1:8" ht="30" customHeight="1" x14ac:dyDescent="0.15">
      <c r="A1510" s="16" t="s">
        <v>91</v>
      </c>
      <c r="B1510" s="17" t="s">
        <v>2798</v>
      </c>
      <c r="C1510" s="17" t="s">
        <v>2592</v>
      </c>
      <c r="D1510" s="25" t="s">
        <v>2725</v>
      </c>
      <c r="E1510" s="19" t="s">
        <v>2743</v>
      </c>
      <c r="F1510" s="19" t="s">
        <v>2799</v>
      </c>
      <c r="G1510" s="2" t="str">
        <f t="shared" si="131"/>
        <v>http://jsmh.umin.jp/journal/24-2/24-2.pdf</v>
      </c>
      <c r="H1510" s="43" t="str">
        <f t="shared" si="132"/>
        <v>http://dl.ndl.go.jp/info:ndljp/pid/3359280</v>
      </c>
    </row>
    <row r="1511" spans="1:8" ht="30" customHeight="1" x14ac:dyDescent="0.15">
      <c r="A1511" s="16" t="s">
        <v>91</v>
      </c>
      <c r="B1511" s="17" t="s">
        <v>2800</v>
      </c>
      <c r="C1511" s="17" t="s">
        <v>854</v>
      </c>
      <c r="D1511" s="25" t="s">
        <v>2725</v>
      </c>
      <c r="E1511" s="19" t="s">
        <v>2743</v>
      </c>
      <c r="F1511" s="19" t="s">
        <v>993</v>
      </c>
      <c r="G1511" s="2" t="str">
        <f t="shared" si="131"/>
        <v>http://jsmh.umin.jp/journal/24-2/24-2.pdf</v>
      </c>
      <c r="H1511" s="43" t="str">
        <f t="shared" si="132"/>
        <v>http://dl.ndl.go.jp/info:ndljp/pid/3359280</v>
      </c>
    </row>
    <row r="1512" spans="1:8" ht="30" customHeight="1" x14ac:dyDescent="0.15">
      <c r="A1512" s="16" t="s">
        <v>91</v>
      </c>
      <c r="B1512" s="17" t="s">
        <v>2801</v>
      </c>
      <c r="C1512" s="17" t="s">
        <v>2667</v>
      </c>
      <c r="D1512" s="25" t="s">
        <v>2725</v>
      </c>
      <c r="E1512" s="19" t="s">
        <v>2743</v>
      </c>
      <c r="F1512" s="19" t="s">
        <v>2438</v>
      </c>
      <c r="G1512" s="2" t="str">
        <f t="shared" si="131"/>
        <v>http://jsmh.umin.jp/journal/24-2/24-2.pdf</v>
      </c>
      <c r="H1512" s="43" t="str">
        <f t="shared" si="132"/>
        <v>http://dl.ndl.go.jp/info:ndljp/pid/3359280</v>
      </c>
    </row>
    <row r="1513" spans="1:8" ht="30" customHeight="1" x14ac:dyDescent="0.15">
      <c r="A1513" s="16" t="s">
        <v>91</v>
      </c>
      <c r="B1513" s="17" t="s">
        <v>2802</v>
      </c>
      <c r="C1513" s="17" t="s">
        <v>830</v>
      </c>
      <c r="D1513" s="25" t="s">
        <v>2725</v>
      </c>
      <c r="E1513" s="19" t="s">
        <v>2743</v>
      </c>
      <c r="F1513" s="19" t="s">
        <v>2803</v>
      </c>
      <c r="G1513" s="2" t="str">
        <f t="shared" si="131"/>
        <v>http://jsmh.umin.jp/journal/24-2/24-2.pdf</v>
      </c>
      <c r="H1513" s="43" t="str">
        <f t="shared" si="132"/>
        <v>http://dl.ndl.go.jp/info:ndljp/pid/3359280</v>
      </c>
    </row>
    <row r="1514" spans="1:8" ht="30" customHeight="1" x14ac:dyDescent="0.15">
      <c r="A1514" s="16" t="s">
        <v>91</v>
      </c>
      <c r="B1514" s="17" t="s">
        <v>2804</v>
      </c>
      <c r="C1514" s="17" t="s">
        <v>790</v>
      </c>
      <c r="D1514" s="25" t="s">
        <v>2725</v>
      </c>
      <c r="E1514" s="19" t="s">
        <v>2743</v>
      </c>
      <c r="F1514" s="19" t="s">
        <v>1743</v>
      </c>
      <c r="G1514" s="2" t="str">
        <f t="shared" si="131"/>
        <v>http://jsmh.umin.jp/journal/24-2/24-2.pdf</v>
      </c>
      <c r="H1514" s="43" t="str">
        <f t="shared" si="132"/>
        <v>http://dl.ndl.go.jp/info:ndljp/pid/3359280</v>
      </c>
    </row>
    <row r="1515" spans="1:8" ht="30" customHeight="1" x14ac:dyDescent="0.15">
      <c r="A1515" s="16" t="s">
        <v>91</v>
      </c>
      <c r="B1515" s="17" t="s">
        <v>2805</v>
      </c>
      <c r="C1515" s="17" t="s">
        <v>790</v>
      </c>
      <c r="D1515" s="25" t="s">
        <v>2725</v>
      </c>
      <c r="E1515" s="19" t="s">
        <v>2743</v>
      </c>
      <c r="F1515" s="19" t="s">
        <v>2806</v>
      </c>
      <c r="G1515" s="2" t="str">
        <f t="shared" si="131"/>
        <v>http://jsmh.umin.jp/journal/24-2/24-2.pdf</v>
      </c>
      <c r="H1515" s="43" t="str">
        <f t="shared" si="132"/>
        <v>http://dl.ndl.go.jp/info:ndljp/pid/3359280</v>
      </c>
    </row>
    <row r="1516" spans="1:8" ht="30" customHeight="1" x14ac:dyDescent="0.15">
      <c r="A1516" s="16" t="s">
        <v>91</v>
      </c>
      <c r="B1516" s="17" t="s">
        <v>2807</v>
      </c>
      <c r="C1516" s="17" t="s">
        <v>790</v>
      </c>
      <c r="D1516" s="25" t="s">
        <v>2725</v>
      </c>
      <c r="E1516" s="19" t="s">
        <v>2743</v>
      </c>
      <c r="F1516" s="19" t="s">
        <v>2808</v>
      </c>
      <c r="G1516" s="2" t="str">
        <f t="shared" si="131"/>
        <v>http://jsmh.umin.jp/journal/24-2/24-2.pdf</v>
      </c>
      <c r="H1516" s="43" t="str">
        <f t="shared" si="132"/>
        <v>http://dl.ndl.go.jp/info:ndljp/pid/3359280</v>
      </c>
    </row>
    <row r="1517" spans="1:8" ht="30" customHeight="1" x14ac:dyDescent="0.15">
      <c r="A1517" s="16" t="s">
        <v>91</v>
      </c>
      <c r="B1517" s="17" t="s">
        <v>2809</v>
      </c>
      <c r="C1517" s="17" t="s">
        <v>1070</v>
      </c>
      <c r="D1517" s="25" t="s">
        <v>2725</v>
      </c>
      <c r="E1517" s="19" t="s">
        <v>2743</v>
      </c>
      <c r="F1517" s="19" t="s">
        <v>2810</v>
      </c>
      <c r="G1517" s="2" t="str">
        <f t="shared" si="131"/>
        <v>http://jsmh.umin.jp/journal/24-2/24-2.pdf</v>
      </c>
      <c r="H1517" s="43" t="str">
        <f t="shared" si="132"/>
        <v>http://dl.ndl.go.jp/info:ndljp/pid/3359280</v>
      </c>
    </row>
    <row r="1518" spans="1:8" ht="30" customHeight="1" x14ac:dyDescent="0.15">
      <c r="A1518" s="16" t="s">
        <v>91</v>
      </c>
      <c r="B1518" s="17" t="s">
        <v>2811</v>
      </c>
      <c r="C1518" s="17" t="s">
        <v>1136</v>
      </c>
      <c r="D1518" s="25" t="s">
        <v>2725</v>
      </c>
      <c r="E1518" s="19" t="s">
        <v>2743</v>
      </c>
      <c r="F1518" s="19" t="s">
        <v>5</v>
      </c>
      <c r="G1518" s="2" t="str">
        <f t="shared" si="131"/>
        <v>http://jsmh.umin.jp/journal/24-2/24-2.pdf</v>
      </c>
      <c r="H1518" s="43" t="str">
        <f t="shared" si="132"/>
        <v>http://dl.ndl.go.jp/info:ndljp/pid/3359280</v>
      </c>
    </row>
    <row r="1519" spans="1:8" ht="30" customHeight="1" x14ac:dyDescent="0.15">
      <c r="A1519" s="16" t="s">
        <v>17</v>
      </c>
      <c r="B1519" s="17" t="s">
        <v>2812</v>
      </c>
      <c r="C1519" s="17" t="s">
        <v>76</v>
      </c>
      <c r="D1519" s="25" t="s">
        <v>2725</v>
      </c>
      <c r="E1519" s="19" t="s">
        <v>2813</v>
      </c>
      <c r="F1519" s="19" t="s">
        <v>1248</v>
      </c>
      <c r="G1519" s="2" t="str">
        <f t="shared" ref="G1519:G1540" si="133">HYPERLINK("http://jsmh.umin.jp/journal/24-3/24-3.pdf")</f>
        <v>http://jsmh.umin.jp/journal/24-3/24-3.pdf</v>
      </c>
      <c r="H1519" s="42" t="str">
        <f t="shared" ref="H1519:H1540" si="134">HYPERLINK("http://dl.ndl.go.jp/info:ndljp/pid/3359281")</f>
        <v>http://dl.ndl.go.jp/info:ndljp/pid/3359281</v>
      </c>
    </row>
    <row r="1520" spans="1:8" ht="30" customHeight="1" x14ac:dyDescent="0.15">
      <c r="A1520" s="16" t="s">
        <v>17</v>
      </c>
      <c r="B1520" s="17" t="s">
        <v>2771</v>
      </c>
      <c r="C1520" s="17" t="s">
        <v>1699</v>
      </c>
      <c r="D1520" s="25" t="s">
        <v>2725</v>
      </c>
      <c r="E1520" s="19" t="s">
        <v>2813</v>
      </c>
      <c r="F1520" s="19" t="s">
        <v>2814</v>
      </c>
      <c r="G1520" s="2" t="str">
        <f t="shared" si="133"/>
        <v>http://jsmh.umin.jp/journal/24-3/24-3.pdf</v>
      </c>
      <c r="H1520" s="43" t="str">
        <f t="shared" si="134"/>
        <v>http://dl.ndl.go.jp/info:ndljp/pid/3359281</v>
      </c>
    </row>
    <row r="1521" spans="1:8" ht="30" customHeight="1" x14ac:dyDescent="0.15">
      <c r="A1521" s="16" t="s">
        <v>17</v>
      </c>
      <c r="B1521" s="17" t="s">
        <v>2815</v>
      </c>
      <c r="C1521" s="17" t="s">
        <v>507</v>
      </c>
      <c r="D1521" s="25" t="s">
        <v>2725</v>
      </c>
      <c r="E1521" s="19" t="s">
        <v>2813</v>
      </c>
      <c r="F1521" s="19" t="s">
        <v>2816</v>
      </c>
      <c r="G1521" s="2" t="str">
        <f t="shared" si="133"/>
        <v>http://jsmh.umin.jp/journal/24-3/24-3.pdf</v>
      </c>
      <c r="H1521" s="43" t="str">
        <f t="shared" si="134"/>
        <v>http://dl.ndl.go.jp/info:ndljp/pid/3359281</v>
      </c>
    </row>
    <row r="1522" spans="1:8" ht="30" customHeight="1" x14ac:dyDescent="0.15">
      <c r="A1522" s="16" t="s">
        <v>17</v>
      </c>
      <c r="B1522" s="17" t="s">
        <v>2817</v>
      </c>
      <c r="C1522" s="17" t="s">
        <v>1803</v>
      </c>
      <c r="D1522" s="25" t="s">
        <v>2725</v>
      </c>
      <c r="E1522" s="19" t="s">
        <v>2813</v>
      </c>
      <c r="F1522" s="19" t="s">
        <v>2818</v>
      </c>
      <c r="G1522" s="2" t="str">
        <f t="shared" si="133"/>
        <v>http://jsmh.umin.jp/journal/24-3/24-3.pdf</v>
      </c>
      <c r="H1522" s="43" t="str">
        <f t="shared" si="134"/>
        <v>http://dl.ndl.go.jp/info:ndljp/pid/3359281</v>
      </c>
    </row>
    <row r="1523" spans="1:8" ht="30" customHeight="1" x14ac:dyDescent="0.15">
      <c r="A1523" s="16" t="s">
        <v>17</v>
      </c>
      <c r="B1523" s="17" t="s">
        <v>2805</v>
      </c>
      <c r="C1523" s="17" t="s">
        <v>790</v>
      </c>
      <c r="D1523" s="25" t="s">
        <v>2725</v>
      </c>
      <c r="E1523" s="19" t="s">
        <v>2813</v>
      </c>
      <c r="F1523" s="19" t="s">
        <v>2819</v>
      </c>
      <c r="G1523" s="2" t="str">
        <f t="shared" si="133"/>
        <v>http://jsmh.umin.jp/journal/24-3/24-3.pdf</v>
      </c>
      <c r="H1523" s="43" t="str">
        <f t="shared" si="134"/>
        <v>http://dl.ndl.go.jp/info:ndljp/pid/3359281</v>
      </c>
    </row>
    <row r="1524" spans="1:8" ht="30" customHeight="1" x14ac:dyDescent="0.15">
      <c r="A1524" s="16" t="s">
        <v>17</v>
      </c>
      <c r="B1524" s="17" t="s">
        <v>2820</v>
      </c>
      <c r="C1524" s="17" t="s">
        <v>198</v>
      </c>
      <c r="D1524" s="25" t="s">
        <v>2725</v>
      </c>
      <c r="E1524" s="19" t="s">
        <v>2813</v>
      </c>
      <c r="F1524" s="19" t="s">
        <v>2821</v>
      </c>
      <c r="G1524" s="2" t="str">
        <f t="shared" si="133"/>
        <v>http://jsmh.umin.jp/journal/24-3/24-3.pdf</v>
      </c>
      <c r="H1524" s="43" t="str">
        <f t="shared" si="134"/>
        <v>http://dl.ndl.go.jp/info:ndljp/pid/3359281</v>
      </c>
    </row>
    <row r="1525" spans="1:8" ht="30" customHeight="1" x14ac:dyDescent="0.15">
      <c r="A1525" s="16" t="s">
        <v>17</v>
      </c>
      <c r="B1525" s="17" t="s">
        <v>10110</v>
      </c>
      <c r="C1525" s="17" t="s">
        <v>1659</v>
      </c>
      <c r="D1525" s="25" t="s">
        <v>2725</v>
      </c>
      <c r="E1525" s="19" t="s">
        <v>2813</v>
      </c>
      <c r="F1525" s="19" t="s">
        <v>2822</v>
      </c>
      <c r="G1525" s="2" t="str">
        <f t="shared" si="133"/>
        <v>http://jsmh.umin.jp/journal/24-3/24-3.pdf</v>
      </c>
      <c r="H1525" s="43" t="str">
        <f t="shared" si="134"/>
        <v>http://dl.ndl.go.jp/info:ndljp/pid/3359281</v>
      </c>
    </row>
    <row r="1526" spans="1:8" ht="30" customHeight="1" x14ac:dyDescent="0.15">
      <c r="A1526" s="16" t="s">
        <v>159</v>
      </c>
      <c r="B1526" s="17" t="s">
        <v>2823</v>
      </c>
      <c r="C1526" s="17" t="s">
        <v>1097</v>
      </c>
      <c r="D1526" s="25" t="s">
        <v>2725</v>
      </c>
      <c r="E1526" s="19" t="s">
        <v>2813</v>
      </c>
      <c r="F1526" s="19" t="s">
        <v>1897</v>
      </c>
      <c r="G1526" s="2" t="str">
        <f t="shared" si="133"/>
        <v>http://jsmh.umin.jp/journal/24-3/24-3.pdf</v>
      </c>
      <c r="H1526" s="43" t="str">
        <f t="shared" si="134"/>
        <v>http://dl.ndl.go.jp/info:ndljp/pid/3359281</v>
      </c>
    </row>
    <row r="1527" spans="1:8" ht="30" customHeight="1" x14ac:dyDescent="0.15">
      <c r="A1527" s="16" t="s">
        <v>704</v>
      </c>
      <c r="B1527" s="17" t="s">
        <v>2824</v>
      </c>
      <c r="C1527" s="17" t="s">
        <v>1070</v>
      </c>
      <c r="D1527" s="25" t="s">
        <v>2725</v>
      </c>
      <c r="E1527" s="19" t="s">
        <v>2813</v>
      </c>
      <c r="F1527" s="19" t="s">
        <v>1041</v>
      </c>
      <c r="G1527" s="2" t="str">
        <f t="shared" si="133"/>
        <v>http://jsmh.umin.jp/journal/24-3/24-3.pdf</v>
      </c>
      <c r="H1527" s="43" t="str">
        <f t="shared" si="134"/>
        <v>http://dl.ndl.go.jp/info:ndljp/pid/3359281</v>
      </c>
    </row>
    <row r="1528" spans="1:8" ht="30" customHeight="1" x14ac:dyDescent="0.15">
      <c r="A1528" s="16" t="s">
        <v>704</v>
      </c>
      <c r="B1528" s="17" t="s">
        <v>10111</v>
      </c>
      <c r="C1528" s="17" t="s">
        <v>2825</v>
      </c>
      <c r="D1528" s="25" t="s">
        <v>2725</v>
      </c>
      <c r="E1528" s="19" t="s">
        <v>2813</v>
      </c>
      <c r="F1528" s="19" t="s">
        <v>2647</v>
      </c>
      <c r="G1528" s="2" t="str">
        <f t="shared" si="133"/>
        <v>http://jsmh.umin.jp/journal/24-3/24-3.pdf</v>
      </c>
      <c r="H1528" s="43" t="str">
        <f t="shared" si="134"/>
        <v>http://dl.ndl.go.jp/info:ndljp/pid/3359281</v>
      </c>
    </row>
    <row r="1529" spans="1:8" ht="30" customHeight="1" x14ac:dyDescent="0.15">
      <c r="A1529" s="16" t="s">
        <v>704</v>
      </c>
      <c r="B1529" s="17" t="s">
        <v>2826</v>
      </c>
      <c r="C1529" s="17" t="s">
        <v>2624</v>
      </c>
      <c r="D1529" s="25" t="s">
        <v>2725</v>
      </c>
      <c r="E1529" s="19" t="s">
        <v>2813</v>
      </c>
      <c r="F1529" s="19" t="s">
        <v>2647</v>
      </c>
      <c r="G1529" s="2" t="str">
        <f t="shared" si="133"/>
        <v>http://jsmh.umin.jp/journal/24-3/24-3.pdf</v>
      </c>
      <c r="H1529" s="43" t="str">
        <f t="shared" si="134"/>
        <v>http://dl.ndl.go.jp/info:ndljp/pid/3359281</v>
      </c>
    </row>
    <row r="1530" spans="1:8" ht="30" customHeight="1" x14ac:dyDescent="0.15">
      <c r="A1530" s="16" t="s">
        <v>704</v>
      </c>
      <c r="B1530" s="17" t="s">
        <v>2827</v>
      </c>
      <c r="C1530" s="17" t="s">
        <v>2828</v>
      </c>
      <c r="D1530" s="25" t="s">
        <v>2725</v>
      </c>
      <c r="E1530" s="19" t="s">
        <v>2813</v>
      </c>
      <c r="F1530" s="19" t="s">
        <v>1905</v>
      </c>
      <c r="G1530" s="2" t="str">
        <f t="shared" si="133"/>
        <v>http://jsmh.umin.jp/journal/24-3/24-3.pdf</v>
      </c>
      <c r="H1530" s="43" t="str">
        <f t="shared" si="134"/>
        <v>http://dl.ndl.go.jp/info:ndljp/pid/3359281</v>
      </c>
    </row>
    <row r="1531" spans="1:8" ht="30" customHeight="1" x14ac:dyDescent="0.15">
      <c r="A1531" s="16" t="s">
        <v>704</v>
      </c>
      <c r="B1531" s="17" t="s">
        <v>2829</v>
      </c>
      <c r="C1531" s="17" t="s">
        <v>1097</v>
      </c>
      <c r="D1531" s="25" t="s">
        <v>2725</v>
      </c>
      <c r="E1531" s="19" t="s">
        <v>2813</v>
      </c>
      <c r="F1531" s="19" t="s">
        <v>1905</v>
      </c>
      <c r="G1531" s="2" t="str">
        <f t="shared" si="133"/>
        <v>http://jsmh.umin.jp/journal/24-3/24-3.pdf</v>
      </c>
      <c r="H1531" s="43" t="str">
        <f t="shared" si="134"/>
        <v>http://dl.ndl.go.jp/info:ndljp/pid/3359281</v>
      </c>
    </row>
    <row r="1532" spans="1:8" ht="30" customHeight="1" x14ac:dyDescent="0.15">
      <c r="A1532" s="16" t="s">
        <v>704</v>
      </c>
      <c r="B1532" s="17" t="s">
        <v>2830</v>
      </c>
      <c r="C1532" s="17" t="s">
        <v>2470</v>
      </c>
      <c r="D1532" s="25" t="s">
        <v>2725</v>
      </c>
      <c r="E1532" s="19" t="s">
        <v>2813</v>
      </c>
      <c r="F1532" s="19" t="s">
        <v>1905</v>
      </c>
      <c r="G1532" s="2" t="str">
        <f t="shared" si="133"/>
        <v>http://jsmh.umin.jp/journal/24-3/24-3.pdf</v>
      </c>
      <c r="H1532" s="43" t="str">
        <f t="shared" si="134"/>
        <v>http://dl.ndl.go.jp/info:ndljp/pid/3359281</v>
      </c>
    </row>
    <row r="1533" spans="1:8" ht="30" customHeight="1" x14ac:dyDescent="0.15">
      <c r="A1533" s="16" t="s">
        <v>704</v>
      </c>
      <c r="B1533" s="17" t="s">
        <v>2831</v>
      </c>
      <c r="C1533" s="17" t="s">
        <v>2832</v>
      </c>
      <c r="D1533" s="25" t="s">
        <v>2725</v>
      </c>
      <c r="E1533" s="19" t="s">
        <v>2813</v>
      </c>
      <c r="F1533" s="19" t="s">
        <v>1905</v>
      </c>
      <c r="G1533" s="2" t="str">
        <f t="shared" si="133"/>
        <v>http://jsmh.umin.jp/journal/24-3/24-3.pdf</v>
      </c>
      <c r="H1533" s="43" t="str">
        <f t="shared" si="134"/>
        <v>http://dl.ndl.go.jp/info:ndljp/pid/3359281</v>
      </c>
    </row>
    <row r="1534" spans="1:8" ht="30" customHeight="1" x14ac:dyDescent="0.15">
      <c r="A1534" s="16" t="s">
        <v>704</v>
      </c>
      <c r="B1534" s="17" t="s">
        <v>2833</v>
      </c>
      <c r="C1534" s="17" t="s">
        <v>209</v>
      </c>
      <c r="D1534" s="25" t="s">
        <v>2725</v>
      </c>
      <c r="E1534" s="19" t="s">
        <v>2813</v>
      </c>
      <c r="F1534" s="19" t="s">
        <v>1905</v>
      </c>
      <c r="G1534" s="2" t="str">
        <f t="shared" si="133"/>
        <v>http://jsmh.umin.jp/journal/24-3/24-3.pdf</v>
      </c>
      <c r="H1534" s="43" t="str">
        <f t="shared" si="134"/>
        <v>http://dl.ndl.go.jp/info:ndljp/pid/3359281</v>
      </c>
    </row>
    <row r="1535" spans="1:8" ht="30" customHeight="1" x14ac:dyDescent="0.15">
      <c r="A1535" s="16" t="s">
        <v>704</v>
      </c>
      <c r="B1535" s="17" t="s">
        <v>10112</v>
      </c>
      <c r="C1535" s="17" t="s">
        <v>1136</v>
      </c>
      <c r="D1535" s="25" t="s">
        <v>2725</v>
      </c>
      <c r="E1535" s="19" t="s">
        <v>2813</v>
      </c>
      <c r="F1535" s="19" t="s">
        <v>1905</v>
      </c>
      <c r="G1535" s="2" t="str">
        <f t="shared" si="133"/>
        <v>http://jsmh.umin.jp/journal/24-3/24-3.pdf</v>
      </c>
      <c r="H1535" s="43" t="str">
        <f t="shared" si="134"/>
        <v>http://dl.ndl.go.jp/info:ndljp/pid/3359281</v>
      </c>
    </row>
    <row r="1536" spans="1:8" ht="30" customHeight="1" x14ac:dyDescent="0.15">
      <c r="A1536" s="16" t="s">
        <v>704</v>
      </c>
      <c r="B1536" s="17" t="s">
        <v>10113</v>
      </c>
      <c r="C1536" s="17" t="s">
        <v>2834</v>
      </c>
      <c r="D1536" s="25" t="s">
        <v>2725</v>
      </c>
      <c r="E1536" s="19" t="s">
        <v>2813</v>
      </c>
      <c r="F1536" s="19" t="s">
        <v>1905</v>
      </c>
      <c r="G1536" s="2" t="str">
        <f t="shared" si="133"/>
        <v>http://jsmh.umin.jp/journal/24-3/24-3.pdf</v>
      </c>
      <c r="H1536" s="43" t="str">
        <f t="shared" si="134"/>
        <v>http://dl.ndl.go.jp/info:ndljp/pid/3359281</v>
      </c>
    </row>
    <row r="1537" spans="1:8" ht="30" customHeight="1" x14ac:dyDescent="0.15">
      <c r="A1537" s="16" t="s">
        <v>81</v>
      </c>
      <c r="B1537" s="17" t="s">
        <v>2835</v>
      </c>
      <c r="C1537" s="17"/>
      <c r="D1537" s="25" t="s">
        <v>2725</v>
      </c>
      <c r="E1537" s="19" t="s">
        <v>2813</v>
      </c>
      <c r="F1537" s="19" t="s">
        <v>1907</v>
      </c>
      <c r="G1537" s="2" t="str">
        <f t="shared" si="133"/>
        <v>http://jsmh.umin.jp/journal/24-3/24-3.pdf</v>
      </c>
      <c r="H1537" s="43" t="str">
        <f t="shared" si="134"/>
        <v>http://dl.ndl.go.jp/info:ndljp/pid/3359281</v>
      </c>
    </row>
    <row r="1538" spans="1:8" ht="30" customHeight="1" x14ac:dyDescent="0.15">
      <c r="A1538" s="16" t="s">
        <v>1623</v>
      </c>
      <c r="B1538" s="17" t="s">
        <v>2836</v>
      </c>
      <c r="C1538" s="17" t="s">
        <v>2587</v>
      </c>
      <c r="D1538" s="25" t="s">
        <v>2725</v>
      </c>
      <c r="E1538" s="19" t="s">
        <v>2813</v>
      </c>
      <c r="F1538" s="19" t="s">
        <v>2837</v>
      </c>
      <c r="G1538" s="2" t="str">
        <f t="shared" si="133"/>
        <v>http://jsmh.umin.jp/journal/24-3/24-3.pdf</v>
      </c>
      <c r="H1538" s="43" t="str">
        <f t="shared" si="134"/>
        <v>http://dl.ndl.go.jp/info:ndljp/pid/3359281</v>
      </c>
    </row>
    <row r="1539" spans="1:8" ht="30" customHeight="1" x14ac:dyDescent="0.15">
      <c r="A1539" s="16" t="s">
        <v>81</v>
      </c>
      <c r="B1539" s="17" t="s">
        <v>2838</v>
      </c>
      <c r="C1539" s="17" t="s">
        <v>2233</v>
      </c>
      <c r="D1539" s="25" t="s">
        <v>2725</v>
      </c>
      <c r="E1539" s="19" t="s">
        <v>2813</v>
      </c>
      <c r="F1539" s="19" t="s">
        <v>2839</v>
      </c>
      <c r="G1539" s="2" t="str">
        <f t="shared" si="133"/>
        <v>http://jsmh.umin.jp/journal/24-3/24-3.pdf</v>
      </c>
      <c r="H1539" s="43" t="str">
        <f t="shared" si="134"/>
        <v>http://dl.ndl.go.jp/info:ndljp/pid/3359281</v>
      </c>
    </row>
    <row r="1540" spans="1:8" ht="30" customHeight="1" x14ac:dyDescent="0.15">
      <c r="A1540" s="16" t="s">
        <v>81</v>
      </c>
      <c r="B1540" s="17" t="s">
        <v>2840</v>
      </c>
      <c r="C1540" s="17" t="s">
        <v>1994</v>
      </c>
      <c r="D1540" s="25" t="s">
        <v>2725</v>
      </c>
      <c r="E1540" s="19" t="s">
        <v>2813</v>
      </c>
      <c r="F1540" s="19" t="s">
        <v>2841</v>
      </c>
      <c r="G1540" s="2" t="str">
        <f t="shared" si="133"/>
        <v>http://jsmh.umin.jp/journal/24-3/24-3.pdf</v>
      </c>
      <c r="H1540" s="43" t="str">
        <f t="shared" si="134"/>
        <v>http://dl.ndl.go.jp/info:ndljp/pid/3359281</v>
      </c>
    </row>
    <row r="1541" spans="1:8" ht="30" customHeight="1" x14ac:dyDescent="0.15">
      <c r="A1541" s="16" t="s">
        <v>17</v>
      </c>
      <c r="B1541" s="17" t="s">
        <v>2842</v>
      </c>
      <c r="C1541" s="17" t="s">
        <v>2732</v>
      </c>
      <c r="D1541" s="25" t="s">
        <v>2725</v>
      </c>
      <c r="E1541" s="19" t="s">
        <v>2843</v>
      </c>
      <c r="F1541" s="19" t="s">
        <v>2844</v>
      </c>
      <c r="G1541" s="2" t="str">
        <f t="shared" ref="G1541:G1558" si="135">HYPERLINK("http://jsmh.umin.jp/journal/24-4/24-4.pdf")</f>
        <v>http://jsmh.umin.jp/journal/24-4/24-4.pdf</v>
      </c>
      <c r="H1541" s="42" t="str">
        <f t="shared" ref="H1541:H1558" si="136">HYPERLINK("http://dl.ndl.go.jp/info:ndljp/pid/3359282")</f>
        <v>http://dl.ndl.go.jp/info:ndljp/pid/3359282</v>
      </c>
    </row>
    <row r="1542" spans="1:8" ht="30" customHeight="1" x14ac:dyDescent="0.15">
      <c r="A1542" s="16" t="s">
        <v>17</v>
      </c>
      <c r="B1542" s="17" t="s">
        <v>2845</v>
      </c>
      <c r="C1542" s="17" t="s">
        <v>2465</v>
      </c>
      <c r="D1542" s="25" t="s">
        <v>2725</v>
      </c>
      <c r="E1542" s="19" t="s">
        <v>2843</v>
      </c>
      <c r="F1542" s="19" t="s">
        <v>2846</v>
      </c>
      <c r="G1542" s="2" t="str">
        <f t="shared" si="135"/>
        <v>http://jsmh.umin.jp/journal/24-4/24-4.pdf</v>
      </c>
      <c r="H1542" s="43" t="str">
        <f t="shared" si="136"/>
        <v>http://dl.ndl.go.jp/info:ndljp/pid/3359282</v>
      </c>
    </row>
    <row r="1543" spans="1:8" ht="30" customHeight="1" x14ac:dyDescent="0.15">
      <c r="A1543" s="16" t="s">
        <v>17</v>
      </c>
      <c r="B1543" s="17" t="s">
        <v>2847</v>
      </c>
      <c r="C1543" s="17" t="s">
        <v>790</v>
      </c>
      <c r="D1543" s="25" t="s">
        <v>2725</v>
      </c>
      <c r="E1543" s="19" t="s">
        <v>2843</v>
      </c>
      <c r="F1543" s="19" t="s">
        <v>2848</v>
      </c>
      <c r="G1543" s="2" t="str">
        <f t="shared" si="135"/>
        <v>http://jsmh.umin.jp/journal/24-4/24-4.pdf</v>
      </c>
      <c r="H1543" s="43" t="str">
        <f t="shared" si="136"/>
        <v>http://dl.ndl.go.jp/info:ndljp/pid/3359282</v>
      </c>
    </row>
    <row r="1544" spans="1:8" ht="30" customHeight="1" x14ac:dyDescent="0.15">
      <c r="A1544" s="16" t="s">
        <v>17</v>
      </c>
      <c r="B1544" s="17" t="s">
        <v>2849</v>
      </c>
      <c r="C1544" s="17" t="s">
        <v>2850</v>
      </c>
      <c r="D1544" s="25" t="s">
        <v>2725</v>
      </c>
      <c r="E1544" s="19" t="s">
        <v>2843</v>
      </c>
      <c r="F1544" s="19" t="s">
        <v>2851</v>
      </c>
      <c r="G1544" s="2" t="str">
        <f t="shared" si="135"/>
        <v>http://jsmh.umin.jp/journal/24-4/24-4.pdf</v>
      </c>
      <c r="H1544" s="43" t="str">
        <f t="shared" si="136"/>
        <v>http://dl.ndl.go.jp/info:ndljp/pid/3359282</v>
      </c>
    </row>
    <row r="1545" spans="1:8" ht="30" customHeight="1" x14ac:dyDescent="0.15">
      <c r="A1545" s="16" t="s">
        <v>17</v>
      </c>
      <c r="B1545" s="17" t="s">
        <v>2852</v>
      </c>
      <c r="C1545" s="17" t="s">
        <v>507</v>
      </c>
      <c r="D1545" s="25" t="s">
        <v>2725</v>
      </c>
      <c r="E1545" s="19" t="s">
        <v>2843</v>
      </c>
      <c r="F1545" s="19" t="s">
        <v>2853</v>
      </c>
      <c r="G1545" s="2" t="str">
        <f t="shared" si="135"/>
        <v>http://jsmh.umin.jp/journal/24-4/24-4.pdf</v>
      </c>
      <c r="H1545" s="43" t="str">
        <f t="shared" si="136"/>
        <v>http://dl.ndl.go.jp/info:ndljp/pid/3359282</v>
      </c>
    </row>
    <row r="1546" spans="1:8" ht="30" customHeight="1" x14ac:dyDescent="0.15">
      <c r="A1546" s="16" t="s">
        <v>17</v>
      </c>
      <c r="B1546" s="17" t="s">
        <v>2854</v>
      </c>
      <c r="C1546" s="17" t="s">
        <v>198</v>
      </c>
      <c r="D1546" s="25" t="s">
        <v>2725</v>
      </c>
      <c r="E1546" s="19" t="s">
        <v>2843</v>
      </c>
      <c r="F1546" s="19" t="s">
        <v>2855</v>
      </c>
      <c r="G1546" s="2" t="str">
        <f t="shared" si="135"/>
        <v>http://jsmh.umin.jp/journal/24-4/24-4.pdf</v>
      </c>
      <c r="H1546" s="43" t="str">
        <f t="shared" si="136"/>
        <v>http://dl.ndl.go.jp/info:ndljp/pid/3359282</v>
      </c>
    </row>
    <row r="1547" spans="1:8" ht="30" customHeight="1" x14ac:dyDescent="0.15">
      <c r="A1547" s="16" t="s">
        <v>17</v>
      </c>
      <c r="B1547" s="17" t="s">
        <v>2856</v>
      </c>
      <c r="C1547" s="17" t="s">
        <v>1803</v>
      </c>
      <c r="D1547" s="25" t="s">
        <v>2725</v>
      </c>
      <c r="E1547" s="19" t="s">
        <v>2843</v>
      </c>
      <c r="F1547" s="19" t="s">
        <v>2857</v>
      </c>
      <c r="G1547" s="2" t="str">
        <f t="shared" si="135"/>
        <v>http://jsmh.umin.jp/journal/24-4/24-4.pdf</v>
      </c>
      <c r="H1547" s="43" t="str">
        <f t="shared" si="136"/>
        <v>http://dl.ndl.go.jp/info:ndljp/pid/3359282</v>
      </c>
    </row>
    <row r="1548" spans="1:8" ht="30" customHeight="1" x14ac:dyDescent="0.15">
      <c r="A1548" s="16" t="s">
        <v>1589</v>
      </c>
      <c r="B1548" s="17" t="s">
        <v>2858</v>
      </c>
      <c r="C1548" s="17" t="s">
        <v>1097</v>
      </c>
      <c r="D1548" s="25" t="s">
        <v>2725</v>
      </c>
      <c r="E1548" s="19" t="s">
        <v>2843</v>
      </c>
      <c r="F1548" s="19" t="s">
        <v>2859</v>
      </c>
      <c r="G1548" s="3" t="str">
        <f t="shared" si="135"/>
        <v>http://jsmh.umin.jp/journal/24-4/24-4.pdf</v>
      </c>
      <c r="H1548" s="43" t="str">
        <f t="shared" si="136"/>
        <v>http://dl.ndl.go.jp/info:ndljp/pid/3359282</v>
      </c>
    </row>
    <row r="1549" spans="1:8" ht="30" customHeight="1" x14ac:dyDescent="0.15">
      <c r="A1549" s="16" t="s">
        <v>1592</v>
      </c>
      <c r="B1549" s="17" t="s">
        <v>10114</v>
      </c>
      <c r="C1549" s="17" t="s">
        <v>2834</v>
      </c>
      <c r="D1549" s="25" t="s">
        <v>2725</v>
      </c>
      <c r="E1549" s="19" t="s">
        <v>2843</v>
      </c>
      <c r="F1549" s="19" t="s">
        <v>2860</v>
      </c>
      <c r="G1549" s="2" t="str">
        <f t="shared" si="135"/>
        <v>http://jsmh.umin.jp/journal/24-4/24-4.pdf</v>
      </c>
      <c r="H1549" s="43" t="str">
        <f t="shared" si="136"/>
        <v>http://dl.ndl.go.jp/info:ndljp/pid/3359282</v>
      </c>
    </row>
    <row r="1550" spans="1:8" ht="30" customHeight="1" x14ac:dyDescent="0.15">
      <c r="A1550" s="16" t="s">
        <v>704</v>
      </c>
      <c r="B1550" s="17" t="s">
        <v>2861</v>
      </c>
      <c r="C1550" s="17" t="s">
        <v>507</v>
      </c>
      <c r="D1550" s="25" t="s">
        <v>2725</v>
      </c>
      <c r="E1550" s="19" t="s">
        <v>2843</v>
      </c>
      <c r="F1550" s="19" t="s">
        <v>2862</v>
      </c>
      <c r="G1550" s="2" t="str">
        <f t="shared" si="135"/>
        <v>http://jsmh.umin.jp/journal/24-4/24-4.pdf</v>
      </c>
      <c r="H1550" s="43" t="str">
        <f t="shared" si="136"/>
        <v>http://dl.ndl.go.jp/info:ndljp/pid/3359282</v>
      </c>
    </row>
    <row r="1551" spans="1:8" ht="30" customHeight="1" x14ac:dyDescent="0.15">
      <c r="A1551" s="16" t="s">
        <v>704</v>
      </c>
      <c r="B1551" s="17" t="s">
        <v>2863</v>
      </c>
      <c r="C1551" s="17" t="s">
        <v>303</v>
      </c>
      <c r="D1551" s="25" t="s">
        <v>2725</v>
      </c>
      <c r="E1551" s="19" t="s">
        <v>2843</v>
      </c>
      <c r="F1551" s="19" t="s">
        <v>2862</v>
      </c>
      <c r="G1551" s="2" t="str">
        <f t="shared" si="135"/>
        <v>http://jsmh.umin.jp/journal/24-4/24-4.pdf</v>
      </c>
      <c r="H1551" s="43" t="str">
        <f t="shared" si="136"/>
        <v>http://dl.ndl.go.jp/info:ndljp/pid/3359282</v>
      </c>
    </row>
    <row r="1552" spans="1:8" ht="30" customHeight="1" x14ac:dyDescent="0.15">
      <c r="A1552" s="16" t="s">
        <v>704</v>
      </c>
      <c r="B1552" s="17" t="s">
        <v>2864</v>
      </c>
      <c r="C1552" s="17" t="s">
        <v>2865</v>
      </c>
      <c r="D1552" s="25" t="s">
        <v>2725</v>
      </c>
      <c r="E1552" s="19" t="s">
        <v>2843</v>
      </c>
      <c r="F1552" s="19" t="s">
        <v>2862</v>
      </c>
      <c r="G1552" s="2" t="str">
        <f t="shared" si="135"/>
        <v>http://jsmh.umin.jp/journal/24-4/24-4.pdf</v>
      </c>
      <c r="H1552" s="43" t="str">
        <f t="shared" si="136"/>
        <v>http://dl.ndl.go.jp/info:ndljp/pid/3359282</v>
      </c>
    </row>
    <row r="1553" spans="1:8" ht="30" customHeight="1" x14ac:dyDescent="0.15">
      <c r="A1553" s="16" t="s">
        <v>704</v>
      </c>
      <c r="B1553" s="17" t="s">
        <v>2983</v>
      </c>
      <c r="C1553" s="17" t="s">
        <v>2834</v>
      </c>
      <c r="D1553" s="25" t="s">
        <v>2725</v>
      </c>
      <c r="E1553" s="19" t="s">
        <v>2843</v>
      </c>
      <c r="F1553" s="19" t="s">
        <v>2862</v>
      </c>
      <c r="G1553" s="2" t="str">
        <f t="shared" si="135"/>
        <v>http://jsmh.umin.jp/journal/24-4/24-4.pdf</v>
      </c>
      <c r="H1553" s="43" t="str">
        <f t="shared" si="136"/>
        <v>http://dl.ndl.go.jp/info:ndljp/pid/3359282</v>
      </c>
    </row>
    <row r="1554" spans="1:8" ht="30" customHeight="1" x14ac:dyDescent="0.15">
      <c r="A1554" s="16" t="s">
        <v>704</v>
      </c>
      <c r="B1554" s="17" t="s">
        <v>2866</v>
      </c>
      <c r="C1554" s="17" t="s">
        <v>830</v>
      </c>
      <c r="D1554" s="25" t="s">
        <v>2725</v>
      </c>
      <c r="E1554" s="19" t="s">
        <v>2843</v>
      </c>
      <c r="F1554" s="19" t="s">
        <v>2862</v>
      </c>
      <c r="G1554" s="2" t="str">
        <f t="shared" si="135"/>
        <v>http://jsmh.umin.jp/journal/24-4/24-4.pdf</v>
      </c>
      <c r="H1554" s="43" t="str">
        <f t="shared" si="136"/>
        <v>http://dl.ndl.go.jp/info:ndljp/pid/3359282</v>
      </c>
    </row>
    <row r="1555" spans="1:8" ht="30" customHeight="1" x14ac:dyDescent="0.15">
      <c r="A1555" s="16" t="s">
        <v>1623</v>
      </c>
      <c r="B1555" s="17" t="s">
        <v>2867</v>
      </c>
      <c r="C1555" s="17" t="s">
        <v>2465</v>
      </c>
      <c r="D1555" s="25" t="s">
        <v>2725</v>
      </c>
      <c r="E1555" s="19" t="s">
        <v>2843</v>
      </c>
      <c r="F1555" s="19" t="s">
        <v>2868</v>
      </c>
      <c r="G1555" s="2" t="str">
        <f t="shared" si="135"/>
        <v>http://jsmh.umin.jp/journal/24-4/24-4.pdf</v>
      </c>
      <c r="H1555" s="43" t="str">
        <f t="shared" si="136"/>
        <v>http://dl.ndl.go.jp/info:ndljp/pid/3359282</v>
      </c>
    </row>
    <row r="1556" spans="1:8" ht="30" customHeight="1" x14ac:dyDescent="0.15">
      <c r="A1556" s="16" t="s">
        <v>2869</v>
      </c>
      <c r="B1556" s="17" t="s">
        <v>2870</v>
      </c>
      <c r="C1556" s="17" t="s">
        <v>18</v>
      </c>
      <c r="D1556" s="25" t="s">
        <v>2725</v>
      </c>
      <c r="E1556" s="19" t="s">
        <v>2843</v>
      </c>
      <c r="F1556" s="19" t="s">
        <v>2871</v>
      </c>
      <c r="G1556" s="2" t="str">
        <f t="shared" si="135"/>
        <v>http://jsmh.umin.jp/journal/24-4/24-4.pdf</v>
      </c>
      <c r="H1556" s="43" t="str">
        <f t="shared" si="136"/>
        <v>http://dl.ndl.go.jp/info:ndljp/pid/3359282</v>
      </c>
    </row>
    <row r="1557" spans="1:8" ht="30" customHeight="1" x14ac:dyDescent="0.15">
      <c r="A1557" s="16" t="s">
        <v>1236</v>
      </c>
      <c r="B1557" s="17" t="s">
        <v>2872</v>
      </c>
      <c r="C1557" s="17"/>
      <c r="D1557" s="25" t="s">
        <v>2725</v>
      </c>
      <c r="E1557" s="19" t="s">
        <v>2843</v>
      </c>
      <c r="F1557" s="19" t="s">
        <v>2873</v>
      </c>
      <c r="G1557" s="2" t="str">
        <f t="shared" si="135"/>
        <v>http://jsmh.umin.jp/journal/24-4/24-4.pdf</v>
      </c>
      <c r="H1557" s="43" t="str">
        <f t="shared" si="136"/>
        <v>http://dl.ndl.go.jp/info:ndljp/pid/3359282</v>
      </c>
    </row>
    <row r="1558" spans="1:8" ht="30" customHeight="1" x14ac:dyDescent="0.15">
      <c r="A1558" s="16" t="s">
        <v>17</v>
      </c>
      <c r="B1558" s="17" t="s">
        <v>2874</v>
      </c>
      <c r="C1558" s="17" t="s">
        <v>2875</v>
      </c>
      <c r="D1558" s="25" t="s">
        <v>2725</v>
      </c>
      <c r="E1558" s="19" t="s">
        <v>2843</v>
      </c>
      <c r="F1558" s="19" t="s">
        <v>2876</v>
      </c>
      <c r="G1558" s="2" t="str">
        <f t="shared" si="135"/>
        <v>http://jsmh.umin.jp/journal/24-4/24-4.pdf</v>
      </c>
      <c r="H1558" s="43" t="str">
        <f t="shared" si="136"/>
        <v>http://dl.ndl.go.jp/info:ndljp/pid/3359282</v>
      </c>
    </row>
    <row r="1559" spans="1:8" ht="30" customHeight="1" x14ac:dyDescent="0.15">
      <c r="A1559" s="16" t="s">
        <v>17</v>
      </c>
      <c r="B1559" s="17" t="s">
        <v>2877</v>
      </c>
      <c r="C1559" s="17" t="s">
        <v>790</v>
      </c>
      <c r="D1559" s="18" t="s">
        <v>2878</v>
      </c>
      <c r="E1559" s="19" t="s">
        <v>2879</v>
      </c>
      <c r="F1559" s="19" t="s">
        <v>2727</v>
      </c>
      <c r="G1559" s="2" t="str">
        <f t="shared" ref="G1559:G1568" si="137">HYPERLINK("http://jsmh.umin.jp/journal/25-1/25-1.pdf")</f>
        <v>http://jsmh.umin.jp/journal/25-1/25-1.pdf</v>
      </c>
      <c r="H1559" s="42" t="str">
        <f t="shared" ref="H1559:H1568" si="138">HYPERLINK("http://dl.ndl.go.jp/info:ndljp/pid/3359283")</f>
        <v>http://dl.ndl.go.jp/info:ndljp/pid/3359283</v>
      </c>
    </row>
    <row r="1560" spans="1:8" ht="30" customHeight="1" x14ac:dyDescent="0.15">
      <c r="A1560" s="16" t="s">
        <v>17</v>
      </c>
      <c r="B1560" s="17" t="s">
        <v>2880</v>
      </c>
      <c r="C1560" s="17" t="s">
        <v>2881</v>
      </c>
      <c r="D1560" s="25" t="s">
        <v>2878</v>
      </c>
      <c r="E1560" s="19" t="s">
        <v>2879</v>
      </c>
      <c r="F1560" s="19" t="s">
        <v>2882</v>
      </c>
      <c r="G1560" s="2" t="str">
        <f t="shared" si="137"/>
        <v>http://jsmh.umin.jp/journal/25-1/25-1.pdf</v>
      </c>
      <c r="H1560" s="43" t="str">
        <f t="shared" si="138"/>
        <v>http://dl.ndl.go.jp/info:ndljp/pid/3359283</v>
      </c>
    </row>
    <row r="1561" spans="1:8" ht="30" customHeight="1" x14ac:dyDescent="0.15">
      <c r="A1561" s="16" t="s">
        <v>17</v>
      </c>
      <c r="B1561" s="17" t="s">
        <v>2883</v>
      </c>
      <c r="C1561" s="17" t="s">
        <v>2732</v>
      </c>
      <c r="D1561" s="25" t="s">
        <v>2878</v>
      </c>
      <c r="E1561" s="19" t="s">
        <v>2879</v>
      </c>
      <c r="F1561" s="19" t="s">
        <v>2884</v>
      </c>
      <c r="G1561" s="2" t="str">
        <f t="shared" si="137"/>
        <v>http://jsmh.umin.jp/journal/25-1/25-1.pdf</v>
      </c>
      <c r="H1561" s="43" t="str">
        <f t="shared" si="138"/>
        <v>http://dl.ndl.go.jp/info:ndljp/pid/3359283</v>
      </c>
    </row>
    <row r="1562" spans="1:8" ht="30" customHeight="1" x14ac:dyDescent="0.15">
      <c r="A1562" s="16" t="s">
        <v>692</v>
      </c>
      <c r="B1562" s="17" t="s">
        <v>2885</v>
      </c>
      <c r="C1562" s="17" t="s">
        <v>1097</v>
      </c>
      <c r="D1562" s="25" t="s">
        <v>2878</v>
      </c>
      <c r="E1562" s="19" t="s">
        <v>2879</v>
      </c>
      <c r="F1562" s="19" t="s">
        <v>2886</v>
      </c>
      <c r="G1562" s="2" t="str">
        <f t="shared" si="137"/>
        <v>http://jsmh.umin.jp/journal/25-1/25-1.pdf</v>
      </c>
      <c r="H1562" s="43" t="str">
        <f t="shared" si="138"/>
        <v>http://dl.ndl.go.jp/info:ndljp/pid/3359283</v>
      </c>
    </row>
    <row r="1563" spans="1:8" ht="30" customHeight="1" x14ac:dyDescent="0.15">
      <c r="A1563" s="16" t="s">
        <v>692</v>
      </c>
      <c r="B1563" s="17" t="s">
        <v>2887</v>
      </c>
      <c r="C1563" s="17" t="s">
        <v>2834</v>
      </c>
      <c r="D1563" s="25" t="s">
        <v>2878</v>
      </c>
      <c r="E1563" s="19" t="s">
        <v>2879</v>
      </c>
      <c r="F1563" s="19" t="s">
        <v>2888</v>
      </c>
      <c r="G1563" s="2" t="str">
        <f t="shared" si="137"/>
        <v>http://jsmh.umin.jp/journal/25-1/25-1.pdf</v>
      </c>
      <c r="H1563" s="43" t="str">
        <f t="shared" si="138"/>
        <v>http://dl.ndl.go.jp/info:ndljp/pid/3359283</v>
      </c>
    </row>
    <row r="1564" spans="1:8" ht="30" customHeight="1" x14ac:dyDescent="0.15">
      <c r="A1564" s="16" t="s">
        <v>558</v>
      </c>
      <c r="B1564" s="17" t="s">
        <v>2889</v>
      </c>
      <c r="C1564" s="17"/>
      <c r="D1564" s="25" t="s">
        <v>2878</v>
      </c>
      <c r="E1564" s="19" t="s">
        <v>2879</v>
      </c>
      <c r="F1564" s="19" t="s">
        <v>723</v>
      </c>
      <c r="G1564" s="2" t="str">
        <f t="shared" si="137"/>
        <v>http://jsmh.umin.jp/journal/25-1/25-1.pdf</v>
      </c>
      <c r="H1564" s="43" t="str">
        <f t="shared" si="138"/>
        <v>http://dl.ndl.go.jp/info:ndljp/pid/3359283</v>
      </c>
    </row>
    <row r="1565" spans="1:8" ht="30" customHeight="1" x14ac:dyDescent="0.15">
      <c r="A1565" s="16" t="s">
        <v>81</v>
      </c>
      <c r="B1565" s="17" t="s">
        <v>2890</v>
      </c>
      <c r="C1565" s="17" t="s">
        <v>2891</v>
      </c>
      <c r="D1565" s="25" t="s">
        <v>2878</v>
      </c>
      <c r="E1565" s="19" t="s">
        <v>2879</v>
      </c>
      <c r="F1565" s="19" t="s">
        <v>2892</v>
      </c>
      <c r="G1565" s="2" t="str">
        <f t="shared" si="137"/>
        <v>http://jsmh.umin.jp/journal/25-1/25-1.pdf</v>
      </c>
      <c r="H1565" s="43" t="str">
        <f t="shared" si="138"/>
        <v>http://dl.ndl.go.jp/info:ndljp/pid/3359283</v>
      </c>
    </row>
    <row r="1566" spans="1:8" ht="30" customHeight="1" x14ac:dyDescent="0.15">
      <c r="A1566" s="16" t="s">
        <v>558</v>
      </c>
      <c r="B1566" s="17" t="s">
        <v>2893</v>
      </c>
      <c r="C1566" s="17" t="s">
        <v>1994</v>
      </c>
      <c r="D1566" s="25" t="s">
        <v>2878</v>
      </c>
      <c r="E1566" s="19" t="s">
        <v>2879</v>
      </c>
      <c r="F1566" s="19" t="s">
        <v>2366</v>
      </c>
      <c r="G1566" s="2" t="str">
        <f t="shared" si="137"/>
        <v>http://jsmh.umin.jp/journal/25-1/25-1.pdf</v>
      </c>
      <c r="H1566" s="43" t="str">
        <f t="shared" si="138"/>
        <v>http://dl.ndl.go.jp/info:ndljp/pid/3359283</v>
      </c>
    </row>
    <row r="1567" spans="1:8" ht="30" customHeight="1" x14ac:dyDescent="0.15">
      <c r="A1567" s="16" t="s">
        <v>2894</v>
      </c>
      <c r="B1567" s="17" t="s">
        <v>2895</v>
      </c>
      <c r="C1567" s="17"/>
      <c r="D1567" s="25" t="s">
        <v>2878</v>
      </c>
      <c r="E1567" s="19" t="s">
        <v>2879</v>
      </c>
      <c r="F1567" s="19" t="s">
        <v>2896</v>
      </c>
      <c r="G1567" s="2" t="str">
        <f t="shared" si="137"/>
        <v>http://jsmh.umin.jp/journal/25-1/25-1.pdf</v>
      </c>
      <c r="H1567" s="43" t="str">
        <f t="shared" si="138"/>
        <v>http://dl.ndl.go.jp/info:ndljp/pid/3359283</v>
      </c>
    </row>
    <row r="1568" spans="1:8" ht="30" customHeight="1" x14ac:dyDescent="0.15">
      <c r="A1568" s="16" t="s">
        <v>17</v>
      </c>
      <c r="B1568" s="17" t="s">
        <v>2897</v>
      </c>
      <c r="C1568" s="17" t="s">
        <v>2898</v>
      </c>
      <c r="D1568" s="25" t="s">
        <v>2878</v>
      </c>
      <c r="E1568" s="19" t="s">
        <v>2879</v>
      </c>
      <c r="F1568" s="19" t="s">
        <v>2899</v>
      </c>
      <c r="G1568" s="2" t="str">
        <f t="shared" si="137"/>
        <v>http://jsmh.umin.jp/journal/25-1/25-1.pdf</v>
      </c>
      <c r="H1568" s="43" t="str">
        <f t="shared" si="138"/>
        <v>http://dl.ndl.go.jp/info:ndljp/pid/3359283</v>
      </c>
    </row>
    <row r="1569" spans="1:8" ht="30" customHeight="1" x14ac:dyDescent="0.15">
      <c r="A1569" s="16" t="s">
        <v>1855</v>
      </c>
      <c r="B1569" s="17" t="s">
        <v>2900</v>
      </c>
      <c r="C1569" s="17" t="s">
        <v>2470</v>
      </c>
      <c r="D1569" s="25" t="s">
        <v>2878</v>
      </c>
      <c r="E1569" s="19" t="s">
        <v>2901</v>
      </c>
      <c r="F1569" s="19" t="s">
        <v>2902</v>
      </c>
      <c r="G1569" s="2" t="str">
        <f t="shared" ref="G1569:G1609" si="139">HYPERLINK("http://jsmh.umin.jp/journal/25-2/25-2.pdf")</f>
        <v>http://jsmh.umin.jp/journal/25-2/25-2.pdf</v>
      </c>
      <c r="H1569" s="42" t="str">
        <f t="shared" ref="H1569:H1609" si="140">HYPERLINK("http://dl.ndl.go.jp/info:ndljp/pid/3359284")</f>
        <v>http://dl.ndl.go.jp/info:ndljp/pid/3359284</v>
      </c>
    </row>
    <row r="1570" spans="1:8" ht="30" customHeight="1" x14ac:dyDescent="0.15">
      <c r="A1570" s="16" t="s">
        <v>1855</v>
      </c>
      <c r="B1570" s="17" t="s">
        <v>2903</v>
      </c>
      <c r="C1570" s="17" t="s">
        <v>66</v>
      </c>
      <c r="D1570" s="25" t="s">
        <v>2878</v>
      </c>
      <c r="E1570" s="19" t="s">
        <v>2901</v>
      </c>
      <c r="F1570" s="19" t="s">
        <v>2904</v>
      </c>
      <c r="G1570" s="2" t="str">
        <f t="shared" si="139"/>
        <v>http://jsmh.umin.jp/journal/25-2/25-2.pdf</v>
      </c>
      <c r="H1570" s="43" t="str">
        <f t="shared" si="140"/>
        <v>http://dl.ndl.go.jp/info:ndljp/pid/3359284</v>
      </c>
    </row>
    <row r="1571" spans="1:8" ht="30" customHeight="1" x14ac:dyDescent="0.15">
      <c r="A1571" s="16" t="s">
        <v>1855</v>
      </c>
      <c r="B1571" s="17" t="s">
        <v>2905</v>
      </c>
      <c r="C1571" s="17" t="s">
        <v>198</v>
      </c>
      <c r="D1571" s="25" t="s">
        <v>2878</v>
      </c>
      <c r="E1571" s="19" t="s">
        <v>2901</v>
      </c>
      <c r="F1571" s="19" t="s">
        <v>2906</v>
      </c>
      <c r="G1571" s="2" t="str">
        <f t="shared" si="139"/>
        <v>http://jsmh.umin.jp/journal/25-2/25-2.pdf</v>
      </c>
      <c r="H1571" s="43" t="str">
        <f t="shared" si="140"/>
        <v>http://dl.ndl.go.jp/info:ndljp/pid/3359284</v>
      </c>
    </row>
    <row r="1572" spans="1:8" ht="30" customHeight="1" x14ac:dyDescent="0.15">
      <c r="A1572" s="16" t="s">
        <v>1855</v>
      </c>
      <c r="B1572" s="17" t="s">
        <v>2907</v>
      </c>
      <c r="C1572" s="17" t="s">
        <v>2325</v>
      </c>
      <c r="D1572" s="25" t="s">
        <v>2878</v>
      </c>
      <c r="E1572" s="19" t="s">
        <v>2901</v>
      </c>
      <c r="F1572" s="19" t="s">
        <v>2257</v>
      </c>
      <c r="G1572" s="2" t="str">
        <f t="shared" si="139"/>
        <v>http://jsmh.umin.jp/journal/25-2/25-2.pdf</v>
      </c>
      <c r="H1572" s="43" t="str">
        <f t="shared" si="140"/>
        <v>http://dl.ndl.go.jp/info:ndljp/pid/3359284</v>
      </c>
    </row>
    <row r="1573" spans="1:8" ht="30" customHeight="1" x14ac:dyDescent="0.15">
      <c r="A1573" s="16" t="s">
        <v>1855</v>
      </c>
      <c r="B1573" s="17" t="s">
        <v>2908</v>
      </c>
      <c r="C1573" s="17" t="s">
        <v>479</v>
      </c>
      <c r="D1573" s="25" t="s">
        <v>2878</v>
      </c>
      <c r="E1573" s="19" t="s">
        <v>2901</v>
      </c>
      <c r="F1573" s="19" t="s">
        <v>2909</v>
      </c>
      <c r="G1573" s="2" t="str">
        <f t="shared" si="139"/>
        <v>http://jsmh.umin.jp/journal/25-2/25-2.pdf</v>
      </c>
      <c r="H1573" s="43" t="str">
        <f t="shared" si="140"/>
        <v>http://dl.ndl.go.jp/info:ndljp/pid/3359284</v>
      </c>
    </row>
    <row r="1574" spans="1:8" ht="30" customHeight="1" x14ac:dyDescent="0.15">
      <c r="A1574" s="16" t="s">
        <v>1855</v>
      </c>
      <c r="B1574" s="17" t="s">
        <v>2910</v>
      </c>
      <c r="C1574" s="17" t="s">
        <v>838</v>
      </c>
      <c r="D1574" s="25" t="s">
        <v>2878</v>
      </c>
      <c r="E1574" s="19" t="s">
        <v>2901</v>
      </c>
      <c r="F1574" s="19" t="s">
        <v>2911</v>
      </c>
      <c r="G1574" s="2" t="str">
        <f t="shared" si="139"/>
        <v>http://jsmh.umin.jp/journal/25-2/25-2.pdf</v>
      </c>
      <c r="H1574" s="43" t="str">
        <f t="shared" si="140"/>
        <v>http://dl.ndl.go.jp/info:ndljp/pid/3359284</v>
      </c>
    </row>
    <row r="1575" spans="1:8" ht="30" customHeight="1" x14ac:dyDescent="0.15">
      <c r="A1575" s="16" t="s">
        <v>1855</v>
      </c>
      <c r="B1575" s="17" t="s">
        <v>2912</v>
      </c>
      <c r="C1575" s="17" t="s">
        <v>2746</v>
      </c>
      <c r="D1575" s="25" t="s">
        <v>2878</v>
      </c>
      <c r="E1575" s="19" t="s">
        <v>2901</v>
      </c>
      <c r="F1575" s="19" t="s">
        <v>2913</v>
      </c>
      <c r="G1575" s="2" t="str">
        <f t="shared" si="139"/>
        <v>http://jsmh.umin.jp/journal/25-2/25-2.pdf</v>
      </c>
      <c r="H1575" s="43" t="str">
        <f t="shared" si="140"/>
        <v>http://dl.ndl.go.jp/info:ndljp/pid/3359284</v>
      </c>
    </row>
    <row r="1576" spans="1:8" ht="30" customHeight="1" x14ac:dyDescent="0.15">
      <c r="A1576" s="16" t="s">
        <v>1855</v>
      </c>
      <c r="B1576" s="17" t="s">
        <v>2914</v>
      </c>
      <c r="C1576" s="17" t="s">
        <v>2915</v>
      </c>
      <c r="D1576" s="25" t="s">
        <v>2878</v>
      </c>
      <c r="E1576" s="19" t="s">
        <v>2901</v>
      </c>
      <c r="F1576" s="19" t="s">
        <v>2041</v>
      </c>
      <c r="G1576" s="2" t="str">
        <f t="shared" si="139"/>
        <v>http://jsmh.umin.jp/journal/25-2/25-2.pdf</v>
      </c>
      <c r="H1576" s="43" t="str">
        <f t="shared" si="140"/>
        <v>http://dl.ndl.go.jp/info:ndljp/pid/3359284</v>
      </c>
    </row>
    <row r="1577" spans="1:8" ht="30" customHeight="1" x14ac:dyDescent="0.15">
      <c r="A1577" s="16" t="s">
        <v>1855</v>
      </c>
      <c r="B1577" s="17" t="s">
        <v>2916</v>
      </c>
      <c r="C1577" s="17" t="s">
        <v>1932</v>
      </c>
      <c r="D1577" s="25" t="s">
        <v>2878</v>
      </c>
      <c r="E1577" s="19" t="s">
        <v>2901</v>
      </c>
      <c r="F1577" s="19" t="s">
        <v>2776</v>
      </c>
      <c r="G1577" s="2" t="str">
        <f t="shared" si="139"/>
        <v>http://jsmh.umin.jp/journal/25-2/25-2.pdf</v>
      </c>
      <c r="H1577" s="43" t="str">
        <f t="shared" si="140"/>
        <v>http://dl.ndl.go.jp/info:ndljp/pid/3359284</v>
      </c>
    </row>
    <row r="1578" spans="1:8" ht="30" customHeight="1" x14ac:dyDescent="0.15">
      <c r="A1578" s="16" t="s">
        <v>1855</v>
      </c>
      <c r="B1578" s="17" t="s">
        <v>2917</v>
      </c>
      <c r="C1578" s="17" t="s">
        <v>1338</v>
      </c>
      <c r="D1578" s="25" t="s">
        <v>2878</v>
      </c>
      <c r="E1578" s="19" t="s">
        <v>2901</v>
      </c>
      <c r="F1578" s="19" t="s">
        <v>2554</v>
      </c>
      <c r="G1578" s="2" t="str">
        <f t="shared" si="139"/>
        <v>http://jsmh.umin.jp/journal/25-2/25-2.pdf</v>
      </c>
      <c r="H1578" s="43" t="str">
        <f t="shared" si="140"/>
        <v>http://dl.ndl.go.jp/info:ndljp/pid/3359284</v>
      </c>
    </row>
    <row r="1579" spans="1:8" ht="30" customHeight="1" x14ac:dyDescent="0.15">
      <c r="A1579" s="16" t="s">
        <v>1855</v>
      </c>
      <c r="B1579" s="17" t="s">
        <v>2918</v>
      </c>
      <c r="C1579" s="17" t="s">
        <v>1534</v>
      </c>
      <c r="D1579" s="25" t="s">
        <v>2878</v>
      </c>
      <c r="E1579" s="19" t="s">
        <v>2901</v>
      </c>
      <c r="F1579" s="19" t="s">
        <v>1703</v>
      </c>
      <c r="G1579" s="2" t="str">
        <f t="shared" si="139"/>
        <v>http://jsmh.umin.jp/journal/25-2/25-2.pdf</v>
      </c>
      <c r="H1579" s="43" t="str">
        <f t="shared" si="140"/>
        <v>http://dl.ndl.go.jp/info:ndljp/pid/3359284</v>
      </c>
    </row>
    <row r="1580" spans="1:8" ht="30" customHeight="1" x14ac:dyDescent="0.15">
      <c r="A1580" s="16" t="s">
        <v>1855</v>
      </c>
      <c r="B1580" s="17" t="s">
        <v>2919</v>
      </c>
      <c r="C1580" s="17" t="s">
        <v>2222</v>
      </c>
      <c r="D1580" s="25" t="s">
        <v>2878</v>
      </c>
      <c r="E1580" s="19" t="s">
        <v>2901</v>
      </c>
      <c r="F1580" s="19" t="s">
        <v>2920</v>
      </c>
      <c r="G1580" s="2" t="str">
        <f t="shared" si="139"/>
        <v>http://jsmh.umin.jp/journal/25-2/25-2.pdf</v>
      </c>
      <c r="H1580" s="43" t="str">
        <f t="shared" si="140"/>
        <v>http://dl.ndl.go.jp/info:ndljp/pid/3359284</v>
      </c>
    </row>
    <row r="1581" spans="1:8" ht="30" customHeight="1" x14ac:dyDescent="0.15">
      <c r="A1581" s="16" t="s">
        <v>1855</v>
      </c>
      <c r="B1581" s="17" t="s">
        <v>2921</v>
      </c>
      <c r="C1581" s="17" t="s">
        <v>790</v>
      </c>
      <c r="D1581" s="25" t="s">
        <v>2878</v>
      </c>
      <c r="E1581" s="19" t="s">
        <v>2901</v>
      </c>
      <c r="F1581" s="19" t="s">
        <v>2922</v>
      </c>
      <c r="G1581" s="2" t="str">
        <f t="shared" si="139"/>
        <v>http://jsmh.umin.jp/journal/25-2/25-2.pdf</v>
      </c>
      <c r="H1581" s="43" t="str">
        <f t="shared" si="140"/>
        <v>http://dl.ndl.go.jp/info:ndljp/pid/3359284</v>
      </c>
    </row>
    <row r="1582" spans="1:8" ht="30" customHeight="1" x14ac:dyDescent="0.15">
      <c r="A1582" s="16" t="s">
        <v>1855</v>
      </c>
      <c r="B1582" s="17" t="s">
        <v>2923</v>
      </c>
      <c r="C1582" s="17" t="s">
        <v>627</v>
      </c>
      <c r="D1582" s="25" t="s">
        <v>2878</v>
      </c>
      <c r="E1582" s="19" t="s">
        <v>2901</v>
      </c>
      <c r="F1582" s="19" t="s">
        <v>2924</v>
      </c>
      <c r="G1582" s="2" t="str">
        <f t="shared" si="139"/>
        <v>http://jsmh.umin.jp/journal/25-2/25-2.pdf</v>
      </c>
      <c r="H1582" s="43" t="str">
        <f t="shared" si="140"/>
        <v>http://dl.ndl.go.jp/info:ndljp/pid/3359284</v>
      </c>
    </row>
    <row r="1583" spans="1:8" ht="30" customHeight="1" x14ac:dyDescent="0.15">
      <c r="A1583" s="16" t="s">
        <v>1855</v>
      </c>
      <c r="B1583" s="17" t="s">
        <v>2925</v>
      </c>
      <c r="C1583" s="17" t="s">
        <v>2926</v>
      </c>
      <c r="D1583" s="25" t="s">
        <v>2878</v>
      </c>
      <c r="E1583" s="19" t="s">
        <v>2901</v>
      </c>
      <c r="F1583" s="19" t="s">
        <v>1711</v>
      </c>
      <c r="G1583" s="2" t="str">
        <f t="shared" si="139"/>
        <v>http://jsmh.umin.jp/journal/25-2/25-2.pdf</v>
      </c>
      <c r="H1583" s="43" t="str">
        <f t="shared" si="140"/>
        <v>http://dl.ndl.go.jp/info:ndljp/pid/3359284</v>
      </c>
    </row>
    <row r="1584" spans="1:8" ht="30" customHeight="1" x14ac:dyDescent="0.15">
      <c r="A1584" s="16" t="s">
        <v>1855</v>
      </c>
      <c r="B1584" s="17" t="s">
        <v>2927</v>
      </c>
      <c r="C1584" s="17" t="s">
        <v>2233</v>
      </c>
      <c r="D1584" s="25" t="s">
        <v>2878</v>
      </c>
      <c r="E1584" s="19" t="s">
        <v>2901</v>
      </c>
      <c r="F1584" s="19" t="s">
        <v>2928</v>
      </c>
      <c r="G1584" s="2" t="str">
        <f t="shared" si="139"/>
        <v>http://jsmh.umin.jp/journal/25-2/25-2.pdf</v>
      </c>
      <c r="H1584" s="43" t="str">
        <f t="shared" si="140"/>
        <v>http://dl.ndl.go.jp/info:ndljp/pid/3359284</v>
      </c>
    </row>
    <row r="1585" spans="1:8" ht="30" customHeight="1" x14ac:dyDescent="0.15">
      <c r="A1585" s="16" t="s">
        <v>1855</v>
      </c>
      <c r="B1585" s="17" t="s">
        <v>2929</v>
      </c>
      <c r="C1585" s="17" t="s">
        <v>2749</v>
      </c>
      <c r="D1585" s="25" t="s">
        <v>2878</v>
      </c>
      <c r="E1585" s="19" t="s">
        <v>2901</v>
      </c>
      <c r="F1585" s="19" t="s">
        <v>1715</v>
      </c>
      <c r="G1585" s="2" t="str">
        <f t="shared" si="139"/>
        <v>http://jsmh.umin.jp/journal/25-2/25-2.pdf</v>
      </c>
      <c r="H1585" s="43" t="str">
        <f t="shared" si="140"/>
        <v>http://dl.ndl.go.jp/info:ndljp/pid/3359284</v>
      </c>
    </row>
    <row r="1586" spans="1:8" ht="30" customHeight="1" x14ac:dyDescent="0.15">
      <c r="A1586" s="16" t="s">
        <v>1855</v>
      </c>
      <c r="B1586" s="17" t="s">
        <v>2930</v>
      </c>
      <c r="C1586" s="17" t="s">
        <v>1972</v>
      </c>
      <c r="D1586" s="25" t="s">
        <v>2878</v>
      </c>
      <c r="E1586" s="19" t="s">
        <v>2901</v>
      </c>
      <c r="F1586" s="19" t="s">
        <v>2571</v>
      </c>
      <c r="G1586" s="2" t="str">
        <f t="shared" si="139"/>
        <v>http://jsmh.umin.jp/journal/25-2/25-2.pdf</v>
      </c>
      <c r="H1586" s="43" t="str">
        <f t="shared" si="140"/>
        <v>http://dl.ndl.go.jp/info:ndljp/pid/3359284</v>
      </c>
    </row>
    <row r="1587" spans="1:8" ht="30" customHeight="1" x14ac:dyDescent="0.15">
      <c r="A1587" s="16" t="s">
        <v>1855</v>
      </c>
      <c r="B1587" s="17" t="s">
        <v>2931</v>
      </c>
      <c r="C1587" s="17" t="s">
        <v>2932</v>
      </c>
      <c r="D1587" s="25" t="s">
        <v>2878</v>
      </c>
      <c r="E1587" s="19" t="s">
        <v>2901</v>
      </c>
      <c r="F1587" s="19" t="s">
        <v>2574</v>
      </c>
      <c r="G1587" s="2" t="str">
        <f t="shared" si="139"/>
        <v>http://jsmh.umin.jp/journal/25-2/25-2.pdf</v>
      </c>
      <c r="H1587" s="43" t="str">
        <f t="shared" si="140"/>
        <v>http://dl.ndl.go.jp/info:ndljp/pid/3359284</v>
      </c>
    </row>
    <row r="1588" spans="1:8" ht="30" customHeight="1" x14ac:dyDescent="0.15">
      <c r="A1588" s="16" t="s">
        <v>1855</v>
      </c>
      <c r="B1588" s="17" t="s">
        <v>2933</v>
      </c>
      <c r="C1588" s="17" t="s">
        <v>2592</v>
      </c>
      <c r="D1588" s="25" t="s">
        <v>2878</v>
      </c>
      <c r="E1588" s="19" t="s">
        <v>2901</v>
      </c>
      <c r="F1588" s="19" t="s">
        <v>1723</v>
      </c>
      <c r="G1588" s="2" t="str">
        <f t="shared" si="139"/>
        <v>http://jsmh.umin.jp/journal/25-2/25-2.pdf</v>
      </c>
      <c r="H1588" s="43" t="str">
        <f t="shared" si="140"/>
        <v>http://dl.ndl.go.jp/info:ndljp/pid/3359284</v>
      </c>
    </row>
    <row r="1589" spans="1:8" ht="30" customHeight="1" x14ac:dyDescent="0.15">
      <c r="A1589" s="16" t="s">
        <v>1855</v>
      </c>
      <c r="B1589" s="17" t="s">
        <v>2934</v>
      </c>
      <c r="C1589" s="17" t="s">
        <v>916</v>
      </c>
      <c r="D1589" s="25" t="s">
        <v>2878</v>
      </c>
      <c r="E1589" s="19" t="s">
        <v>2901</v>
      </c>
      <c r="F1589" s="19" t="s">
        <v>2935</v>
      </c>
      <c r="G1589" s="2" t="str">
        <f t="shared" si="139"/>
        <v>http://jsmh.umin.jp/journal/25-2/25-2.pdf</v>
      </c>
      <c r="H1589" s="43" t="str">
        <f t="shared" si="140"/>
        <v>http://dl.ndl.go.jp/info:ndljp/pid/3359284</v>
      </c>
    </row>
    <row r="1590" spans="1:8" ht="30" customHeight="1" x14ac:dyDescent="0.15">
      <c r="A1590" s="16" t="s">
        <v>1855</v>
      </c>
      <c r="B1590" s="17" t="s">
        <v>2936</v>
      </c>
      <c r="C1590" s="17" t="s">
        <v>2937</v>
      </c>
      <c r="D1590" s="25" t="s">
        <v>2878</v>
      </c>
      <c r="E1590" s="19" t="s">
        <v>2901</v>
      </c>
      <c r="F1590" s="19" t="s">
        <v>986</v>
      </c>
      <c r="G1590" s="2" t="str">
        <f t="shared" si="139"/>
        <v>http://jsmh.umin.jp/journal/25-2/25-2.pdf</v>
      </c>
      <c r="H1590" s="43" t="str">
        <f t="shared" si="140"/>
        <v>http://dl.ndl.go.jp/info:ndljp/pid/3359284</v>
      </c>
    </row>
    <row r="1591" spans="1:8" ht="30" customHeight="1" x14ac:dyDescent="0.15">
      <c r="A1591" s="16" t="s">
        <v>1855</v>
      </c>
      <c r="B1591" s="17" t="s">
        <v>2938</v>
      </c>
      <c r="C1591" s="17" t="s">
        <v>1070</v>
      </c>
      <c r="D1591" s="25" t="s">
        <v>2878</v>
      </c>
      <c r="E1591" s="19" t="s">
        <v>2901</v>
      </c>
      <c r="F1591" s="19" t="s">
        <v>993</v>
      </c>
      <c r="G1591" s="2" t="str">
        <f t="shared" si="139"/>
        <v>http://jsmh.umin.jp/journal/25-2/25-2.pdf</v>
      </c>
      <c r="H1591" s="43" t="str">
        <f t="shared" si="140"/>
        <v>http://dl.ndl.go.jp/info:ndljp/pid/3359284</v>
      </c>
    </row>
    <row r="1592" spans="1:8" ht="30" customHeight="1" x14ac:dyDescent="0.15">
      <c r="A1592" s="16" t="s">
        <v>1855</v>
      </c>
      <c r="B1592" s="17" t="s">
        <v>2939</v>
      </c>
      <c r="C1592" s="17" t="s">
        <v>1136</v>
      </c>
      <c r="D1592" s="25" t="s">
        <v>2878</v>
      </c>
      <c r="E1592" s="19" t="s">
        <v>2901</v>
      </c>
      <c r="F1592" s="19" t="s">
        <v>2438</v>
      </c>
      <c r="G1592" s="2" t="str">
        <f t="shared" si="139"/>
        <v>http://jsmh.umin.jp/journal/25-2/25-2.pdf</v>
      </c>
      <c r="H1592" s="43" t="str">
        <f t="shared" si="140"/>
        <v>http://dl.ndl.go.jp/info:ndljp/pid/3359284</v>
      </c>
    </row>
    <row r="1593" spans="1:8" ht="30" customHeight="1" x14ac:dyDescent="0.15">
      <c r="A1593" s="16" t="s">
        <v>1855</v>
      </c>
      <c r="B1593" s="17" t="s">
        <v>2940</v>
      </c>
      <c r="C1593" s="17" t="s">
        <v>2465</v>
      </c>
      <c r="D1593" s="25" t="s">
        <v>2878</v>
      </c>
      <c r="E1593" s="19" t="s">
        <v>2901</v>
      </c>
      <c r="F1593" s="19" t="s">
        <v>1740</v>
      </c>
      <c r="G1593" s="2" t="str">
        <f t="shared" si="139"/>
        <v>http://jsmh.umin.jp/journal/25-2/25-2.pdf</v>
      </c>
      <c r="H1593" s="43" t="str">
        <f t="shared" si="140"/>
        <v>http://dl.ndl.go.jp/info:ndljp/pid/3359284</v>
      </c>
    </row>
    <row r="1594" spans="1:8" ht="30" customHeight="1" x14ac:dyDescent="0.15">
      <c r="A1594" s="16" t="s">
        <v>1855</v>
      </c>
      <c r="B1594" s="17" t="s">
        <v>2941</v>
      </c>
      <c r="C1594" s="17" t="s">
        <v>937</v>
      </c>
      <c r="D1594" s="25" t="s">
        <v>2878</v>
      </c>
      <c r="E1594" s="19" t="s">
        <v>2901</v>
      </c>
      <c r="F1594" s="19" t="s">
        <v>2942</v>
      </c>
      <c r="G1594" s="2" t="str">
        <f t="shared" si="139"/>
        <v>http://jsmh.umin.jp/journal/25-2/25-2.pdf</v>
      </c>
      <c r="H1594" s="43" t="str">
        <f t="shared" si="140"/>
        <v>http://dl.ndl.go.jp/info:ndljp/pid/3359284</v>
      </c>
    </row>
    <row r="1595" spans="1:8" ht="30" customHeight="1" x14ac:dyDescent="0.15">
      <c r="A1595" s="16" t="s">
        <v>1855</v>
      </c>
      <c r="B1595" s="17" t="s">
        <v>2943</v>
      </c>
      <c r="C1595" s="17" t="s">
        <v>2212</v>
      </c>
      <c r="D1595" s="25" t="s">
        <v>2878</v>
      </c>
      <c r="E1595" s="19" t="s">
        <v>2901</v>
      </c>
      <c r="F1595" s="19" t="s">
        <v>2944</v>
      </c>
      <c r="G1595" s="2" t="str">
        <f t="shared" si="139"/>
        <v>http://jsmh.umin.jp/journal/25-2/25-2.pdf</v>
      </c>
      <c r="H1595" s="43" t="str">
        <f t="shared" si="140"/>
        <v>http://dl.ndl.go.jp/info:ndljp/pid/3359284</v>
      </c>
    </row>
    <row r="1596" spans="1:8" ht="30" customHeight="1" x14ac:dyDescent="0.15">
      <c r="A1596" s="16" t="s">
        <v>1855</v>
      </c>
      <c r="B1596" s="17" t="s">
        <v>2945</v>
      </c>
      <c r="C1596" s="17" t="s">
        <v>1699</v>
      </c>
      <c r="D1596" s="25" t="s">
        <v>2878</v>
      </c>
      <c r="E1596" s="19" t="s">
        <v>2901</v>
      </c>
      <c r="F1596" s="19" t="s">
        <v>1748</v>
      </c>
      <c r="G1596" s="2" t="str">
        <f t="shared" si="139"/>
        <v>http://jsmh.umin.jp/journal/25-2/25-2.pdf</v>
      </c>
      <c r="H1596" s="43" t="str">
        <f t="shared" si="140"/>
        <v>http://dl.ndl.go.jp/info:ndljp/pid/3359284</v>
      </c>
    </row>
    <row r="1597" spans="1:8" ht="30" customHeight="1" x14ac:dyDescent="0.15">
      <c r="A1597" s="16" t="s">
        <v>1855</v>
      </c>
      <c r="B1597" s="17" t="s">
        <v>10115</v>
      </c>
      <c r="C1597" s="17" t="s">
        <v>24</v>
      </c>
      <c r="D1597" s="25" t="s">
        <v>2878</v>
      </c>
      <c r="E1597" s="19" t="s">
        <v>2901</v>
      </c>
      <c r="F1597" s="19" t="s">
        <v>2594</v>
      </c>
      <c r="G1597" s="2" t="str">
        <f t="shared" si="139"/>
        <v>http://jsmh.umin.jp/journal/25-2/25-2.pdf</v>
      </c>
      <c r="H1597" s="43" t="str">
        <f t="shared" si="140"/>
        <v>http://dl.ndl.go.jp/info:ndljp/pid/3359284</v>
      </c>
    </row>
    <row r="1598" spans="1:8" ht="30" customHeight="1" x14ac:dyDescent="0.15">
      <c r="A1598" s="16" t="s">
        <v>1855</v>
      </c>
      <c r="B1598" s="17" t="s">
        <v>2946</v>
      </c>
      <c r="C1598" s="17" t="s">
        <v>1097</v>
      </c>
      <c r="D1598" s="25" t="s">
        <v>2878</v>
      </c>
      <c r="E1598" s="19" t="s">
        <v>2901</v>
      </c>
      <c r="F1598" s="19" t="s">
        <v>256</v>
      </c>
      <c r="G1598" s="2" t="str">
        <f t="shared" si="139"/>
        <v>http://jsmh.umin.jp/journal/25-2/25-2.pdf</v>
      </c>
      <c r="H1598" s="43" t="str">
        <f t="shared" si="140"/>
        <v>http://dl.ndl.go.jp/info:ndljp/pid/3359284</v>
      </c>
    </row>
    <row r="1599" spans="1:8" ht="30" customHeight="1" x14ac:dyDescent="0.15">
      <c r="A1599" s="16" t="s">
        <v>1855</v>
      </c>
      <c r="B1599" s="17" t="s">
        <v>2947</v>
      </c>
      <c r="C1599" s="17" t="s">
        <v>2948</v>
      </c>
      <c r="D1599" s="25" t="s">
        <v>2878</v>
      </c>
      <c r="E1599" s="19" t="s">
        <v>2901</v>
      </c>
      <c r="F1599" s="19" t="s">
        <v>2598</v>
      </c>
      <c r="G1599" s="2" t="str">
        <f t="shared" si="139"/>
        <v>http://jsmh.umin.jp/journal/25-2/25-2.pdf</v>
      </c>
      <c r="H1599" s="43" t="str">
        <f t="shared" si="140"/>
        <v>http://dl.ndl.go.jp/info:ndljp/pid/3359284</v>
      </c>
    </row>
    <row r="1600" spans="1:8" ht="30" customHeight="1" x14ac:dyDescent="0.15">
      <c r="A1600" s="16" t="s">
        <v>1855</v>
      </c>
      <c r="B1600" s="17" t="s">
        <v>2949</v>
      </c>
      <c r="C1600" s="17" t="s">
        <v>273</v>
      </c>
      <c r="D1600" s="25" t="s">
        <v>2878</v>
      </c>
      <c r="E1600" s="19" t="s">
        <v>2901</v>
      </c>
      <c r="F1600" s="19" t="s">
        <v>2072</v>
      </c>
      <c r="G1600" s="2" t="str">
        <f t="shared" si="139"/>
        <v>http://jsmh.umin.jp/journal/25-2/25-2.pdf</v>
      </c>
      <c r="H1600" s="43" t="str">
        <f t="shared" si="140"/>
        <v>http://dl.ndl.go.jp/info:ndljp/pid/3359284</v>
      </c>
    </row>
    <row r="1601" spans="1:8" ht="30" customHeight="1" x14ac:dyDescent="0.15">
      <c r="A1601" s="16" t="s">
        <v>1855</v>
      </c>
      <c r="B1601" s="17" t="s">
        <v>2950</v>
      </c>
      <c r="C1601" s="17" t="s">
        <v>444</v>
      </c>
      <c r="D1601" s="25" t="s">
        <v>2878</v>
      </c>
      <c r="E1601" s="19" t="s">
        <v>2901</v>
      </c>
      <c r="F1601" s="19" t="s">
        <v>2951</v>
      </c>
      <c r="G1601" s="2" t="str">
        <f t="shared" si="139"/>
        <v>http://jsmh.umin.jp/journal/25-2/25-2.pdf</v>
      </c>
      <c r="H1601" s="43" t="str">
        <f t="shared" si="140"/>
        <v>http://dl.ndl.go.jp/info:ndljp/pid/3359284</v>
      </c>
    </row>
    <row r="1602" spans="1:8" ht="30" customHeight="1" x14ac:dyDescent="0.15">
      <c r="A1602" s="16" t="s">
        <v>1855</v>
      </c>
      <c r="B1602" s="17" t="s">
        <v>2952</v>
      </c>
      <c r="C1602" s="17" t="s">
        <v>1292</v>
      </c>
      <c r="D1602" s="25" t="s">
        <v>2878</v>
      </c>
      <c r="E1602" s="19" t="s">
        <v>2901</v>
      </c>
      <c r="F1602" s="19" t="s">
        <v>1540</v>
      </c>
      <c r="G1602" s="2" t="str">
        <f t="shared" si="139"/>
        <v>http://jsmh.umin.jp/journal/25-2/25-2.pdf</v>
      </c>
      <c r="H1602" s="43" t="str">
        <f t="shared" si="140"/>
        <v>http://dl.ndl.go.jp/info:ndljp/pid/3359284</v>
      </c>
    </row>
    <row r="1603" spans="1:8" ht="30" customHeight="1" x14ac:dyDescent="0.15">
      <c r="A1603" s="16" t="s">
        <v>1855</v>
      </c>
      <c r="B1603" s="17" t="s">
        <v>2953</v>
      </c>
      <c r="C1603" s="17" t="s">
        <v>2932</v>
      </c>
      <c r="D1603" s="25" t="s">
        <v>2878</v>
      </c>
      <c r="E1603" s="19" t="s">
        <v>2901</v>
      </c>
      <c r="F1603" s="19" t="s">
        <v>292</v>
      </c>
      <c r="G1603" s="2" t="str">
        <f t="shared" si="139"/>
        <v>http://jsmh.umin.jp/journal/25-2/25-2.pdf</v>
      </c>
      <c r="H1603" s="43" t="str">
        <f t="shared" si="140"/>
        <v>http://dl.ndl.go.jp/info:ndljp/pid/3359284</v>
      </c>
    </row>
    <row r="1604" spans="1:8" ht="30" customHeight="1" x14ac:dyDescent="0.15">
      <c r="A1604" s="16" t="s">
        <v>1855</v>
      </c>
      <c r="B1604" s="17" t="s">
        <v>2954</v>
      </c>
      <c r="C1604" s="17" t="s">
        <v>1994</v>
      </c>
      <c r="D1604" s="25" t="s">
        <v>2878</v>
      </c>
      <c r="E1604" s="19" t="s">
        <v>2901</v>
      </c>
      <c r="F1604" s="19" t="s">
        <v>2955</v>
      </c>
      <c r="G1604" s="2" t="str">
        <f t="shared" si="139"/>
        <v>http://jsmh.umin.jp/journal/25-2/25-2.pdf</v>
      </c>
      <c r="H1604" s="43" t="str">
        <f t="shared" si="140"/>
        <v>http://dl.ndl.go.jp/info:ndljp/pid/3359284</v>
      </c>
    </row>
    <row r="1605" spans="1:8" ht="30" customHeight="1" x14ac:dyDescent="0.15">
      <c r="A1605" s="16" t="s">
        <v>1855</v>
      </c>
      <c r="B1605" s="17" t="s">
        <v>2956</v>
      </c>
      <c r="C1605" s="17" t="s">
        <v>485</v>
      </c>
      <c r="D1605" s="25" t="s">
        <v>2878</v>
      </c>
      <c r="E1605" s="19" t="s">
        <v>2901</v>
      </c>
      <c r="F1605" s="19" t="s">
        <v>2957</v>
      </c>
      <c r="G1605" s="2" t="str">
        <f t="shared" si="139"/>
        <v>http://jsmh.umin.jp/journal/25-2/25-2.pdf</v>
      </c>
      <c r="H1605" s="43" t="str">
        <f t="shared" si="140"/>
        <v>http://dl.ndl.go.jp/info:ndljp/pid/3359284</v>
      </c>
    </row>
    <row r="1606" spans="1:8" ht="30" customHeight="1" x14ac:dyDescent="0.15">
      <c r="A1606" s="16" t="s">
        <v>1855</v>
      </c>
      <c r="B1606" s="17" t="s">
        <v>2958</v>
      </c>
      <c r="C1606" s="17" t="s">
        <v>2959</v>
      </c>
      <c r="D1606" s="25" t="s">
        <v>2878</v>
      </c>
      <c r="E1606" s="19" t="s">
        <v>2901</v>
      </c>
      <c r="F1606" s="19" t="s">
        <v>2960</v>
      </c>
      <c r="G1606" s="2" t="str">
        <f t="shared" si="139"/>
        <v>http://jsmh.umin.jp/journal/25-2/25-2.pdf</v>
      </c>
      <c r="H1606" s="43" t="str">
        <f t="shared" si="140"/>
        <v>http://dl.ndl.go.jp/info:ndljp/pid/3359284</v>
      </c>
    </row>
    <row r="1607" spans="1:8" ht="30" customHeight="1" x14ac:dyDescent="0.15">
      <c r="A1607" s="16" t="s">
        <v>1855</v>
      </c>
      <c r="B1607" s="17" t="s">
        <v>2961</v>
      </c>
      <c r="C1607" s="17" t="s">
        <v>790</v>
      </c>
      <c r="D1607" s="25" t="s">
        <v>2878</v>
      </c>
      <c r="E1607" s="19" t="s">
        <v>2901</v>
      </c>
      <c r="F1607" s="19" t="s">
        <v>1254</v>
      </c>
      <c r="G1607" s="2" t="str">
        <f t="shared" si="139"/>
        <v>http://jsmh.umin.jp/journal/25-2/25-2.pdf</v>
      </c>
      <c r="H1607" s="43" t="str">
        <f t="shared" si="140"/>
        <v>http://dl.ndl.go.jp/info:ndljp/pid/3359284</v>
      </c>
    </row>
    <row r="1608" spans="1:8" ht="30" customHeight="1" x14ac:dyDescent="0.15">
      <c r="A1608" s="16" t="s">
        <v>1855</v>
      </c>
      <c r="B1608" s="17" t="s">
        <v>2962</v>
      </c>
      <c r="C1608" s="17" t="s">
        <v>790</v>
      </c>
      <c r="D1608" s="25" t="s">
        <v>2878</v>
      </c>
      <c r="E1608" s="19" t="s">
        <v>2901</v>
      </c>
      <c r="F1608" s="19" t="s">
        <v>1261</v>
      </c>
      <c r="G1608" s="2" t="str">
        <f t="shared" si="139"/>
        <v>http://jsmh.umin.jp/journal/25-2/25-2.pdf</v>
      </c>
      <c r="H1608" s="43" t="str">
        <f t="shared" si="140"/>
        <v>http://dl.ndl.go.jp/info:ndljp/pid/3359284</v>
      </c>
    </row>
    <row r="1609" spans="1:8" ht="30" customHeight="1" x14ac:dyDescent="0.15">
      <c r="A1609" s="16" t="s">
        <v>1855</v>
      </c>
      <c r="B1609" s="17" t="s">
        <v>2963</v>
      </c>
      <c r="C1609" s="17" t="s">
        <v>790</v>
      </c>
      <c r="D1609" s="25" t="s">
        <v>2878</v>
      </c>
      <c r="E1609" s="19" t="s">
        <v>2901</v>
      </c>
      <c r="F1609" s="19" t="s">
        <v>1265</v>
      </c>
      <c r="G1609" s="2" t="str">
        <f t="shared" si="139"/>
        <v>http://jsmh.umin.jp/journal/25-2/25-2.pdf</v>
      </c>
      <c r="H1609" s="43" t="str">
        <f t="shared" si="140"/>
        <v>http://dl.ndl.go.jp/info:ndljp/pid/3359284</v>
      </c>
    </row>
    <row r="1610" spans="1:8" ht="30" customHeight="1" x14ac:dyDescent="0.15">
      <c r="A1610" s="16" t="s">
        <v>17</v>
      </c>
      <c r="B1610" s="17" t="s">
        <v>2964</v>
      </c>
      <c r="C1610" s="17" t="s">
        <v>2965</v>
      </c>
      <c r="D1610" s="25" t="s">
        <v>2878</v>
      </c>
      <c r="E1610" s="19" t="s">
        <v>2966</v>
      </c>
      <c r="F1610" s="19" t="s">
        <v>2967</v>
      </c>
      <c r="G1610" s="2" t="str">
        <f t="shared" ref="G1610:G1625" si="141">HYPERLINK("http://jsmh.umin.jp/journal/25-3/25-3.pdf")</f>
        <v>http://jsmh.umin.jp/journal/25-3/25-3.pdf</v>
      </c>
      <c r="H1610" s="42" t="str">
        <f t="shared" ref="H1610:H1625" si="142">HYPERLINK("http://dl.ndl.go.jp/info:ndljp/pid/3359285")</f>
        <v>http://dl.ndl.go.jp/info:ndljp/pid/3359285</v>
      </c>
    </row>
    <row r="1611" spans="1:8" ht="30" customHeight="1" x14ac:dyDescent="0.15">
      <c r="A1611" s="16" t="s">
        <v>17</v>
      </c>
      <c r="B1611" s="17" t="s">
        <v>2968</v>
      </c>
      <c r="C1611" s="17" t="s">
        <v>2969</v>
      </c>
      <c r="D1611" s="25" t="s">
        <v>2878</v>
      </c>
      <c r="E1611" s="19" t="s">
        <v>2966</v>
      </c>
      <c r="F1611" s="19" t="s">
        <v>2970</v>
      </c>
      <c r="G1611" s="2" t="str">
        <f t="shared" si="141"/>
        <v>http://jsmh.umin.jp/journal/25-3/25-3.pdf</v>
      </c>
      <c r="H1611" s="43" t="str">
        <f t="shared" si="142"/>
        <v>http://dl.ndl.go.jp/info:ndljp/pid/3359285</v>
      </c>
    </row>
    <row r="1612" spans="1:8" ht="30" customHeight="1" x14ac:dyDescent="0.15">
      <c r="A1612" s="16" t="s">
        <v>17</v>
      </c>
      <c r="B1612" s="17" t="s">
        <v>2971</v>
      </c>
      <c r="C1612" s="17" t="s">
        <v>1699</v>
      </c>
      <c r="D1612" s="25" t="s">
        <v>2878</v>
      </c>
      <c r="E1612" s="19" t="s">
        <v>2966</v>
      </c>
      <c r="F1612" s="19" t="s">
        <v>2972</v>
      </c>
      <c r="G1612" s="2" t="str">
        <f t="shared" si="141"/>
        <v>http://jsmh.umin.jp/journal/25-3/25-3.pdf</v>
      </c>
      <c r="H1612" s="43" t="str">
        <f t="shared" si="142"/>
        <v>http://dl.ndl.go.jp/info:ndljp/pid/3359285</v>
      </c>
    </row>
    <row r="1613" spans="1:8" ht="30" customHeight="1" x14ac:dyDescent="0.15">
      <c r="A1613" s="16" t="s">
        <v>17</v>
      </c>
      <c r="B1613" s="17" t="s">
        <v>2973</v>
      </c>
      <c r="C1613" s="17" t="s">
        <v>1876</v>
      </c>
      <c r="D1613" s="25" t="s">
        <v>2878</v>
      </c>
      <c r="E1613" s="19" t="s">
        <v>2966</v>
      </c>
      <c r="F1613" s="19" t="s">
        <v>2974</v>
      </c>
      <c r="G1613" s="2" t="str">
        <f t="shared" si="141"/>
        <v>http://jsmh.umin.jp/journal/25-3/25-3.pdf</v>
      </c>
      <c r="H1613" s="43" t="str">
        <f t="shared" si="142"/>
        <v>http://dl.ndl.go.jp/info:ndljp/pid/3359285</v>
      </c>
    </row>
    <row r="1614" spans="1:8" ht="30" customHeight="1" x14ac:dyDescent="0.15">
      <c r="A1614" s="16" t="s">
        <v>17</v>
      </c>
      <c r="B1614" s="17" t="s">
        <v>2975</v>
      </c>
      <c r="C1614" s="17" t="s">
        <v>2465</v>
      </c>
      <c r="D1614" s="25" t="s">
        <v>2878</v>
      </c>
      <c r="E1614" s="19" t="s">
        <v>2966</v>
      </c>
      <c r="F1614" s="19" t="s">
        <v>2976</v>
      </c>
      <c r="G1614" s="2" t="str">
        <f t="shared" si="141"/>
        <v>http://jsmh.umin.jp/journal/25-3/25-3.pdf</v>
      </c>
      <c r="H1614" s="43" t="str">
        <f t="shared" si="142"/>
        <v>http://dl.ndl.go.jp/info:ndljp/pid/3359285</v>
      </c>
    </row>
    <row r="1615" spans="1:8" ht="30" customHeight="1" x14ac:dyDescent="0.15">
      <c r="A1615" s="16" t="s">
        <v>17</v>
      </c>
      <c r="B1615" s="17" t="s">
        <v>2977</v>
      </c>
      <c r="C1615" s="17" t="s">
        <v>790</v>
      </c>
      <c r="D1615" s="25" t="s">
        <v>2878</v>
      </c>
      <c r="E1615" s="19" t="s">
        <v>2966</v>
      </c>
      <c r="F1615" s="19" t="s">
        <v>2978</v>
      </c>
      <c r="G1615" s="2" t="str">
        <f t="shared" si="141"/>
        <v>http://jsmh.umin.jp/journal/25-3/25-3.pdf</v>
      </c>
      <c r="H1615" s="43" t="str">
        <f t="shared" si="142"/>
        <v>http://dl.ndl.go.jp/info:ndljp/pid/3359285</v>
      </c>
    </row>
    <row r="1616" spans="1:8" ht="30" customHeight="1" x14ac:dyDescent="0.15">
      <c r="A1616" s="16" t="s">
        <v>17</v>
      </c>
      <c r="B1616" s="17" t="s">
        <v>2979</v>
      </c>
      <c r="C1616" s="17" t="s">
        <v>198</v>
      </c>
      <c r="D1616" s="25" t="s">
        <v>2878</v>
      </c>
      <c r="E1616" s="19" t="s">
        <v>2966</v>
      </c>
      <c r="F1616" s="19" t="s">
        <v>2980</v>
      </c>
      <c r="G1616" s="2" t="str">
        <f t="shared" si="141"/>
        <v>http://jsmh.umin.jp/journal/25-3/25-3.pdf</v>
      </c>
      <c r="H1616" s="43" t="str">
        <f t="shared" si="142"/>
        <v>http://dl.ndl.go.jp/info:ndljp/pid/3359285</v>
      </c>
    </row>
    <row r="1617" spans="1:8" ht="30" customHeight="1" x14ac:dyDescent="0.15">
      <c r="A1617" s="16" t="s">
        <v>692</v>
      </c>
      <c r="B1617" s="17" t="s">
        <v>2981</v>
      </c>
      <c r="C1617" s="17" t="s">
        <v>1097</v>
      </c>
      <c r="D1617" s="25" t="s">
        <v>2878</v>
      </c>
      <c r="E1617" s="19" t="s">
        <v>2966</v>
      </c>
      <c r="F1617" s="19" t="s">
        <v>2982</v>
      </c>
      <c r="G1617" s="2" t="str">
        <f t="shared" si="141"/>
        <v>http://jsmh.umin.jp/journal/25-3/25-3.pdf</v>
      </c>
      <c r="H1617" s="43" t="str">
        <f t="shared" si="142"/>
        <v>http://dl.ndl.go.jp/info:ndljp/pid/3359285</v>
      </c>
    </row>
    <row r="1618" spans="1:8" ht="30" customHeight="1" x14ac:dyDescent="0.15">
      <c r="A1618" s="16" t="s">
        <v>692</v>
      </c>
      <c r="B1618" s="17" t="s">
        <v>2983</v>
      </c>
      <c r="C1618" s="17" t="s">
        <v>2834</v>
      </c>
      <c r="D1618" s="25" t="s">
        <v>2878</v>
      </c>
      <c r="E1618" s="19" t="s">
        <v>2966</v>
      </c>
      <c r="F1618" s="19" t="s">
        <v>1600</v>
      </c>
      <c r="G1618" s="2" t="str">
        <f t="shared" si="141"/>
        <v>http://jsmh.umin.jp/journal/25-3/25-3.pdf</v>
      </c>
      <c r="H1618" s="43" t="str">
        <f t="shared" si="142"/>
        <v>http://dl.ndl.go.jp/info:ndljp/pid/3359285</v>
      </c>
    </row>
    <row r="1619" spans="1:8" ht="30" customHeight="1" x14ac:dyDescent="0.15">
      <c r="A1619" s="16" t="s">
        <v>558</v>
      </c>
      <c r="B1619" s="17" t="s">
        <v>2889</v>
      </c>
      <c r="C1619" s="17"/>
      <c r="D1619" s="25" t="s">
        <v>2878</v>
      </c>
      <c r="E1619" s="19" t="s">
        <v>2966</v>
      </c>
      <c r="F1619" s="19" t="s">
        <v>2984</v>
      </c>
      <c r="G1619" s="2" t="str">
        <f t="shared" si="141"/>
        <v>http://jsmh.umin.jp/journal/25-3/25-3.pdf</v>
      </c>
      <c r="H1619" s="43" t="str">
        <f t="shared" si="142"/>
        <v>http://dl.ndl.go.jp/info:ndljp/pid/3359285</v>
      </c>
    </row>
    <row r="1620" spans="1:8" ht="30" customHeight="1" x14ac:dyDescent="0.15">
      <c r="A1620" s="16" t="s">
        <v>558</v>
      </c>
      <c r="B1620" s="17" t="s">
        <v>2985</v>
      </c>
      <c r="C1620" s="17"/>
      <c r="D1620" s="25" t="s">
        <v>2878</v>
      </c>
      <c r="E1620" s="19" t="s">
        <v>2966</v>
      </c>
      <c r="F1620" s="19" t="s">
        <v>2984</v>
      </c>
      <c r="G1620" s="2" t="str">
        <f t="shared" si="141"/>
        <v>http://jsmh.umin.jp/journal/25-3/25-3.pdf</v>
      </c>
      <c r="H1620" s="43" t="str">
        <f t="shared" si="142"/>
        <v>http://dl.ndl.go.jp/info:ndljp/pid/3359285</v>
      </c>
    </row>
    <row r="1621" spans="1:8" ht="30" customHeight="1" x14ac:dyDescent="0.15">
      <c r="A1621" s="16" t="s">
        <v>81</v>
      </c>
      <c r="B1621" s="17" t="s">
        <v>2986</v>
      </c>
      <c r="C1621" s="17"/>
      <c r="D1621" s="25" t="s">
        <v>2878</v>
      </c>
      <c r="E1621" s="19" t="s">
        <v>2966</v>
      </c>
      <c r="F1621" s="19" t="s">
        <v>2987</v>
      </c>
      <c r="G1621" s="2" t="str">
        <f t="shared" si="141"/>
        <v>http://jsmh.umin.jp/journal/25-3/25-3.pdf</v>
      </c>
      <c r="H1621" s="43" t="str">
        <f t="shared" si="142"/>
        <v>http://dl.ndl.go.jp/info:ndljp/pid/3359285</v>
      </c>
    </row>
    <row r="1622" spans="1:8" ht="30" customHeight="1" x14ac:dyDescent="0.15">
      <c r="A1622" s="16" t="s">
        <v>81</v>
      </c>
      <c r="B1622" s="17" t="s">
        <v>2988</v>
      </c>
      <c r="C1622" s="17" t="s">
        <v>2989</v>
      </c>
      <c r="D1622" s="25" t="s">
        <v>2878</v>
      </c>
      <c r="E1622" s="19" t="s">
        <v>2966</v>
      </c>
      <c r="F1622" s="19" t="s">
        <v>1611</v>
      </c>
      <c r="G1622" s="2" t="str">
        <f t="shared" si="141"/>
        <v>http://jsmh.umin.jp/journal/25-3/25-3.pdf</v>
      </c>
      <c r="H1622" s="43" t="str">
        <f t="shared" si="142"/>
        <v>http://dl.ndl.go.jp/info:ndljp/pid/3359285</v>
      </c>
    </row>
    <row r="1623" spans="1:8" ht="30" customHeight="1" x14ac:dyDescent="0.15">
      <c r="A1623" s="16" t="s">
        <v>2990</v>
      </c>
      <c r="B1623" s="17" t="s">
        <v>2991</v>
      </c>
      <c r="C1623" s="17" t="s">
        <v>1659</v>
      </c>
      <c r="D1623" s="25" t="s">
        <v>2878</v>
      </c>
      <c r="E1623" s="19" t="s">
        <v>2966</v>
      </c>
      <c r="F1623" s="19" t="s">
        <v>1613</v>
      </c>
      <c r="G1623" s="2" t="str">
        <f t="shared" si="141"/>
        <v>http://jsmh.umin.jp/journal/25-3/25-3.pdf</v>
      </c>
      <c r="H1623" s="43" t="str">
        <f t="shared" si="142"/>
        <v>http://dl.ndl.go.jp/info:ndljp/pid/3359285</v>
      </c>
    </row>
    <row r="1624" spans="1:8" ht="30" customHeight="1" x14ac:dyDescent="0.15">
      <c r="A1624" s="16" t="s">
        <v>2990</v>
      </c>
      <c r="B1624" s="17" t="s">
        <v>2992</v>
      </c>
      <c r="C1624" s="17"/>
      <c r="D1624" s="25" t="s">
        <v>2878</v>
      </c>
      <c r="E1624" s="19" t="s">
        <v>2966</v>
      </c>
      <c r="F1624" s="19" t="s">
        <v>1627</v>
      </c>
      <c r="G1624" s="2" t="str">
        <f t="shared" si="141"/>
        <v>http://jsmh.umin.jp/journal/25-3/25-3.pdf</v>
      </c>
      <c r="H1624" s="43" t="str">
        <f t="shared" si="142"/>
        <v>http://dl.ndl.go.jp/info:ndljp/pid/3359285</v>
      </c>
    </row>
    <row r="1625" spans="1:8" ht="30" customHeight="1" x14ac:dyDescent="0.15">
      <c r="A1625" s="16" t="s">
        <v>17</v>
      </c>
      <c r="B1625" s="17" t="s">
        <v>2993</v>
      </c>
      <c r="C1625" s="17" t="s">
        <v>2994</v>
      </c>
      <c r="D1625" s="25" t="s">
        <v>2878</v>
      </c>
      <c r="E1625" s="19" t="s">
        <v>2966</v>
      </c>
      <c r="F1625" s="19" t="s">
        <v>2995</v>
      </c>
      <c r="G1625" s="2" t="str">
        <f t="shared" si="141"/>
        <v>http://jsmh.umin.jp/journal/25-3/25-3.pdf</v>
      </c>
      <c r="H1625" s="43" t="str">
        <f t="shared" si="142"/>
        <v>http://dl.ndl.go.jp/info:ndljp/pid/3359285</v>
      </c>
    </row>
    <row r="1626" spans="1:8" ht="30" customHeight="1" x14ac:dyDescent="0.15">
      <c r="A1626" s="16" t="s">
        <v>17</v>
      </c>
      <c r="B1626" s="17" t="s">
        <v>2996</v>
      </c>
      <c r="C1626" s="17" t="s">
        <v>1602</v>
      </c>
      <c r="D1626" s="25" t="s">
        <v>2878</v>
      </c>
      <c r="E1626" s="19" t="s">
        <v>2997</v>
      </c>
      <c r="F1626" s="19" t="s">
        <v>2998</v>
      </c>
      <c r="G1626" s="3" t="str">
        <f t="shared" ref="G1626:G1639" si="143">HYPERLINK("http://jsmh.umin.jp/journal/25-4/25-4.pdf")</f>
        <v>http://jsmh.umin.jp/journal/25-4/25-4.pdf</v>
      </c>
      <c r="H1626" s="42" t="str">
        <f t="shared" ref="H1626:H1639" si="144">HYPERLINK("http://dl.ndl.go.jp/info:ndljp/pid/3359286")</f>
        <v>http://dl.ndl.go.jp/info:ndljp/pid/3359286</v>
      </c>
    </row>
    <row r="1627" spans="1:8" ht="30" customHeight="1" x14ac:dyDescent="0.15">
      <c r="A1627" s="16" t="s">
        <v>17</v>
      </c>
      <c r="B1627" s="17" t="s">
        <v>2999</v>
      </c>
      <c r="C1627" s="17" t="s">
        <v>2732</v>
      </c>
      <c r="D1627" s="25" t="s">
        <v>2878</v>
      </c>
      <c r="E1627" s="19" t="s">
        <v>2997</v>
      </c>
      <c r="F1627" s="19" t="s">
        <v>3000</v>
      </c>
      <c r="G1627" s="2" t="str">
        <f t="shared" si="143"/>
        <v>http://jsmh.umin.jp/journal/25-4/25-4.pdf</v>
      </c>
      <c r="H1627" s="43" t="str">
        <f t="shared" si="144"/>
        <v>http://dl.ndl.go.jp/info:ndljp/pid/3359286</v>
      </c>
    </row>
    <row r="1628" spans="1:8" ht="30" customHeight="1" x14ac:dyDescent="0.15">
      <c r="A1628" s="16" t="s">
        <v>17</v>
      </c>
      <c r="B1628" s="17" t="s">
        <v>3001</v>
      </c>
      <c r="C1628" s="17" t="s">
        <v>2969</v>
      </c>
      <c r="D1628" s="25" t="s">
        <v>2878</v>
      </c>
      <c r="E1628" s="19" t="s">
        <v>2997</v>
      </c>
      <c r="F1628" s="19" t="s">
        <v>3002</v>
      </c>
      <c r="G1628" s="2" t="str">
        <f t="shared" si="143"/>
        <v>http://jsmh.umin.jp/journal/25-4/25-4.pdf</v>
      </c>
      <c r="H1628" s="43" t="str">
        <f t="shared" si="144"/>
        <v>http://dl.ndl.go.jp/info:ndljp/pid/3359286</v>
      </c>
    </row>
    <row r="1629" spans="1:8" ht="30" customHeight="1" x14ac:dyDescent="0.15">
      <c r="A1629" s="16" t="s">
        <v>17</v>
      </c>
      <c r="B1629" s="17" t="s">
        <v>3003</v>
      </c>
      <c r="C1629" s="17" t="s">
        <v>76</v>
      </c>
      <c r="D1629" s="25" t="s">
        <v>2878</v>
      </c>
      <c r="E1629" s="19" t="s">
        <v>2997</v>
      </c>
      <c r="F1629" s="19" t="s">
        <v>3004</v>
      </c>
      <c r="G1629" s="2" t="str">
        <f t="shared" si="143"/>
        <v>http://jsmh.umin.jp/journal/25-4/25-4.pdf</v>
      </c>
      <c r="H1629" s="43" t="str">
        <f t="shared" si="144"/>
        <v>http://dl.ndl.go.jp/info:ndljp/pid/3359286</v>
      </c>
    </row>
    <row r="1630" spans="1:8" ht="30" customHeight="1" x14ac:dyDescent="0.15">
      <c r="A1630" s="16" t="s">
        <v>17</v>
      </c>
      <c r="B1630" s="17" t="s">
        <v>3005</v>
      </c>
      <c r="C1630" s="17" t="s">
        <v>790</v>
      </c>
      <c r="D1630" s="25" t="s">
        <v>2878</v>
      </c>
      <c r="E1630" s="19" t="s">
        <v>2997</v>
      </c>
      <c r="F1630" s="19" t="s">
        <v>3006</v>
      </c>
      <c r="G1630" s="2" t="str">
        <f t="shared" si="143"/>
        <v>http://jsmh.umin.jp/journal/25-4/25-4.pdf</v>
      </c>
      <c r="H1630" s="43" t="str">
        <f t="shared" si="144"/>
        <v>http://dl.ndl.go.jp/info:ndljp/pid/3359286</v>
      </c>
    </row>
    <row r="1631" spans="1:8" ht="30" customHeight="1" x14ac:dyDescent="0.15">
      <c r="A1631" s="16" t="s">
        <v>17</v>
      </c>
      <c r="B1631" s="17" t="s">
        <v>3007</v>
      </c>
      <c r="C1631" s="17" t="s">
        <v>790</v>
      </c>
      <c r="D1631" s="25" t="s">
        <v>2878</v>
      </c>
      <c r="E1631" s="19" t="s">
        <v>2997</v>
      </c>
      <c r="F1631" s="19" t="s">
        <v>3008</v>
      </c>
      <c r="G1631" s="2" t="str">
        <f t="shared" si="143"/>
        <v>http://jsmh.umin.jp/journal/25-4/25-4.pdf</v>
      </c>
      <c r="H1631" s="43" t="str">
        <f t="shared" si="144"/>
        <v>http://dl.ndl.go.jp/info:ndljp/pid/3359286</v>
      </c>
    </row>
    <row r="1632" spans="1:8" ht="30" customHeight="1" x14ac:dyDescent="0.15">
      <c r="A1632" s="16" t="s">
        <v>17</v>
      </c>
      <c r="B1632" s="17" t="s">
        <v>3009</v>
      </c>
      <c r="C1632" s="17" t="s">
        <v>3010</v>
      </c>
      <c r="D1632" s="25" t="s">
        <v>2878</v>
      </c>
      <c r="E1632" s="19" t="s">
        <v>2997</v>
      </c>
      <c r="F1632" s="19" t="s">
        <v>3011</v>
      </c>
      <c r="G1632" s="2" t="str">
        <f t="shared" si="143"/>
        <v>http://jsmh.umin.jp/journal/25-4/25-4.pdf</v>
      </c>
      <c r="H1632" s="43" t="str">
        <f t="shared" si="144"/>
        <v>http://dl.ndl.go.jp/info:ndljp/pid/3359286</v>
      </c>
    </row>
    <row r="1633" spans="1:8" ht="30" customHeight="1" x14ac:dyDescent="0.15">
      <c r="A1633" s="16" t="s">
        <v>692</v>
      </c>
      <c r="B1633" s="17" t="s">
        <v>3012</v>
      </c>
      <c r="C1633" s="17" t="s">
        <v>1097</v>
      </c>
      <c r="D1633" s="25" t="s">
        <v>2878</v>
      </c>
      <c r="E1633" s="19" t="s">
        <v>2997</v>
      </c>
      <c r="F1633" s="19" t="s">
        <v>3013</v>
      </c>
      <c r="G1633" s="2" t="str">
        <f t="shared" si="143"/>
        <v>http://jsmh.umin.jp/journal/25-4/25-4.pdf</v>
      </c>
      <c r="H1633" s="43" t="str">
        <f t="shared" si="144"/>
        <v>http://dl.ndl.go.jp/info:ndljp/pid/3359286</v>
      </c>
    </row>
    <row r="1634" spans="1:8" ht="30" customHeight="1" x14ac:dyDescent="0.15">
      <c r="A1634" s="16" t="s">
        <v>692</v>
      </c>
      <c r="B1634" s="17" t="s">
        <v>3014</v>
      </c>
      <c r="C1634" s="17" t="s">
        <v>2834</v>
      </c>
      <c r="D1634" s="25" t="s">
        <v>2878</v>
      </c>
      <c r="E1634" s="19" t="s">
        <v>2997</v>
      </c>
      <c r="F1634" s="19" t="s">
        <v>3015</v>
      </c>
      <c r="G1634" s="2" t="str">
        <f t="shared" si="143"/>
        <v>http://jsmh.umin.jp/journal/25-4/25-4.pdf</v>
      </c>
      <c r="H1634" s="43" t="str">
        <f t="shared" si="144"/>
        <v>http://dl.ndl.go.jp/info:ndljp/pid/3359286</v>
      </c>
    </row>
    <row r="1635" spans="1:8" ht="30" customHeight="1" x14ac:dyDescent="0.15">
      <c r="A1635" s="16" t="s">
        <v>558</v>
      </c>
      <c r="B1635" s="17" t="s">
        <v>3016</v>
      </c>
      <c r="C1635" s="17"/>
      <c r="D1635" s="25" t="s">
        <v>2878</v>
      </c>
      <c r="E1635" s="19" t="s">
        <v>2997</v>
      </c>
      <c r="F1635" s="19" t="s">
        <v>3017</v>
      </c>
      <c r="G1635" s="2" t="str">
        <f t="shared" si="143"/>
        <v>http://jsmh.umin.jp/journal/25-4/25-4.pdf</v>
      </c>
      <c r="H1635" s="43" t="str">
        <f t="shared" si="144"/>
        <v>http://dl.ndl.go.jp/info:ndljp/pid/3359286</v>
      </c>
    </row>
    <row r="1636" spans="1:8" ht="30" customHeight="1" x14ac:dyDescent="0.15">
      <c r="A1636" s="16" t="s">
        <v>558</v>
      </c>
      <c r="B1636" s="17" t="s">
        <v>2889</v>
      </c>
      <c r="C1636" s="17"/>
      <c r="D1636" s="25" t="s">
        <v>2878</v>
      </c>
      <c r="E1636" s="19" t="s">
        <v>2997</v>
      </c>
      <c r="F1636" s="19" t="s">
        <v>3017</v>
      </c>
      <c r="G1636" s="2" t="str">
        <f t="shared" si="143"/>
        <v>http://jsmh.umin.jp/journal/25-4/25-4.pdf</v>
      </c>
      <c r="H1636" s="43" t="str">
        <f t="shared" si="144"/>
        <v>http://dl.ndl.go.jp/info:ndljp/pid/3359286</v>
      </c>
    </row>
    <row r="1637" spans="1:8" ht="30" customHeight="1" x14ac:dyDescent="0.15">
      <c r="A1637" s="16" t="s">
        <v>81</v>
      </c>
      <c r="B1637" s="17" t="s">
        <v>3018</v>
      </c>
      <c r="C1637" s="17"/>
      <c r="D1637" s="25" t="s">
        <v>2878</v>
      </c>
      <c r="E1637" s="19" t="s">
        <v>2997</v>
      </c>
      <c r="F1637" s="19" t="s">
        <v>3019</v>
      </c>
      <c r="G1637" s="2" t="str">
        <f t="shared" si="143"/>
        <v>http://jsmh.umin.jp/journal/25-4/25-4.pdf</v>
      </c>
      <c r="H1637" s="43" t="str">
        <f t="shared" si="144"/>
        <v>http://dl.ndl.go.jp/info:ndljp/pid/3359286</v>
      </c>
    </row>
    <row r="1638" spans="1:8" ht="30" customHeight="1" x14ac:dyDescent="0.15">
      <c r="A1638" s="16" t="s">
        <v>81</v>
      </c>
      <c r="B1638" s="17" t="s">
        <v>3020</v>
      </c>
      <c r="C1638" s="17"/>
      <c r="D1638" s="25" t="s">
        <v>2878</v>
      </c>
      <c r="E1638" s="19" t="s">
        <v>2997</v>
      </c>
      <c r="F1638" s="19" t="s">
        <v>3019</v>
      </c>
      <c r="G1638" s="2" t="str">
        <f t="shared" si="143"/>
        <v>http://jsmh.umin.jp/journal/25-4/25-4.pdf</v>
      </c>
      <c r="H1638" s="43" t="str">
        <f t="shared" si="144"/>
        <v>http://dl.ndl.go.jp/info:ndljp/pid/3359286</v>
      </c>
    </row>
    <row r="1639" spans="1:8" ht="30" customHeight="1" x14ac:dyDescent="0.15">
      <c r="A1639" s="16" t="s">
        <v>17</v>
      </c>
      <c r="B1639" s="17" t="s">
        <v>10116</v>
      </c>
      <c r="C1639" s="17" t="s">
        <v>3021</v>
      </c>
      <c r="D1639" s="25" t="s">
        <v>2878</v>
      </c>
      <c r="E1639" s="19" t="s">
        <v>2997</v>
      </c>
      <c r="F1639" s="19" t="s">
        <v>3022</v>
      </c>
      <c r="G1639" s="2" t="str">
        <f t="shared" si="143"/>
        <v>http://jsmh.umin.jp/journal/25-4/25-4.pdf</v>
      </c>
      <c r="H1639" s="43" t="str">
        <f t="shared" si="144"/>
        <v>http://dl.ndl.go.jp/info:ndljp/pid/3359286</v>
      </c>
    </row>
    <row r="1640" spans="1:8" ht="30" customHeight="1" x14ac:dyDescent="0.15">
      <c r="A1640" s="16" t="s">
        <v>17</v>
      </c>
      <c r="B1640" s="17" t="s">
        <v>3023</v>
      </c>
      <c r="C1640" s="17" t="s">
        <v>3024</v>
      </c>
      <c r="D1640" s="18" t="s">
        <v>3025</v>
      </c>
      <c r="E1640" s="19" t="s">
        <v>3026</v>
      </c>
      <c r="F1640" s="19" t="s">
        <v>1121</v>
      </c>
      <c r="G1640" s="2" t="str">
        <f t="shared" ref="G1640:G1654" si="145">HYPERLINK("http://jsmh.umin.jp/journal/26-1/26-1.pdf")</f>
        <v>http://jsmh.umin.jp/journal/26-1/26-1.pdf</v>
      </c>
      <c r="H1640" s="42" t="str">
        <f t="shared" ref="H1640:H1654" si="146">HYPERLINK("http://dl.ndl.go.jp/info:ndljp/pid/3359287")</f>
        <v>http://dl.ndl.go.jp/info:ndljp/pid/3359287</v>
      </c>
    </row>
    <row r="1641" spans="1:8" ht="30" customHeight="1" x14ac:dyDescent="0.15">
      <c r="A1641" s="16" t="s">
        <v>17</v>
      </c>
      <c r="B1641" s="17" t="s">
        <v>3027</v>
      </c>
      <c r="C1641" s="17" t="s">
        <v>1803</v>
      </c>
      <c r="D1641" s="25" t="s">
        <v>3025</v>
      </c>
      <c r="E1641" s="19" t="s">
        <v>3026</v>
      </c>
      <c r="F1641" s="19" t="s">
        <v>1643</v>
      </c>
      <c r="G1641" s="2" t="str">
        <f t="shared" si="145"/>
        <v>http://jsmh.umin.jp/journal/26-1/26-1.pdf</v>
      </c>
      <c r="H1641" s="43" t="str">
        <f t="shared" si="146"/>
        <v>http://dl.ndl.go.jp/info:ndljp/pid/3359287</v>
      </c>
    </row>
    <row r="1642" spans="1:8" ht="30" customHeight="1" x14ac:dyDescent="0.15">
      <c r="A1642" s="16" t="s">
        <v>17</v>
      </c>
      <c r="B1642" s="17" t="s">
        <v>3028</v>
      </c>
      <c r="C1642" s="17" t="s">
        <v>3029</v>
      </c>
      <c r="D1642" s="25" t="s">
        <v>3025</v>
      </c>
      <c r="E1642" s="19" t="s">
        <v>3026</v>
      </c>
      <c r="F1642" s="19" t="s">
        <v>3030</v>
      </c>
      <c r="G1642" s="2" t="str">
        <f t="shared" si="145"/>
        <v>http://jsmh.umin.jp/journal/26-1/26-1.pdf</v>
      </c>
      <c r="H1642" s="43" t="str">
        <f t="shared" si="146"/>
        <v>http://dl.ndl.go.jp/info:ndljp/pid/3359287</v>
      </c>
    </row>
    <row r="1643" spans="1:8" ht="30" customHeight="1" x14ac:dyDescent="0.15">
      <c r="A1643" s="16" t="s">
        <v>17</v>
      </c>
      <c r="B1643" s="17" t="s">
        <v>3031</v>
      </c>
      <c r="C1643" s="17" t="s">
        <v>790</v>
      </c>
      <c r="D1643" s="25" t="s">
        <v>3025</v>
      </c>
      <c r="E1643" s="19" t="s">
        <v>3026</v>
      </c>
      <c r="F1643" s="19" t="s">
        <v>3032</v>
      </c>
      <c r="G1643" s="2" t="str">
        <f t="shared" si="145"/>
        <v>http://jsmh.umin.jp/journal/26-1/26-1.pdf</v>
      </c>
      <c r="H1643" s="43" t="str">
        <f t="shared" si="146"/>
        <v>http://dl.ndl.go.jp/info:ndljp/pid/3359287</v>
      </c>
    </row>
    <row r="1644" spans="1:8" ht="30" customHeight="1" x14ac:dyDescent="0.15">
      <c r="A1644" s="16" t="s">
        <v>17</v>
      </c>
      <c r="B1644" s="17" t="s">
        <v>3033</v>
      </c>
      <c r="C1644" s="17" t="s">
        <v>790</v>
      </c>
      <c r="D1644" s="25" t="s">
        <v>3025</v>
      </c>
      <c r="E1644" s="19" t="s">
        <v>3026</v>
      </c>
      <c r="F1644" s="19" t="s">
        <v>3034</v>
      </c>
      <c r="G1644" s="2" t="str">
        <f t="shared" si="145"/>
        <v>http://jsmh.umin.jp/journal/26-1/26-1.pdf</v>
      </c>
      <c r="H1644" s="43" t="str">
        <f t="shared" si="146"/>
        <v>http://dl.ndl.go.jp/info:ndljp/pid/3359287</v>
      </c>
    </row>
    <row r="1645" spans="1:8" ht="30" customHeight="1" x14ac:dyDescent="0.15">
      <c r="A1645" s="16" t="s">
        <v>692</v>
      </c>
      <c r="B1645" s="17" t="s">
        <v>3035</v>
      </c>
      <c r="C1645" s="17" t="s">
        <v>2834</v>
      </c>
      <c r="D1645" s="25" t="s">
        <v>3025</v>
      </c>
      <c r="E1645" s="19" t="s">
        <v>3026</v>
      </c>
      <c r="F1645" s="19" t="s">
        <v>1655</v>
      </c>
      <c r="G1645" s="2" t="str">
        <f t="shared" si="145"/>
        <v>http://jsmh.umin.jp/journal/26-1/26-1.pdf</v>
      </c>
      <c r="H1645" s="43" t="str">
        <f t="shared" si="146"/>
        <v>http://dl.ndl.go.jp/info:ndljp/pid/3359287</v>
      </c>
    </row>
    <row r="1646" spans="1:8" ht="30" customHeight="1" x14ac:dyDescent="0.15">
      <c r="A1646" s="16" t="s">
        <v>2894</v>
      </c>
      <c r="B1646" s="17" t="s">
        <v>3036</v>
      </c>
      <c r="C1646" s="17"/>
      <c r="D1646" s="25" t="s">
        <v>3025</v>
      </c>
      <c r="E1646" s="19" t="s">
        <v>3026</v>
      </c>
      <c r="F1646" s="19" t="s">
        <v>3037</v>
      </c>
      <c r="G1646" s="2" t="str">
        <f t="shared" si="145"/>
        <v>http://jsmh.umin.jp/journal/26-1/26-1.pdf</v>
      </c>
      <c r="H1646" s="43" t="str">
        <f t="shared" si="146"/>
        <v>http://dl.ndl.go.jp/info:ndljp/pid/3359287</v>
      </c>
    </row>
    <row r="1647" spans="1:8" ht="30" customHeight="1" x14ac:dyDescent="0.15">
      <c r="A1647" s="16" t="s">
        <v>81</v>
      </c>
      <c r="B1647" s="17" t="s">
        <v>3038</v>
      </c>
      <c r="C1647" s="17" t="s">
        <v>2891</v>
      </c>
      <c r="D1647" s="25" t="s">
        <v>3025</v>
      </c>
      <c r="E1647" s="19" t="s">
        <v>3026</v>
      </c>
      <c r="F1647" s="19" t="s">
        <v>3039</v>
      </c>
      <c r="G1647" s="2" t="str">
        <f t="shared" si="145"/>
        <v>http://jsmh.umin.jp/journal/26-1/26-1.pdf</v>
      </c>
      <c r="H1647" s="43" t="str">
        <f t="shared" si="146"/>
        <v>http://dl.ndl.go.jp/info:ndljp/pid/3359287</v>
      </c>
    </row>
    <row r="1648" spans="1:8" ht="30" customHeight="1" x14ac:dyDescent="0.15">
      <c r="A1648" s="16" t="s">
        <v>558</v>
      </c>
      <c r="B1648" s="17" t="s">
        <v>2889</v>
      </c>
      <c r="C1648" s="17"/>
      <c r="D1648" s="25" t="s">
        <v>3025</v>
      </c>
      <c r="E1648" s="19" t="s">
        <v>3026</v>
      </c>
      <c r="F1648" s="19" t="s">
        <v>3039</v>
      </c>
      <c r="G1648" s="2" t="str">
        <f t="shared" si="145"/>
        <v>http://jsmh.umin.jp/journal/26-1/26-1.pdf</v>
      </c>
      <c r="H1648" s="43" t="str">
        <f t="shared" si="146"/>
        <v>http://dl.ndl.go.jp/info:ndljp/pid/3359287</v>
      </c>
    </row>
    <row r="1649" spans="1:8" ht="30" customHeight="1" x14ac:dyDescent="0.15">
      <c r="A1649" s="16" t="s">
        <v>81</v>
      </c>
      <c r="B1649" s="17" t="s">
        <v>3040</v>
      </c>
      <c r="C1649" s="17" t="s">
        <v>1097</v>
      </c>
      <c r="D1649" s="25" t="s">
        <v>3025</v>
      </c>
      <c r="E1649" s="19" t="s">
        <v>3026</v>
      </c>
      <c r="F1649" s="19" t="s">
        <v>451</v>
      </c>
      <c r="G1649" s="2" t="str">
        <f t="shared" si="145"/>
        <v>http://jsmh.umin.jp/journal/26-1/26-1.pdf</v>
      </c>
      <c r="H1649" s="43" t="str">
        <f t="shared" si="146"/>
        <v>http://dl.ndl.go.jp/info:ndljp/pid/3359287</v>
      </c>
    </row>
    <row r="1650" spans="1:8" ht="30" customHeight="1" x14ac:dyDescent="0.15">
      <c r="A1650" s="16" t="s">
        <v>1236</v>
      </c>
      <c r="B1650" s="17" t="s">
        <v>3041</v>
      </c>
      <c r="C1650" s="17" t="s">
        <v>1994</v>
      </c>
      <c r="D1650" s="25" t="s">
        <v>3025</v>
      </c>
      <c r="E1650" s="19" t="s">
        <v>3026</v>
      </c>
      <c r="F1650" s="19" t="s">
        <v>454</v>
      </c>
      <c r="G1650" s="2" t="str">
        <f t="shared" si="145"/>
        <v>http://jsmh.umin.jp/journal/26-1/26-1.pdf</v>
      </c>
      <c r="H1650" s="43" t="str">
        <f t="shared" si="146"/>
        <v>http://dl.ndl.go.jp/info:ndljp/pid/3359287</v>
      </c>
    </row>
    <row r="1651" spans="1:8" ht="30" customHeight="1" x14ac:dyDescent="0.15">
      <c r="A1651" s="16" t="s">
        <v>81</v>
      </c>
      <c r="B1651" s="17" t="s">
        <v>3042</v>
      </c>
      <c r="C1651" s="17"/>
      <c r="D1651" s="25" t="s">
        <v>3025</v>
      </c>
      <c r="E1651" s="19" t="s">
        <v>3026</v>
      </c>
      <c r="F1651" s="19" t="s">
        <v>3043</v>
      </c>
      <c r="G1651" s="2" t="str">
        <f t="shared" si="145"/>
        <v>http://jsmh.umin.jp/journal/26-1/26-1.pdf</v>
      </c>
      <c r="H1651" s="43" t="str">
        <f t="shared" si="146"/>
        <v>http://dl.ndl.go.jp/info:ndljp/pid/3359287</v>
      </c>
    </row>
    <row r="1652" spans="1:8" ht="30" customHeight="1" x14ac:dyDescent="0.15">
      <c r="A1652" s="16" t="s">
        <v>81</v>
      </c>
      <c r="B1652" s="17" t="s">
        <v>3044</v>
      </c>
      <c r="C1652" s="17"/>
      <c r="D1652" s="25" t="s">
        <v>3025</v>
      </c>
      <c r="E1652" s="19" t="s">
        <v>3026</v>
      </c>
      <c r="F1652" s="19" t="s">
        <v>859</v>
      </c>
      <c r="G1652" s="2" t="str">
        <f t="shared" si="145"/>
        <v>http://jsmh.umin.jp/journal/26-1/26-1.pdf</v>
      </c>
      <c r="H1652" s="43" t="str">
        <f t="shared" si="146"/>
        <v>http://dl.ndl.go.jp/info:ndljp/pid/3359287</v>
      </c>
    </row>
    <row r="1653" spans="1:8" ht="30" customHeight="1" x14ac:dyDescent="0.15">
      <c r="A1653" s="16" t="s">
        <v>2990</v>
      </c>
      <c r="B1653" s="17" t="s">
        <v>10117</v>
      </c>
      <c r="C1653" s="17" t="s">
        <v>790</v>
      </c>
      <c r="D1653" s="25" t="s">
        <v>3025</v>
      </c>
      <c r="E1653" s="19" t="s">
        <v>3026</v>
      </c>
      <c r="F1653" s="19" t="s">
        <v>312</v>
      </c>
      <c r="G1653" s="2" t="str">
        <f t="shared" si="145"/>
        <v>http://jsmh.umin.jp/journal/26-1/26-1.pdf</v>
      </c>
      <c r="H1653" s="43" t="str">
        <f t="shared" si="146"/>
        <v>http://dl.ndl.go.jp/info:ndljp/pid/3359287</v>
      </c>
    </row>
    <row r="1654" spans="1:8" ht="30" customHeight="1" x14ac:dyDescent="0.15">
      <c r="A1654" s="16" t="s">
        <v>17</v>
      </c>
      <c r="B1654" s="17" t="s">
        <v>3045</v>
      </c>
      <c r="C1654" s="17" t="s">
        <v>3046</v>
      </c>
      <c r="D1654" s="25" t="s">
        <v>3025</v>
      </c>
      <c r="E1654" s="19" t="s">
        <v>3026</v>
      </c>
      <c r="F1654" s="19" t="s">
        <v>3047</v>
      </c>
      <c r="G1654" s="2" t="str">
        <f t="shared" si="145"/>
        <v>http://jsmh.umin.jp/journal/26-1/26-1.pdf</v>
      </c>
      <c r="H1654" s="43" t="str">
        <f t="shared" si="146"/>
        <v>http://dl.ndl.go.jp/info:ndljp/pid/3359287</v>
      </c>
    </row>
    <row r="1655" spans="1:8" ht="30" customHeight="1" x14ac:dyDescent="0.15">
      <c r="A1655" s="16" t="s">
        <v>17</v>
      </c>
      <c r="B1655" s="17" t="s">
        <v>3048</v>
      </c>
      <c r="C1655" s="17" t="s">
        <v>2732</v>
      </c>
      <c r="D1655" s="25" t="s">
        <v>3025</v>
      </c>
      <c r="E1655" s="19" t="s">
        <v>3049</v>
      </c>
      <c r="F1655" s="19" t="s">
        <v>3050</v>
      </c>
      <c r="G1655" s="2" t="str">
        <f t="shared" ref="G1655:G1664" si="147">HYPERLINK("http://jsmh.umin.jp/journal/26-2/26-2.pdf")</f>
        <v>http://jsmh.umin.jp/journal/26-2/26-2.pdf</v>
      </c>
      <c r="H1655" s="42" t="str">
        <f t="shared" ref="H1655:H1664" si="148">HYPERLINK("http://dl.ndl.go.jp/info:ndljp/pid/3359288")</f>
        <v>http://dl.ndl.go.jp/info:ndljp/pid/3359288</v>
      </c>
    </row>
    <row r="1656" spans="1:8" ht="30" customHeight="1" x14ac:dyDescent="0.15">
      <c r="A1656" s="16" t="s">
        <v>17</v>
      </c>
      <c r="B1656" s="17" t="s">
        <v>3051</v>
      </c>
      <c r="C1656" s="17" t="s">
        <v>1876</v>
      </c>
      <c r="D1656" s="25" t="s">
        <v>3025</v>
      </c>
      <c r="E1656" s="19" t="s">
        <v>3049</v>
      </c>
      <c r="F1656" s="19" t="s">
        <v>3052</v>
      </c>
      <c r="G1656" s="2" t="str">
        <f t="shared" si="147"/>
        <v>http://jsmh.umin.jp/journal/26-2/26-2.pdf</v>
      </c>
      <c r="H1656" s="43" t="str">
        <f t="shared" si="148"/>
        <v>http://dl.ndl.go.jp/info:ndljp/pid/3359288</v>
      </c>
    </row>
    <row r="1657" spans="1:8" ht="30" customHeight="1" x14ac:dyDescent="0.15">
      <c r="A1657" s="16" t="s">
        <v>17</v>
      </c>
      <c r="B1657" s="17" t="s">
        <v>3053</v>
      </c>
      <c r="C1657" s="17" t="s">
        <v>1699</v>
      </c>
      <c r="D1657" s="25" t="s">
        <v>3025</v>
      </c>
      <c r="E1657" s="19" t="s">
        <v>3049</v>
      </c>
      <c r="F1657" s="19" t="s">
        <v>3054</v>
      </c>
      <c r="G1657" s="2" t="str">
        <f t="shared" si="147"/>
        <v>http://jsmh.umin.jp/journal/26-2/26-2.pdf</v>
      </c>
      <c r="H1657" s="43" t="str">
        <f t="shared" si="148"/>
        <v>http://dl.ndl.go.jp/info:ndljp/pid/3359288</v>
      </c>
    </row>
    <row r="1658" spans="1:8" ht="30" customHeight="1" x14ac:dyDescent="0.15">
      <c r="A1658" s="16" t="s">
        <v>17</v>
      </c>
      <c r="B1658" s="17" t="s">
        <v>3055</v>
      </c>
      <c r="C1658" s="17" t="s">
        <v>2937</v>
      </c>
      <c r="D1658" s="25" t="s">
        <v>3025</v>
      </c>
      <c r="E1658" s="19" t="s">
        <v>3049</v>
      </c>
      <c r="F1658" s="19" t="s">
        <v>3056</v>
      </c>
      <c r="G1658" s="2" t="str">
        <f t="shared" si="147"/>
        <v>http://jsmh.umin.jp/journal/26-2/26-2.pdf</v>
      </c>
      <c r="H1658" s="43" t="str">
        <f t="shared" si="148"/>
        <v>http://dl.ndl.go.jp/info:ndljp/pid/3359288</v>
      </c>
    </row>
    <row r="1659" spans="1:8" ht="30" customHeight="1" x14ac:dyDescent="0.15">
      <c r="A1659" s="16" t="s">
        <v>17</v>
      </c>
      <c r="B1659" s="17" t="s">
        <v>3057</v>
      </c>
      <c r="C1659" s="17" t="s">
        <v>3024</v>
      </c>
      <c r="D1659" s="25" t="s">
        <v>3025</v>
      </c>
      <c r="E1659" s="19" t="s">
        <v>3049</v>
      </c>
      <c r="F1659" s="19" t="s">
        <v>3058</v>
      </c>
      <c r="G1659" s="2" t="str">
        <f t="shared" si="147"/>
        <v>http://jsmh.umin.jp/journal/26-2/26-2.pdf</v>
      </c>
      <c r="H1659" s="43" t="str">
        <f t="shared" si="148"/>
        <v>http://dl.ndl.go.jp/info:ndljp/pid/3359288</v>
      </c>
    </row>
    <row r="1660" spans="1:8" ht="30" customHeight="1" x14ac:dyDescent="0.15">
      <c r="A1660" s="16" t="s">
        <v>17</v>
      </c>
      <c r="B1660" s="17" t="s">
        <v>10118</v>
      </c>
      <c r="C1660" s="17" t="s">
        <v>3059</v>
      </c>
      <c r="D1660" s="25" t="s">
        <v>3025</v>
      </c>
      <c r="E1660" s="19" t="s">
        <v>3049</v>
      </c>
      <c r="F1660" s="19" t="s">
        <v>3060</v>
      </c>
      <c r="G1660" s="2" t="str">
        <f t="shared" si="147"/>
        <v>http://jsmh.umin.jp/journal/26-2/26-2.pdf</v>
      </c>
      <c r="H1660" s="43" t="str">
        <f t="shared" si="148"/>
        <v>http://dl.ndl.go.jp/info:ndljp/pid/3359288</v>
      </c>
    </row>
    <row r="1661" spans="1:8" ht="30" customHeight="1" x14ac:dyDescent="0.15">
      <c r="A1661" s="16" t="s">
        <v>17</v>
      </c>
      <c r="B1661" s="17" t="s">
        <v>3061</v>
      </c>
      <c r="C1661" s="17" t="s">
        <v>439</v>
      </c>
      <c r="D1661" s="25" t="s">
        <v>3025</v>
      </c>
      <c r="E1661" s="19" t="s">
        <v>3049</v>
      </c>
      <c r="F1661" s="19" t="s">
        <v>3062</v>
      </c>
      <c r="G1661" s="2" t="str">
        <f t="shared" si="147"/>
        <v>http://jsmh.umin.jp/journal/26-2/26-2.pdf</v>
      </c>
      <c r="H1661" s="43" t="str">
        <f t="shared" si="148"/>
        <v>http://dl.ndl.go.jp/info:ndljp/pid/3359288</v>
      </c>
    </row>
    <row r="1662" spans="1:8" ht="30" customHeight="1" x14ac:dyDescent="0.15">
      <c r="A1662" s="16" t="s">
        <v>17</v>
      </c>
      <c r="B1662" s="17" t="s">
        <v>10119</v>
      </c>
      <c r="C1662" s="17" t="s">
        <v>790</v>
      </c>
      <c r="D1662" s="25" t="s">
        <v>3025</v>
      </c>
      <c r="E1662" s="19" t="s">
        <v>3049</v>
      </c>
      <c r="F1662" s="19" t="s">
        <v>3063</v>
      </c>
      <c r="G1662" s="2" t="str">
        <f t="shared" si="147"/>
        <v>http://jsmh.umin.jp/journal/26-2/26-2.pdf</v>
      </c>
      <c r="H1662" s="43" t="str">
        <f t="shared" si="148"/>
        <v>http://dl.ndl.go.jp/info:ndljp/pid/3359288</v>
      </c>
    </row>
    <row r="1663" spans="1:8" ht="30" customHeight="1" x14ac:dyDescent="0.15">
      <c r="A1663" s="16" t="s">
        <v>558</v>
      </c>
      <c r="B1663" s="17" t="s">
        <v>2889</v>
      </c>
      <c r="C1663" s="17"/>
      <c r="D1663" s="25" t="s">
        <v>3025</v>
      </c>
      <c r="E1663" s="19" t="s">
        <v>3049</v>
      </c>
      <c r="F1663" s="19" t="s">
        <v>3064</v>
      </c>
      <c r="G1663" s="2" t="str">
        <f t="shared" si="147"/>
        <v>http://jsmh.umin.jp/journal/26-2/26-2.pdf</v>
      </c>
      <c r="H1663" s="43" t="str">
        <f t="shared" si="148"/>
        <v>http://dl.ndl.go.jp/info:ndljp/pid/3359288</v>
      </c>
    </row>
    <row r="1664" spans="1:8" ht="30" customHeight="1" x14ac:dyDescent="0.15">
      <c r="A1664" s="16" t="s">
        <v>17</v>
      </c>
      <c r="B1664" s="17" t="s">
        <v>3065</v>
      </c>
      <c r="C1664" s="17" t="s">
        <v>3066</v>
      </c>
      <c r="D1664" s="25" t="s">
        <v>3025</v>
      </c>
      <c r="E1664" s="19" t="s">
        <v>3049</v>
      </c>
      <c r="F1664" s="19" t="s">
        <v>3067</v>
      </c>
      <c r="G1664" s="2" t="str">
        <f t="shared" si="147"/>
        <v>http://jsmh.umin.jp/journal/26-2/26-2.pdf</v>
      </c>
      <c r="H1664" s="43" t="str">
        <f t="shared" si="148"/>
        <v>http://dl.ndl.go.jp/info:ndljp/pid/3359288</v>
      </c>
    </row>
    <row r="1665" spans="1:8" ht="30" customHeight="1" x14ac:dyDescent="0.15">
      <c r="A1665" s="16" t="s">
        <v>1855</v>
      </c>
      <c r="B1665" s="17" t="s">
        <v>3068</v>
      </c>
      <c r="C1665" s="17" t="s">
        <v>507</v>
      </c>
      <c r="D1665" s="25" t="s">
        <v>3025</v>
      </c>
      <c r="E1665" s="19" t="s">
        <v>3069</v>
      </c>
      <c r="F1665" s="19" t="s">
        <v>3070</v>
      </c>
      <c r="G1665" s="2" t="str">
        <f t="shared" ref="G1665:G1696" si="149">HYPERLINK("http://jsmh.umin.jp/journal/26-3/26-3.pdf")</f>
        <v>http://jsmh.umin.jp/journal/26-3/26-3.pdf</v>
      </c>
      <c r="H1665" s="42" t="str">
        <f t="shared" ref="H1665:H1696" si="150">HYPERLINK("http://dl.ndl.go.jp/info:ndljp/pid/3359289")</f>
        <v>http://dl.ndl.go.jp/info:ndljp/pid/3359289</v>
      </c>
    </row>
    <row r="1666" spans="1:8" ht="30" customHeight="1" x14ac:dyDescent="0.15">
      <c r="A1666" s="16" t="s">
        <v>1855</v>
      </c>
      <c r="B1666" s="17" t="s">
        <v>3071</v>
      </c>
      <c r="C1666" s="17" t="s">
        <v>3072</v>
      </c>
      <c r="D1666" s="25" t="s">
        <v>3025</v>
      </c>
      <c r="E1666" s="19" t="s">
        <v>3069</v>
      </c>
      <c r="F1666" s="19" t="s">
        <v>1019</v>
      </c>
      <c r="G1666" s="2" t="str">
        <f t="shared" si="149"/>
        <v>http://jsmh.umin.jp/journal/26-3/26-3.pdf</v>
      </c>
      <c r="H1666" s="43" t="str">
        <f t="shared" si="150"/>
        <v>http://dl.ndl.go.jp/info:ndljp/pid/3359289</v>
      </c>
    </row>
    <row r="1667" spans="1:8" ht="30" customHeight="1" x14ac:dyDescent="0.15">
      <c r="A1667" s="16" t="s">
        <v>1855</v>
      </c>
      <c r="B1667" s="17" t="s">
        <v>3073</v>
      </c>
      <c r="C1667" s="17" t="s">
        <v>3074</v>
      </c>
      <c r="D1667" s="25" t="s">
        <v>3025</v>
      </c>
      <c r="E1667" s="19" t="s">
        <v>3069</v>
      </c>
      <c r="F1667" s="19" t="s">
        <v>3075</v>
      </c>
      <c r="G1667" s="2" t="str">
        <f t="shared" si="149"/>
        <v>http://jsmh.umin.jp/journal/26-3/26-3.pdf</v>
      </c>
      <c r="H1667" s="43" t="str">
        <f t="shared" si="150"/>
        <v>http://dl.ndl.go.jp/info:ndljp/pid/3359289</v>
      </c>
    </row>
    <row r="1668" spans="1:8" ht="30" customHeight="1" x14ac:dyDescent="0.15">
      <c r="A1668" s="16" t="s">
        <v>1855</v>
      </c>
      <c r="B1668" s="17" t="s">
        <v>3076</v>
      </c>
      <c r="C1668" s="17" t="s">
        <v>3077</v>
      </c>
      <c r="D1668" s="25" t="s">
        <v>3025</v>
      </c>
      <c r="E1668" s="19" t="s">
        <v>3069</v>
      </c>
      <c r="F1668" s="19" t="s">
        <v>3078</v>
      </c>
      <c r="G1668" s="2" t="str">
        <f t="shared" si="149"/>
        <v>http://jsmh.umin.jp/journal/26-3/26-3.pdf</v>
      </c>
      <c r="H1668" s="43" t="str">
        <f t="shared" si="150"/>
        <v>http://dl.ndl.go.jp/info:ndljp/pid/3359289</v>
      </c>
    </row>
    <row r="1669" spans="1:8" ht="30" customHeight="1" x14ac:dyDescent="0.15">
      <c r="A1669" s="16" t="s">
        <v>1855</v>
      </c>
      <c r="B1669" s="17" t="s">
        <v>3079</v>
      </c>
      <c r="C1669" s="17" t="s">
        <v>1299</v>
      </c>
      <c r="D1669" s="25" t="s">
        <v>3025</v>
      </c>
      <c r="E1669" s="19" t="s">
        <v>3069</v>
      </c>
      <c r="F1669" s="19" t="s">
        <v>3080</v>
      </c>
      <c r="G1669" s="2" t="str">
        <f t="shared" si="149"/>
        <v>http://jsmh.umin.jp/journal/26-3/26-3.pdf</v>
      </c>
      <c r="H1669" s="43" t="str">
        <f t="shared" si="150"/>
        <v>http://dl.ndl.go.jp/info:ndljp/pid/3359289</v>
      </c>
    </row>
    <row r="1670" spans="1:8" ht="30" customHeight="1" x14ac:dyDescent="0.15">
      <c r="A1670" s="16" t="s">
        <v>1855</v>
      </c>
      <c r="B1670" s="17" t="s">
        <v>3081</v>
      </c>
      <c r="C1670" s="17" t="s">
        <v>3082</v>
      </c>
      <c r="D1670" s="25" t="s">
        <v>3025</v>
      </c>
      <c r="E1670" s="19" t="s">
        <v>3069</v>
      </c>
      <c r="F1670" s="19" t="s">
        <v>3083</v>
      </c>
      <c r="G1670" s="2" t="str">
        <f t="shared" si="149"/>
        <v>http://jsmh.umin.jp/journal/26-3/26-3.pdf</v>
      </c>
      <c r="H1670" s="43" t="str">
        <f t="shared" si="150"/>
        <v>http://dl.ndl.go.jp/info:ndljp/pid/3359289</v>
      </c>
    </row>
    <row r="1671" spans="1:8" ht="30" customHeight="1" x14ac:dyDescent="0.15">
      <c r="A1671" s="16" t="s">
        <v>1855</v>
      </c>
      <c r="B1671" s="17" t="s">
        <v>3084</v>
      </c>
      <c r="C1671" s="17" t="s">
        <v>1764</v>
      </c>
      <c r="D1671" s="25" t="s">
        <v>3025</v>
      </c>
      <c r="E1671" s="19" t="s">
        <v>3069</v>
      </c>
      <c r="F1671" s="19" t="s">
        <v>3085</v>
      </c>
      <c r="G1671" s="2" t="str">
        <f t="shared" si="149"/>
        <v>http://jsmh.umin.jp/journal/26-3/26-3.pdf</v>
      </c>
      <c r="H1671" s="43" t="str">
        <f t="shared" si="150"/>
        <v>http://dl.ndl.go.jp/info:ndljp/pid/3359289</v>
      </c>
    </row>
    <row r="1672" spans="1:8" ht="30" customHeight="1" x14ac:dyDescent="0.15">
      <c r="A1672" s="16" t="s">
        <v>1855</v>
      </c>
      <c r="B1672" s="17" t="s">
        <v>3086</v>
      </c>
      <c r="C1672" s="17" t="s">
        <v>790</v>
      </c>
      <c r="D1672" s="25" t="s">
        <v>3025</v>
      </c>
      <c r="E1672" s="19" t="s">
        <v>3069</v>
      </c>
      <c r="F1672" s="19" t="s">
        <v>1903</v>
      </c>
      <c r="G1672" s="2" t="str">
        <f t="shared" si="149"/>
        <v>http://jsmh.umin.jp/journal/26-3/26-3.pdf</v>
      </c>
      <c r="H1672" s="43" t="str">
        <f t="shared" si="150"/>
        <v>http://dl.ndl.go.jp/info:ndljp/pid/3359289</v>
      </c>
    </row>
    <row r="1673" spans="1:8" ht="30" customHeight="1" x14ac:dyDescent="0.15">
      <c r="A1673" s="16" t="s">
        <v>1855</v>
      </c>
      <c r="B1673" s="17" t="s">
        <v>3087</v>
      </c>
      <c r="C1673" s="17" t="s">
        <v>790</v>
      </c>
      <c r="D1673" s="25" t="s">
        <v>3025</v>
      </c>
      <c r="E1673" s="19" t="s">
        <v>3069</v>
      </c>
      <c r="F1673" s="19" t="s">
        <v>2649</v>
      </c>
      <c r="G1673" s="2" t="str">
        <f t="shared" si="149"/>
        <v>http://jsmh.umin.jp/journal/26-3/26-3.pdf</v>
      </c>
      <c r="H1673" s="43" t="str">
        <f t="shared" si="150"/>
        <v>http://dl.ndl.go.jp/info:ndljp/pid/3359289</v>
      </c>
    </row>
    <row r="1674" spans="1:8" ht="30" customHeight="1" x14ac:dyDescent="0.15">
      <c r="A1674" s="16" t="s">
        <v>1855</v>
      </c>
      <c r="B1674" s="17" t="s">
        <v>3088</v>
      </c>
      <c r="C1674" s="17" t="s">
        <v>790</v>
      </c>
      <c r="D1674" s="25" t="s">
        <v>3025</v>
      </c>
      <c r="E1674" s="19" t="s">
        <v>3069</v>
      </c>
      <c r="F1674" s="19" t="s">
        <v>1907</v>
      </c>
      <c r="G1674" s="2" t="str">
        <f t="shared" si="149"/>
        <v>http://jsmh.umin.jp/journal/26-3/26-3.pdf</v>
      </c>
      <c r="H1674" s="43" t="str">
        <f t="shared" si="150"/>
        <v>http://dl.ndl.go.jp/info:ndljp/pid/3359289</v>
      </c>
    </row>
    <row r="1675" spans="1:8" ht="30" customHeight="1" x14ac:dyDescent="0.15">
      <c r="A1675" s="16" t="s">
        <v>1855</v>
      </c>
      <c r="B1675" s="17" t="s">
        <v>3089</v>
      </c>
      <c r="C1675" s="17" t="s">
        <v>1699</v>
      </c>
      <c r="D1675" s="25" t="s">
        <v>3025</v>
      </c>
      <c r="E1675" s="19" t="s">
        <v>3069</v>
      </c>
      <c r="F1675" s="19" t="s">
        <v>1910</v>
      </c>
      <c r="G1675" s="2" t="str">
        <f t="shared" si="149"/>
        <v>http://jsmh.umin.jp/journal/26-3/26-3.pdf</v>
      </c>
      <c r="H1675" s="43" t="str">
        <f t="shared" si="150"/>
        <v>http://dl.ndl.go.jp/info:ndljp/pid/3359289</v>
      </c>
    </row>
    <row r="1676" spans="1:8" ht="30" customHeight="1" x14ac:dyDescent="0.15">
      <c r="A1676" s="16" t="s">
        <v>1855</v>
      </c>
      <c r="B1676" s="17" t="s">
        <v>3090</v>
      </c>
      <c r="C1676" s="17" t="s">
        <v>479</v>
      </c>
      <c r="D1676" s="25" t="s">
        <v>3025</v>
      </c>
      <c r="E1676" s="19" t="s">
        <v>3069</v>
      </c>
      <c r="F1676" s="19" t="s">
        <v>3091</v>
      </c>
      <c r="G1676" s="2" t="str">
        <f t="shared" si="149"/>
        <v>http://jsmh.umin.jp/journal/26-3/26-3.pdf</v>
      </c>
      <c r="H1676" s="43" t="str">
        <f t="shared" si="150"/>
        <v>http://dl.ndl.go.jp/info:ndljp/pid/3359289</v>
      </c>
    </row>
    <row r="1677" spans="1:8" ht="30" customHeight="1" x14ac:dyDescent="0.15">
      <c r="A1677" s="16" t="s">
        <v>1855</v>
      </c>
      <c r="B1677" s="17" t="s">
        <v>3092</v>
      </c>
      <c r="C1677" s="17" t="s">
        <v>2881</v>
      </c>
      <c r="D1677" s="25" t="s">
        <v>3025</v>
      </c>
      <c r="E1677" s="19" t="s">
        <v>3069</v>
      </c>
      <c r="F1677" s="19" t="s">
        <v>1915</v>
      </c>
      <c r="G1677" s="2" t="str">
        <f t="shared" si="149"/>
        <v>http://jsmh.umin.jp/journal/26-3/26-3.pdf</v>
      </c>
      <c r="H1677" s="43" t="str">
        <f t="shared" si="150"/>
        <v>http://dl.ndl.go.jp/info:ndljp/pid/3359289</v>
      </c>
    </row>
    <row r="1678" spans="1:8" ht="30" customHeight="1" x14ac:dyDescent="0.15">
      <c r="A1678" s="16" t="s">
        <v>1855</v>
      </c>
      <c r="B1678" s="17" t="s">
        <v>3093</v>
      </c>
      <c r="C1678" s="17" t="s">
        <v>3094</v>
      </c>
      <c r="D1678" s="25" t="s">
        <v>3025</v>
      </c>
      <c r="E1678" s="19" t="s">
        <v>3069</v>
      </c>
      <c r="F1678" s="19" t="s">
        <v>3095</v>
      </c>
      <c r="G1678" s="2" t="str">
        <f t="shared" si="149"/>
        <v>http://jsmh.umin.jp/journal/26-3/26-3.pdf</v>
      </c>
      <c r="H1678" s="43" t="str">
        <f t="shared" si="150"/>
        <v>http://dl.ndl.go.jp/info:ndljp/pid/3359289</v>
      </c>
    </row>
    <row r="1679" spans="1:8" ht="30" customHeight="1" x14ac:dyDescent="0.15">
      <c r="A1679" s="16" t="s">
        <v>1855</v>
      </c>
      <c r="B1679" s="17" t="s">
        <v>3096</v>
      </c>
      <c r="C1679" s="17" t="s">
        <v>3029</v>
      </c>
      <c r="D1679" s="25" t="s">
        <v>3025</v>
      </c>
      <c r="E1679" s="19" t="s">
        <v>3069</v>
      </c>
      <c r="F1679" s="19" t="s">
        <v>3097</v>
      </c>
      <c r="G1679" s="2" t="str">
        <f t="shared" si="149"/>
        <v>http://jsmh.umin.jp/journal/26-3/26-3.pdf</v>
      </c>
      <c r="H1679" s="43" t="str">
        <f t="shared" si="150"/>
        <v>http://dl.ndl.go.jp/info:ndljp/pid/3359289</v>
      </c>
    </row>
    <row r="1680" spans="1:8" ht="30" customHeight="1" x14ac:dyDescent="0.15">
      <c r="A1680" s="16" t="s">
        <v>1855</v>
      </c>
      <c r="B1680" s="17" t="s">
        <v>3098</v>
      </c>
      <c r="C1680" s="17" t="s">
        <v>838</v>
      </c>
      <c r="D1680" s="25" t="s">
        <v>3025</v>
      </c>
      <c r="E1680" s="19" t="s">
        <v>3069</v>
      </c>
      <c r="F1680" s="19" t="s">
        <v>1050</v>
      </c>
      <c r="G1680" s="2" t="str">
        <f t="shared" si="149"/>
        <v>http://jsmh.umin.jp/journal/26-3/26-3.pdf</v>
      </c>
      <c r="H1680" s="43" t="str">
        <f t="shared" si="150"/>
        <v>http://dl.ndl.go.jp/info:ndljp/pid/3359289</v>
      </c>
    </row>
    <row r="1681" spans="1:8" ht="30" customHeight="1" x14ac:dyDescent="0.15">
      <c r="A1681" s="16" t="s">
        <v>1855</v>
      </c>
      <c r="B1681" s="17" t="s">
        <v>3099</v>
      </c>
      <c r="C1681" s="17" t="s">
        <v>3100</v>
      </c>
      <c r="D1681" s="25" t="s">
        <v>3025</v>
      </c>
      <c r="E1681" s="19" t="s">
        <v>3069</v>
      </c>
      <c r="F1681" s="19" t="s">
        <v>3101</v>
      </c>
      <c r="G1681" s="2" t="str">
        <f t="shared" si="149"/>
        <v>http://jsmh.umin.jp/journal/26-3/26-3.pdf</v>
      </c>
      <c r="H1681" s="43" t="str">
        <f t="shared" si="150"/>
        <v>http://dl.ndl.go.jp/info:ndljp/pid/3359289</v>
      </c>
    </row>
    <row r="1682" spans="1:8" ht="30" customHeight="1" x14ac:dyDescent="0.15">
      <c r="A1682" s="16" t="s">
        <v>1855</v>
      </c>
      <c r="B1682" s="17" t="s">
        <v>3102</v>
      </c>
      <c r="C1682" s="17" t="s">
        <v>2592</v>
      </c>
      <c r="D1682" s="25" t="s">
        <v>3025</v>
      </c>
      <c r="E1682" s="19" t="s">
        <v>3069</v>
      </c>
      <c r="F1682" s="19" t="s">
        <v>3103</v>
      </c>
      <c r="G1682" s="2" t="str">
        <f t="shared" si="149"/>
        <v>http://jsmh.umin.jp/journal/26-3/26-3.pdf</v>
      </c>
      <c r="H1682" s="43" t="str">
        <f t="shared" si="150"/>
        <v>http://dl.ndl.go.jp/info:ndljp/pid/3359289</v>
      </c>
    </row>
    <row r="1683" spans="1:8" ht="30" customHeight="1" x14ac:dyDescent="0.15">
      <c r="A1683" s="16" t="s">
        <v>1855</v>
      </c>
      <c r="B1683" s="17" t="s">
        <v>3104</v>
      </c>
      <c r="C1683" s="17" t="s">
        <v>3105</v>
      </c>
      <c r="D1683" s="25" t="s">
        <v>3025</v>
      </c>
      <c r="E1683" s="19" t="s">
        <v>3069</v>
      </c>
      <c r="F1683" s="19" t="s">
        <v>3106</v>
      </c>
      <c r="G1683" s="2" t="str">
        <f t="shared" si="149"/>
        <v>http://jsmh.umin.jp/journal/26-3/26-3.pdf</v>
      </c>
      <c r="H1683" s="43" t="str">
        <f t="shared" si="150"/>
        <v>http://dl.ndl.go.jp/info:ndljp/pid/3359289</v>
      </c>
    </row>
    <row r="1684" spans="1:8" ht="30" customHeight="1" x14ac:dyDescent="0.15">
      <c r="A1684" s="16" t="s">
        <v>1855</v>
      </c>
      <c r="B1684" s="17" t="s">
        <v>3107</v>
      </c>
      <c r="C1684" s="17" t="s">
        <v>1177</v>
      </c>
      <c r="D1684" s="25" t="s">
        <v>3025</v>
      </c>
      <c r="E1684" s="19" t="s">
        <v>3069</v>
      </c>
      <c r="F1684" s="19" t="s">
        <v>3108</v>
      </c>
      <c r="G1684" s="2" t="str">
        <f t="shared" si="149"/>
        <v>http://jsmh.umin.jp/journal/26-3/26-3.pdf</v>
      </c>
      <c r="H1684" s="43" t="str">
        <f t="shared" si="150"/>
        <v>http://dl.ndl.go.jp/info:ndljp/pid/3359289</v>
      </c>
    </row>
    <row r="1685" spans="1:8" ht="30" customHeight="1" x14ac:dyDescent="0.15">
      <c r="A1685" s="16" t="s">
        <v>1855</v>
      </c>
      <c r="B1685" s="17" t="s">
        <v>3109</v>
      </c>
      <c r="C1685" s="17" t="s">
        <v>2386</v>
      </c>
      <c r="D1685" s="25" t="s">
        <v>3025</v>
      </c>
      <c r="E1685" s="19" t="s">
        <v>3069</v>
      </c>
      <c r="F1685" s="19" t="s">
        <v>1939</v>
      </c>
      <c r="G1685" s="2" t="str">
        <f t="shared" si="149"/>
        <v>http://jsmh.umin.jp/journal/26-3/26-3.pdf</v>
      </c>
      <c r="H1685" s="43" t="str">
        <f t="shared" si="150"/>
        <v>http://dl.ndl.go.jp/info:ndljp/pid/3359289</v>
      </c>
    </row>
    <row r="1686" spans="1:8" ht="30" customHeight="1" x14ac:dyDescent="0.15">
      <c r="A1686" s="16" t="s">
        <v>1855</v>
      </c>
      <c r="B1686" s="17" t="s">
        <v>3110</v>
      </c>
      <c r="C1686" s="17" t="s">
        <v>10120</v>
      </c>
      <c r="D1686" s="25" t="s">
        <v>3025</v>
      </c>
      <c r="E1686" s="19" t="s">
        <v>3069</v>
      </c>
      <c r="F1686" s="19" t="s">
        <v>3111</v>
      </c>
      <c r="G1686" s="2" t="str">
        <f t="shared" si="149"/>
        <v>http://jsmh.umin.jp/journal/26-3/26-3.pdf</v>
      </c>
      <c r="H1686" s="43" t="str">
        <f t="shared" si="150"/>
        <v>http://dl.ndl.go.jp/info:ndljp/pid/3359289</v>
      </c>
    </row>
    <row r="1687" spans="1:8" ht="30" customHeight="1" x14ac:dyDescent="0.15">
      <c r="A1687" s="16" t="s">
        <v>1855</v>
      </c>
      <c r="B1687" s="17" t="s">
        <v>3112</v>
      </c>
      <c r="C1687" s="17" t="s">
        <v>24</v>
      </c>
      <c r="D1687" s="25" t="s">
        <v>3025</v>
      </c>
      <c r="E1687" s="19" t="s">
        <v>3069</v>
      </c>
      <c r="F1687" s="19" t="s">
        <v>3113</v>
      </c>
      <c r="G1687" s="2" t="str">
        <f t="shared" si="149"/>
        <v>http://jsmh.umin.jp/journal/26-3/26-3.pdf</v>
      </c>
      <c r="H1687" s="43" t="str">
        <f t="shared" si="150"/>
        <v>http://dl.ndl.go.jp/info:ndljp/pid/3359289</v>
      </c>
    </row>
    <row r="1688" spans="1:8" ht="30" customHeight="1" x14ac:dyDescent="0.15">
      <c r="A1688" s="16" t="s">
        <v>1855</v>
      </c>
      <c r="B1688" s="17" t="s">
        <v>3114</v>
      </c>
      <c r="C1688" s="17" t="s">
        <v>2576</v>
      </c>
      <c r="D1688" s="25" t="s">
        <v>3025</v>
      </c>
      <c r="E1688" s="19" t="s">
        <v>3069</v>
      </c>
      <c r="F1688" s="19" t="s">
        <v>3115</v>
      </c>
      <c r="G1688" s="2" t="str">
        <f t="shared" si="149"/>
        <v>http://jsmh.umin.jp/journal/26-3/26-3.pdf</v>
      </c>
      <c r="H1688" s="43" t="str">
        <f t="shared" si="150"/>
        <v>http://dl.ndl.go.jp/info:ndljp/pid/3359289</v>
      </c>
    </row>
    <row r="1689" spans="1:8" ht="30" customHeight="1" x14ac:dyDescent="0.15">
      <c r="A1689" s="16" t="s">
        <v>1855</v>
      </c>
      <c r="B1689" s="17" t="s">
        <v>3116</v>
      </c>
      <c r="C1689" s="17" t="s">
        <v>2587</v>
      </c>
      <c r="D1689" s="25" t="s">
        <v>3025</v>
      </c>
      <c r="E1689" s="19" t="s">
        <v>3069</v>
      </c>
      <c r="F1689" s="19" t="s">
        <v>1588</v>
      </c>
      <c r="G1689" s="2" t="str">
        <f t="shared" si="149"/>
        <v>http://jsmh.umin.jp/journal/26-3/26-3.pdf</v>
      </c>
      <c r="H1689" s="43" t="str">
        <f t="shared" si="150"/>
        <v>http://dl.ndl.go.jp/info:ndljp/pid/3359289</v>
      </c>
    </row>
    <row r="1690" spans="1:8" ht="30" customHeight="1" x14ac:dyDescent="0.15">
      <c r="A1690" s="16" t="s">
        <v>1855</v>
      </c>
      <c r="B1690" s="17" t="s">
        <v>3117</v>
      </c>
      <c r="C1690" s="17" t="s">
        <v>905</v>
      </c>
      <c r="D1690" s="25" t="s">
        <v>3025</v>
      </c>
      <c r="E1690" s="19" t="s">
        <v>3069</v>
      </c>
      <c r="F1690" s="19" t="s">
        <v>3118</v>
      </c>
      <c r="G1690" s="2" t="str">
        <f t="shared" si="149"/>
        <v>http://jsmh.umin.jp/journal/26-3/26-3.pdf</v>
      </c>
      <c r="H1690" s="43" t="str">
        <f t="shared" si="150"/>
        <v>http://dl.ndl.go.jp/info:ndljp/pid/3359289</v>
      </c>
    </row>
    <row r="1691" spans="1:8" ht="30" customHeight="1" x14ac:dyDescent="0.15">
      <c r="A1691" s="16" t="s">
        <v>1855</v>
      </c>
      <c r="B1691" s="17" t="s">
        <v>3119</v>
      </c>
      <c r="C1691" s="17" t="s">
        <v>3120</v>
      </c>
      <c r="D1691" s="25" t="s">
        <v>3025</v>
      </c>
      <c r="E1691" s="19" t="s">
        <v>3069</v>
      </c>
      <c r="F1691" s="19" t="s">
        <v>1774</v>
      </c>
      <c r="G1691" s="2" t="str">
        <f t="shared" si="149"/>
        <v>http://jsmh.umin.jp/journal/26-3/26-3.pdf</v>
      </c>
      <c r="H1691" s="43" t="str">
        <f t="shared" si="150"/>
        <v>http://dl.ndl.go.jp/info:ndljp/pid/3359289</v>
      </c>
    </row>
    <row r="1692" spans="1:8" ht="30" customHeight="1" x14ac:dyDescent="0.15">
      <c r="A1692" s="16" t="s">
        <v>1855</v>
      </c>
      <c r="B1692" s="17" t="s">
        <v>3121</v>
      </c>
      <c r="C1692" s="17" t="s">
        <v>3120</v>
      </c>
      <c r="D1692" s="25" t="s">
        <v>3025</v>
      </c>
      <c r="E1692" s="19" t="s">
        <v>3069</v>
      </c>
      <c r="F1692" s="19" t="s">
        <v>1779</v>
      </c>
      <c r="G1692" s="2" t="str">
        <f t="shared" si="149"/>
        <v>http://jsmh.umin.jp/journal/26-3/26-3.pdf</v>
      </c>
      <c r="H1692" s="43" t="str">
        <f t="shared" si="150"/>
        <v>http://dl.ndl.go.jp/info:ndljp/pid/3359289</v>
      </c>
    </row>
    <row r="1693" spans="1:8" ht="30" customHeight="1" x14ac:dyDescent="0.15">
      <c r="A1693" s="16" t="s">
        <v>1855</v>
      </c>
      <c r="B1693" s="17" t="s">
        <v>3122</v>
      </c>
      <c r="C1693" s="17" t="s">
        <v>48</v>
      </c>
      <c r="D1693" s="25" t="s">
        <v>3025</v>
      </c>
      <c r="E1693" s="19" t="s">
        <v>3069</v>
      </c>
      <c r="F1693" s="19" t="s">
        <v>3123</v>
      </c>
      <c r="G1693" s="2" t="str">
        <f t="shared" si="149"/>
        <v>http://jsmh.umin.jp/journal/26-3/26-3.pdf</v>
      </c>
      <c r="H1693" s="43" t="str">
        <f t="shared" si="150"/>
        <v>http://dl.ndl.go.jp/info:ndljp/pid/3359289</v>
      </c>
    </row>
    <row r="1694" spans="1:8" ht="30" customHeight="1" x14ac:dyDescent="0.15">
      <c r="A1694" s="16" t="s">
        <v>1855</v>
      </c>
      <c r="B1694" s="17" t="s">
        <v>3124</v>
      </c>
      <c r="C1694" s="17" t="s">
        <v>66</v>
      </c>
      <c r="D1694" s="25" t="s">
        <v>3025</v>
      </c>
      <c r="E1694" s="19" t="s">
        <v>3069</v>
      </c>
      <c r="F1694" s="19" t="s">
        <v>3125</v>
      </c>
      <c r="G1694" s="2" t="str">
        <f t="shared" si="149"/>
        <v>http://jsmh.umin.jp/journal/26-3/26-3.pdf</v>
      </c>
      <c r="H1694" s="43" t="str">
        <f t="shared" si="150"/>
        <v>http://dl.ndl.go.jp/info:ndljp/pid/3359289</v>
      </c>
    </row>
    <row r="1695" spans="1:8" ht="30" customHeight="1" x14ac:dyDescent="0.15">
      <c r="A1695" s="16" t="s">
        <v>1855</v>
      </c>
      <c r="B1695" s="17" t="s">
        <v>3126</v>
      </c>
      <c r="C1695" s="17" t="s">
        <v>3127</v>
      </c>
      <c r="D1695" s="25" t="s">
        <v>3025</v>
      </c>
      <c r="E1695" s="19" t="s">
        <v>3069</v>
      </c>
      <c r="F1695" s="19" t="s">
        <v>1436</v>
      </c>
      <c r="G1695" s="2" t="str">
        <f t="shared" si="149"/>
        <v>http://jsmh.umin.jp/journal/26-3/26-3.pdf</v>
      </c>
      <c r="H1695" s="43" t="str">
        <f t="shared" si="150"/>
        <v>http://dl.ndl.go.jp/info:ndljp/pid/3359289</v>
      </c>
    </row>
    <row r="1696" spans="1:8" ht="30" customHeight="1" x14ac:dyDescent="0.15">
      <c r="A1696" s="16" t="s">
        <v>1855</v>
      </c>
      <c r="B1696" s="17" t="s">
        <v>3128</v>
      </c>
      <c r="C1696" s="17" t="s">
        <v>444</v>
      </c>
      <c r="D1696" s="25" t="s">
        <v>3025</v>
      </c>
      <c r="E1696" s="19" t="s">
        <v>3069</v>
      </c>
      <c r="F1696" s="19" t="s">
        <v>3129</v>
      </c>
      <c r="G1696" s="2" t="str">
        <f t="shared" si="149"/>
        <v>http://jsmh.umin.jp/journal/26-3/26-3.pdf</v>
      </c>
      <c r="H1696" s="43" t="str">
        <f t="shared" si="150"/>
        <v>http://dl.ndl.go.jp/info:ndljp/pid/3359289</v>
      </c>
    </row>
    <row r="1697" spans="1:8" ht="30" customHeight="1" x14ac:dyDescent="0.15">
      <c r="A1697" s="16" t="s">
        <v>1855</v>
      </c>
      <c r="B1697" s="17" t="s">
        <v>3130</v>
      </c>
      <c r="C1697" s="17" t="s">
        <v>2233</v>
      </c>
      <c r="D1697" s="25" t="s">
        <v>3025</v>
      </c>
      <c r="E1697" s="19" t="s">
        <v>3069</v>
      </c>
      <c r="F1697" s="19" t="s">
        <v>3131</v>
      </c>
      <c r="G1697" s="2" t="str">
        <f t="shared" ref="G1697:G1724" si="151">HYPERLINK("http://jsmh.umin.jp/journal/26-3/26-3.pdf")</f>
        <v>http://jsmh.umin.jp/journal/26-3/26-3.pdf</v>
      </c>
      <c r="H1697" s="43" t="str">
        <f t="shared" ref="H1697:H1724" si="152">HYPERLINK("http://dl.ndl.go.jp/info:ndljp/pid/3359289")</f>
        <v>http://dl.ndl.go.jp/info:ndljp/pid/3359289</v>
      </c>
    </row>
    <row r="1698" spans="1:8" ht="30" customHeight="1" x14ac:dyDescent="0.15">
      <c r="A1698" s="16" t="s">
        <v>1855</v>
      </c>
      <c r="B1698" s="17" t="s">
        <v>3132</v>
      </c>
      <c r="C1698" s="17" t="s">
        <v>2222</v>
      </c>
      <c r="D1698" s="25" t="s">
        <v>3025</v>
      </c>
      <c r="E1698" s="19" t="s">
        <v>3069</v>
      </c>
      <c r="F1698" s="19" t="s">
        <v>3133</v>
      </c>
      <c r="G1698" s="2" t="str">
        <f t="shared" si="151"/>
        <v>http://jsmh.umin.jp/journal/26-3/26-3.pdf</v>
      </c>
      <c r="H1698" s="43" t="str">
        <f t="shared" si="152"/>
        <v>http://dl.ndl.go.jp/info:ndljp/pid/3359289</v>
      </c>
    </row>
    <row r="1699" spans="1:8" ht="30" customHeight="1" x14ac:dyDescent="0.15">
      <c r="A1699" s="16" t="s">
        <v>1855</v>
      </c>
      <c r="B1699" s="17" t="s">
        <v>3134</v>
      </c>
      <c r="C1699" s="17" t="s">
        <v>3135</v>
      </c>
      <c r="D1699" s="25" t="s">
        <v>3025</v>
      </c>
      <c r="E1699" s="19" t="s">
        <v>3069</v>
      </c>
      <c r="F1699" s="19" t="s">
        <v>3136</v>
      </c>
      <c r="G1699" s="2" t="str">
        <f t="shared" si="151"/>
        <v>http://jsmh.umin.jp/journal/26-3/26-3.pdf</v>
      </c>
      <c r="H1699" s="43" t="str">
        <f t="shared" si="152"/>
        <v>http://dl.ndl.go.jp/info:ndljp/pid/3359289</v>
      </c>
    </row>
    <row r="1700" spans="1:8" ht="30" customHeight="1" x14ac:dyDescent="0.15">
      <c r="A1700" s="16" t="s">
        <v>1855</v>
      </c>
      <c r="B1700" s="17" t="s">
        <v>3137</v>
      </c>
      <c r="C1700" s="17" t="s">
        <v>3138</v>
      </c>
      <c r="D1700" s="25" t="s">
        <v>3025</v>
      </c>
      <c r="E1700" s="19" t="s">
        <v>3069</v>
      </c>
      <c r="F1700" s="19" t="s">
        <v>3139</v>
      </c>
      <c r="G1700" s="2" t="str">
        <f t="shared" si="151"/>
        <v>http://jsmh.umin.jp/journal/26-3/26-3.pdf</v>
      </c>
      <c r="H1700" s="43" t="str">
        <f t="shared" si="152"/>
        <v>http://dl.ndl.go.jp/info:ndljp/pid/3359289</v>
      </c>
    </row>
    <row r="1701" spans="1:8" ht="30" customHeight="1" x14ac:dyDescent="0.15">
      <c r="A1701" s="16" t="s">
        <v>1855</v>
      </c>
      <c r="B1701" s="17" t="s">
        <v>3140</v>
      </c>
      <c r="C1701" s="17" t="s">
        <v>2325</v>
      </c>
      <c r="D1701" s="25" t="s">
        <v>3025</v>
      </c>
      <c r="E1701" s="19" t="s">
        <v>3069</v>
      </c>
      <c r="F1701" s="19" t="s">
        <v>3141</v>
      </c>
      <c r="G1701" s="2" t="str">
        <f t="shared" si="151"/>
        <v>http://jsmh.umin.jp/journal/26-3/26-3.pdf</v>
      </c>
      <c r="H1701" s="43" t="str">
        <f t="shared" si="152"/>
        <v>http://dl.ndl.go.jp/info:ndljp/pid/3359289</v>
      </c>
    </row>
    <row r="1702" spans="1:8" ht="30" customHeight="1" x14ac:dyDescent="0.15">
      <c r="A1702" s="16" t="s">
        <v>1855</v>
      </c>
      <c r="B1702" s="17" t="s">
        <v>3142</v>
      </c>
      <c r="C1702" s="17" t="s">
        <v>3143</v>
      </c>
      <c r="D1702" s="25" t="s">
        <v>3025</v>
      </c>
      <c r="E1702" s="19" t="s">
        <v>3069</v>
      </c>
      <c r="F1702" s="19" t="s">
        <v>3144</v>
      </c>
      <c r="G1702" s="2" t="str">
        <f t="shared" si="151"/>
        <v>http://jsmh.umin.jp/journal/26-3/26-3.pdf</v>
      </c>
      <c r="H1702" s="43" t="str">
        <f t="shared" si="152"/>
        <v>http://dl.ndl.go.jp/info:ndljp/pid/3359289</v>
      </c>
    </row>
    <row r="1703" spans="1:8" ht="30" customHeight="1" x14ac:dyDescent="0.15">
      <c r="A1703" s="16" t="s">
        <v>1855</v>
      </c>
      <c r="B1703" s="17" t="s">
        <v>3145</v>
      </c>
      <c r="C1703" s="17" t="s">
        <v>1097</v>
      </c>
      <c r="D1703" s="25" t="s">
        <v>3025</v>
      </c>
      <c r="E1703" s="19" t="s">
        <v>3069</v>
      </c>
      <c r="F1703" s="19" t="s">
        <v>3146</v>
      </c>
      <c r="G1703" s="2" t="str">
        <f t="shared" si="151"/>
        <v>http://jsmh.umin.jp/journal/26-3/26-3.pdf</v>
      </c>
      <c r="H1703" s="43" t="str">
        <f t="shared" si="152"/>
        <v>http://dl.ndl.go.jp/info:ndljp/pid/3359289</v>
      </c>
    </row>
    <row r="1704" spans="1:8" ht="30" customHeight="1" x14ac:dyDescent="0.15">
      <c r="A1704" s="16" t="s">
        <v>1855</v>
      </c>
      <c r="B1704" s="17" t="s">
        <v>3147</v>
      </c>
      <c r="C1704" s="17" t="s">
        <v>1769</v>
      </c>
      <c r="D1704" s="25" t="s">
        <v>3025</v>
      </c>
      <c r="E1704" s="19" t="s">
        <v>3069</v>
      </c>
      <c r="F1704" s="19" t="s">
        <v>3148</v>
      </c>
      <c r="G1704" s="2" t="str">
        <f t="shared" si="151"/>
        <v>http://jsmh.umin.jp/journal/26-3/26-3.pdf</v>
      </c>
      <c r="H1704" s="43" t="str">
        <f t="shared" si="152"/>
        <v>http://dl.ndl.go.jp/info:ndljp/pid/3359289</v>
      </c>
    </row>
    <row r="1705" spans="1:8" ht="30" customHeight="1" x14ac:dyDescent="0.15">
      <c r="A1705" s="16" t="s">
        <v>1855</v>
      </c>
      <c r="B1705" s="17" t="s">
        <v>3149</v>
      </c>
      <c r="C1705" s="17" t="s">
        <v>2926</v>
      </c>
      <c r="D1705" s="25" t="s">
        <v>3025</v>
      </c>
      <c r="E1705" s="19" t="s">
        <v>3069</v>
      </c>
      <c r="F1705" s="19" t="s">
        <v>3150</v>
      </c>
      <c r="G1705" s="2" t="str">
        <f t="shared" si="151"/>
        <v>http://jsmh.umin.jp/journal/26-3/26-3.pdf</v>
      </c>
      <c r="H1705" s="43" t="str">
        <f t="shared" si="152"/>
        <v>http://dl.ndl.go.jp/info:ndljp/pid/3359289</v>
      </c>
    </row>
    <row r="1706" spans="1:8" ht="30" customHeight="1" x14ac:dyDescent="0.15">
      <c r="A1706" s="16" t="s">
        <v>1855</v>
      </c>
      <c r="B1706" s="17" t="s">
        <v>3151</v>
      </c>
      <c r="C1706" s="17" t="s">
        <v>2937</v>
      </c>
      <c r="D1706" s="25" t="s">
        <v>3025</v>
      </c>
      <c r="E1706" s="19" t="s">
        <v>3069</v>
      </c>
      <c r="F1706" s="19" t="s">
        <v>3152</v>
      </c>
      <c r="G1706" s="2" t="str">
        <f t="shared" si="151"/>
        <v>http://jsmh.umin.jp/journal/26-3/26-3.pdf</v>
      </c>
      <c r="H1706" s="43" t="str">
        <f t="shared" si="152"/>
        <v>http://dl.ndl.go.jp/info:ndljp/pid/3359289</v>
      </c>
    </row>
    <row r="1707" spans="1:8" ht="30" customHeight="1" x14ac:dyDescent="0.15">
      <c r="A1707" s="16" t="s">
        <v>1855</v>
      </c>
      <c r="B1707" s="17" t="s">
        <v>3153</v>
      </c>
      <c r="C1707" s="17" t="s">
        <v>916</v>
      </c>
      <c r="D1707" s="25" t="s">
        <v>3025</v>
      </c>
      <c r="E1707" s="19" t="s">
        <v>3069</v>
      </c>
      <c r="F1707" s="19" t="s">
        <v>3154</v>
      </c>
      <c r="G1707" s="2" t="str">
        <f t="shared" si="151"/>
        <v>http://jsmh.umin.jp/journal/26-3/26-3.pdf</v>
      </c>
      <c r="H1707" s="43" t="str">
        <f t="shared" si="152"/>
        <v>http://dl.ndl.go.jp/info:ndljp/pid/3359289</v>
      </c>
    </row>
    <row r="1708" spans="1:8" ht="30" customHeight="1" x14ac:dyDescent="0.15">
      <c r="A1708" s="16" t="s">
        <v>1855</v>
      </c>
      <c r="B1708" s="17" t="s">
        <v>3155</v>
      </c>
      <c r="C1708" s="17" t="s">
        <v>3156</v>
      </c>
      <c r="D1708" s="25" t="s">
        <v>3025</v>
      </c>
      <c r="E1708" s="19" t="s">
        <v>3069</v>
      </c>
      <c r="F1708" s="19" t="s">
        <v>3157</v>
      </c>
      <c r="G1708" s="2" t="str">
        <f t="shared" si="151"/>
        <v>http://jsmh.umin.jp/journal/26-3/26-3.pdf</v>
      </c>
      <c r="H1708" s="43" t="str">
        <f t="shared" si="152"/>
        <v>http://dl.ndl.go.jp/info:ndljp/pid/3359289</v>
      </c>
    </row>
    <row r="1709" spans="1:8" ht="30" customHeight="1" x14ac:dyDescent="0.15">
      <c r="A1709" s="16" t="s">
        <v>1855</v>
      </c>
      <c r="B1709" s="17" t="s">
        <v>3158</v>
      </c>
      <c r="C1709" s="17" t="s">
        <v>3159</v>
      </c>
      <c r="D1709" s="25" t="s">
        <v>3025</v>
      </c>
      <c r="E1709" s="19" t="s">
        <v>3069</v>
      </c>
      <c r="F1709" s="19" t="s">
        <v>3160</v>
      </c>
      <c r="G1709" s="2" t="str">
        <f t="shared" si="151"/>
        <v>http://jsmh.umin.jp/journal/26-3/26-3.pdf</v>
      </c>
      <c r="H1709" s="43" t="str">
        <f t="shared" si="152"/>
        <v>http://dl.ndl.go.jp/info:ndljp/pid/3359289</v>
      </c>
    </row>
    <row r="1710" spans="1:8" ht="30" customHeight="1" x14ac:dyDescent="0.15">
      <c r="A1710" s="16" t="s">
        <v>1855</v>
      </c>
      <c r="B1710" s="17" t="s">
        <v>3161</v>
      </c>
      <c r="C1710" s="17" t="s">
        <v>3162</v>
      </c>
      <c r="D1710" s="25" t="s">
        <v>3025</v>
      </c>
      <c r="E1710" s="19" t="s">
        <v>3069</v>
      </c>
      <c r="F1710" s="19" t="s">
        <v>3163</v>
      </c>
      <c r="G1710" s="2" t="str">
        <f t="shared" si="151"/>
        <v>http://jsmh.umin.jp/journal/26-3/26-3.pdf</v>
      </c>
      <c r="H1710" s="43" t="str">
        <f t="shared" si="152"/>
        <v>http://dl.ndl.go.jp/info:ndljp/pid/3359289</v>
      </c>
    </row>
    <row r="1711" spans="1:8" ht="30" customHeight="1" x14ac:dyDescent="0.15">
      <c r="A1711" s="16" t="s">
        <v>1855</v>
      </c>
      <c r="B1711" s="17" t="s">
        <v>3164</v>
      </c>
      <c r="C1711" s="17" t="s">
        <v>273</v>
      </c>
      <c r="D1711" s="25" t="s">
        <v>3025</v>
      </c>
      <c r="E1711" s="19" t="s">
        <v>3069</v>
      </c>
      <c r="F1711" s="19" t="s">
        <v>3165</v>
      </c>
      <c r="G1711" s="2" t="str">
        <f t="shared" si="151"/>
        <v>http://jsmh.umin.jp/journal/26-3/26-3.pdf</v>
      </c>
      <c r="H1711" s="43" t="str">
        <f t="shared" si="152"/>
        <v>http://dl.ndl.go.jp/info:ndljp/pid/3359289</v>
      </c>
    </row>
    <row r="1712" spans="1:8" ht="30" customHeight="1" x14ac:dyDescent="0.15">
      <c r="A1712" s="16" t="s">
        <v>1855</v>
      </c>
      <c r="B1712" s="17" t="s">
        <v>3166</v>
      </c>
      <c r="C1712" s="17" t="s">
        <v>3167</v>
      </c>
      <c r="D1712" s="25" t="s">
        <v>3025</v>
      </c>
      <c r="E1712" s="19" t="s">
        <v>3069</v>
      </c>
      <c r="F1712" s="19" t="s">
        <v>3168</v>
      </c>
      <c r="G1712" s="2" t="str">
        <f t="shared" si="151"/>
        <v>http://jsmh.umin.jp/journal/26-3/26-3.pdf</v>
      </c>
      <c r="H1712" s="43" t="str">
        <f t="shared" si="152"/>
        <v>http://dl.ndl.go.jp/info:ndljp/pid/3359289</v>
      </c>
    </row>
    <row r="1713" spans="1:8" ht="30" customHeight="1" x14ac:dyDescent="0.15">
      <c r="A1713" s="16" t="s">
        <v>1855</v>
      </c>
      <c r="B1713" s="17" t="s">
        <v>3169</v>
      </c>
      <c r="C1713" s="17" t="s">
        <v>2528</v>
      </c>
      <c r="D1713" s="25" t="s">
        <v>3025</v>
      </c>
      <c r="E1713" s="19" t="s">
        <v>3069</v>
      </c>
      <c r="F1713" s="19" t="s">
        <v>3170</v>
      </c>
      <c r="G1713" s="2" t="str">
        <f t="shared" si="151"/>
        <v>http://jsmh.umin.jp/journal/26-3/26-3.pdf</v>
      </c>
      <c r="H1713" s="43" t="str">
        <f t="shared" si="152"/>
        <v>http://dl.ndl.go.jp/info:ndljp/pid/3359289</v>
      </c>
    </row>
    <row r="1714" spans="1:8" ht="30" customHeight="1" x14ac:dyDescent="0.15">
      <c r="A1714" s="16" t="s">
        <v>1855</v>
      </c>
      <c r="B1714" s="17" t="s">
        <v>3171</v>
      </c>
      <c r="C1714" s="17" t="s">
        <v>3172</v>
      </c>
      <c r="D1714" s="25" t="s">
        <v>3025</v>
      </c>
      <c r="E1714" s="19" t="s">
        <v>3069</v>
      </c>
      <c r="F1714" s="19" t="s">
        <v>3173</v>
      </c>
      <c r="G1714" s="2" t="str">
        <f t="shared" si="151"/>
        <v>http://jsmh.umin.jp/journal/26-3/26-3.pdf</v>
      </c>
      <c r="H1714" s="43" t="str">
        <f t="shared" si="152"/>
        <v>http://dl.ndl.go.jp/info:ndljp/pid/3359289</v>
      </c>
    </row>
    <row r="1715" spans="1:8" ht="30" customHeight="1" x14ac:dyDescent="0.15">
      <c r="A1715" s="16" t="s">
        <v>1855</v>
      </c>
      <c r="B1715" s="17" t="s">
        <v>3174</v>
      </c>
      <c r="C1715" s="17" t="s">
        <v>2465</v>
      </c>
      <c r="D1715" s="25" t="s">
        <v>3025</v>
      </c>
      <c r="E1715" s="19" t="s">
        <v>3069</v>
      </c>
      <c r="F1715" s="19" t="s">
        <v>3175</v>
      </c>
      <c r="G1715" s="2" t="str">
        <f t="shared" si="151"/>
        <v>http://jsmh.umin.jp/journal/26-3/26-3.pdf</v>
      </c>
      <c r="H1715" s="43" t="str">
        <f t="shared" si="152"/>
        <v>http://dl.ndl.go.jp/info:ndljp/pid/3359289</v>
      </c>
    </row>
    <row r="1716" spans="1:8" ht="30" customHeight="1" x14ac:dyDescent="0.15">
      <c r="A1716" s="16" t="s">
        <v>1855</v>
      </c>
      <c r="B1716" s="17" t="s">
        <v>3176</v>
      </c>
      <c r="C1716" s="17" t="s">
        <v>3177</v>
      </c>
      <c r="D1716" s="25" t="s">
        <v>3025</v>
      </c>
      <c r="E1716" s="19" t="s">
        <v>3069</v>
      </c>
      <c r="F1716" s="19" t="s">
        <v>3178</v>
      </c>
      <c r="G1716" s="2" t="str">
        <f t="shared" si="151"/>
        <v>http://jsmh.umin.jp/journal/26-3/26-3.pdf</v>
      </c>
      <c r="H1716" s="43" t="str">
        <f t="shared" si="152"/>
        <v>http://dl.ndl.go.jp/info:ndljp/pid/3359289</v>
      </c>
    </row>
    <row r="1717" spans="1:8" ht="30" customHeight="1" x14ac:dyDescent="0.15">
      <c r="A1717" s="16" t="s">
        <v>1855</v>
      </c>
      <c r="B1717" s="17" t="s">
        <v>3179</v>
      </c>
      <c r="C1717" s="17" t="s">
        <v>3180</v>
      </c>
      <c r="D1717" s="25" t="s">
        <v>3025</v>
      </c>
      <c r="E1717" s="19" t="s">
        <v>3069</v>
      </c>
      <c r="F1717" s="19" t="s">
        <v>3181</v>
      </c>
      <c r="G1717" s="2" t="str">
        <f t="shared" si="151"/>
        <v>http://jsmh.umin.jp/journal/26-3/26-3.pdf</v>
      </c>
      <c r="H1717" s="43" t="str">
        <f t="shared" si="152"/>
        <v>http://dl.ndl.go.jp/info:ndljp/pid/3359289</v>
      </c>
    </row>
    <row r="1718" spans="1:8" ht="30" customHeight="1" x14ac:dyDescent="0.15">
      <c r="A1718" s="16" t="s">
        <v>1855</v>
      </c>
      <c r="B1718" s="17" t="s">
        <v>3182</v>
      </c>
      <c r="C1718" s="17" t="s">
        <v>3183</v>
      </c>
      <c r="D1718" s="25" t="s">
        <v>3025</v>
      </c>
      <c r="E1718" s="19" t="s">
        <v>3069</v>
      </c>
      <c r="F1718" s="19" t="s">
        <v>3184</v>
      </c>
      <c r="G1718" s="2" t="str">
        <f t="shared" si="151"/>
        <v>http://jsmh.umin.jp/journal/26-3/26-3.pdf</v>
      </c>
      <c r="H1718" s="43" t="str">
        <f t="shared" si="152"/>
        <v>http://dl.ndl.go.jp/info:ndljp/pid/3359289</v>
      </c>
    </row>
    <row r="1719" spans="1:8" ht="30" customHeight="1" x14ac:dyDescent="0.15">
      <c r="A1719" s="16" t="s">
        <v>1855</v>
      </c>
      <c r="B1719" s="17" t="s">
        <v>3185</v>
      </c>
      <c r="C1719" s="17" t="s">
        <v>485</v>
      </c>
      <c r="D1719" s="25" t="s">
        <v>3025</v>
      </c>
      <c r="E1719" s="19" t="s">
        <v>3069</v>
      </c>
      <c r="F1719" s="19" t="s">
        <v>3186</v>
      </c>
      <c r="G1719" s="2" t="str">
        <f t="shared" si="151"/>
        <v>http://jsmh.umin.jp/journal/26-3/26-3.pdf</v>
      </c>
      <c r="H1719" s="43" t="str">
        <f t="shared" si="152"/>
        <v>http://dl.ndl.go.jp/info:ndljp/pid/3359289</v>
      </c>
    </row>
    <row r="1720" spans="1:8" ht="30" customHeight="1" x14ac:dyDescent="0.15">
      <c r="A1720" s="16" t="s">
        <v>1855</v>
      </c>
      <c r="B1720" s="17" t="s">
        <v>3187</v>
      </c>
      <c r="C1720" s="17" t="s">
        <v>3188</v>
      </c>
      <c r="D1720" s="25" t="s">
        <v>3025</v>
      </c>
      <c r="E1720" s="19" t="s">
        <v>3069</v>
      </c>
      <c r="F1720" s="19" t="s">
        <v>3189</v>
      </c>
      <c r="G1720" s="2" t="str">
        <f t="shared" si="151"/>
        <v>http://jsmh.umin.jp/journal/26-3/26-3.pdf</v>
      </c>
      <c r="H1720" s="43" t="str">
        <f t="shared" si="152"/>
        <v>http://dl.ndl.go.jp/info:ndljp/pid/3359289</v>
      </c>
    </row>
    <row r="1721" spans="1:8" ht="30" customHeight="1" x14ac:dyDescent="0.15">
      <c r="A1721" s="16" t="s">
        <v>1855</v>
      </c>
      <c r="B1721" s="17" t="s">
        <v>3190</v>
      </c>
      <c r="C1721" s="17" t="s">
        <v>3191</v>
      </c>
      <c r="D1721" s="25" t="s">
        <v>3025</v>
      </c>
      <c r="E1721" s="19" t="s">
        <v>3069</v>
      </c>
      <c r="F1721" s="19" t="s">
        <v>3192</v>
      </c>
      <c r="G1721" s="2" t="str">
        <f t="shared" si="151"/>
        <v>http://jsmh.umin.jp/journal/26-3/26-3.pdf</v>
      </c>
      <c r="H1721" s="43" t="str">
        <f t="shared" si="152"/>
        <v>http://dl.ndl.go.jp/info:ndljp/pid/3359289</v>
      </c>
    </row>
    <row r="1722" spans="1:8" ht="30" customHeight="1" x14ac:dyDescent="0.15">
      <c r="A1722" s="16" t="s">
        <v>1855</v>
      </c>
      <c r="B1722" s="17" t="s">
        <v>3193</v>
      </c>
      <c r="C1722" s="17" t="s">
        <v>1147</v>
      </c>
      <c r="D1722" s="25" t="s">
        <v>3025</v>
      </c>
      <c r="E1722" s="19" t="s">
        <v>3069</v>
      </c>
      <c r="F1722" s="19" t="s">
        <v>3194</v>
      </c>
      <c r="G1722" s="2" t="str">
        <f t="shared" si="151"/>
        <v>http://jsmh.umin.jp/journal/26-3/26-3.pdf</v>
      </c>
      <c r="H1722" s="43" t="str">
        <f t="shared" si="152"/>
        <v>http://dl.ndl.go.jp/info:ndljp/pid/3359289</v>
      </c>
    </row>
    <row r="1723" spans="1:8" ht="30" customHeight="1" x14ac:dyDescent="0.15">
      <c r="A1723" s="16" t="s">
        <v>1855</v>
      </c>
      <c r="B1723" s="17" t="s">
        <v>3195</v>
      </c>
      <c r="C1723" s="17" t="s">
        <v>3196</v>
      </c>
      <c r="D1723" s="25" t="s">
        <v>3025</v>
      </c>
      <c r="E1723" s="19" t="s">
        <v>3069</v>
      </c>
      <c r="F1723" s="19" t="s">
        <v>3197</v>
      </c>
      <c r="G1723" s="2" t="str">
        <f t="shared" si="151"/>
        <v>http://jsmh.umin.jp/journal/26-3/26-3.pdf</v>
      </c>
      <c r="H1723" s="43" t="str">
        <f t="shared" si="152"/>
        <v>http://dl.ndl.go.jp/info:ndljp/pid/3359289</v>
      </c>
    </row>
    <row r="1724" spans="1:8" ht="30" customHeight="1" x14ac:dyDescent="0.15">
      <c r="A1724" s="16" t="s">
        <v>1855</v>
      </c>
      <c r="B1724" s="17" t="s">
        <v>3198</v>
      </c>
      <c r="C1724" s="17" t="s">
        <v>3199</v>
      </c>
      <c r="D1724" s="25" t="s">
        <v>3025</v>
      </c>
      <c r="E1724" s="19" t="s">
        <v>3069</v>
      </c>
      <c r="F1724" s="19" t="s">
        <v>3200</v>
      </c>
      <c r="G1724" s="2" t="str">
        <f t="shared" si="151"/>
        <v>http://jsmh.umin.jp/journal/26-3/26-3.pdf</v>
      </c>
      <c r="H1724" s="43" t="str">
        <f t="shared" si="152"/>
        <v>http://dl.ndl.go.jp/info:ndljp/pid/3359289</v>
      </c>
    </row>
    <row r="1725" spans="1:8" ht="30" customHeight="1" x14ac:dyDescent="0.15">
      <c r="A1725" s="16" t="s">
        <v>17</v>
      </c>
      <c r="B1725" s="17" t="s">
        <v>3201</v>
      </c>
      <c r="C1725" s="17" t="s">
        <v>1338</v>
      </c>
      <c r="D1725" s="25" t="s">
        <v>3025</v>
      </c>
      <c r="E1725" s="19" t="s">
        <v>3202</v>
      </c>
      <c r="F1725" s="19" t="s">
        <v>3203</v>
      </c>
      <c r="G1725" s="2" t="str">
        <f t="shared" ref="G1725:G1738" si="153">HYPERLINK("http://jsmh.umin.jp/journal/26-4/26-4.pdf")</f>
        <v>http://jsmh.umin.jp/journal/26-4/26-4.pdf</v>
      </c>
      <c r="H1725" s="42" t="str">
        <f t="shared" ref="H1725:H1738" si="154">HYPERLINK("http://dl.ndl.go.jp/info:ndljp/pid/3359290")</f>
        <v>http://dl.ndl.go.jp/info:ndljp/pid/3359290</v>
      </c>
    </row>
    <row r="1726" spans="1:8" ht="30" customHeight="1" x14ac:dyDescent="0.15">
      <c r="A1726" s="16" t="s">
        <v>17</v>
      </c>
      <c r="B1726" s="17" t="s">
        <v>3204</v>
      </c>
      <c r="C1726" s="17" t="s">
        <v>3135</v>
      </c>
      <c r="D1726" s="25" t="s">
        <v>3025</v>
      </c>
      <c r="E1726" s="19" t="s">
        <v>3202</v>
      </c>
      <c r="F1726" s="19" t="s">
        <v>3205</v>
      </c>
      <c r="G1726" s="2" t="str">
        <f t="shared" si="153"/>
        <v>http://jsmh.umin.jp/journal/26-4/26-4.pdf</v>
      </c>
      <c r="H1726" s="43" t="str">
        <f t="shared" si="154"/>
        <v>http://dl.ndl.go.jp/info:ndljp/pid/3359290</v>
      </c>
    </row>
    <row r="1727" spans="1:8" ht="30" customHeight="1" x14ac:dyDescent="0.15">
      <c r="A1727" s="16" t="s">
        <v>17</v>
      </c>
      <c r="B1727" s="17" t="s">
        <v>3206</v>
      </c>
      <c r="C1727" s="17" t="s">
        <v>790</v>
      </c>
      <c r="D1727" s="25" t="s">
        <v>3025</v>
      </c>
      <c r="E1727" s="19" t="s">
        <v>3202</v>
      </c>
      <c r="F1727" s="19" t="s">
        <v>3207</v>
      </c>
      <c r="G1727" s="2" t="str">
        <f t="shared" si="153"/>
        <v>http://jsmh.umin.jp/journal/26-4/26-4.pdf</v>
      </c>
      <c r="H1727" s="43" t="str">
        <f t="shared" si="154"/>
        <v>http://dl.ndl.go.jp/info:ndljp/pid/3359290</v>
      </c>
    </row>
    <row r="1728" spans="1:8" ht="30" customHeight="1" x14ac:dyDescent="0.15">
      <c r="A1728" s="16" t="s">
        <v>17</v>
      </c>
      <c r="B1728" s="17" t="s">
        <v>3208</v>
      </c>
      <c r="C1728" s="17" t="s">
        <v>2465</v>
      </c>
      <c r="D1728" s="25" t="s">
        <v>3025</v>
      </c>
      <c r="E1728" s="19" t="s">
        <v>3202</v>
      </c>
      <c r="F1728" s="19" t="s">
        <v>3209</v>
      </c>
      <c r="G1728" s="2" t="str">
        <f t="shared" si="153"/>
        <v>http://jsmh.umin.jp/journal/26-4/26-4.pdf</v>
      </c>
      <c r="H1728" s="43" t="str">
        <f t="shared" si="154"/>
        <v>http://dl.ndl.go.jp/info:ndljp/pid/3359290</v>
      </c>
    </row>
    <row r="1729" spans="1:8" ht="30" customHeight="1" x14ac:dyDescent="0.15">
      <c r="A1729" s="16" t="s">
        <v>17</v>
      </c>
      <c r="B1729" s="17" t="s">
        <v>3210</v>
      </c>
      <c r="C1729" s="17" t="s">
        <v>3010</v>
      </c>
      <c r="D1729" s="25" t="s">
        <v>3025</v>
      </c>
      <c r="E1729" s="19" t="s">
        <v>3202</v>
      </c>
      <c r="F1729" s="19" t="s">
        <v>3211</v>
      </c>
      <c r="G1729" s="2" t="str">
        <f t="shared" si="153"/>
        <v>http://jsmh.umin.jp/journal/26-4/26-4.pdf</v>
      </c>
      <c r="H1729" s="43" t="str">
        <f t="shared" si="154"/>
        <v>http://dl.ndl.go.jp/info:ndljp/pid/3359290</v>
      </c>
    </row>
    <row r="1730" spans="1:8" ht="30" customHeight="1" x14ac:dyDescent="0.15">
      <c r="A1730" s="16" t="s">
        <v>692</v>
      </c>
      <c r="B1730" s="17" t="s">
        <v>3212</v>
      </c>
      <c r="C1730" s="17" t="s">
        <v>2834</v>
      </c>
      <c r="D1730" s="25" t="s">
        <v>3025</v>
      </c>
      <c r="E1730" s="19" t="s">
        <v>3202</v>
      </c>
      <c r="F1730" s="19" t="s">
        <v>3213</v>
      </c>
      <c r="G1730" s="2" t="str">
        <f t="shared" si="153"/>
        <v>http://jsmh.umin.jp/journal/26-4/26-4.pdf</v>
      </c>
      <c r="H1730" s="43" t="str">
        <f t="shared" si="154"/>
        <v>http://dl.ndl.go.jp/info:ndljp/pid/3359290</v>
      </c>
    </row>
    <row r="1731" spans="1:8" ht="30" customHeight="1" x14ac:dyDescent="0.15">
      <c r="A1731" s="16" t="s">
        <v>692</v>
      </c>
      <c r="B1731" s="17" t="s">
        <v>3214</v>
      </c>
      <c r="C1731" s="17" t="s">
        <v>790</v>
      </c>
      <c r="D1731" s="25" t="s">
        <v>3025</v>
      </c>
      <c r="E1731" s="19" t="s">
        <v>3202</v>
      </c>
      <c r="F1731" s="19" t="s">
        <v>3215</v>
      </c>
      <c r="G1731" s="2" t="str">
        <f t="shared" si="153"/>
        <v>http://jsmh.umin.jp/journal/26-4/26-4.pdf</v>
      </c>
      <c r="H1731" s="43" t="str">
        <f t="shared" si="154"/>
        <v>http://dl.ndl.go.jp/info:ndljp/pid/3359290</v>
      </c>
    </row>
    <row r="1732" spans="1:8" ht="30" customHeight="1" x14ac:dyDescent="0.15">
      <c r="A1732" s="16" t="s">
        <v>2894</v>
      </c>
      <c r="B1732" s="17" t="s">
        <v>3216</v>
      </c>
      <c r="C1732" s="17"/>
      <c r="D1732" s="25" t="s">
        <v>3025</v>
      </c>
      <c r="E1732" s="19" t="s">
        <v>3202</v>
      </c>
      <c r="F1732" s="19" t="s">
        <v>3217</v>
      </c>
      <c r="G1732" s="2" t="str">
        <f t="shared" si="153"/>
        <v>http://jsmh.umin.jp/journal/26-4/26-4.pdf</v>
      </c>
      <c r="H1732" s="43" t="str">
        <f t="shared" si="154"/>
        <v>http://dl.ndl.go.jp/info:ndljp/pid/3359290</v>
      </c>
    </row>
    <row r="1733" spans="1:8" ht="30" customHeight="1" x14ac:dyDescent="0.15">
      <c r="A1733" s="16" t="s">
        <v>81</v>
      </c>
      <c r="B1733" s="17" t="s">
        <v>3218</v>
      </c>
      <c r="C1733" s="17"/>
      <c r="D1733" s="25" t="s">
        <v>3025</v>
      </c>
      <c r="E1733" s="19" t="s">
        <v>3202</v>
      </c>
      <c r="F1733" s="19" t="s">
        <v>3219</v>
      </c>
      <c r="G1733" s="2" t="str">
        <f t="shared" si="153"/>
        <v>http://jsmh.umin.jp/journal/26-4/26-4.pdf</v>
      </c>
      <c r="H1733" s="43" t="str">
        <f t="shared" si="154"/>
        <v>http://dl.ndl.go.jp/info:ndljp/pid/3359290</v>
      </c>
    </row>
    <row r="1734" spans="1:8" ht="30" customHeight="1" x14ac:dyDescent="0.15">
      <c r="A1734" s="16" t="s">
        <v>558</v>
      </c>
      <c r="B1734" s="17" t="s">
        <v>2889</v>
      </c>
      <c r="C1734" s="17"/>
      <c r="D1734" s="25" t="s">
        <v>3025</v>
      </c>
      <c r="E1734" s="19" t="s">
        <v>3202</v>
      </c>
      <c r="F1734" s="19" t="s">
        <v>3219</v>
      </c>
      <c r="G1734" s="2" t="str">
        <f t="shared" si="153"/>
        <v>http://jsmh.umin.jp/journal/26-4/26-4.pdf</v>
      </c>
      <c r="H1734" s="43" t="str">
        <f t="shared" si="154"/>
        <v>http://dl.ndl.go.jp/info:ndljp/pid/3359290</v>
      </c>
    </row>
    <row r="1735" spans="1:8" ht="30" customHeight="1" x14ac:dyDescent="0.15">
      <c r="A1735" s="16" t="s">
        <v>81</v>
      </c>
      <c r="B1735" s="17" t="s">
        <v>3220</v>
      </c>
      <c r="C1735" s="17" t="s">
        <v>1097</v>
      </c>
      <c r="D1735" s="25" t="s">
        <v>3025</v>
      </c>
      <c r="E1735" s="19" t="s">
        <v>3202</v>
      </c>
      <c r="F1735" s="19" t="s">
        <v>3221</v>
      </c>
      <c r="G1735" s="2" t="str">
        <f t="shared" si="153"/>
        <v>http://jsmh.umin.jp/journal/26-4/26-4.pdf</v>
      </c>
      <c r="H1735" s="43" t="str">
        <f t="shared" si="154"/>
        <v>http://dl.ndl.go.jp/info:ndljp/pid/3359290</v>
      </c>
    </row>
    <row r="1736" spans="1:8" ht="30" customHeight="1" x14ac:dyDescent="0.15">
      <c r="A1736" s="16" t="s">
        <v>558</v>
      </c>
      <c r="B1736" s="17" t="s">
        <v>10121</v>
      </c>
      <c r="C1736" s="17"/>
      <c r="D1736" s="25" t="s">
        <v>3025</v>
      </c>
      <c r="E1736" s="19" t="s">
        <v>3202</v>
      </c>
      <c r="F1736" s="19" t="s">
        <v>3222</v>
      </c>
      <c r="G1736" s="2" t="str">
        <f t="shared" si="153"/>
        <v>http://jsmh.umin.jp/journal/26-4/26-4.pdf</v>
      </c>
      <c r="H1736" s="43" t="str">
        <f t="shared" si="154"/>
        <v>http://dl.ndl.go.jp/info:ndljp/pid/3359290</v>
      </c>
    </row>
    <row r="1737" spans="1:8" ht="30" customHeight="1" x14ac:dyDescent="0.15">
      <c r="A1737" s="16" t="s">
        <v>3223</v>
      </c>
      <c r="B1737" s="17" t="s">
        <v>3224</v>
      </c>
      <c r="C1737" s="17" t="s">
        <v>1097</v>
      </c>
      <c r="D1737" s="25" t="s">
        <v>3025</v>
      </c>
      <c r="E1737" s="19" t="s">
        <v>3202</v>
      </c>
      <c r="F1737" s="19" t="s">
        <v>3225</v>
      </c>
      <c r="G1737" s="2" t="str">
        <f t="shared" si="153"/>
        <v>http://jsmh.umin.jp/journal/26-4/26-4.pdf</v>
      </c>
      <c r="H1737" s="43" t="str">
        <f t="shared" si="154"/>
        <v>http://dl.ndl.go.jp/info:ndljp/pid/3359290</v>
      </c>
    </row>
    <row r="1738" spans="1:8" ht="30" customHeight="1" x14ac:dyDescent="0.15">
      <c r="A1738" s="16" t="s">
        <v>17</v>
      </c>
      <c r="B1738" s="17" t="s">
        <v>3226</v>
      </c>
      <c r="C1738" s="17" t="s">
        <v>3227</v>
      </c>
      <c r="D1738" s="25" t="s">
        <v>3025</v>
      </c>
      <c r="E1738" s="19" t="s">
        <v>3202</v>
      </c>
      <c r="F1738" s="19" t="s">
        <v>3228</v>
      </c>
      <c r="G1738" s="2" t="str">
        <f t="shared" si="153"/>
        <v>http://jsmh.umin.jp/journal/26-4/26-4.pdf</v>
      </c>
      <c r="H1738" s="43" t="str">
        <f t="shared" si="154"/>
        <v>http://dl.ndl.go.jp/info:ndljp/pid/3359290</v>
      </c>
    </row>
    <row r="1739" spans="1:8" ht="30" customHeight="1" x14ac:dyDescent="0.15">
      <c r="A1739" s="16" t="s">
        <v>17</v>
      </c>
      <c r="B1739" s="17" t="s">
        <v>10122</v>
      </c>
      <c r="C1739" s="17" t="s">
        <v>3059</v>
      </c>
      <c r="D1739" s="18" t="s">
        <v>3229</v>
      </c>
      <c r="E1739" s="19" t="s">
        <v>3230</v>
      </c>
      <c r="F1739" s="19" t="s">
        <v>3231</v>
      </c>
      <c r="G1739" s="2" t="str">
        <f t="shared" ref="G1739:G1751" si="155">HYPERLINK("http://jsmh.umin.jp/journal/27-1/27-1.pdf")</f>
        <v>http://jsmh.umin.jp/journal/27-1/27-1.pdf</v>
      </c>
      <c r="H1739" s="42" t="str">
        <f t="shared" ref="H1739:H1751" si="156">HYPERLINK("http://dl.ndl.go.jp/info:ndljp/pid/3359291")</f>
        <v>http://dl.ndl.go.jp/info:ndljp/pid/3359291</v>
      </c>
    </row>
    <row r="1740" spans="1:8" ht="30" customHeight="1" x14ac:dyDescent="0.15">
      <c r="A1740" s="16" t="s">
        <v>17</v>
      </c>
      <c r="B1740" s="17" t="s">
        <v>3232</v>
      </c>
      <c r="C1740" s="17" t="s">
        <v>3233</v>
      </c>
      <c r="D1740" s="25" t="s">
        <v>3229</v>
      </c>
      <c r="E1740" s="19" t="s">
        <v>3230</v>
      </c>
      <c r="F1740" s="19" t="s">
        <v>3234</v>
      </c>
      <c r="G1740" s="2" t="str">
        <f t="shared" si="155"/>
        <v>http://jsmh.umin.jp/journal/27-1/27-1.pdf</v>
      </c>
      <c r="H1740" s="43" t="str">
        <f t="shared" si="156"/>
        <v>http://dl.ndl.go.jp/info:ndljp/pid/3359291</v>
      </c>
    </row>
    <row r="1741" spans="1:8" ht="30" customHeight="1" x14ac:dyDescent="0.15">
      <c r="A1741" s="16" t="s">
        <v>17</v>
      </c>
      <c r="B1741" s="17" t="s">
        <v>3235</v>
      </c>
      <c r="C1741" s="17" t="s">
        <v>2465</v>
      </c>
      <c r="D1741" s="25" t="s">
        <v>3229</v>
      </c>
      <c r="E1741" s="19" t="s">
        <v>3230</v>
      </c>
      <c r="F1741" s="19" t="s">
        <v>3236</v>
      </c>
      <c r="G1741" s="2" t="str">
        <f t="shared" si="155"/>
        <v>http://jsmh.umin.jp/journal/27-1/27-1.pdf</v>
      </c>
      <c r="H1741" s="43" t="str">
        <f t="shared" si="156"/>
        <v>http://dl.ndl.go.jp/info:ndljp/pid/3359291</v>
      </c>
    </row>
    <row r="1742" spans="1:8" ht="30" customHeight="1" x14ac:dyDescent="0.15">
      <c r="A1742" s="16" t="s">
        <v>17</v>
      </c>
      <c r="B1742" s="17" t="s">
        <v>3237</v>
      </c>
      <c r="C1742" s="17" t="s">
        <v>1699</v>
      </c>
      <c r="D1742" s="25" t="s">
        <v>3229</v>
      </c>
      <c r="E1742" s="19" t="s">
        <v>3230</v>
      </c>
      <c r="F1742" s="19" t="s">
        <v>3238</v>
      </c>
      <c r="G1742" s="2" t="str">
        <f t="shared" si="155"/>
        <v>http://jsmh.umin.jp/journal/27-1/27-1.pdf</v>
      </c>
      <c r="H1742" s="43" t="str">
        <f t="shared" si="156"/>
        <v>http://dl.ndl.go.jp/info:ndljp/pid/3359291</v>
      </c>
    </row>
    <row r="1743" spans="1:8" ht="30" customHeight="1" x14ac:dyDescent="0.15">
      <c r="A1743" s="16" t="s">
        <v>17</v>
      </c>
      <c r="B1743" s="17" t="s">
        <v>3239</v>
      </c>
      <c r="C1743" s="17" t="s">
        <v>790</v>
      </c>
      <c r="D1743" s="25" t="s">
        <v>3229</v>
      </c>
      <c r="E1743" s="19" t="s">
        <v>3230</v>
      </c>
      <c r="F1743" s="19" t="s">
        <v>3240</v>
      </c>
      <c r="G1743" s="2" t="str">
        <f t="shared" si="155"/>
        <v>http://jsmh.umin.jp/journal/27-1/27-1.pdf</v>
      </c>
      <c r="H1743" s="43" t="str">
        <f t="shared" si="156"/>
        <v>http://dl.ndl.go.jp/info:ndljp/pid/3359291</v>
      </c>
    </row>
    <row r="1744" spans="1:8" ht="30" customHeight="1" x14ac:dyDescent="0.15">
      <c r="A1744" s="16" t="s">
        <v>17</v>
      </c>
      <c r="B1744" s="17" t="s">
        <v>3241</v>
      </c>
      <c r="C1744" s="17" t="s">
        <v>790</v>
      </c>
      <c r="D1744" s="25" t="s">
        <v>3229</v>
      </c>
      <c r="E1744" s="19" t="s">
        <v>3230</v>
      </c>
      <c r="F1744" s="19" t="s">
        <v>3242</v>
      </c>
      <c r="G1744" s="2" t="str">
        <f t="shared" si="155"/>
        <v>http://jsmh.umin.jp/journal/27-1/27-1.pdf</v>
      </c>
      <c r="H1744" s="43" t="str">
        <f t="shared" si="156"/>
        <v>http://dl.ndl.go.jp/info:ndljp/pid/3359291</v>
      </c>
    </row>
    <row r="1745" spans="1:8" ht="30" customHeight="1" x14ac:dyDescent="0.15">
      <c r="A1745" s="16" t="s">
        <v>692</v>
      </c>
      <c r="B1745" s="17" t="s">
        <v>3243</v>
      </c>
      <c r="C1745" s="17" t="s">
        <v>303</v>
      </c>
      <c r="D1745" s="25" t="s">
        <v>3229</v>
      </c>
      <c r="E1745" s="19" t="s">
        <v>3230</v>
      </c>
      <c r="F1745" s="19" t="s">
        <v>1310</v>
      </c>
      <c r="G1745" s="2" t="str">
        <f t="shared" si="155"/>
        <v>http://jsmh.umin.jp/journal/27-1/27-1.pdf</v>
      </c>
      <c r="H1745" s="43" t="str">
        <f t="shared" si="156"/>
        <v>http://dl.ndl.go.jp/info:ndljp/pid/3359291</v>
      </c>
    </row>
    <row r="1746" spans="1:8" ht="30" customHeight="1" x14ac:dyDescent="0.15">
      <c r="A1746" s="16" t="s">
        <v>558</v>
      </c>
      <c r="B1746" s="17" t="s">
        <v>704</v>
      </c>
      <c r="C1746" s="17"/>
      <c r="D1746" s="25" t="s">
        <v>3229</v>
      </c>
      <c r="E1746" s="19" t="s">
        <v>3230</v>
      </c>
      <c r="F1746" s="19" t="s">
        <v>560</v>
      </c>
      <c r="G1746" s="2" t="str">
        <f t="shared" si="155"/>
        <v>http://jsmh.umin.jp/journal/27-1/27-1.pdf</v>
      </c>
      <c r="H1746" s="43" t="str">
        <f t="shared" si="156"/>
        <v>http://dl.ndl.go.jp/info:ndljp/pid/3359291</v>
      </c>
    </row>
    <row r="1747" spans="1:8" ht="30" customHeight="1" x14ac:dyDescent="0.15">
      <c r="A1747" s="16" t="s">
        <v>558</v>
      </c>
      <c r="B1747" s="17" t="s">
        <v>1606</v>
      </c>
      <c r="C1747" s="17"/>
      <c r="D1747" s="25" t="s">
        <v>3229</v>
      </c>
      <c r="E1747" s="19" t="s">
        <v>3230</v>
      </c>
      <c r="F1747" s="19" t="s">
        <v>560</v>
      </c>
      <c r="G1747" s="2" t="str">
        <f t="shared" si="155"/>
        <v>http://jsmh.umin.jp/journal/27-1/27-1.pdf</v>
      </c>
      <c r="H1747" s="43" t="str">
        <f t="shared" si="156"/>
        <v>http://dl.ndl.go.jp/info:ndljp/pid/3359291</v>
      </c>
    </row>
    <row r="1748" spans="1:8" ht="30" customHeight="1" x14ac:dyDescent="0.15">
      <c r="A1748" s="16" t="s">
        <v>81</v>
      </c>
      <c r="B1748" s="17" t="s">
        <v>3244</v>
      </c>
      <c r="C1748" s="17" t="s">
        <v>2233</v>
      </c>
      <c r="D1748" s="25" t="s">
        <v>3229</v>
      </c>
      <c r="E1748" s="19" t="s">
        <v>3230</v>
      </c>
      <c r="F1748" s="19" t="s">
        <v>574</v>
      </c>
      <c r="G1748" s="2" t="str">
        <f t="shared" si="155"/>
        <v>http://jsmh.umin.jp/journal/27-1/27-1.pdf</v>
      </c>
      <c r="H1748" s="43" t="str">
        <f t="shared" si="156"/>
        <v>http://dl.ndl.go.jp/info:ndljp/pid/3359291</v>
      </c>
    </row>
    <row r="1749" spans="1:8" ht="30" customHeight="1" x14ac:dyDescent="0.15">
      <c r="A1749" s="16" t="s">
        <v>558</v>
      </c>
      <c r="B1749" s="17" t="s">
        <v>3245</v>
      </c>
      <c r="C1749" s="17"/>
      <c r="D1749" s="25" t="s">
        <v>3229</v>
      </c>
      <c r="E1749" s="19" t="s">
        <v>3230</v>
      </c>
      <c r="F1749" s="19" t="s">
        <v>577</v>
      </c>
      <c r="G1749" s="2" t="str">
        <f t="shared" si="155"/>
        <v>http://jsmh.umin.jp/journal/27-1/27-1.pdf</v>
      </c>
      <c r="H1749" s="43" t="str">
        <f t="shared" si="156"/>
        <v>http://dl.ndl.go.jp/info:ndljp/pid/3359291</v>
      </c>
    </row>
    <row r="1750" spans="1:8" ht="30" customHeight="1" x14ac:dyDescent="0.15">
      <c r="A1750" s="16" t="s">
        <v>81</v>
      </c>
      <c r="B1750" s="17" t="s">
        <v>3246</v>
      </c>
      <c r="C1750" s="17" t="s">
        <v>1994</v>
      </c>
      <c r="D1750" s="25" t="s">
        <v>3229</v>
      </c>
      <c r="E1750" s="19" t="s">
        <v>3230</v>
      </c>
      <c r="F1750" s="19" t="s">
        <v>586</v>
      </c>
      <c r="G1750" s="2" t="str">
        <f t="shared" si="155"/>
        <v>http://jsmh.umin.jp/journal/27-1/27-1.pdf</v>
      </c>
      <c r="H1750" s="43" t="str">
        <f t="shared" si="156"/>
        <v>http://dl.ndl.go.jp/info:ndljp/pid/3359291</v>
      </c>
    </row>
    <row r="1751" spans="1:8" ht="30" customHeight="1" x14ac:dyDescent="0.15">
      <c r="A1751" s="16" t="s">
        <v>17</v>
      </c>
      <c r="B1751" s="17" t="s">
        <v>3247</v>
      </c>
      <c r="C1751" s="17" t="s">
        <v>3248</v>
      </c>
      <c r="D1751" s="25" t="s">
        <v>3229</v>
      </c>
      <c r="E1751" s="19" t="s">
        <v>3230</v>
      </c>
      <c r="F1751" s="19" t="s">
        <v>3249</v>
      </c>
      <c r="G1751" s="2" t="str">
        <f t="shared" si="155"/>
        <v>http://jsmh.umin.jp/journal/27-1/27-1.pdf</v>
      </c>
      <c r="H1751" s="43" t="str">
        <f t="shared" si="156"/>
        <v>http://dl.ndl.go.jp/info:ndljp/pid/3359291</v>
      </c>
    </row>
    <row r="1752" spans="1:8" ht="30" customHeight="1" x14ac:dyDescent="0.15">
      <c r="A1752" s="16" t="s">
        <v>17</v>
      </c>
      <c r="B1752" s="17" t="s">
        <v>3250</v>
      </c>
      <c r="C1752" s="17" t="s">
        <v>2937</v>
      </c>
      <c r="D1752" s="25" t="s">
        <v>3229</v>
      </c>
      <c r="E1752" s="19" t="s">
        <v>3251</v>
      </c>
      <c r="F1752" s="19" t="s">
        <v>3252</v>
      </c>
      <c r="G1752" s="2" t="str">
        <f t="shared" ref="G1752:G1760" si="157">HYPERLINK("http://jsmh.umin.jp/journal/27-2/27-2.pdf")</f>
        <v>http://jsmh.umin.jp/journal/27-2/27-2.pdf</v>
      </c>
      <c r="H1752" s="42" t="str">
        <f t="shared" ref="H1752:H1760" si="158">HYPERLINK("http://dl.ndl.go.jp/info:ndljp/pid/3359292")</f>
        <v>http://dl.ndl.go.jp/info:ndljp/pid/3359292</v>
      </c>
    </row>
    <row r="1753" spans="1:8" ht="30" customHeight="1" x14ac:dyDescent="0.15">
      <c r="A1753" s="16" t="s">
        <v>17</v>
      </c>
      <c r="B1753" s="17" t="s">
        <v>3253</v>
      </c>
      <c r="C1753" s="17" t="s">
        <v>3010</v>
      </c>
      <c r="D1753" s="25" t="s">
        <v>3229</v>
      </c>
      <c r="E1753" s="19" t="s">
        <v>3251</v>
      </c>
      <c r="F1753" s="19" t="s">
        <v>3254</v>
      </c>
      <c r="G1753" s="2" t="str">
        <f t="shared" si="157"/>
        <v>http://jsmh.umin.jp/journal/27-2/27-2.pdf</v>
      </c>
      <c r="H1753" s="43" t="str">
        <f t="shared" si="158"/>
        <v>http://dl.ndl.go.jp/info:ndljp/pid/3359292</v>
      </c>
    </row>
    <row r="1754" spans="1:8" ht="30" customHeight="1" x14ac:dyDescent="0.15">
      <c r="A1754" s="16" t="s">
        <v>17</v>
      </c>
      <c r="B1754" s="17" t="s">
        <v>3255</v>
      </c>
      <c r="C1754" s="17" t="s">
        <v>790</v>
      </c>
      <c r="D1754" s="25" t="s">
        <v>3229</v>
      </c>
      <c r="E1754" s="19" t="s">
        <v>3251</v>
      </c>
      <c r="F1754" s="19" t="s">
        <v>970</v>
      </c>
      <c r="G1754" s="2" t="str">
        <f t="shared" si="157"/>
        <v>http://jsmh.umin.jp/journal/27-2/27-2.pdf</v>
      </c>
      <c r="H1754" s="43" t="str">
        <f t="shared" si="158"/>
        <v>http://dl.ndl.go.jp/info:ndljp/pid/3359292</v>
      </c>
    </row>
    <row r="1755" spans="1:8" ht="30" customHeight="1" x14ac:dyDescent="0.15">
      <c r="A1755" s="16" t="s">
        <v>17</v>
      </c>
      <c r="B1755" s="17" t="s">
        <v>3256</v>
      </c>
      <c r="C1755" s="17" t="s">
        <v>3233</v>
      </c>
      <c r="D1755" s="25" t="s">
        <v>3229</v>
      </c>
      <c r="E1755" s="19" t="s">
        <v>3251</v>
      </c>
      <c r="F1755" s="19" t="s">
        <v>3257</v>
      </c>
      <c r="G1755" s="2" t="str">
        <f t="shared" si="157"/>
        <v>http://jsmh.umin.jp/journal/27-2/27-2.pdf</v>
      </c>
      <c r="H1755" s="43" t="str">
        <f t="shared" si="158"/>
        <v>http://dl.ndl.go.jp/info:ndljp/pid/3359292</v>
      </c>
    </row>
    <row r="1756" spans="1:8" ht="30" customHeight="1" x14ac:dyDescent="0.15">
      <c r="A1756" s="16" t="s">
        <v>17</v>
      </c>
      <c r="B1756" s="17" t="s">
        <v>10123</v>
      </c>
      <c r="C1756" s="17" t="s">
        <v>3059</v>
      </c>
      <c r="D1756" s="25" t="s">
        <v>3229</v>
      </c>
      <c r="E1756" s="19" t="s">
        <v>3251</v>
      </c>
      <c r="F1756" s="19" t="s">
        <v>3258</v>
      </c>
      <c r="G1756" s="2" t="str">
        <f t="shared" si="157"/>
        <v>http://jsmh.umin.jp/journal/27-2/27-2.pdf</v>
      </c>
      <c r="H1756" s="43" t="str">
        <f t="shared" si="158"/>
        <v>http://dl.ndl.go.jp/info:ndljp/pid/3359292</v>
      </c>
    </row>
    <row r="1757" spans="1:8" ht="30" customHeight="1" x14ac:dyDescent="0.15">
      <c r="A1757" s="16" t="s">
        <v>558</v>
      </c>
      <c r="B1757" s="17" t="s">
        <v>3259</v>
      </c>
      <c r="C1757" s="17"/>
      <c r="D1757" s="25" t="s">
        <v>3229</v>
      </c>
      <c r="E1757" s="19" t="s">
        <v>3251</v>
      </c>
      <c r="F1757" s="19" t="s">
        <v>3260</v>
      </c>
      <c r="G1757" s="2" t="str">
        <f t="shared" si="157"/>
        <v>http://jsmh.umin.jp/journal/27-2/27-2.pdf</v>
      </c>
      <c r="H1757" s="43" t="str">
        <f t="shared" si="158"/>
        <v>http://dl.ndl.go.jp/info:ndljp/pid/3359292</v>
      </c>
    </row>
    <row r="1758" spans="1:8" ht="30" customHeight="1" x14ac:dyDescent="0.15">
      <c r="A1758" s="16" t="s">
        <v>558</v>
      </c>
      <c r="B1758" s="17" t="s">
        <v>2889</v>
      </c>
      <c r="C1758" s="17"/>
      <c r="D1758" s="25" t="s">
        <v>3229</v>
      </c>
      <c r="E1758" s="19" t="s">
        <v>3251</v>
      </c>
      <c r="F1758" s="19" t="s">
        <v>3260</v>
      </c>
      <c r="G1758" s="2" t="str">
        <f t="shared" si="157"/>
        <v>http://jsmh.umin.jp/journal/27-2/27-2.pdf</v>
      </c>
      <c r="H1758" s="43" t="str">
        <f t="shared" si="158"/>
        <v>http://dl.ndl.go.jp/info:ndljp/pid/3359292</v>
      </c>
    </row>
    <row r="1759" spans="1:8" ht="30" customHeight="1" x14ac:dyDescent="0.15">
      <c r="A1759" s="16" t="s">
        <v>17</v>
      </c>
      <c r="B1759" s="17" t="s">
        <v>10124</v>
      </c>
      <c r="C1759" s="17" t="s">
        <v>3261</v>
      </c>
      <c r="D1759" s="25" t="s">
        <v>3229</v>
      </c>
      <c r="E1759" s="19" t="s">
        <v>3251</v>
      </c>
      <c r="F1759" s="19" t="s">
        <v>3262</v>
      </c>
      <c r="G1759" s="2" t="str">
        <f t="shared" si="157"/>
        <v>http://jsmh.umin.jp/journal/27-2/27-2.pdf</v>
      </c>
      <c r="H1759" s="43" t="str">
        <f t="shared" si="158"/>
        <v>http://dl.ndl.go.jp/info:ndljp/pid/3359292</v>
      </c>
    </row>
    <row r="1760" spans="1:8" ht="30" customHeight="1" x14ac:dyDescent="0.15">
      <c r="A1760" s="16" t="s">
        <v>17</v>
      </c>
      <c r="B1760" s="17" t="s">
        <v>3263</v>
      </c>
      <c r="C1760" s="17" t="s">
        <v>3264</v>
      </c>
      <c r="D1760" s="25" t="s">
        <v>3229</v>
      </c>
      <c r="E1760" s="19" t="s">
        <v>3251</v>
      </c>
      <c r="F1760" s="19" t="s">
        <v>3265</v>
      </c>
      <c r="G1760" s="2" t="str">
        <f t="shared" si="157"/>
        <v>http://jsmh.umin.jp/journal/27-2/27-2.pdf</v>
      </c>
      <c r="H1760" s="43" t="str">
        <f t="shared" si="158"/>
        <v>http://dl.ndl.go.jp/info:ndljp/pid/3359292</v>
      </c>
    </row>
    <row r="1761" spans="1:8" ht="30" customHeight="1" x14ac:dyDescent="0.15">
      <c r="A1761" s="16" t="s">
        <v>1855</v>
      </c>
      <c r="B1761" s="17" t="s">
        <v>3266</v>
      </c>
      <c r="C1761" s="17" t="s">
        <v>3267</v>
      </c>
      <c r="D1761" s="25" t="s">
        <v>3229</v>
      </c>
      <c r="E1761" s="19" t="s">
        <v>3268</v>
      </c>
      <c r="F1761" s="19" t="s">
        <v>2066</v>
      </c>
      <c r="G1761" s="2" t="str">
        <f t="shared" ref="G1761:G1807" si="159">HYPERLINK("http://jsmh.umin.jp/journal/27-3/27-3.pdf")</f>
        <v>http://jsmh.umin.jp/journal/27-3/27-3.pdf</v>
      </c>
      <c r="H1761" s="42" t="str">
        <f t="shared" ref="H1761:H1807" si="160">HYPERLINK("http://dl.ndl.go.jp/info:ndljp/pid/3359293")</f>
        <v>http://dl.ndl.go.jp/info:ndljp/pid/3359293</v>
      </c>
    </row>
    <row r="1762" spans="1:8" ht="30" customHeight="1" x14ac:dyDescent="0.15">
      <c r="A1762" s="16" t="s">
        <v>1855</v>
      </c>
      <c r="B1762" s="17" t="s">
        <v>3269</v>
      </c>
      <c r="C1762" s="17" t="s">
        <v>3270</v>
      </c>
      <c r="D1762" s="25" t="s">
        <v>3229</v>
      </c>
      <c r="E1762" s="19" t="s">
        <v>3268</v>
      </c>
      <c r="F1762" s="19" t="s">
        <v>3271</v>
      </c>
      <c r="G1762" s="2" t="str">
        <f t="shared" si="159"/>
        <v>http://jsmh.umin.jp/journal/27-3/27-3.pdf</v>
      </c>
      <c r="H1762" s="43" t="str">
        <f t="shared" si="160"/>
        <v>http://dl.ndl.go.jp/info:ndljp/pid/3359293</v>
      </c>
    </row>
    <row r="1763" spans="1:8" ht="30" customHeight="1" x14ac:dyDescent="0.15">
      <c r="A1763" s="16" t="s">
        <v>1855</v>
      </c>
      <c r="B1763" s="17" t="s">
        <v>3272</v>
      </c>
      <c r="C1763" s="17" t="s">
        <v>1338</v>
      </c>
      <c r="D1763" s="25" t="s">
        <v>3229</v>
      </c>
      <c r="E1763" s="19" t="s">
        <v>3268</v>
      </c>
      <c r="F1763" s="19" t="s">
        <v>2072</v>
      </c>
      <c r="G1763" s="2" t="str">
        <f t="shared" si="159"/>
        <v>http://jsmh.umin.jp/journal/27-3/27-3.pdf</v>
      </c>
      <c r="H1763" s="43" t="str">
        <f t="shared" si="160"/>
        <v>http://dl.ndl.go.jp/info:ndljp/pid/3359293</v>
      </c>
    </row>
    <row r="1764" spans="1:8" ht="30" customHeight="1" x14ac:dyDescent="0.15">
      <c r="A1764" s="16" t="s">
        <v>1855</v>
      </c>
      <c r="B1764" s="17" t="s">
        <v>3273</v>
      </c>
      <c r="C1764" s="17" t="s">
        <v>3274</v>
      </c>
      <c r="D1764" s="25" t="s">
        <v>3229</v>
      </c>
      <c r="E1764" s="19" t="s">
        <v>3268</v>
      </c>
      <c r="F1764" s="19" t="s">
        <v>3275</v>
      </c>
      <c r="G1764" s="2" t="str">
        <f t="shared" si="159"/>
        <v>http://jsmh.umin.jp/journal/27-3/27-3.pdf</v>
      </c>
      <c r="H1764" s="43" t="str">
        <f t="shared" si="160"/>
        <v>http://dl.ndl.go.jp/info:ndljp/pid/3359293</v>
      </c>
    </row>
    <row r="1765" spans="1:8" ht="30" customHeight="1" x14ac:dyDescent="0.15">
      <c r="A1765" s="16" t="s">
        <v>1855</v>
      </c>
      <c r="B1765" s="17" t="s">
        <v>3276</v>
      </c>
      <c r="C1765" s="17" t="s">
        <v>2233</v>
      </c>
      <c r="D1765" s="25" t="s">
        <v>3229</v>
      </c>
      <c r="E1765" s="19" t="s">
        <v>3268</v>
      </c>
      <c r="F1765" s="19" t="s">
        <v>1540</v>
      </c>
      <c r="G1765" s="2" t="str">
        <f t="shared" si="159"/>
        <v>http://jsmh.umin.jp/journal/27-3/27-3.pdf</v>
      </c>
      <c r="H1765" s="43" t="str">
        <f t="shared" si="160"/>
        <v>http://dl.ndl.go.jp/info:ndljp/pid/3359293</v>
      </c>
    </row>
    <row r="1766" spans="1:8" ht="30" customHeight="1" x14ac:dyDescent="0.15">
      <c r="A1766" s="16" t="s">
        <v>1855</v>
      </c>
      <c r="B1766" s="17" t="s">
        <v>3277</v>
      </c>
      <c r="C1766" s="17" t="s">
        <v>2485</v>
      </c>
      <c r="D1766" s="25" t="s">
        <v>3229</v>
      </c>
      <c r="E1766" s="19" t="s">
        <v>3268</v>
      </c>
      <c r="F1766" s="19" t="s">
        <v>285</v>
      </c>
      <c r="G1766" s="2" t="str">
        <f t="shared" si="159"/>
        <v>http://jsmh.umin.jp/journal/27-3/27-3.pdf</v>
      </c>
      <c r="H1766" s="43" t="str">
        <f t="shared" si="160"/>
        <v>http://dl.ndl.go.jp/info:ndljp/pid/3359293</v>
      </c>
    </row>
    <row r="1767" spans="1:8" ht="30" customHeight="1" x14ac:dyDescent="0.15">
      <c r="A1767" s="16" t="s">
        <v>1855</v>
      </c>
      <c r="B1767" s="17" t="s">
        <v>3278</v>
      </c>
      <c r="C1767" s="17" t="s">
        <v>937</v>
      </c>
      <c r="D1767" s="25" t="s">
        <v>3229</v>
      </c>
      <c r="E1767" s="19" t="s">
        <v>3268</v>
      </c>
      <c r="F1767" s="19" t="s">
        <v>292</v>
      </c>
      <c r="G1767" s="2" t="str">
        <f t="shared" si="159"/>
        <v>http://jsmh.umin.jp/journal/27-3/27-3.pdf</v>
      </c>
      <c r="H1767" s="43" t="str">
        <f t="shared" si="160"/>
        <v>http://dl.ndl.go.jp/info:ndljp/pid/3359293</v>
      </c>
    </row>
    <row r="1768" spans="1:8" ht="30" customHeight="1" x14ac:dyDescent="0.15">
      <c r="A1768" s="16" t="s">
        <v>1855</v>
      </c>
      <c r="B1768" s="17" t="s">
        <v>3279</v>
      </c>
      <c r="C1768" s="17" t="s">
        <v>1070</v>
      </c>
      <c r="D1768" s="25" t="s">
        <v>3229</v>
      </c>
      <c r="E1768" s="19" t="s">
        <v>3268</v>
      </c>
      <c r="F1768" s="19" t="s">
        <v>2957</v>
      </c>
      <c r="G1768" s="2" t="str">
        <f t="shared" si="159"/>
        <v>http://jsmh.umin.jp/journal/27-3/27-3.pdf</v>
      </c>
      <c r="H1768" s="43" t="str">
        <f t="shared" si="160"/>
        <v>http://dl.ndl.go.jp/info:ndljp/pid/3359293</v>
      </c>
    </row>
    <row r="1769" spans="1:8" ht="30" customHeight="1" x14ac:dyDescent="0.15">
      <c r="A1769" s="16" t="s">
        <v>1855</v>
      </c>
      <c r="B1769" s="17" t="s">
        <v>3280</v>
      </c>
      <c r="C1769" s="17" t="s">
        <v>3281</v>
      </c>
      <c r="D1769" s="25" t="s">
        <v>3229</v>
      </c>
      <c r="E1769" s="19" t="s">
        <v>3268</v>
      </c>
      <c r="F1769" s="19" t="s">
        <v>300</v>
      </c>
      <c r="G1769" s="2" t="str">
        <f t="shared" si="159"/>
        <v>http://jsmh.umin.jp/journal/27-3/27-3.pdf</v>
      </c>
      <c r="H1769" s="43" t="str">
        <f t="shared" si="160"/>
        <v>http://dl.ndl.go.jp/info:ndljp/pid/3359293</v>
      </c>
    </row>
    <row r="1770" spans="1:8" ht="30" customHeight="1" x14ac:dyDescent="0.15">
      <c r="A1770" s="16" t="s">
        <v>1855</v>
      </c>
      <c r="B1770" s="17" t="s">
        <v>3282</v>
      </c>
      <c r="C1770" s="17" t="s">
        <v>1299</v>
      </c>
      <c r="D1770" s="25" t="s">
        <v>3229</v>
      </c>
      <c r="E1770" s="19" t="s">
        <v>3268</v>
      </c>
      <c r="F1770" s="19" t="s">
        <v>3283</v>
      </c>
      <c r="G1770" s="2" t="str">
        <f t="shared" si="159"/>
        <v>http://jsmh.umin.jp/journal/27-3/27-3.pdf</v>
      </c>
      <c r="H1770" s="43" t="str">
        <f t="shared" si="160"/>
        <v>http://dl.ndl.go.jp/info:ndljp/pid/3359293</v>
      </c>
    </row>
    <row r="1771" spans="1:8" ht="30" customHeight="1" x14ac:dyDescent="0.15">
      <c r="A1771" s="16" t="s">
        <v>1855</v>
      </c>
      <c r="B1771" s="17" t="s">
        <v>3284</v>
      </c>
      <c r="C1771" s="17" t="s">
        <v>1699</v>
      </c>
      <c r="D1771" s="25" t="s">
        <v>3229</v>
      </c>
      <c r="E1771" s="19" t="s">
        <v>3268</v>
      </c>
      <c r="F1771" s="19" t="s">
        <v>1261</v>
      </c>
      <c r="G1771" s="2" t="str">
        <f t="shared" si="159"/>
        <v>http://jsmh.umin.jp/journal/27-3/27-3.pdf</v>
      </c>
      <c r="H1771" s="43" t="str">
        <f t="shared" si="160"/>
        <v>http://dl.ndl.go.jp/info:ndljp/pid/3359293</v>
      </c>
    </row>
    <row r="1772" spans="1:8" ht="30" customHeight="1" x14ac:dyDescent="0.15">
      <c r="A1772" s="16" t="s">
        <v>1855</v>
      </c>
      <c r="B1772" s="17" t="s">
        <v>3285</v>
      </c>
      <c r="C1772" s="17" t="s">
        <v>273</v>
      </c>
      <c r="D1772" s="25" t="s">
        <v>3229</v>
      </c>
      <c r="E1772" s="19" t="s">
        <v>3268</v>
      </c>
      <c r="F1772" s="19" t="s">
        <v>1393</v>
      </c>
      <c r="G1772" s="2" t="str">
        <f t="shared" si="159"/>
        <v>http://jsmh.umin.jp/journal/27-3/27-3.pdf</v>
      </c>
      <c r="H1772" s="43" t="str">
        <f t="shared" si="160"/>
        <v>http://dl.ndl.go.jp/info:ndljp/pid/3359293</v>
      </c>
    </row>
    <row r="1773" spans="1:8" ht="30" customHeight="1" x14ac:dyDescent="0.15">
      <c r="A1773" s="16" t="s">
        <v>1855</v>
      </c>
      <c r="B1773" s="17" t="s">
        <v>3286</v>
      </c>
      <c r="C1773" s="17" t="s">
        <v>1136</v>
      </c>
      <c r="D1773" s="25" t="s">
        <v>3229</v>
      </c>
      <c r="E1773" s="19" t="s">
        <v>3268</v>
      </c>
      <c r="F1773" s="19" t="s">
        <v>1861</v>
      </c>
      <c r="G1773" s="2" t="str">
        <f t="shared" si="159"/>
        <v>http://jsmh.umin.jp/journal/27-3/27-3.pdf</v>
      </c>
      <c r="H1773" s="43" t="str">
        <f t="shared" si="160"/>
        <v>http://dl.ndl.go.jp/info:ndljp/pid/3359293</v>
      </c>
    </row>
    <row r="1774" spans="1:8" ht="30" customHeight="1" x14ac:dyDescent="0.15">
      <c r="A1774" s="16" t="s">
        <v>1855</v>
      </c>
      <c r="B1774" s="17" t="s">
        <v>3287</v>
      </c>
      <c r="C1774" s="17" t="s">
        <v>3288</v>
      </c>
      <c r="D1774" s="25" t="s">
        <v>3229</v>
      </c>
      <c r="E1774" s="19" t="s">
        <v>3268</v>
      </c>
      <c r="F1774" s="19" t="s">
        <v>108</v>
      </c>
      <c r="G1774" s="2" t="str">
        <f t="shared" si="159"/>
        <v>http://jsmh.umin.jp/journal/27-3/27-3.pdf</v>
      </c>
      <c r="H1774" s="43" t="str">
        <f t="shared" si="160"/>
        <v>http://dl.ndl.go.jp/info:ndljp/pid/3359293</v>
      </c>
    </row>
    <row r="1775" spans="1:8" ht="30" customHeight="1" x14ac:dyDescent="0.15">
      <c r="A1775" s="16" t="s">
        <v>1855</v>
      </c>
      <c r="B1775" s="17" t="s">
        <v>3289</v>
      </c>
      <c r="C1775" s="17" t="s">
        <v>3290</v>
      </c>
      <c r="D1775" s="25" t="s">
        <v>3229</v>
      </c>
      <c r="E1775" s="19" t="s">
        <v>3268</v>
      </c>
      <c r="F1775" s="19" t="s">
        <v>119</v>
      </c>
      <c r="G1775" s="2" t="str">
        <f t="shared" si="159"/>
        <v>http://jsmh.umin.jp/journal/27-3/27-3.pdf</v>
      </c>
      <c r="H1775" s="43" t="str">
        <f t="shared" si="160"/>
        <v>http://dl.ndl.go.jp/info:ndljp/pid/3359293</v>
      </c>
    </row>
    <row r="1776" spans="1:8" ht="30" customHeight="1" x14ac:dyDescent="0.15">
      <c r="A1776" s="16" t="s">
        <v>1855</v>
      </c>
      <c r="B1776" s="17" t="s">
        <v>3291</v>
      </c>
      <c r="C1776" s="17" t="s">
        <v>644</v>
      </c>
      <c r="D1776" s="25" t="s">
        <v>3229</v>
      </c>
      <c r="E1776" s="19" t="s">
        <v>3268</v>
      </c>
      <c r="F1776" s="19" t="s">
        <v>3292</v>
      </c>
      <c r="G1776" s="2" t="str">
        <f t="shared" si="159"/>
        <v>http://jsmh.umin.jp/journal/27-3/27-3.pdf</v>
      </c>
      <c r="H1776" s="43" t="str">
        <f t="shared" si="160"/>
        <v>http://dl.ndl.go.jp/info:ndljp/pid/3359293</v>
      </c>
    </row>
    <row r="1777" spans="1:8" ht="30" customHeight="1" x14ac:dyDescent="0.15">
      <c r="A1777" s="16" t="s">
        <v>1855</v>
      </c>
      <c r="B1777" s="17" t="s">
        <v>3293</v>
      </c>
      <c r="C1777" s="17" t="s">
        <v>1776</v>
      </c>
      <c r="D1777" s="25" t="s">
        <v>3229</v>
      </c>
      <c r="E1777" s="19" t="s">
        <v>3268</v>
      </c>
      <c r="F1777" s="19" t="s">
        <v>137</v>
      </c>
      <c r="G1777" s="2" t="str">
        <f t="shared" si="159"/>
        <v>http://jsmh.umin.jp/journal/27-3/27-3.pdf</v>
      </c>
      <c r="H1777" s="43" t="str">
        <f t="shared" si="160"/>
        <v>http://dl.ndl.go.jp/info:ndljp/pid/3359293</v>
      </c>
    </row>
    <row r="1778" spans="1:8" ht="30" customHeight="1" x14ac:dyDescent="0.15">
      <c r="A1778" s="16" t="s">
        <v>1855</v>
      </c>
      <c r="B1778" s="17" t="s">
        <v>3294</v>
      </c>
      <c r="C1778" s="17" t="s">
        <v>790</v>
      </c>
      <c r="D1778" s="25" t="s">
        <v>3229</v>
      </c>
      <c r="E1778" s="19" t="s">
        <v>3268</v>
      </c>
      <c r="F1778" s="19" t="s">
        <v>3295</v>
      </c>
      <c r="G1778" s="2" t="str">
        <f t="shared" si="159"/>
        <v>http://jsmh.umin.jp/journal/27-3/27-3.pdf</v>
      </c>
      <c r="H1778" s="43" t="str">
        <f t="shared" si="160"/>
        <v>http://dl.ndl.go.jp/info:ndljp/pid/3359293</v>
      </c>
    </row>
    <row r="1779" spans="1:8" ht="30" customHeight="1" x14ac:dyDescent="0.15">
      <c r="A1779" s="16" t="s">
        <v>1855</v>
      </c>
      <c r="B1779" s="17" t="s">
        <v>3296</v>
      </c>
      <c r="C1779" s="17" t="s">
        <v>2667</v>
      </c>
      <c r="D1779" s="25" t="s">
        <v>3229</v>
      </c>
      <c r="E1779" s="19" t="s">
        <v>3268</v>
      </c>
      <c r="F1779" s="19" t="s">
        <v>3297</v>
      </c>
      <c r="G1779" s="2" t="str">
        <f t="shared" si="159"/>
        <v>http://jsmh.umin.jp/journal/27-3/27-3.pdf</v>
      </c>
      <c r="H1779" s="43" t="str">
        <f t="shared" si="160"/>
        <v>http://dl.ndl.go.jp/info:ndljp/pid/3359293</v>
      </c>
    </row>
    <row r="1780" spans="1:8" ht="30" customHeight="1" x14ac:dyDescent="0.15">
      <c r="A1780" s="16" t="s">
        <v>1855</v>
      </c>
      <c r="B1780" s="17" t="s">
        <v>3298</v>
      </c>
      <c r="C1780" s="17" t="s">
        <v>439</v>
      </c>
      <c r="D1780" s="25" t="s">
        <v>3229</v>
      </c>
      <c r="E1780" s="19" t="s">
        <v>3268</v>
      </c>
      <c r="F1780" s="19" t="s">
        <v>3299</v>
      </c>
      <c r="G1780" s="2" t="str">
        <f t="shared" si="159"/>
        <v>http://jsmh.umin.jp/journal/27-3/27-3.pdf</v>
      </c>
      <c r="H1780" s="43" t="str">
        <f t="shared" si="160"/>
        <v>http://dl.ndl.go.jp/info:ndljp/pid/3359293</v>
      </c>
    </row>
    <row r="1781" spans="1:8" ht="30" customHeight="1" x14ac:dyDescent="0.15">
      <c r="A1781" s="16" t="s">
        <v>1855</v>
      </c>
      <c r="B1781" s="17" t="s">
        <v>3300</v>
      </c>
      <c r="C1781" s="17" t="s">
        <v>3301</v>
      </c>
      <c r="D1781" s="25" t="s">
        <v>3229</v>
      </c>
      <c r="E1781" s="19" t="s">
        <v>3268</v>
      </c>
      <c r="F1781" s="19" t="s">
        <v>3302</v>
      </c>
      <c r="G1781" s="2" t="str">
        <f t="shared" si="159"/>
        <v>http://jsmh.umin.jp/journal/27-3/27-3.pdf</v>
      </c>
      <c r="H1781" s="43" t="str">
        <f t="shared" si="160"/>
        <v>http://dl.ndl.go.jp/info:ndljp/pid/3359293</v>
      </c>
    </row>
    <row r="1782" spans="1:8" ht="30" customHeight="1" x14ac:dyDescent="0.15">
      <c r="A1782" s="16" t="s">
        <v>1855</v>
      </c>
      <c r="B1782" s="17" t="s">
        <v>3303</v>
      </c>
      <c r="C1782" s="17" t="s">
        <v>838</v>
      </c>
      <c r="D1782" s="25" t="s">
        <v>3229</v>
      </c>
      <c r="E1782" s="19" t="s">
        <v>3268</v>
      </c>
      <c r="F1782" s="19" t="s">
        <v>3304</v>
      </c>
      <c r="G1782" s="2" t="str">
        <f t="shared" si="159"/>
        <v>http://jsmh.umin.jp/journal/27-3/27-3.pdf</v>
      </c>
      <c r="H1782" s="43" t="str">
        <f t="shared" si="160"/>
        <v>http://dl.ndl.go.jp/info:ndljp/pid/3359293</v>
      </c>
    </row>
    <row r="1783" spans="1:8" ht="30" customHeight="1" x14ac:dyDescent="0.15">
      <c r="A1783" s="16" t="s">
        <v>1855</v>
      </c>
      <c r="B1783" s="17" t="s">
        <v>3305</v>
      </c>
      <c r="C1783" s="17" t="s">
        <v>3306</v>
      </c>
      <c r="D1783" s="25" t="s">
        <v>3229</v>
      </c>
      <c r="E1783" s="19" t="s">
        <v>3268</v>
      </c>
      <c r="F1783" s="19" t="s">
        <v>3307</v>
      </c>
      <c r="G1783" s="2" t="str">
        <f t="shared" si="159"/>
        <v>http://jsmh.umin.jp/journal/27-3/27-3.pdf</v>
      </c>
      <c r="H1783" s="43" t="str">
        <f t="shared" si="160"/>
        <v>http://dl.ndl.go.jp/info:ndljp/pid/3359293</v>
      </c>
    </row>
    <row r="1784" spans="1:8" ht="30" customHeight="1" x14ac:dyDescent="0.15">
      <c r="A1784" s="16" t="s">
        <v>1855</v>
      </c>
      <c r="B1784" s="17" t="s">
        <v>3308</v>
      </c>
      <c r="C1784" s="17" t="s">
        <v>479</v>
      </c>
      <c r="D1784" s="25" t="s">
        <v>3229</v>
      </c>
      <c r="E1784" s="19" t="s">
        <v>3268</v>
      </c>
      <c r="F1784" s="19" t="s">
        <v>3309</v>
      </c>
      <c r="G1784" s="2" t="str">
        <f t="shared" si="159"/>
        <v>http://jsmh.umin.jp/journal/27-3/27-3.pdf</v>
      </c>
      <c r="H1784" s="43" t="str">
        <f t="shared" si="160"/>
        <v>http://dl.ndl.go.jp/info:ndljp/pid/3359293</v>
      </c>
    </row>
    <row r="1785" spans="1:8" ht="30" customHeight="1" x14ac:dyDescent="0.15">
      <c r="A1785" s="16" t="s">
        <v>1855</v>
      </c>
      <c r="B1785" s="17" t="s">
        <v>10125</v>
      </c>
      <c r="C1785" s="17" t="s">
        <v>10126</v>
      </c>
      <c r="D1785" s="25" t="s">
        <v>3229</v>
      </c>
      <c r="E1785" s="19" t="s">
        <v>3268</v>
      </c>
      <c r="F1785" s="19" t="s">
        <v>3310</v>
      </c>
      <c r="G1785" s="2" t="str">
        <f t="shared" si="159"/>
        <v>http://jsmh.umin.jp/journal/27-3/27-3.pdf</v>
      </c>
      <c r="H1785" s="43" t="str">
        <f t="shared" si="160"/>
        <v>http://dl.ndl.go.jp/info:ndljp/pid/3359293</v>
      </c>
    </row>
    <row r="1786" spans="1:8" ht="30" customHeight="1" x14ac:dyDescent="0.15">
      <c r="A1786" s="16" t="s">
        <v>1855</v>
      </c>
      <c r="B1786" s="17" t="s">
        <v>3311</v>
      </c>
      <c r="C1786" s="17" t="s">
        <v>3312</v>
      </c>
      <c r="D1786" s="25" t="s">
        <v>3229</v>
      </c>
      <c r="E1786" s="19" t="s">
        <v>3268</v>
      </c>
      <c r="F1786" s="19" t="s">
        <v>3313</v>
      </c>
      <c r="G1786" s="2" t="str">
        <f t="shared" si="159"/>
        <v>http://jsmh.umin.jp/journal/27-3/27-3.pdf</v>
      </c>
      <c r="H1786" s="43" t="str">
        <f t="shared" si="160"/>
        <v>http://dl.ndl.go.jp/info:ndljp/pid/3359293</v>
      </c>
    </row>
    <row r="1787" spans="1:8" ht="30" customHeight="1" x14ac:dyDescent="0.15">
      <c r="A1787" s="16" t="s">
        <v>3314</v>
      </c>
      <c r="B1787" s="17" t="s">
        <v>3315</v>
      </c>
      <c r="C1787" s="17" t="s">
        <v>3120</v>
      </c>
      <c r="D1787" s="25" t="s">
        <v>3229</v>
      </c>
      <c r="E1787" s="19" t="s">
        <v>3268</v>
      </c>
      <c r="F1787" s="19" t="s">
        <v>3316</v>
      </c>
      <c r="G1787" s="2" t="str">
        <f t="shared" si="159"/>
        <v>http://jsmh.umin.jp/journal/27-3/27-3.pdf</v>
      </c>
      <c r="H1787" s="43" t="str">
        <f t="shared" si="160"/>
        <v>http://dl.ndl.go.jp/info:ndljp/pid/3359293</v>
      </c>
    </row>
    <row r="1788" spans="1:8" ht="30" customHeight="1" x14ac:dyDescent="0.15">
      <c r="A1788" s="16" t="s">
        <v>1855</v>
      </c>
      <c r="B1788" s="17" t="s">
        <v>3317</v>
      </c>
      <c r="C1788" s="17" t="s">
        <v>790</v>
      </c>
      <c r="D1788" s="25" t="s">
        <v>3229</v>
      </c>
      <c r="E1788" s="19" t="s">
        <v>3268</v>
      </c>
      <c r="F1788" s="19" t="s">
        <v>3318</v>
      </c>
      <c r="G1788" s="2" t="str">
        <f t="shared" si="159"/>
        <v>http://jsmh.umin.jp/journal/27-3/27-3.pdf</v>
      </c>
      <c r="H1788" s="43" t="str">
        <f t="shared" si="160"/>
        <v>http://dl.ndl.go.jp/info:ndljp/pid/3359293</v>
      </c>
    </row>
    <row r="1789" spans="1:8" ht="30" customHeight="1" x14ac:dyDescent="0.15">
      <c r="A1789" s="16" t="s">
        <v>1855</v>
      </c>
      <c r="B1789" s="17" t="s">
        <v>3319</v>
      </c>
      <c r="C1789" s="17" t="s">
        <v>916</v>
      </c>
      <c r="D1789" s="25" t="s">
        <v>3229</v>
      </c>
      <c r="E1789" s="19" t="s">
        <v>3268</v>
      </c>
      <c r="F1789" s="19" t="s">
        <v>3320</v>
      </c>
      <c r="G1789" s="2" t="str">
        <f t="shared" si="159"/>
        <v>http://jsmh.umin.jp/journal/27-3/27-3.pdf</v>
      </c>
      <c r="H1789" s="43" t="str">
        <f t="shared" si="160"/>
        <v>http://dl.ndl.go.jp/info:ndljp/pid/3359293</v>
      </c>
    </row>
    <row r="1790" spans="1:8" ht="30" customHeight="1" x14ac:dyDescent="0.15">
      <c r="A1790" s="16" t="s">
        <v>1855</v>
      </c>
      <c r="B1790" s="17" t="s">
        <v>3321</v>
      </c>
      <c r="C1790" s="17" t="s">
        <v>3322</v>
      </c>
      <c r="D1790" s="25" t="s">
        <v>3229</v>
      </c>
      <c r="E1790" s="19" t="s">
        <v>3268</v>
      </c>
      <c r="F1790" s="19" t="s">
        <v>3323</v>
      </c>
      <c r="G1790" s="2" t="str">
        <f t="shared" si="159"/>
        <v>http://jsmh.umin.jp/journal/27-3/27-3.pdf</v>
      </c>
      <c r="H1790" s="43" t="str">
        <f t="shared" si="160"/>
        <v>http://dl.ndl.go.jp/info:ndljp/pid/3359293</v>
      </c>
    </row>
    <row r="1791" spans="1:8" ht="30" customHeight="1" x14ac:dyDescent="0.15">
      <c r="A1791" s="16" t="s">
        <v>3314</v>
      </c>
      <c r="B1791" s="17" t="s">
        <v>3324</v>
      </c>
      <c r="C1791" s="17" t="s">
        <v>3120</v>
      </c>
      <c r="D1791" s="25" t="s">
        <v>3229</v>
      </c>
      <c r="E1791" s="19" t="s">
        <v>3268</v>
      </c>
      <c r="F1791" s="19" t="s">
        <v>3325</v>
      </c>
      <c r="G1791" s="2" t="str">
        <f t="shared" si="159"/>
        <v>http://jsmh.umin.jp/journal/27-3/27-3.pdf</v>
      </c>
      <c r="H1791" s="43" t="str">
        <f t="shared" si="160"/>
        <v>http://dl.ndl.go.jp/info:ndljp/pid/3359293</v>
      </c>
    </row>
    <row r="1792" spans="1:8" ht="30" customHeight="1" x14ac:dyDescent="0.15">
      <c r="A1792" s="16" t="s">
        <v>1855</v>
      </c>
      <c r="B1792" s="17" t="s">
        <v>3326</v>
      </c>
      <c r="C1792" s="17" t="s">
        <v>3120</v>
      </c>
      <c r="D1792" s="25" t="s">
        <v>3229</v>
      </c>
      <c r="E1792" s="19" t="s">
        <v>3268</v>
      </c>
      <c r="F1792" s="19" t="s">
        <v>1011</v>
      </c>
      <c r="G1792" s="2" t="str">
        <f t="shared" si="159"/>
        <v>http://jsmh.umin.jp/journal/27-3/27-3.pdf</v>
      </c>
      <c r="H1792" s="43" t="str">
        <f t="shared" si="160"/>
        <v>http://dl.ndl.go.jp/info:ndljp/pid/3359293</v>
      </c>
    </row>
    <row r="1793" spans="1:8" ht="30" customHeight="1" x14ac:dyDescent="0.15">
      <c r="A1793" s="16" t="s">
        <v>1855</v>
      </c>
      <c r="B1793" s="17" t="s">
        <v>3327</v>
      </c>
      <c r="C1793" s="17" t="s">
        <v>3120</v>
      </c>
      <c r="D1793" s="25" t="s">
        <v>3229</v>
      </c>
      <c r="E1793" s="19" t="s">
        <v>3268</v>
      </c>
      <c r="F1793" s="19" t="s">
        <v>1019</v>
      </c>
      <c r="G1793" s="2" t="str">
        <f t="shared" si="159"/>
        <v>http://jsmh.umin.jp/journal/27-3/27-3.pdf</v>
      </c>
      <c r="H1793" s="43" t="str">
        <f t="shared" si="160"/>
        <v>http://dl.ndl.go.jp/info:ndljp/pid/3359293</v>
      </c>
    </row>
    <row r="1794" spans="1:8" ht="30" customHeight="1" x14ac:dyDescent="0.15">
      <c r="A1794" s="16" t="s">
        <v>3314</v>
      </c>
      <c r="B1794" s="17" t="s">
        <v>3328</v>
      </c>
      <c r="C1794" s="17" t="s">
        <v>3120</v>
      </c>
      <c r="D1794" s="25" t="s">
        <v>3229</v>
      </c>
      <c r="E1794" s="19" t="s">
        <v>3268</v>
      </c>
      <c r="F1794" s="19" t="s">
        <v>3329</v>
      </c>
      <c r="G1794" s="2" t="str">
        <f t="shared" si="159"/>
        <v>http://jsmh.umin.jp/journal/27-3/27-3.pdf</v>
      </c>
      <c r="H1794" s="43" t="str">
        <f t="shared" si="160"/>
        <v>http://dl.ndl.go.jp/info:ndljp/pid/3359293</v>
      </c>
    </row>
    <row r="1795" spans="1:8" ht="30" customHeight="1" x14ac:dyDescent="0.15">
      <c r="A1795" s="16" t="s">
        <v>1855</v>
      </c>
      <c r="B1795" s="17" t="s">
        <v>10127</v>
      </c>
      <c r="C1795" s="17" t="s">
        <v>3029</v>
      </c>
      <c r="D1795" s="25" t="s">
        <v>3229</v>
      </c>
      <c r="E1795" s="19" t="s">
        <v>3268</v>
      </c>
      <c r="F1795" s="19" t="s">
        <v>3330</v>
      </c>
      <c r="G1795" s="2" t="str">
        <f t="shared" si="159"/>
        <v>http://jsmh.umin.jp/journal/27-3/27-3.pdf</v>
      </c>
      <c r="H1795" s="43" t="str">
        <f t="shared" si="160"/>
        <v>http://dl.ndl.go.jp/info:ndljp/pid/3359293</v>
      </c>
    </row>
    <row r="1796" spans="1:8" ht="30" customHeight="1" x14ac:dyDescent="0.15">
      <c r="A1796" s="16" t="s">
        <v>1855</v>
      </c>
      <c r="B1796" s="17" t="s">
        <v>3331</v>
      </c>
      <c r="C1796" s="17" t="s">
        <v>2828</v>
      </c>
      <c r="D1796" s="25" t="s">
        <v>3229</v>
      </c>
      <c r="E1796" s="19" t="s">
        <v>3268</v>
      </c>
      <c r="F1796" s="19" t="s">
        <v>1035</v>
      </c>
      <c r="G1796" s="2" t="str">
        <f t="shared" si="159"/>
        <v>http://jsmh.umin.jp/journal/27-3/27-3.pdf</v>
      </c>
      <c r="H1796" s="43" t="str">
        <f t="shared" si="160"/>
        <v>http://dl.ndl.go.jp/info:ndljp/pid/3359293</v>
      </c>
    </row>
    <row r="1797" spans="1:8" ht="30" customHeight="1" x14ac:dyDescent="0.15">
      <c r="A1797" s="16" t="s">
        <v>1855</v>
      </c>
      <c r="B1797" s="17" t="s">
        <v>3332</v>
      </c>
      <c r="C1797" s="17" t="s">
        <v>2252</v>
      </c>
      <c r="D1797" s="25" t="s">
        <v>3229</v>
      </c>
      <c r="E1797" s="19" t="s">
        <v>3268</v>
      </c>
      <c r="F1797" s="19" t="s">
        <v>3333</v>
      </c>
      <c r="G1797" s="2" t="str">
        <f t="shared" si="159"/>
        <v>http://jsmh.umin.jp/journal/27-3/27-3.pdf</v>
      </c>
      <c r="H1797" s="43" t="str">
        <f t="shared" si="160"/>
        <v>http://dl.ndl.go.jp/info:ndljp/pid/3359293</v>
      </c>
    </row>
    <row r="1798" spans="1:8" ht="30" customHeight="1" x14ac:dyDescent="0.15">
      <c r="A1798" s="16" t="s">
        <v>1855</v>
      </c>
      <c r="B1798" s="17" t="s">
        <v>3334</v>
      </c>
      <c r="C1798" s="17" t="s">
        <v>963</v>
      </c>
      <c r="D1798" s="25" t="s">
        <v>3229</v>
      </c>
      <c r="E1798" s="19" t="s">
        <v>3268</v>
      </c>
      <c r="F1798" s="19" t="s">
        <v>3335</v>
      </c>
      <c r="G1798" s="2" t="str">
        <f t="shared" si="159"/>
        <v>http://jsmh.umin.jp/journal/27-3/27-3.pdf</v>
      </c>
      <c r="H1798" s="43" t="str">
        <f t="shared" si="160"/>
        <v>http://dl.ndl.go.jp/info:ndljp/pid/3359293</v>
      </c>
    </row>
    <row r="1799" spans="1:8" ht="30" customHeight="1" x14ac:dyDescent="0.15">
      <c r="A1799" s="16" t="s">
        <v>1855</v>
      </c>
      <c r="B1799" s="17" t="s">
        <v>3336</v>
      </c>
      <c r="C1799" s="17" t="s">
        <v>3337</v>
      </c>
      <c r="D1799" s="25" t="s">
        <v>3229</v>
      </c>
      <c r="E1799" s="19" t="s">
        <v>3268</v>
      </c>
      <c r="F1799" s="19" t="s">
        <v>3338</v>
      </c>
      <c r="G1799" s="2" t="str">
        <f t="shared" si="159"/>
        <v>http://jsmh.umin.jp/journal/27-3/27-3.pdf</v>
      </c>
      <c r="H1799" s="43" t="str">
        <f t="shared" si="160"/>
        <v>http://dl.ndl.go.jp/info:ndljp/pid/3359293</v>
      </c>
    </row>
    <row r="1800" spans="1:8" ht="30" customHeight="1" x14ac:dyDescent="0.15">
      <c r="A1800" s="16" t="s">
        <v>1855</v>
      </c>
      <c r="B1800" s="17" t="s">
        <v>3339</v>
      </c>
      <c r="C1800" s="17" t="s">
        <v>2325</v>
      </c>
      <c r="D1800" s="25" t="s">
        <v>3229</v>
      </c>
      <c r="E1800" s="19" t="s">
        <v>3268</v>
      </c>
      <c r="F1800" s="19" t="s">
        <v>3340</v>
      </c>
      <c r="G1800" s="2" t="str">
        <f t="shared" si="159"/>
        <v>http://jsmh.umin.jp/journal/27-3/27-3.pdf</v>
      </c>
      <c r="H1800" s="43" t="str">
        <f t="shared" si="160"/>
        <v>http://dl.ndl.go.jp/info:ndljp/pid/3359293</v>
      </c>
    </row>
    <row r="1801" spans="1:8" ht="30" customHeight="1" x14ac:dyDescent="0.15">
      <c r="A1801" s="16" t="s">
        <v>1855</v>
      </c>
      <c r="B1801" s="17" t="s">
        <v>3341</v>
      </c>
      <c r="C1801" s="17" t="s">
        <v>2465</v>
      </c>
      <c r="D1801" s="25" t="s">
        <v>3229</v>
      </c>
      <c r="E1801" s="19" t="s">
        <v>3268</v>
      </c>
      <c r="F1801" s="19" t="s">
        <v>3342</v>
      </c>
      <c r="G1801" s="2" t="str">
        <f t="shared" si="159"/>
        <v>http://jsmh.umin.jp/journal/27-3/27-3.pdf</v>
      </c>
      <c r="H1801" s="43" t="str">
        <f t="shared" si="160"/>
        <v>http://dl.ndl.go.jp/info:ndljp/pid/3359293</v>
      </c>
    </row>
    <row r="1802" spans="1:8" ht="30" customHeight="1" x14ac:dyDescent="0.15">
      <c r="A1802" s="16" t="s">
        <v>1855</v>
      </c>
      <c r="B1802" s="17" t="s">
        <v>3343</v>
      </c>
      <c r="C1802" s="17" t="s">
        <v>790</v>
      </c>
      <c r="D1802" s="25" t="s">
        <v>3229</v>
      </c>
      <c r="E1802" s="19" t="s">
        <v>3268</v>
      </c>
      <c r="F1802" s="19" t="s">
        <v>1907</v>
      </c>
      <c r="G1802" s="2" t="str">
        <f t="shared" si="159"/>
        <v>http://jsmh.umin.jp/journal/27-3/27-3.pdf</v>
      </c>
      <c r="H1802" s="43" t="str">
        <f t="shared" si="160"/>
        <v>http://dl.ndl.go.jp/info:ndljp/pid/3359293</v>
      </c>
    </row>
    <row r="1803" spans="1:8" ht="30" customHeight="1" x14ac:dyDescent="0.15">
      <c r="A1803" s="16" t="s">
        <v>1855</v>
      </c>
      <c r="B1803" s="17" t="s">
        <v>3344</v>
      </c>
      <c r="C1803" s="17" t="s">
        <v>507</v>
      </c>
      <c r="D1803" s="25" t="s">
        <v>3229</v>
      </c>
      <c r="E1803" s="19" t="s">
        <v>3268</v>
      </c>
      <c r="F1803" s="19" t="s">
        <v>3345</v>
      </c>
      <c r="G1803" s="2" t="str">
        <f t="shared" si="159"/>
        <v>http://jsmh.umin.jp/journal/27-3/27-3.pdf</v>
      </c>
      <c r="H1803" s="43" t="str">
        <f t="shared" si="160"/>
        <v>http://dl.ndl.go.jp/info:ndljp/pid/3359293</v>
      </c>
    </row>
    <row r="1804" spans="1:8" ht="30" customHeight="1" x14ac:dyDescent="0.15">
      <c r="A1804" s="16" t="s">
        <v>1855</v>
      </c>
      <c r="B1804" s="17" t="s">
        <v>3346</v>
      </c>
      <c r="C1804" s="17" t="s">
        <v>2553</v>
      </c>
      <c r="D1804" s="25" t="s">
        <v>3229</v>
      </c>
      <c r="E1804" s="19" t="s">
        <v>3268</v>
      </c>
      <c r="F1804" s="19" t="s">
        <v>3347</v>
      </c>
      <c r="G1804" s="2" t="str">
        <f t="shared" si="159"/>
        <v>http://jsmh.umin.jp/journal/27-3/27-3.pdf</v>
      </c>
      <c r="H1804" s="43" t="str">
        <f t="shared" si="160"/>
        <v>http://dl.ndl.go.jp/info:ndljp/pid/3359293</v>
      </c>
    </row>
    <row r="1805" spans="1:8" ht="30" customHeight="1" x14ac:dyDescent="0.15">
      <c r="A1805" s="16" t="s">
        <v>1855</v>
      </c>
      <c r="B1805" s="17" t="s">
        <v>10128</v>
      </c>
      <c r="C1805" s="17" t="s">
        <v>3348</v>
      </c>
      <c r="D1805" s="25" t="s">
        <v>3229</v>
      </c>
      <c r="E1805" s="19" t="s">
        <v>3268</v>
      </c>
      <c r="F1805" s="19" t="s">
        <v>3095</v>
      </c>
      <c r="G1805" s="2" t="str">
        <f t="shared" si="159"/>
        <v>http://jsmh.umin.jp/journal/27-3/27-3.pdf</v>
      </c>
      <c r="H1805" s="43" t="str">
        <f t="shared" si="160"/>
        <v>http://dl.ndl.go.jp/info:ndljp/pid/3359293</v>
      </c>
    </row>
    <row r="1806" spans="1:8" ht="30" customHeight="1" x14ac:dyDescent="0.15">
      <c r="A1806" s="16" t="s">
        <v>1855</v>
      </c>
      <c r="B1806" s="17" t="s">
        <v>3349</v>
      </c>
      <c r="C1806" s="17" t="s">
        <v>2222</v>
      </c>
      <c r="D1806" s="25" t="s">
        <v>3229</v>
      </c>
      <c r="E1806" s="19" t="s">
        <v>3268</v>
      </c>
      <c r="F1806" s="19" t="s">
        <v>3097</v>
      </c>
      <c r="G1806" s="2" t="str">
        <f t="shared" si="159"/>
        <v>http://jsmh.umin.jp/journal/27-3/27-3.pdf</v>
      </c>
      <c r="H1806" s="43" t="str">
        <f t="shared" si="160"/>
        <v>http://dl.ndl.go.jp/info:ndljp/pid/3359293</v>
      </c>
    </row>
    <row r="1807" spans="1:8" ht="30" customHeight="1" x14ac:dyDescent="0.15">
      <c r="A1807" s="16" t="s">
        <v>1855</v>
      </c>
      <c r="B1807" s="17" t="s">
        <v>3350</v>
      </c>
      <c r="C1807" s="17" t="s">
        <v>3351</v>
      </c>
      <c r="D1807" s="25" t="s">
        <v>3229</v>
      </c>
      <c r="E1807" s="19" t="s">
        <v>3268</v>
      </c>
      <c r="F1807" s="19" t="s">
        <v>3352</v>
      </c>
      <c r="G1807" s="2" t="str">
        <f t="shared" si="159"/>
        <v>http://jsmh.umin.jp/journal/27-3/27-3.pdf</v>
      </c>
      <c r="H1807" s="43" t="str">
        <f t="shared" si="160"/>
        <v>http://dl.ndl.go.jp/info:ndljp/pid/3359293</v>
      </c>
    </row>
    <row r="1808" spans="1:8" ht="30" customHeight="1" x14ac:dyDescent="0.15">
      <c r="A1808" s="16" t="s">
        <v>17</v>
      </c>
      <c r="B1808" s="17" t="s">
        <v>3353</v>
      </c>
      <c r="C1808" s="17" t="s">
        <v>1534</v>
      </c>
      <c r="D1808" s="25" t="s">
        <v>3229</v>
      </c>
      <c r="E1808" s="19" t="s">
        <v>3354</v>
      </c>
      <c r="F1808" s="19" t="s">
        <v>3355</v>
      </c>
      <c r="G1808" s="2" t="str">
        <f t="shared" ref="G1808:G1820" si="161">HYPERLINK("http://jsmh.umin.jp/journal/27-4/27-4.pdf")</f>
        <v>http://jsmh.umin.jp/journal/27-4/27-4.pdf</v>
      </c>
      <c r="H1808" s="42" t="str">
        <f t="shared" ref="H1808:H1820" si="162">HYPERLINK("http://dl.ndl.go.jp/info:ndljp/pid/3359294")</f>
        <v>http://dl.ndl.go.jp/info:ndljp/pid/3359294</v>
      </c>
    </row>
    <row r="1809" spans="1:10" ht="30" customHeight="1" x14ac:dyDescent="0.15">
      <c r="A1809" s="16" t="s">
        <v>17</v>
      </c>
      <c r="B1809" s="17" t="s">
        <v>3356</v>
      </c>
      <c r="C1809" s="17" t="s">
        <v>1699</v>
      </c>
      <c r="D1809" s="25" t="s">
        <v>3229</v>
      </c>
      <c r="E1809" s="19" t="s">
        <v>3354</v>
      </c>
      <c r="F1809" s="19" t="s">
        <v>3357</v>
      </c>
      <c r="G1809" s="2" t="str">
        <f t="shared" si="161"/>
        <v>http://jsmh.umin.jp/journal/27-4/27-4.pdf</v>
      </c>
      <c r="H1809" s="43" t="str">
        <f t="shared" si="162"/>
        <v>http://dl.ndl.go.jp/info:ndljp/pid/3359294</v>
      </c>
    </row>
    <row r="1810" spans="1:10" ht="30" customHeight="1" x14ac:dyDescent="0.15">
      <c r="A1810" s="16" t="s">
        <v>17</v>
      </c>
      <c r="B1810" s="17" t="s">
        <v>3358</v>
      </c>
      <c r="C1810" s="17" t="s">
        <v>2937</v>
      </c>
      <c r="D1810" s="25" t="s">
        <v>3229</v>
      </c>
      <c r="E1810" s="19" t="s">
        <v>3354</v>
      </c>
      <c r="F1810" s="19" t="s">
        <v>3359</v>
      </c>
      <c r="G1810" s="2" t="str">
        <f t="shared" si="161"/>
        <v>http://jsmh.umin.jp/journal/27-4/27-4.pdf</v>
      </c>
      <c r="H1810" s="43" t="str">
        <f t="shared" si="162"/>
        <v>http://dl.ndl.go.jp/info:ndljp/pid/3359294</v>
      </c>
    </row>
    <row r="1811" spans="1:10" ht="30" customHeight="1" x14ac:dyDescent="0.15">
      <c r="A1811" s="16" t="s">
        <v>17</v>
      </c>
      <c r="B1811" s="17" t="s">
        <v>3360</v>
      </c>
      <c r="C1811" s="17" t="s">
        <v>439</v>
      </c>
      <c r="D1811" s="25" t="s">
        <v>3229</v>
      </c>
      <c r="E1811" s="19" t="s">
        <v>3354</v>
      </c>
      <c r="F1811" s="19" t="s">
        <v>3361</v>
      </c>
      <c r="G1811" s="2" t="str">
        <f t="shared" si="161"/>
        <v>http://jsmh.umin.jp/journal/27-4/27-4.pdf</v>
      </c>
      <c r="H1811" s="43" t="str">
        <f t="shared" si="162"/>
        <v>http://dl.ndl.go.jp/info:ndljp/pid/3359294</v>
      </c>
    </row>
    <row r="1812" spans="1:10" ht="30" customHeight="1" x14ac:dyDescent="0.15">
      <c r="A1812" s="16" t="s">
        <v>17</v>
      </c>
      <c r="B1812" s="17" t="s">
        <v>3362</v>
      </c>
      <c r="C1812" s="17" t="s">
        <v>790</v>
      </c>
      <c r="D1812" s="25" t="s">
        <v>3229</v>
      </c>
      <c r="E1812" s="19" t="s">
        <v>3354</v>
      </c>
      <c r="F1812" s="19" t="s">
        <v>3363</v>
      </c>
      <c r="G1812" s="2" t="str">
        <f t="shared" si="161"/>
        <v>http://jsmh.umin.jp/journal/27-4/27-4.pdf</v>
      </c>
      <c r="H1812" s="43" t="str">
        <f t="shared" si="162"/>
        <v>http://dl.ndl.go.jp/info:ndljp/pid/3359294</v>
      </c>
    </row>
    <row r="1813" spans="1:10" ht="30" customHeight="1" x14ac:dyDescent="0.15">
      <c r="A1813" s="16" t="s">
        <v>3364</v>
      </c>
      <c r="B1813" s="17" t="s">
        <v>3365</v>
      </c>
      <c r="C1813" s="17" t="s">
        <v>1070</v>
      </c>
      <c r="D1813" s="25" t="s">
        <v>3229</v>
      </c>
      <c r="E1813" s="19" t="s">
        <v>3354</v>
      </c>
      <c r="F1813" s="19" t="s">
        <v>3366</v>
      </c>
      <c r="G1813" s="2" t="str">
        <f t="shared" si="161"/>
        <v>http://jsmh.umin.jp/journal/27-4/27-4.pdf</v>
      </c>
      <c r="H1813" s="43" t="str">
        <f t="shared" si="162"/>
        <v>http://dl.ndl.go.jp/info:ndljp/pid/3359294</v>
      </c>
    </row>
    <row r="1814" spans="1:10" ht="30" customHeight="1" x14ac:dyDescent="0.15">
      <c r="A1814" s="16" t="s">
        <v>692</v>
      </c>
      <c r="B1814" s="17" t="s">
        <v>3367</v>
      </c>
      <c r="C1814" s="17" t="s">
        <v>3010</v>
      </c>
      <c r="D1814" s="25" t="s">
        <v>3229</v>
      </c>
      <c r="E1814" s="19" t="s">
        <v>3354</v>
      </c>
      <c r="F1814" s="19" t="s">
        <v>3368</v>
      </c>
      <c r="G1814" s="2" t="str">
        <f t="shared" si="161"/>
        <v>http://jsmh.umin.jp/journal/27-4/27-4.pdf</v>
      </c>
      <c r="H1814" s="43" t="str">
        <f t="shared" si="162"/>
        <v>http://dl.ndl.go.jp/info:ndljp/pid/3359294</v>
      </c>
    </row>
    <row r="1815" spans="1:10" ht="30" customHeight="1" x14ac:dyDescent="0.15">
      <c r="A1815" s="16" t="s">
        <v>2894</v>
      </c>
      <c r="B1815" s="17" t="s">
        <v>3369</v>
      </c>
      <c r="C1815" s="17"/>
      <c r="D1815" s="25" t="s">
        <v>3229</v>
      </c>
      <c r="E1815" s="19" t="s">
        <v>3354</v>
      </c>
      <c r="F1815" s="19" t="s">
        <v>3370</v>
      </c>
      <c r="G1815" s="2" t="str">
        <f t="shared" si="161"/>
        <v>http://jsmh.umin.jp/journal/27-4/27-4.pdf</v>
      </c>
      <c r="H1815" s="43" t="str">
        <f t="shared" si="162"/>
        <v>http://dl.ndl.go.jp/info:ndljp/pid/3359294</v>
      </c>
    </row>
    <row r="1816" spans="1:10" ht="30" customHeight="1" x14ac:dyDescent="0.15">
      <c r="A1816" s="16" t="s">
        <v>558</v>
      </c>
      <c r="B1816" s="17" t="s">
        <v>2889</v>
      </c>
      <c r="C1816" s="17"/>
      <c r="D1816" s="25" t="s">
        <v>3229</v>
      </c>
      <c r="E1816" s="19" t="s">
        <v>3354</v>
      </c>
      <c r="F1816" s="19" t="s">
        <v>3371</v>
      </c>
      <c r="G1816" s="2" t="str">
        <f t="shared" si="161"/>
        <v>http://jsmh.umin.jp/journal/27-4/27-4.pdf</v>
      </c>
      <c r="H1816" s="43" t="str">
        <f t="shared" si="162"/>
        <v>http://dl.ndl.go.jp/info:ndljp/pid/3359294</v>
      </c>
    </row>
    <row r="1817" spans="1:10" ht="30" customHeight="1" x14ac:dyDescent="0.15">
      <c r="A1817" s="16" t="s">
        <v>558</v>
      </c>
      <c r="B1817" s="17" t="s">
        <v>3372</v>
      </c>
      <c r="C1817" s="17"/>
      <c r="D1817" s="25" t="s">
        <v>3229</v>
      </c>
      <c r="E1817" s="19" t="s">
        <v>3354</v>
      </c>
      <c r="F1817" s="19" t="s">
        <v>3371</v>
      </c>
      <c r="G1817" s="2" t="str">
        <f t="shared" si="161"/>
        <v>http://jsmh.umin.jp/journal/27-4/27-4.pdf</v>
      </c>
      <c r="H1817" s="43" t="str">
        <f t="shared" si="162"/>
        <v>http://dl.ndl.go.jp/info:ndljp/pid/3359294</v>
      </c>
    </row>
    <row r="1818" spans="1:10" ht="30" customHeight="1" x14ac:dyDescent="0.15">
      <c r="A1818" s="16" t="s">
        <v>81</v>
      </c>
      <c r="B1818" s="17" t="s">
        <v>3373</v>
      </c>
      <c r="C1818" s="17"/>
      <c r="D1818" s="25" t="s">
        <v>3229</v>
      </c>
      <c r="E1818" s="19" t="s">
        <v>3354</v>
      </c>
      <c r="F1818" s="19" t="s">
        <v>3374</v>
      </c>
      <c r="G1818" s="2" t="str">
        <f t="shared" si="161"/>
        <v>http://jsmh.umin.jp/journal/27-4/27-4.pdf</v>
      </c>
      <c r="H1818" s="43" t="str">
        <f t="shared" si="162"/>
        <v>http://dl.ndl.go.jp/info:ndljp/pid/3359294</v>
      </c>
    </row>
    <row r="1819" spans="1:10" ht="30" customHeight="1" x14ac:dyDescent="0.15">
      <c r="A1819" s="16" t="s">
        <v>81</v>
      </c>
      <c r="B1819" s="17" t="s">
        <v>3375</v>
      </c>
      <c r="C1819" s="17" t="s">
        <v>2233</v>
      </c>
      <c r="D1819" s="25" t="s">
        <v>3229</v>
      </c>
      <c r="E1819" s="19" t="s">
        <v>3354</v>
      </c>
      <c r="F1819" s="19" t="s">
        <v>3376</v>
      </c>
      <c r="G1819" s="2" t="str">
        <f t="shared" si="161"/>
        <v>http://jsmh.umin.jp/journal/27-4/27-4.pdf</v>
      </c>
      <c r="H1819" s="43" t="str">
        <f t="shared" si="162"/>
        <v>http://dl.ndl.go.jp/info:ndljp/pid/3359294</v>
      </c>
    </row>
    <row r="1820" spans="1:10" ht="30" customHeight="1" x14ac:dyDescent="0.15">
      <c r="A1820" s="16" t="s">
        <v>17</v>
      </c>
      <c r="B1820" s="17" t="s">
        <v>3377</v>
      </c>
      <c r="C1820" s="17" t="s">
        <v>3378</v>
      </c>
      <c r="D1820" s="25" t="s">
        <v>3229</v>
      </c>
      <c r="E1820" s="19" t="s">
        <v>3354</v>
      </c>
      <c r="F1820" s="19" t="s">
        <v>3379</v>
      </c>
      <c r="G1820" s="2" t="str">
        <f t="shared" si="161"/>
        <v>http://jsmh.umin.jp/journal/27-4/27-4.pdf</v>
      </c>
      <c r="H1820" s="43" t="str">
        <f t="shared" si="162"/>
        <v>http://dl.ndl.go.jp/info:ndljp/pid/3359294</v>
      </c>
      <c r="J1820" s="20" t="s">
        <v>10570</v>
      </c>
    </row>
    <row r="1821" spans="1:10" ht="30" customHeight="1" x14ac:dyDescent="0.15">
      <c r="A1821" s="16" t="s">
        <v>17</v>
      </c>
      <c r="B1821" s="17" t="s">
        <v>3380</v>
      </c>
      <c r="C1821" s="17" t="s">
        <v>3381</v>
      </c>
      <c r="D1821" s="18" t="s">
        <v>3382</v>
      </c>
      <c r="E1821" s="19" t="s">
        <v>3383</v>
      </c>
      <c r="F1821" s="19" t="s">
        <v>3384</v>
      </c>
      <c r="G1821" s="4" t="str">
        <f>HYPERLINK("http://jsmh.umin.jp/journal/28-1/1-14.pdf")</f>
        <v>http://jsmh.umin.jp/journal/28-1/1-14.pdf</v>
      </c>
      <c r="H1821" s="42" t="str">
        <f t="shared" ref="H1821:H1830" si="163">HYPERLINK("http://dl.ndl.go.jp/info:ndljp/pid/3359295")</f>
        <v>http://dl.ndl.go.jp/info:ndljp/pid/3359295</v>
      </c>
    </row>
    <row r="1822" spans="1:10" ht="30" customHeight="1" x14ac:dyDescent="0.15">
      <c r="A1822" s="16" t="s">
        <v>17</v>
      </c>
      <c r="B1822" s="17" t="s">
        <v>3385</v>
      </c>
      <c r="C1822" s="17" t="s">
        <v>3135</v>
      </c>
      <c r="D1822" s="25" t="s">
        <v>3382</v>
      </c>
      <c r="E1822" s="19" t="s">
        <v>3383</v>
      </c>
      <c r="F1822" s="19" t="s">
        <v>3386</v>
      </c>
      <c r="G1822" s="5" t="str">
        <f>HYPERLINK("http://jsmh.umin.jp/journal/28-1/15-33.pdf")</f>
        <v>http://jsmh.umin.jp/journal/28-1/15-33.pdf</v>
      </c>
      <c r="H1822" s="43" t="str">
        <f t="shared" si="163"/>
        <v>http://dl.ndl.go.jp/info:ndljp/pid/3359295</v>
      </c>
    </row>
    <row r="1823" spans="1:10" ht="30" customHeight="1" x14ac:dyDescent="0.15">
      <c r="A1823" s="16" t="s">
        <v>3387</v>
      </c>
      <c r="B1823" s="17" t="s">
        <v>3388</v>
      </c>
      <c r="C1823" s="17" t="s">
        <v>3010</v>
      </c>
      <c r="D1823" s="25" t="s">
        <v>3382</v>
      </c>
      <c r="E1823" s="19" t="s">
        <v>3383</v>
      </c>
      <c r="F1823" s="19" t="s">
        <v>3389</v>
      </c>
      <c r="G1823" s="5" t="str">
        <f>HYPERLINK("http://jsmh.umin.jp/journal/28-1/34-47.pdf")</f>
        <v>http://jsmh.umin.jp/journal/28-1/34-47.pdf</v>
      </c>
      <c r="H1823" s="43" t="str">
        <f t="shared" si="163"/>
        <v>http://dl.ndl.go.jp/info:ndljp/pid/3359295</v>
      </c>
    </row>
    <row r="1824" spans="1:10" ht="30" customHeight="1" x14ac:dyDescent="0.15">
      <c r="A1824" s="16" t="s">
        <v>3387</v>
      </c>
      <c r="B1824" s="17" t="s">
        <v>3390</v>
      </c>
      <c r="C1824" s="17" t="s">
        <v>790</v>
      </c>
      <c r="D1824" s="25" t="s">
        <v>3382</v>
      </c>
      <c r="E1824" s="19" t="s">
        <v>3383</v>
      </c>
      <c r="F1824" s="19" t="s">
        <v>3391</v>
      </c>
      <c r="G1824" s="5" t="str">
        <f>HYPERLINK("http://jsmh.umin.jp/journal/28-1/48-55.pdf")</f>
        <v>http://jsmh.umin.jp/journal/28-1/48-55.pdf</v>
      </c>
      <c r="H1824" s="43" t="str">
        <f t="shared" si="163"/>
        <v>http://dl.ndl.go.jp/info:ndljp/pid/3359295</v>
      </c>
    </row>
    <row r="1825" spans="1:8" ht="30" customHeight="1" x14ac:dyDescent="0.15">
      <c r="A1825" s="16" t="s">
        <v>692</v>
      </c>
      <c r="B1825" s="17" t="s">
        <v>3392</v>
      </c>
      <c r="C1825" s="17" t="s">
        <v>2834</v>
      </c>
      <c r="D1825" s="25" t="s">
        <v>3382</v>
      </c>
      <c r="E1825" s="19" t="s">
        <v>3383</v>
      </c>
      <c r="F1825" s="19" t="s">
        <v>3393</v>
      </c>
      <c r="G1825" s="5" t="str">
        <f>HYPERLINK("http://jsmh.umin.jp/journal/28-1/56-71.pdf")</f>
        <v>http://jsmh.umin.jp/journal/28-1/56-71.pdf</v>
      </c>
      <c r="H1825" s="43" t="str">
        <f t="shared" si="163"/>
        <v>http://dl.ndl.go.jp/info:ndljp/pid/3359295</v>
      </c>
    </row>
    <row r="1826" spans="1:8" ht="30" customHeight="1" x14ac:dyDescent="0.15">
      <c r="A1826" s="16" t="s">
        <v>692</v>
      </c>
      <c r="B1826" s="17" t="s">
        <v>3394</v>
      </c>
      <c r="C1826" s="17" t="s">
        <v>790</v>
      </c>
      <c r="D1826" s="25" t="s">
        <v>3382</v>
      </c>
      <c r="E1826" s="19" t="s">
        <v>3383</v>
      </c>
      <c r="F1826" s="19" t="s">
        <v>2892</v>
      </c>
      <c r="G1826" s="5" t="str">
        <f>HYPERLINK("http://jsmh.umin.jp/journal/28-1/72-75.pdf")</f>
        <v>http://jsmh.umin.jp/journal/28-1/72-75.pdf</v>
      </c>
      <c r="H1826" s="43" t="str">
        <f t="shared" si="163"/>
        <v>http://dl.ndl.go.jp/info:ndljp/pid/3359295</v>
      </c>
    </row>
    <row r="1827" spans="1:8" ht="30" customHeight="1" x14ac:dyDescent="0.15">
      <c r="A1827" s="16" t="s">
        <v>558</v>
      </c>
      <c r="B1827" s="17" t="s">
        <v>704</v>
      </c>
      <c r="C1827" s="17"/>
      <c r="D1827" s="25" t="s">
        <v>3382</v>
      </c>
      <c r="E1827" s="19" t="s">
        <v>3383</v>
      </c>
      <c r="F1827" s="19" t="s">
        <v>600</v>
      </c>
      <c r="G1827" s="5" t="str">
        <f>HYPERLINK("http://jsmh.umin.jp/journal/28-1/75-76.pdf")</f>
        <v>http://jsmh.umin.jp/journal/28-1/75-76.pdf</v>
      </c>
      <c r="H1827" s="43" t="str">
        <f t="shared" si="163"/>
        <v>http://dl.ndl.go.jp/info:ndljp/pid/3359295</v>
      </c>
    </row>
    <row r="1828" spans="1:8" ht="30" customHeight="1" x14ac:dyDescent="0.15">
      <c r="A1828" s="16" t="s">
        <v>558</v>
      </c>
      <c r="B1828" s="17" t="s">
        <v>1606</v>
      </c>
      <c r="C1828" s="17"/>
      <c r="D1828" s="25" t="s">
        <v>3382</v>
      </c>
      <c r="E1828" s="19" t="s">
        <v>3383</v>
      </c>
      <c r="F1828" s="19" t="s">
        <v>600</v>
      </c>
      <c r="G1828" s="5" t="str">
        <f>HYPERLINK("http://jsmh.umin.jp/journal/28-1/75-76.pdf")</f>
        <v>http://jsmh.umin.jp/journal/28-1/75-76.pdf</v>
      </c>
      <c r="H1828" s="43" t="str">
        <f t="shared" si="163"/>
        <v>http://dl.ndl.go.jp/info:ndljp/pid/3359295</v>
      </c>
    </row>
    <row r="1829" spans="1:8" ht="30" customHeight="1" x14ac:dyDescent="0.15">
      <c r="A1829" s="16" t="s">
        <v>17</v>
      </c>
      <c r="B1829" s="17" t="s">
        <v>10129</v>
      </c>
      <c r="C1829" s="17" t="s">
        <v>3395</v>
      </c>
      <c r="D1829" s="25" t="s">
        <v>3382</v>
      </c>
      <c r="E1829" s="19" t="s">
        <v>3383</v>
      </c>
      <c r="F1829" s="19" t="s">
        <v>3396</v>
      </c>
      <c r="G1829" s="5" t="str">
        <f>HYPERLINK("http://jsmh.umin.jp/journal/28-1/120-81.pdf")</f>
        <v>http://jsmh.umin.jp/journal/28-1/120-81.pdf</v>
      </c>
      <c r="H1829" s="43" t="str">
        <f t="shared" si="163"/>
        <v>http://dl.ndl.go.jp/info:ndljp/pid/3359295</v>
      </c>
    </row>
    <row r="1830" spans="1:8" ht="30" customHeight="1" x14ac:dyDescent="0.15">
      <c r="A1830" s="16" t="s">
        <v>17</v>
      </c>
      <c r="B1830" s="17" t="s">
        <v>3397</v>
      </c>
      <c r="C1830" s="17" t="s">
        <v>3398</v>
      </c>
      <c r="D1830" s="25" t="s">
        <v>3382</v>
      </c>
      <c r="E1830" s="19" t="s">
        <v>3383</v>
      </c>
      <c r="F1830" s="19" t="s">
        <v>3399</v>
      </c>
      <c r="G1830" s="5" t="str">
        <f>HYPERLINK("http://jsmh.umin.jp/journal/28-1/121-142.pdf")</f>
        <v>http://jsmh.umin.jp/journal/28-1/121-142.pdf</v>
      </c>
      <c r="H1830" s="43" t="str">
        <f t="shared" si="163"/>
        <v>http://dl.ndl.go.jp/info:ndljp/pid/3359295</v>
      </c>
    </row>
    <row r="1831" spans="1:8" ht="30" customHeight="1" x14ac:dyDescent="0.15">
      <c r="A1831" s="16" t="s">
        <v>1855</v>
      </c>
      <c r="B1831" s="17" t="s">
        <v>3400</v>
      </c>
      <c r="C1831" s="17" t="s">
        <v>273</v>
      </c>
      <c r="D1831" s="25" t="s">
        <v>3382</v>
      </c>
      <c r="E1831" s="19" t="s">
        <v>3401</v>
      </c>
      <c r="F1831" s="19" t="s">
        <v>3402</v>
      </c>
      <c r="G1831" s="5" t="str">
        <f>HYPERLINK("http://jsmh.umin.jp/journal/28-2/143-146.pdf")</f>
        <v>http://jsmh.umin.jp/journal/28-2/143-146.pdf</v>
      </c>
      <c r="H1831" s="42" t="str">
        <f t="shared" ref="H1831:H1862" si="164">HYPERLINK("http://dl.ndl.go.jp/info:ndljp/pid/3359296")</f>
        <v>http://dl.ndl.go.jp/info:ndljp/pid/3359296</v>
      </c>
    </row>
    <row r="1832" spans="1:8" ht="30" customHeight="1" x14ac:dyDescent="0.15">
      <c r="A1832" s="16" t="s">
        <v>1855</v>
      </c>
      <c r="B1832" s="17" t="s">
        <v>3403</v>
      </c>
      <c r="C1832" s="17" t="s">
        <v>3404</v>
      </c>
      <c r="D1832" s="25" t="s">
        <v>3382</v>
      </c>
      <c r="E1832" s="19" t="s">
        <v>3401</v>
      </c>
      <c r="F1832" s="19" t="s">
        <v>3405</v>
      </c>
      <c r="G1832" s="5" t="str">
        <f>HYPERLINK("http://jsmh.umin.jp/journal/28-2/147-149.pdf")</f>
        <v>http://jsmh.umin.jp/journal/28-2/147-149.pdf</v>
      </c>
      <c r="H1832" s="43" t="str">
        <f t="shared" si="164"/>
        <v>http://dl.ndl.go.jp/info:ndljp/pid/3359296</v>
      </c>
    </row>
    <row r="1833" spans="1:8" ht="30" customHeight="1" x14ac:dyDescent="0.15">
      <c r="A1833" s="16" t="s">
        <v>1855</v>
      </c>
      <c r="B1833" s="17" t="s">
        <v>3406</v>
      </c>
      <c r="C1833" s="17" t="s">
        <v>2199</v>
      </c>
      <c r="D1833" s="25" t="s">
        <v>3382</v>
      </c>
      <c r="E1833" s="19" t="s">
        <v>3401</v>
      </c>
      <c r="F1833" s="19" t="s">
        <v>3407</v>
      </c>
      <c r="G1833" s="5" t="str">
        <f>HYPERLINK("http://jsmh.umin.jp/journal/28-2/150-163.pdf")</f>
        <v>http://jsmh.umin.jp/journal/28-2/150-163.pdf</v>
      </c>
      <c r="H1833" s="43" t="str">
        <f t="shared" si="164"/>
        <v>http://dl.ndl.go.jp/info:ndljp/pid/3359296</v>
      </c>
    </row>
    <row r="1834" spans="1:8" ht="30" customHeight="1" x14ac:dyDescent="0.15">
      <c r="A1834" s="16" t="s">
        <v>1855</v>
      </c>
      <c r="B1834" s="17" t="s">
        <v>3408</v>
      </c>
      <c r="C1834" s="17" t="s">
        <v>3409</v>
      </c>
      <c r="D1834" s="25" t="s">
        <v>3382</v>
      </c>
      <c r="E1834" s="19" t="s">
        <v>3401</v>
      </c>
      <c r="F1834" s="19" t="s">
        <v>3410</v>
      </c>
      <c r="G1834" s="5" t="str">
        <f>HYPERLINK("http://jsmh.umin.jp/journal/28-2/164-166.pdf")</f>
        <v>http://jsmh.umin.jp/journal/28-2/164-166.pdf</v>
      </c>
      <c r="H1834" s="43" t="str">
        <f t="shared" si="164"/>
        <v>http://dl.ndl.go.jp/info:ndljp/pid/3359296</v>
      </c>
    </row>
    <row r="1835" spans="1:8" ht="30" customHeight="1" x14ac:dyDescent="0.15">
      <c r="A1835" s="16" t="s">
        <v>1855</v>
      </c>
      <c r="B1835" s="17" t="s">
        <v>3411</v>
      </c>
      <c r="C1835" s="17" t="s">
        <v>3412</v>
      </c>
      <c r="D1835" s="25" t="s">
        <v>3382</v>
      </c>
      <c r="E1835" s="19" t="s">
        <v>3401</v>
      </c>
      <c r="F1835" s="19" t="s">
        <v>3413</v>
      </c>
      <c r="G1835" s="5" t="str">
        <f>HYPERLINK("http://jsmh.umin.jp/journal/28-2/166-168.pdf")</f>
        <v>http://jsmh.umin.jp/journal/28-2/166-168.pdf</v>
      </c>
      <c r="H1835" s="43" t="str">
        <f t="shared" si="164"/>
        <v>http://dl.ndl.go.jp/info:ndljp/pid/3359296</v>
      </c>
    </row>
    <row r="1836" spans="1:8" ht="30" customHeight="1" x14ac:dyDescent="0.15">
      <c r="A1836" s="16" t="s">
        <v>1855</v>
      </c>
      <c r="B1836" s="17" t="s">
        <v>3414</v>
      </c>
      <c r="C1836" s="17" t="s">
        <v>3415</v>
      </c>
      <c r="D1836" s="25" t="s">
        <v>3382</v>
      </c>
      <c r="E1836" s="19" t="s">
        <v>3401</v>
      </c>
      <c r="F1836" s="19" t="s">
        <v>3416</v>
      </c>
      <c r="G1836" s="5" t="str">
        <f>HYPERLINK("http://jsmh.umin.jp/journal/28-2/169-170.pdf")</f>
        <v>http://jsmh.umin.jp/journal/28-2/169-170.pdf</v>
      </c>
      <c r="H1836" s="43" t="str">
        <f t="shared" si="164"/>
        <v>http://dl.ndl.go.jp/info:ndljp/pid/3359296</v>
      </c>
    </row>
    <row r="1837" spans="1:8" ht="30" customHeight="1" x14ac:dyDescent="0.15">
      <c r="A1837" s="16" t="s">
        <v>1855</v>
      </c>
      <c r="B1837" s="17" t="s">
        <v>3417</v>
      </c>
      <c r="C1837" s="17" t="s">
        <v>841</v>
      </c>
      <c r="D1837" s="25" t="s">
        <v>3382</v>
      </c>
      <c r="E1837" s="19" t="s">
        <v>3401</v>
      </c>
      <c r="F1837" s="19" t="s">
        <v>3418</v>
      </c>
      <c r="G1837" s="5" t="str">
        <f>HYPERLINK("http://jsmh.umin.jp/journal/28-2/171-173.pdf")</f>
        <v>http://jsmh.umin.jp/journal/28-2/171-173.pdf</v>
      </c>
      <c r="H1837" s="43" t="str">
        <f t="shared" si="164"/>
        <v>http://dl.ndl.go.jp/info:ndljp/pid/3359296</v>
      </c>
    </row>
    <row r="1838" spans="1:8" ht="30" customHeight="1" x14ac:dyDescent="0.15">
      <c r="A1838" s="16" t="s">
        <v>1855</v>
      </c>
      <c r="B1838" s="17" t="s">
        <v>3419</v>
      </c>
      <c r="C1838" s="17" t="s">
        <v>1299</v>
      </c>
      <c r="D1838" s="25" t="s">
        <v>3382</v>
      </c>
      <c r="E1838" s="19" t="s">
        <v>3401</v>
      </c>
      <c r="F1838" s="19" t="s">
        <v>2782</v>
      </c>
      <c r="G1838" s="5" t="str">
        <f>HYPERLINK("http://jsmh.umin.jp/journal/28-2/174-176.pdf")</f>
        <v>http://jsmh.umin.jp/journal/28-2/174-176.pdf</v>
      </c>
      <c r="H1838" s="43" t="str">
        <f t="shared" si="164"/>
        <v>http://dl.ndl.go.jp/info:ndljp/pid/3359296</v>
      </c>
    </row>
    <row r="1839" spans="1:8" ht="30" customHeight="1" x14ac:dyDescent="0.15">
      <c r="A1839" s="16" t="s">
        <v>1855</v>
      </c>
      <c r="B1839" s="17" t="s">
        <v>3420</v>
      </c>
      <c r="C1839" s="17" t="s">
        <v>925</v>
      </c>
      <c r="D1839" s="25" t="s">
        <v>3382</v>
      </c>
      <c r="E1839" s="19" t="s">
        <v>3401</v>
      </c>
      <c r="F1839" s="19" t="s">
        <v>3421</v>
      </c>
      <c r="G1839" s="5" t="str">
        <f>HYPERLINK("http://jsmh.umin.jp/journal/28-2/176-178.pdf")</f>
        <v>http://jsmh.umin.jp/journal/28-2/176-178.pdf</v>
      </c>
      <c r="H1839" s="43" t="str">
        <f t="shared" si="164"/>
        <v>http://dl.ndl.go.jp/info:ndljp/pid/3359296</v>
      </c>
    </row>
    <row r="1840" spans="1:8" ht="30" customHeight="1" x14ac:dyDescent="0.15">
      <c r="A1840" s="16" t="s">
        <v>1855</v>
      </c>
      <c r="B1840" s="17" t="s">
        <v>10130</v>
      </c>
      <c r="C1840" s="17" t="s">
        <v>2969</v>
      </c>
      <c r="D1840" s="25" t="s">
        <v>3382</v>
      </c>
      <c r="E1840" s="19" t="s">
        <v>3401</v>
      </c>
      <c r="F1840" s="19" t="s">
        <v>3422</v>
      </c>
      <c r="G1840" s="5" t="str">
        <f>HYPERLINK("http://jsmh.umin.jp/journal/28-2/179-181.pdf")</f>
        <v>http://jsmh.umin.jp/journal/28-2/179-181.pdf</v>
      </c>
      <c r="H1840" s="43" t="str">
        <f t="shared" si="164"/>
        <v>http://dl.ndl.go.jp/info:ndljp/pid/3359296</v>
      </c>
    </row>
    <row r="1841" spans="1:8" ht="30" customHeight="1" x14ac:dyDescent="0.15">
      <c r="A1841" s="16" t="s">
        <v>1855</v>
      </c>
      <c r="B1841" s="17" t="s">
        <v>3423</v>
      </c>
      <c r="C1841" s="17" t="s">
        <v>24</v>
      </c>
      <c r="D1841" s="25" t="s">
        <v>3382</v>
      </c>
      <c r="E1841" s="19" t="s">
        <v>3401</v>
      </c>
      <c r="F1841" s="19" t="s">
        <v>3424</v>
      </c>
      <c r="G1841" s="5" t="str">
        <f>HYPERLINK("http://jsmh.umin.jp/journal/28-2/181.pdf")</f>
        <v>http://jsmh.umin.jp/journal/28-2/181.pdf</v>
      </c>
      <c r="H1841" s="43" t="str">
        <f t="shared" si="164"/>
        <v>http://dl.ndl.go.jp/info:ndljp/pid/3359296</v>
      </c>
    </row>
    <row r="1842" spans="1:8" ht="30" customHeight="1" x14ac:dyDescent="0.15">
      <c r="A1842" s="16" t="s">
        <v>1855</v>
      </c>
      <c r="B1842" s="17" t="s">
        <v>3425</v>
      </c>
      <c r="C1842" s="17" t="s">
        <v>1247</v>
      </c>
      <c r="D1842" s="25" t="s">
        <v>3382</v>
      </c>
      <c r="E1842" s="19" t="s">
        <v>3401</v>
      </c>
      <c r="F1842" s="19" t="s">
        <v>1717</v>
      </c>
      <c r="G1842" s="5" t="str">
        <f>HYPERLINK("http://jsmh.umin.jp/journal/28-2/182.pdf")</f>
        <v>http://jsmh.umin.jp/journal/28-2/182.pdf</v>
      </c>
      <c r="H1842" s="43" t="str">
        <f t="shared" si="164"/>
        <v>http://dl.ndl.go.jp/info:ndljp/pid/3359296</v>
      </c>
    </row>
    <row r="1843" spans="1:8" ht="30" customHeight="1" x14ac:dyDescent="0.15">
      <c r="A1843" s="16" t="s">
        <v>1855</v>
      </c>
      <c r="B1843" s="17" t="s">
        <v>3426</v>
      </c>
      <c r="C1843" s="17" t="s">
        <v>444</v>
      </c>
      <c r="D1843" s="25" t="s">
        <v>3382</v>
      </c>
      <c r="E1843" s="19" t="s">
        <v>3401</v>
      </c>
      <c r="F1843" s="19" t="s">
        <v>2571</v>
      </c>
      <c r="G1843" s="5" t="str">
        <f>HYPERLINK("http://jsmh.umin.jp/journal/28-2/183-185.pdf")</f>
        <v>http://jsmh.umin.jp/journal/28-2/183-185.pdf</v>
      </c>
      <c r="H1843" s="43" t="str">
        <f t="shared" si="164"/>
        <v>http://dl.ndl.go.jp/info:ndljp/pid/3359296</v>
      </c>
    </row>
    <row r="1844" spans="1:8" ht="30" customHeight="1" x14ac:dyDescent="0.15">
      <c r="A1844" s="16" t="s">
        <v>1855</v>
      </c>
      <c r="B1844" s="17" t="s">
        <v>3427</v>
      </c>
      <c r="C1844" s="17" t="s">
        <v>1994</v>
      </c>
      <c r="D1844" s="25" t="s">
        <v>3382</v>
      </c>
      <c r="E1844" s="19" t="s">
        <v>3401</v>
      </c>
      <c r="F1844" s="19" t="s">
        <v>3428</v>
      </c>
      <c r="G1844" s="5" t="str">
        <f>HYPERLINK("http://jsmh.umin.jp/journal/28-2/185-187.pdf")</f>
        <v>http://jsmh.umin.jp/journal/28-2/185-187.pdf</v>
      </c>
      <c r="H1844" s="43" t="str">
        <f t="shared" si="164"/>
        <v>http://dl.ndl.go.jp/info:ndljp/pid/3359296</v>
      </c>
    </row>
    <row r="1845" spans="1:8" ht="30" customHeight="1" x14ac:dyDescent="0.15">
      <c r="A1845" s="16" t="s">
        <v>1855</v>
      </c>
      <c r="B1845" s="17" t="s">
        <v>3429</v>
      </c>
      <c r="C1845" s="17" t="s">
        <v>1745</v>
      </c>
      <c r="D1845" s="25" t="s">
        <v>3382</v>
      </c>
      <c r="E1845" s="19" t="s">
        <v>3401</v>
      </c>
      <c r="F1845" s="19" t="s">
        <v>2580</v>
      </c>
      <c r="G1845" s="5" t="str">
        <f>HYPERLINK("http://jsmh.umin.jp/journal/28-2/188-189.pdf")</f>
        <v>http://jsmh.umin.jp/journal/28-2/188-189.pdf</v>
      </c>
      <c r="H1845" s="43" t="str">
        <f t="shared" si="164"/>
        <v>http://dl.ndl.go.jp/info:ndljp/pid/3359296</v>
      </c>
    </row>
    <row r="1846" spans="1:8" ht="30" customHeight="1" x14ac:dyDescent="0.15">
      <c r="A1846" s="16" t="s">
        <v>1855</v>
      </c>
      <c r="B1846" s="17" t="s">
        <v>3430</v>
      </c>
      <c r="C1846" s="17" t="s">
        <v>2325</v>
      </c>
      <c r="D1846" s="25" t="s">
        <v>3382</v>
      </c>
      <c r="E1846" s="19" t="s">
        <v>3401</v>
      </c>
      <c r="F1846" s="19" t="s">
        <v>2935</v>
      </c>
      <c r="G1846" s="5" t="str">
        <f>HYPERLINK("http://jsmh.umin.jp/journal/28-2/189-191.pdf")</f>
        <v>http://jsmh.umin.jp/journal/28-2/189-191.pdf</v>
      </c>
      <c r="H1846" s="43" t="str">
        <f t="shared" si="164"/>
        <v>http://dl.ndl.go.jp/info:ndljp/pid/3359296</v>
      </c>
    </row>
    <row r="1847" spans="1:8" ht="30" customHeight="1" x14ac:dyDescent="0.15">
      <c r="A1847" s="16" t="s">
        <v>1855</v>
      </c>
      <c r="B1847" s="17" t="s">
        <v>3431</v>
      </c>
      <c r="C1847" s="17" t="s">
        <v>3432</v>
      </c>
      <c r="D1847" s="25" t="s">
        <v>3382</v>
      </c>
      <c r="E1847" s="19" t="s">
        <v>3401</v>
      </c>
      <c r="F1847" s="19" t="s">
        <v>3433</v>
      </c>
      <c r="G1847" s="5" t="str">
        <f>HYPERLINK("http://jsmh.umin.jp/journal/28-2/192-194.pdf")</f>
        <v>http://jsmh.umin.jp/journal/28-2/192-194.pdf</v>
      </c>
      <c r="H1847" s="43" t="str">
        <f t="shared" si="164"/>
        <v>http://dl.ndl.go.jp/info:ndljp/pid/3359296</v>
      </c>
    </row>
    <row r="1848" spans="1:8" ht="30" customHeight="1" x14ac:dyDescent="0.15">
      <c r="A1848" s="16" t="s">
        <v>1855</v>
      </c>
      <c r="B1848" s="17" t="s">
        <v>3434</v>
      </c>
      <c r="C1848" s="17" t="s">
        <v>1932</v>
      </c>
      <c r="D1848" s="25" t="s">
        <v>3382</v>
      </c>
      <c r="E1848" s="19" t="s">
        <v>3401</v>
      </c>
      <c r="F1848" s="19" t="s">
        <v>993</v>
      </c>
      <c r="G1848" s="5" t="str">
        <f>HYPERLINK("http://jsmh.umin.jp/journal/28-2/194-195.pdf")</f>
        <v>http://jsmh.umin.jp/journal/28-2/194-195.pdf</v>
      </c>
      <c r="H1848" s="43" t="str">
        <f t="shared" si="164"/>
        <v>http://dl.ndl.go.jp/info:ndljp/pid/3359296</v>
      </c>
    </row>
    <row r="1849" spans="1:8" ht="30" customHeight="1" x14ac:dyDescent="0.15">
      <c r="A1849" s="16" t="s">
        <v>1855</v>
      </c>
      <c r="B1849" s="17" t="s">
        <v>3435</v>
      </c>
      <c r="C1849" s="17" t="s">
        <v>905</v>
      </c>
      <c r="D1849" s="25" t="s">
        <v>3382</v>
      </c>
      <c r="E1849" s="19" t="s">
        <v>3401</v>
      </c>
      <c r="F1849" s="19" t="s">
        <v>3436</v>
      </c>
      <c r="G1849" s="5" t="str">
        <f>HYPERLINK("http://jsmh.umin.jp/journal/28-2/196-198.pdf")</f>
        <v>http://jsmh.umin.jp/journal/28-2/196-198.pdf</v>
      </c>
      <c r="H1849" s="43" t="str">
        <f t="shared" si="164"/>
        <v>http://dl.ndl.go.jp/info:ndljp/pid/3359296</v>
      </c>
    </row>
    <row r="1850" spans="1:8" ht="30" customHeight="1" x14ac:dyDescent="0.15">
      <c r="A1850" s="16" t="s">
        <v>1855</v>
      </c>
      <c r="B1850" s="17" t="s">
        <v>3437</v>
      </c>
      <c r="C1850" s="17" t="s">
        <v>3337</v>
      </c>
      <c r="D1850" s="25" t="s">
        <v>3382</v>
      </c>
      <c r="E1850" s="19" t="s">
        <v>3401</v>
      </c>
      <c r="F1850" s="19" t="s">
        <v>2803</v>
      </c>
      <c r="G1850" s="5" t="str">
        <f>HYPERLINK("http://jsmh.umin.jp/journal/28-2/198-200.pdf")</f>
        <v>http://jsmh.umin.jp/journal/28-2/198-200.pdf</v>
      </c>
      <c r="H1850" s="43" t="str">
        <f t="shared" si="164"/>
        <v>http://dl.ndl.go.jp/info:ndljp/pid/3359296</v>
      </c>
    </row>
    <row r="1851" spans="1:8" ht="30" customHeight="1" x14ac:dyDescent="0.15">
      <c r="A1851" s="16" t="s">
        <v>1855</v>
      </c>
      <c r="B1851" s="17" t="s">
        <v>3438</v>
      </c>
      <c r="C1851" s="17" t="s">
        <v>3029</v>
      </c>
      <c r="D1851" s="25" t="s">
        <v>3382</v>
      </c>
      <c r="E1851" s="19" t="s">
        <v>3401</v>
      </c>
      <c r="F1851" s="19" t="s">
        <v>3439</v>
      </c>
      <c r="G1851" s="5" t="str">
        <f>HYPERLINK("http://jsmh.umin.jp/journal/28-2/201-203.pdf")</f>
        <v>http://jsmh.umin.jp/journal/28-2/201-203.pdf</v>
      </c>
      <c r="H1851" s="43" t="str">
        <f t="shared" si="164"/>
        <v>http://dl.ndl.go.jp/info:ndljp/pid/3359296</v>
      </c>
    </row>
    <row r="1852" spans="1:8" ht="30" customHeight="1" x14ac:dyDescent="0.15">
      <c r="A1852" s="16" t="s">
        <v>1855</v>
      </c>
      <c r="B1852" s="17" t="s">
        <v>3440</v>
      </c>
      <c r="C1852" s="17" t="s">
        <v>3024</v>
      </c>
      <c r="D1852" s="25" t="s">
        <v>3382</v>
      </c>
      <c r="E1852" s="19" t="s">
        <v>3401</v>
      </c>
      <c r="F1852" s="19" t="s">
        <v>2066</v>
      </c>
      <c r="G1852" s="5" t="str">
        <f>HYPERLINK("http://jsmh.umin.jp/journal/28-2/203-205.pdf")</f>
        <v>http://jsmh.umin.jp/journal/28-2/203-205.pdf</v>
      </c>
      <c r="H1852" s="43" t="str">
        <f t="shared" si="164"/>
        <v>http://dl.ndl.go.jp/info:ndljp/pid/3359296</v>
      </c>
    </row>
    <row r="1853" spans="1:8" ht="30" customHeight="1" x14ac:dyDescent="0.15">
      <c r="A1853" s="16" t="s">
        <v>1855</v>
      </c>
      <c r="B1853" s="17" t="s">
        <v>3441</v>
      </c>
      <c r="C1853" s="17" t="s">
        <v>2222</v>
      </c>
      <c r="D1853" s="25" t="s">
        <v>3382</v>
      </c>
      <c r="E1853" s="19" t="s">
        <v>3401</v>
      </c>
      <c r="F1853" s="19" t="s">
        <v>258</v>
      </c>
      <c r="G1853" s="5" t="str">
        <f>HYPERLINK("http://jsmh.umin.jp/journal/28-2/205-207.pdf")</f>
        <v>http://jsmh.umin.jp/journal/28-2/205-207.pdf</v>
      </c>
      <c r="H1853" s="43" t="str">
        <f t="shared" si="164"/>
        <v>http://dl.ndl.go.jp/info:ndljp/pid/3359296</v>
      </c>
    </row>
    <row r="1854" spans="1:8" ht="30" customHeight="1" x14ac:dyDescent="0.15">
      <c r="A1854" s="16" t="s">
        <v>1855</v>
      </c>
      <c r="B1854" s="17" t="s">
        <v>3442</v>
      </c>
      <c r="C1854" s="17" t="s">
        <v>2881</v>
      </c>
      <c r="D1854" s="25" t="s">
        <v>3382</v>
      </c>
      <c r="E1854" s="19" t="s">
        <v>3401</v>
      </c>
      <c r="F1854" s="19" t="s">
        <v>2072</v>
      </c>
      <c r="G1854" s="5" t="str">
        <f>HYPERLINK("http://jsmh.umin.jp/journal/28-2/208-210.pdf")</f>
        <v>http://jsmh.umin.jp/journal/28-2/208-210.pdf</v>
      </c>
      <c r="H1854" s="43" t="str">
        <f t="shared" si="164"/>
        <v>http://dl.ndl.go.jp/info:ndljp/pid/3359296</v>
      </c>
    </row>
    <row r="1855" spans="1:8" ht="30" customHeight="1" x14ac:dyDescent="0.15">
      <c r="A1855" s="16" t="s">
        <v>1855</v>
      </c>
      <c r="B1855" s="17" t="s">
        <v>3443</v>
      </c>
      <c r="C1855" s="17" t="s">
        <v>2553</v>
      </c>
      <c r="D1855" s="25" t="s">
        <v>3382</v>
      </c>
      <c r="E1855" s="19" t="s">
        <v>3401</v>
      </c>
      <c r="F1855" s="19" t="s">
        <v>3275</v>
      </c>
      <c r="G1855" s="5" t="str">
        <f>HYPERLINK("http://jsmh.umin.jp/journal/28-2/210-212.pdf")</f>
        <v>http://jsmh.umin.jp/journal/28-2/210-212.pdf</v>
      </c>
      <c r="H1855" s="43" t="str">
        <f t="shared" si="164"/>
        <v>http://dl.ndl.go.jp/info:ndljp/pid/3359296</v>
      </c>
    </row>
    <row r="1856" spans="1:8" ht="30" customHeight="1" x14ac:dyDescent="0.15">
      <c r="A1856" s="16" t="s">
        <v>1855</v>
      </c>
      <c r="B1856" s="17" t="s">
        <v>3444</v>
      </c>
      <c r="C1856" s="17" t="s">
        <v>2828</v>
      </c>
      <c r="D1856" s="25" t="s">
        <v>3382</v>
      </c>
      <c r="E1856" s="19" t="s">
        <v>3401</v>
      </c>
      <c r="F1856" s="19" t="s">
        <v>1540</v>
      </c>
      <c r="G1856" s="5" t="str">
        <f>HYPERLINK("http://jsmh.umin.jp/journal/28-2/213-215.pdf")</f>
        <v>http://jsmh.umin.jp/journal/28-2/213-215.pdf</v>
      </c>
      <c r="H1856" s="43" t="str">
        <f t="shared" si="164"/>
        <v>http://dl.ndl.go.jp/info:ndljp/pid/3359296</v>
      </c>
    </row>
    <row r="1857" spans="1:8" ht="30" customHeight="1" x14ac:dyDescent="0.15">
      <c r="A1857" s="16" t="s">
        <v>1855</v>
      </c>
      <c r="B1857" s="17" t="s">
        <v>10131</v>
      </c>
      <c r="C1857" s="17" t="s">
        <v>3274</v>
      </c>
      <c r="D1857" s="25" t="s">
        <v>3382</v>
      </c>
      <c r="E1857" s="19" t="s">
        <v>3401</v>
      </c>
      <c r="F1857" s="19" t="s">
        <v>2081</v>
      </c>
      <c r="G1857" s="5" t="str">
        <f>HYPERLINK("http://jsmh.umin.jp/journal/28-2/215-217.pdf")</f>
        <v>http://jsmh.umin.jp/journal/28-2/215-217.pdf</v>
      </c>
      <c r="H1857" s="43" t="str">
        <f t="shared" si="164"/>
        <v>http://dl.ndl.go.jp/info:ndljp/pid/3359296</v>
      </c>
    </row>
    <row r="1858" spans="1:8" ht="30" customHeight="1" x14ac:dyDescent="0.15">
      <c r="A1858" s="16" t="s">
        <v>1855</v>
      </c>
      <c r="B1858" s="17" t="s">
        <v>3445</v>
      </c>
      <c r="C1858" s="17" t="s">
        <v>2592</v>
      </c>
      <c r="D1858" s="25" t="s">
        <v>3382</v>
      </c>
      <c r="E1858" s="19" t="s">
        <v>3401</v>
      </c>
      <c r="F1858" s="19" t="s">
        <v>2955</v>
      </c>
      <c r="G1858" s="5" t="str">
        <f>HYPERLINK("http://jsmh.umin.jp/journal/28-2/218-220.pdf")</f>
        <v>http://jsmh.umin.jp/journal/28-2/218-220.pdf</v>
      </c>
      <c r="H1858" s="43" t="str">
        <f t="shared" si="164"/>
        <v>http://dl.ndl.go.jp/info:ndljp/pid/3359296</v>
      </c>
    </row>
    <row r="1859" spans="1:8" ht="30" customHeight="1" x14ac:dyDescent="0.15">
      <c r="A1859" s="16" t="s">
        <v>1855</v>
      </c>
      <c r="B1859" s="17" t="s">
        <v>10132</v>
      </c>
      <c r="C1859" s="17" t="s">
        <v>3135</v>
      </c>
      <c r="D1859" s="25" t="s">
        <v>3382</v>
      </c>
      <c r="E1859" s="19" t="s">
        <v>3401</v>
      </c>
      <c r="F1859" s="19" t="s">
        <v>3283</v>
      </c>
      <c r="G1859" s="5" t="str">
        <f>HYPERLINK("http://jsmh.umin.jp/journal/28-2/220-222.pdf")</f>
        <v>http://jsmh.umin.jp/journal/28-2/220-222.pdf</v>
      </c>
      <c r="H1859" s="43" t="str">
        <f t="shared" si="164"/>
        <v>http://dl.ndl.go.jp/info:ndljp/pid/3359296</v>
      </c>
    </row>
    <row r="1860" spans="1:8" ht="30" customHeight="1" x14ac:dyDescent="0.15">
      <c r="A1860" s="16" t="s">
        <v>1855</v>
      </c>
      <c r="B1860" s="17" t="s">
        <v>3446</v>
      </c>
      <c r="C1860" s="17" t="s">
        <v>3447</v>
      </c>
      <c r="D1860" s="25" t="s">
        <v>3382</v>
      </c>
      <c r="E1860" s="19" t="s">
        <v>3401</v>
      </c>
      <c r="F1860" s="19" t="s">
        <v>1263</v>
      </c>
      <c r="G1860" s="5" t="str">
        <f>HYPERLINK("http://jsmh.umin.jp/journal/28-2/223.pdf")</f>
        <v>http://jsmh.umin.jp/journal/28-2/223.pdf</v>
      </c>
      <c r="H1860" s="43" t="str">
        <f t="shared" si="164"/>
        <v>http://dl.ndl.go.jp/info:ndljp/pid/3359296</v>
      </c>
    </row>
    <row r="1861" spans="1:8" ht="30" customHeight="1" x14ac:dyDescent="0.15">
      <c r="A1861" s="16" t="s">
        <v>1855</v>
      </c>
      <c r="B1861" s="17" t="s">
        <v>3448</v>
      </c>
      <c r="C1861" s="17" t="s">
        <v>2773</v>
      </c>
      <c r="D1861" s="25" t="s">
        <v>3382</v>
      </c>
      <c r="E1861" s="19" t="s">
        <v>3401</v>
      </c>
      <c r="F1861" s="19" t="s">
        <v>1393</v>
      </c>
      <c r="G1861" s="5" t="str">
        <f>HYPERLINK("http://jsmh.umin.jp/journal/28-2/224-225.pdf")</f>
        <v>http://jsmh.umin.jp/journal/28-2/224-225.pdf</v>
      </c>
      <c r="H1861" s="43" t="str">
        <f t="shared" si="164"/>
        <v>http://dl.ndl.go.jp/info:ndljp/pid/3359296</v>
      </c>
    </row>
    <row r="1862" spans="1:8" ht="30" customHeight="1" x14ac:dyDescent="0.15">
      <c r="A1862" s="16" t="s">
        <v>1855</v>
      </c>
      <c r="B1862" s="17" t="s">
        <v>3449</v>
      </c>
      <c r="C1862" s="17" t="s">
        <v>2233</v>
      </c>
      <c r="D1862" s="25" t="s">
        <v>3382</v>
      </c>
      <c r="E1862" s="19" t="s">
        <v>3401</v>
      </c>
      <c r="F1862" s="19" t="s">
        <v>2612</v>
      </c>
      <c r="G1862" s="5" t="str">
        <f>HYPERLINK("http://jsmh.umin.jp/journal/28-2/226-228.pdf")</f>
        <v>http://jsmh.umin.jp/journal/28-2/226-228.pdf</v>
      </c>
      <c r="H1862" s="43" t="str">
        <f t="shared" si="164"/>
        <v>http://dl.ndl.go.jp/info:ndljp/pid/3359296</v>
      </c>
    </row>
    <row r="1863" spans="1:8" ht="30" customHeight="1" x14ac:dyDescent="0.15">
      <c r="A1863" s="16" t="s">
        <v>1855</v>
      </c>
      <c r="B1863" s="17" t="s">
        <v>3450</v>
      </c>
      <c r="C1863" s="17" t="s">
        <v>439</v>
      </c>
      <c r="D1863" s="25" t="s">
        <v>3382</v>
      </c>
      <c r="E1863" s="19" t="s">
        <v>3401</v>
      </c>
      <c r="F1863" s="19" t="s">
        <v>111</v>
      </c>
      <c r="G1863" s="5" t="str">
        <f>HYPERLINK("http://jsmh.umin.jp/journal/28-2/229-230.pdf")</f>
        <v>http://jsmh.umin.jp/journal/28-2/229-230.pdf</v>
      </c>
      <c r="H1863" s="43" t="str">
        <f t="shared" ref="H1863:H1897" si="165">HYPERLINK("http://dl.ndl.go.jp/info:ndljp/pid/3359296")</f>
        <v>http://dl.ndl.go.jp/info:ndljp/pid/3359296</v>
      </c>
    </row>
    <row r="1864" spans="1:8" ht="30" customHeight="1" x14ac:dyDescent="0.15">
      <c r="A1864" s="16" t="s">
        <v>1855</v>
      </c>
      <c r="B1864" s="17" t="s">
        <v>3451</v>
      </c>
      <c r="C1864" s="17" t="s">
        <v>485</v>
      </c>
      <c r="D1864" s="25" t="s">
        <v>3382</v>
      </c>
      <c r="E1864" s="19" t="s">
        <v>3401</v>
      </c>
      <c r="F1864" s="19" t="s">
        <v>119</v>
      </c>
      <c r="G1864" s="5" t="str">
        <f>HYPERLINK("http://jsmh.umin.jp/journal/28-2/230-231.pdf")</f>
        <v>http://jsmh.umin.jp/journal/28-2/230-231.pdf</v>
      </c>
      <c r="H1864" s="43" t="str">
        <f t="shared" si="165"/>
        <v>http://dl.ndl.go.jp/info:ndljp/pid/3359296</v>
      </c>
    </row>
    <row r="1865" spans="1:8" ht="30" customHeight="1" x14ac:dyDescent="0.15">
      <c r="A1865" s="16" t="s">
        <v>1855</v>
      </c>
      <c r="B1865" s="17" t="s">
        <v>3452</v>
      </c>
      <c r="C1865" s="17" t="s">
        <v>1457</v>
      </c>
      <c r="D1865" s="25" t="s">
        <v>3382</v>
      </c>
      <c r="E1865" s="19" t="s">
        <v>3401</v>
      </c>
      <c r="F1865" s="19" t="s">
        <v>124</v>
      </c>
      <c r="G1865" s="5" t="str">
        <f>HYPERLINK("http://jsmh.umin.jp/journal/28-2/232-233.pdf")</f>
        <v>http://jsmh.umin.jp/journal/28-2/232-233.pdf</v>
      </c>
      <c r="H1865" s="43" t="str">
        <f t="shared" si="165"/>
        <v>http://dl.ndl.go.jp/info:ndljp/pid/3359296</v>
      </c>
    </row>
    <row r="1866" spans="1:8" ht="30" customHeight="1" x14ac:dyDescent="0.15">
      <c r="A1866" s="16" t="s">
        <v>1855</v>
      </c>
      <c r="B1866" s="17" t="s">
        <v>3453</v>
      </c>
      <c r="C1866" s="17" t="s">
        <v>10133</v>
      </c>
      <c r="D1866" s="25" t="s">
        <v>3382</v>
      </c>
      <c r="E1866" s="19" t="s">
        <v>3401</v>
      </c>
      <c r="F1866" s="19" t="s">
        <v>3454</v>
      </c>
      <c r="G1866" s="5" t="str">
        <f>HYPERLINK("http://jsmh.umin.jp/journal/28-2/234-236.pdf")</f>
        <v>http://jsmh.umin.jp/journal/28-2/234-236.pdf</v>
      </c>
      <c r="H1866" s="43" t="str">
        <f t="shared" si="165"/>
        <v>http://dl.ndl.go.jp/info:ndljp/pid/3359296</v>
      </c>
    </row>
    <row r="1867" spans="1:8" ht="30" customHeight="1" x14ac:dyDescent="0.15">
      <c r="A1867" s="16" t="s">
        <v>1855</v>
      </c>
      <c r="B1867" s="17" t="s">
        <v>3455</v>
      </c>
      <c r="C1867" s="17" t="s">
        <v>3456</v>
      </c>
      <c r="D1867" s="25" t="s">
        <v>3382</v>
      </c>
      <c r="E1867" s="19" t="s">
        <v>3401</v>
      </c>
      <c r="F1867" s="19" t="s">
        <v>3297</v>
      </c>
      <c r="G1867" s="5" t="str">
        <f>HYPERLINK("http://jsmh.umin.jp/journal/28-2/237-239.pdf")</f>
        <v>http://jsmh.umin.jp/journal/28-2/237-239.pdf</v>
      </c>
      <c r="H1867" s="43" t="str">
        <f t="shared" si="165"/>
        <v>http://dl.ndl.go.jp/info:ndljp/pid/3359296</v>
      </c>
    </row>
    <row r="1868" spans="1:8" ht="30" customHeight="1" x14ac:dyDescent="0.15">
      <c r="A1868" s="16" t="s">
        <v>1855</v>
      </c>
      <c r="B1868" s="17" t="s">
        <v>3457</v>
      </c>
      <c r="C1868" s="17" t="s">
        <v>3322</v>
      </c>
      <c r="D1868" s="25" t="s">
        <v>3382</v>
      </c>
      <c r="E1868" s="19" t="s">
        <v>3401</v>
      </c>
      <c r="F1868" s="19" t="s">
        <v>3458</v>
      </c>
      <c r="G1868" s="5" t="str">
        <f>HYPERLINK("http://jsmh.umin.jp/journal/28-2/240-241.pdf")</f>
        <v>http://jsmh.umin.jp/journal/28-2/240-241.pdf</v>
      </c>
      <c r="H1868" s="43" t="str">
        <f t="shared" si="165"/>
        <v>http://dl.ndl.go.jp/info:ndljp/pid/3359296</v>
      </c>
    </row>
    <row r="1869" spans="1:8" ht="30" customHeight="1" x14ac:dyDescent="0.15">
      <c r="A1869" s="16" t="s">
        <v>1855</v>
      </c>
      <c r="B1869" s="17" t="s">
        <v>3459</v>
      </c>
      <c r="C1869" s="17" t="s">
        <v>3120</v>
      </c>
      <c r="D1869" s="25" t="s">
        <v>3382</v>
      </c>
      <c r="E1869" s="19" t="s">
        <v>3401</v>
      </c>
      <c r="F1869" s="19" t="s">
        <v>3460</v>
      </c>
      <c r="G1869" s="5" t="str">
        <f>HYPERLINK("http://jsmh.umin.jp/journal/28-2/241-243.pdf")</f>
        <v>http://jsmh.umin.jp/journal/28-2/241-243.pdf</v>
      </c>
      <c r="H1869" s="43" t="str">
        <f t="shared" si="165"/>
        <v>http://dl.ndl.go.jp/info:ndljp/pid/3359296</v>
      </c>
    </row>
    <row r="1870" spans="1:8" ht="30" customHeight="1" x14ac:dyDescent="0.15">
      <c r="A1870" s="16" t="s">
        <v>1855</v>
      </c>
      <c r="B1870" s="17" t="s">
        <v>3461</v>
      </c>
      <c r="C1870" s="17" t="s">
        <v>3120</v>
      </c>
      <c r="D1870" s="25" t="s">
        <v>3382</v>
      </c>
      <c r="E1870" s="19" t="s">
        <v>3401</v>
      </c>
      <c r="F1870" s="19" t="s">
        <v>3462</v>
      </c>
      <c r="G1870" s="5" t="str">
        <f>HYPERLINK("http://jsmh.umin.jp/journal/28-2/243-245.pdf")</f>
        <v>http://jsmh.umin.jp/journal/28-2/243-245.pdf</v>
      </c>
      <c r="H1870" s="43" t="str">
        <f t="shared" si="165"/>
        <v>http://dl.ndl.go.jp/info:ndljp/pid/3359296</v>
      </c>
    </row>
    <row r="1871" spans="1:8" ht="30" customHeight="1" x14ac:dyDescent="0.15">
      <c r="A1871" s="16" t="s">
        <v>1855</v>
      </c>
      <c r="B1871" s="17" t="s">
        <v>3463</v>
      </c>
      <c r="C1871" s="17" t="s">
        <v>66</v>
      </c>
      <c r="D1871" s="25" t="s">
        <v>3382</v>
      </c>
      <c r="E1871" s="19" t="s">
        <v>3401</v>
      </c>
      <c r="F1871" s="19" t="s">
        <v>3464</v>
      </c>
      <c r="G1871" s="5" t="str">
        <f>HYPERLINK("http://jsmh.umin.jp/journal/28-2/245-247.pdf")</f>
        <v>http://jsmh.umin.jp/journal/28-2/245-247.pdf</v>
      </c>
      <c r="H1871" s="43" t="str">
        <f t="shared" si="165"/>
        <v>http://dl.ndl.go.jp/info:ndljp/pid/3359296</v>
      </c>
    </row>
    <row r="1872" spans="1:8" ht="30" customHeight="1" x14ac:dyDescent="0.15">
      <c r="A1872" s="16" t="s">
        <v>1855</v>
      </c>
      <c r="B1872" s="17" t="s">
        <v>3465</v>
      </c>
      <c r="C1872" s="17" t="s">
        <v>3466</v>
      </c>
      <c r="D1872" s="25" t="s">
        <v>3382</v>
      </c>
      <c r="E1872" s="19" t="s">
        <v>3401</v>
      </c>
      <c r="F1872" s="19" t="s">
        <v>3467</v>
      </c>
      <c r="G1872" s="5" t="str">
        <f>HYPERLINK("http://jsmh.umin.jp/journal/28-2/248-251.pdf")</f>
        <v>http://jsmh.umin.jp/journal/28-2/248-251.pdf</v>
      </c>
      <c r="H1872" s="43" t="str">
        <f t="shared" si="165"/>
        <v>http://dl.ndl.go.jp/info:ndljp/pid/3359296</v>
      </c>
    </row>
    <row r="1873" spans="1:8" ht="30" customHeight="1" x14ac:dyDescent="0.15">
      <c r="A1873" s="16" t="s">
        <v>1855</v>
      </c>
      <c r="B1873" s="17" t="s">
        <v>3468</v>
      </c>
      <c r="C1873" s="17" t="s">
        <v>3469</v>
      </c>
      <c r="D1873" s="25" t="s">
        <v>3382</v>
      </c>
      <c r="E1873" s="19" t="s">
        <v>3401</v>
      </c>
      <c r="F1873" s="19" t="s">
        <v>1558</v>
      </c>
      <c r="G1873" s="5" t="str">
        <f>HYPERLINK("http://jsmh.umin.jp/journal/28-2/251-253.pdf")</f>
        <v>http://jsmh.umin.jp/journal/28-2/251-253.pdf</v>
      </c>
      <c r="H1873" s="43" t="str">
        <f t="shared" si="165"/>
        <v>http://dl.ndl.go.jp/info:ndljp/pid/3359296</v>
      </c>
    </row>
    <row r="1874" spans="1:8" ht="30" customHeight="1" x14ac:dyDescent="0.15">
      <c r="A1874" s="16" t="s">
        <v>1855</v>
      </c>
      <c r="B1874" s="17" t="s">
        <v>10606</v>
      </c>
      <c r="C1874" s="17" t="s">
        <v>3470</v>
      </c>
      <c r="D1874" s="25" t="s">
        <v>3382</v>
      </c>
      <c r="E1874" s="19" t="s">
        <v>3401</v>
      </c>
      <c r="F1874" s="19" t="s">
        <v>3471</v>
      </c>
      <c r="G1874" s="5" t="str">
        <f>HYPERLINK("http://jsmh.umin.jp/journal/28-2/254.pdf")</f>
        <v>http://jsmh.umin.jp/journal/28-2/254.pdf</v>
      </c>
      <c r="H1874" s="43" t="str">
        <f t="shared" si="165"/>
        <v>http://dl.ndl.go.jp/info:ndljp/pid/3359296</v>
      </c>
    </row>
    <row r="1875" spans="1:8" ht="30" customHeight="1" x14ac:dyDescent="0.15">
      <c r="A1875" s="16" t="s">
        <v>1855</v>
      </c>
      <c r="B1875" s="17" t="s">
        <v>3472</v>
      </c>
      <c r="C1875" s="17" t="s">
        <v>1876</v>
      </c>
      <c r="D1875" s="25" t="s">
        <v>3382</v>
      </c>
      <c r="E1875" s="19" t="s">
        <v>3401</v>
      </c>
      <c r="F1875" s="19" t="s">
        <v>3473</v>
      </c>
      <c r="G1875" s="5" t="str">
        <f>HYPERLINK("http://jsmh.umin.jp/journal/28-2/255-257.pdf")</f>
        <v>http://jsmh.umin.jp/journal/28-2/255-257.pdf</v>
      </c>
      <c r="H1875" s="43" t="str">
        <f t="shared" si="165"/>
        <v>http://dl.ndl.go.jp/info:ndljp/pid/3359296</v>
      </c>
    </row>
    <row r="1876" spans="1:8" ht="30" customHeight="1" x14ac:dyDescent="0.15">
      <c r="A1876" s="16" t="s">
        <v>1855</v>
      </c>
      <c r="B1876" s="17" t="s">
        <v>3474</v>
      </c>
      <c r="C1876" s="17" t="s">
        <v>2948</v>
      </c>
      <c r="D1876" s="25" t="s">
        <v>3382</v>
      </c>
      <c r="E1876" s="19" t="s">
        <v>3401</v>
      </c>
      <c r="F1876" s="19" t="s">
        <v>3070</v>
      </c>
      <c r="G1876" s="5" t="str">
        <f>HYPERLINK("http://jsmh.umin.jp/journal/28-2/257-259.pdf")</f>
        <v>http://jsmh.umin.jp/journal/28-2/257-259.pdf</v>
      </c>
      <c r="H1876" s="43" t="str">
        <f t="shared" si="165"/>
        <v>http://dl.ndl.go.jp/info:ndljp/pid/3359296</v>
      </c>
    </row>
    <row r="1877" spans="1:8" ht="30" customHeight="1" x14ac:dyDescent="0.15">
      <c r="A1877" s="16" t="s">
        <v>1855</v>
      </c>
      <c r="B1877" s="17" t="s">
        <v>3475</v>
      </c>
      <c r="C1877" s="17" t="s">
        <v>2465</v>
      </c>
      <c r="D1877" s="25" t="s">
        <v>3382</v>
      </c>
      <c r="E1877" s="19" t="s">
        <v>3401</v>
      </c>
      <c r="F1877" s="19" t="s">
        <v>3476</v>
      </c>
      <c r="G1877" s="5" t="str">
        <f>HYPERLINK("http://jsmh.umin.jp/journal/28-2/259-261.pdf")</f>
        <v>http://jsmh.umin.jp/journal/28-2/259-261.pdf</v>
      </c>
      <c r="H1877" s="43" t="str">
        <f t="shared" si="165"/>
        <v>http://dl.ndl.go.jp/info:ndljp/pid/3359296</v>
      </c>
    </row>
    <row r="1878" spans="1:8" ht="30" customHeight="1" x14ac:dyDescent="0.15">
      <c r="A1878" s="16" t="s">
        <v>1855</v>
      </c>
      <c r="B1878" s="17" t="s">
        <v>3477</v>
      </c>
      <c r="C1878" s="17" t="s">
        <v>937</v>
      </c>
      <c r="D1878" s="25" t="s">
        <v>3382</v>
      </c>
      <c r="E1878" s="19" t="s">
        <v>3401</v>
      </c>
      <c r="F1878" s="19" t="s">
        <v>3478</v>
      </c>
      <c r="G1878" s="5" t="str">
        <f>HYPERLINK("http://jsmh.umin.jp/journal/28-2/261-262.pdf")</f>
        <v>http://jsmh.umin.jp/journal/28-2/261-262.pdf</v>
      </c>
      <c r="H1878" s="43" t="str">
        <f t="shared" si="165"/>
        <v>http://dl.ndl.go.jp/info:ndljp/pid/3359296</v>
      </c>
    </row>
    <row r="1879" spans="1:8" ht="30" customHeight="1" x14ac:dyDescent="0.15">
      <c r="A1879" s="16" t="s">
        <v>1855</v>
      </c>
      <c r="B1879" s="17" t="s">
        <v>3479</v>
      </c>
      <c r="C1879" s="17" t="s">
        <v>1776</v>
      </c>
      <c r="D1879" s="25" t="s">
        <v>3382</v>
      </c>
      <c r="E1879" s="19" t="s">
        <v>3401</v>
      </c>
      <c r="F1879" s="19" t="s">
        <v>3480</v>
      </c>
      <c r="G1879" s="5" t="str">
        <f>HYPERLINK("http://jsmh.umin.jp/journal/28-2/263-265.pdf")</f>
        <v>http://jsmh.umin.jp/journal/28-2/263-265.pdf</v>
      </c>
      <c r="H1879" s="43" t="str">
        <f t="shared" si="165"/>
        <v>http://dl.ndl.go.jp/info:ndljp/pid/3359296</v>
      </c>
    </row>
    <row r="1880" spans="1:8" ht="30" customHeight="1" x14ac:dyDescent="0.15">
      <c r="A1880" s="16" t="s">
        <v>1855</v>
      </c>
      <c r="B1880" s="17" t="s">
        <v>3481</v>
      </c>
      <c r="C1880" s="17" t="s">
        <v>3482</v>
      </c>
      <c r="D1880" s="25" t="s">
        <v>3382</v>
      </c>
      <c r="E1880" s="19" t="s">
        <v>3401</v>
      </c>
      <c r="F1880" s="19" t="s">
        <v>3483</v>
      </c>
      <c r="G1880" s="5" t="str">
        <f>HYPERLINK("http://jsmh.umin.jp/journal/28-2/265-267.pdf")</f>
        <v>http://jsmh.umin.jp/journal/28-2/265-267.pdf</v>
      </c>
      <c r="H1880" s="43" t="str">
        <f t="shared" si="165"/>
        <v>http://dl.ndl.go.jp/info:ndljp/pid/3359296</v>
      </c>
    </row>
    <row r="1881" spans="1:8" ht="30" customHeight="1" x14ac:dyDescent="0.15">
      <c r="A1881" s="16" t="s">
        <v>1855</v>
      </c>
      <c r="B1881" s="17" t="s">
        <v>3484</v>
      </c>
      <c r="C1881" s="17" t="s">
        <v>3485</v>
      </c>
      <c r="D1881" s="25" t="s">
        <v>3382</v>
      </c>
      <c r="E1881" s="19" t="s">
        <v>3401</v>
      </c>
      <c r="F1881" s="19" t="s">
        <v>3486</v>
      </c>
      <c r="G1881" s="5" t="str">
        <f>HYPERLINK("http://jsmh.umin.jp/journal/28-2/268-269.pdf")</f>
        <v>http://jsmh.umin.jp/journal/28-2/268-269.pdf</v>
      </c>
      <c r="H1881" s="43" t="str">
        <f t="shared" si="165"/>
        <v>http://dl.ndl.go.jp/info:ndljp/pid/3359296</v>
      </c>
    </row>
    <row r="1882" spans="1:8" ht="30" customHeight="1" x14ac:dyDescent="0.15">
      <c r="A1882" s="16" t="s">
        <v>1855</v>
      </c>
      <c r="B1882" s="17" t="s">
        <v>3487</v>
      </c>
      <c r="C1882" s="17" t="s">
        <v>3488</v>
      </c>
      <c r="D1882" s="25" t="s">
        <v>3382</v>
      </c>
      <c r="E1882" s="19" t="s">
        <v>3401</v>
      </c>
      <c r="F1882" s="19" t="s">
        <v>3080</v>
      </c>
      <c r="G1882" s="5" t="str">
        <f>HYPERLINK("http://jsmh.umin.jp/journal/28-2/269-271.pdf")</f>
        <v>http://jsmh.umin.jp/journal/28-2/269-271.pdf</v>
      </c>
      <c r="H1882" s="43" t="str">
        <f t="shared" si="165"/>
        <v>http://dl.ndl.go.jp/info:ndljp/pid/3359296</v>
      </c>
    </row>
    <row r="1883" spans="1:8" ht="30" customHeight="1" x14ac:dyDescent="0.15">
      <c r="A1883" s="16" t="s">
        <v>1855</v>
      </c>
      <c r="B1883" s="17" t="s">
        <v>3489</v>
      </c>
      <c r="C1883" s="17" t="s">
        <v>1929</v>
      </c>
      <c r="D1883" s="25" t="s">
        <v>3382</v>
      </c>
      <c r="E1883" s="19" t="s">
        <v>3401</v>
      </c>
      <c r="F1883" s="19" t="s">
        <v>3083</v>
      </c>
      <c r="G1883" s="5" t="str">
        <f>HYPERLINK("http://jsmh.umin.jp/journal/28-2/271-273.pdf")</f>
        <v>http://jsmh.umin.jp/journal/28-2/271-273.pdf</v>
      </c>
      <c r="H1883" s="43" t="str">
        <f t="shared" si="165"/>
        <v>http://dl.ndl.go.jp/info:ndljp/pid/3359296</v>
      </c>
    </row>
    <row r="1884" spans="1:8" ht="30" customHeight="1" x14ac:dyDescent="0.15">
      <c r="A1884" s="16" t="s">
        <v>1855</v>
      </c>
      <c r="B1884" s="17" t="s">
        <v>3490</v>
      </c>
      <c r="C1884" s="17" t="s">
        <v>3172</v>
      </c>
      <c r="D1884" s="25" t="s">
        <v>3382</v>
      </c>
      <c r="E1884" s="19" t="s">
        <v>3401</v>
      </c>
      <c r="F1884" s="19" t="s">
        <v>1899</v>
      </c>
      <c r="G1884" s="5" t="str">
        <f>HYPERLINK("http://jsmh.umin.jp/journal/28-2/274-275.pdf")</f>
        <v>http://jsmh.umin.jp/journal/28-2/274-275.pdf</v>
      </c>
      <c r="H1884" s="43" t="str">
        <f t="shared" si="165"/>
        <v>http://dl.ndl.go.jp/info:ndljp/pid/3359296</v>
      </c>
    </row>
    <row r="1885" spans="1:8" ht="30" customHeight="1" x14ac:dyDescent="0.15">
      <c r="A1885" s="16" t="s">
        <v>1855</v>
      </c>
      <c r="B1885" s="17" t="s">
        <v>3491</v>
      </c>
      <c r="C1885" s="17" t="s">
        <v>953</v>
      </c>
      <c r="D1885" s="25" t="s">
        <v>3382</v>
      </c>
      <c r="E1885" s="19" t="s">
        <v>3401</v>
      </c>
      <c r="F1885" s="19" t="s">
        <v>3492</v>
      </c>
      <c r="G1885" s="26" t="str">
        <f>HYPERLINK("http://jsmh.umin.jp/journal/28-2/276.pdf")</f>
        <v>http://jsmh.umin.jp/journal/28-2/276.pdf</v>
      </c>
      <c r="H1885" s="43" t="str">
        <f t="shared" si="165"/>
        <v>http://dl.ndl.go.jp/info:ndljp/pid/3359296</v>
      </c>
    </row>
    <row r="1886" spans="1:8" ht="30" customHeight="1" x14ac:dyDescent="0.15">
      <c r="A1886" s="16" t="s">
        <v>1855</v>
      </c>
      <c r="B1886" s="17" t="s">
        <v>3493</v>
      </c>
      <c r="C1886" s="17" t="s">
        <v>1097</v>
      </c>
      <c r="D1886" s="25" t="s">
        <v>3382</v>
      </c>
      <c r="E1886" s="19" t="s">
        <v>3401</v>
      </c>
      <c r="F1886" s="19" t="s">
        <v>1903</v>
      </c>
      <c r="G1886" s="5" t="str">
        <f>HYPERLINK("http://jsmh.umin.jp/journal/28-2/277-278.pdf")</f>
        <v>http://jsmh.umin.jp/journal/28-2/277-278.pdf</v>
      </c>
      <c r="H1886" s="43" t="str">
        <f t="shared" si="165"/>
        <v>http://dl.ndl.go.jp/info:ndljp/pid/3359296</v>
      </c>
    </row>
    <row r="1887" spans="1:8" ht="30" customHeight="1" x14ac:dyDescent="0.15">
      <c r="A1887" s="16" t="s">
        <v>1855</v>
      </c>
      <c r="B1887" s="17" t="s">
        <v>3494</v>
      </c>
      <c r="C1887" s="17" t="s">
        <v>838</v>
      </c>
      <c r="D1887" s="25" t="s">
        <v>3382</v>
      </c>
      <c r="E1887" s="19" t="s">
        <v>3401</v>
      </c>
      <c r="F1887" s="19" t="s">
        <v>3495</v>
      </c>
      <c r="G1887" s="5" t="str">
        <f>HYPERLINK("http://jsmh.umin.jp/journal/28-2/278-280.pdf")</f>
        <v>http://jsmh.umin.jp/journal/28-2/278-280.pdf</v>
      </c>
      <c r="H1887" s="43" t="str">
        <f t="shared" si="165"/>
        <v>http://dl.ndl.go.jp/info:ndljp/pid/3359296</v>
      </c>
    </row>
    <row r="1888" spans="1:8" ht="30" customHeight="1" x14ac:dyDescent="0.15">
      <c r="A1888" s="16" t="s">
        <v>1855</v>
      </c>
      <c r="B1888" s="17" t="s">
        <v>3496</v>
      </c>
      <c r="C1888" s="17" t="s">
        <v>2386</v>
      </c>
      <c r="D1888" s="25" t="s">
        <v>3382</v>
      </c>
      <c r="E1888" s="19" t="s">
        <v>3401</v>
      </c>
      <c r="F1888" s="19" t="s">
        <v>3345</v>
      </c>
      <c r="G1888" s="5" t="str">
        <f>HYPERLINK("http://jsmh.umin.jp/journal/28-2/280-282.pdf")</f>
        <v>http://jsmh.umin.jp/journal/28-2/280-282.pdf</v>
      </c>
      <c r="H1888" s="43" t="str">
        <f t="shared" si="165"/>
        <v>http://dl.ndl.go.jp/info:ndljp/pid/3359296</v>
      </c>
    </row>
    <row r="1889" spans="1:8" ht="30" customHeight="1" x14ac:dyDescent="0.15">
      <c r="A1889" s="16" t="s">
        <v>1855</v>
      </c>
      <c r="B1889" s="17" t="s">
        <v>3497</v>
      </c>
      <c r="C1889" s="17" t="s">
        <v>3301</v>
      </c>
      <c r="D1889" s="25" t="s">
        <v>3382</v>
      </c>
      <c r="E1889" s="19" t="s">
        <v>3401</v>
      </c>
      <c r="F1889" s="19" t="s">
        <v>2122</v>
      </c>
      <c r="G1889" s="5" t="str">
        <f>HYPERLINK("http://jsmh.umin.jp/journal/28-2/282-283.pdf")</f>
        <v>http://jsmh.umin.jp/journal/28-2/282-283.pdf</v>
      </c>
      <c r="H1889" s="43" t="str">
        <f t="shared" si="165"/>
        <v>http://dl.ndl.go.jp/info:ndljp/pid/3359296</v>
      </c>
    </row>
    <row r="1890" spans="1:8" ht="30" customHeight="1" x14ac:dyDescent="0.15">
      <c r="A1890" s="16" t="s">
        <v>1855</v>
      </c>
      <c r="B1890" s="17" t="s">
        <v>3498</v>
      </c>
      <c r="C1890" s="17" t="s">
        <v>479</v>
      </c>
      <c r="D1890" s="25" t="s">
        <v>3382</v>
      </c>
      <c r="E1890" s="19" t="s">
        <v>3401</v>
      </c>
      <c r="F1890" s="19" t="s">
        <v>3347</v>
      </c>
      <c r="G1890" s="5" t="str">
        <f>HYPERLINK("http://jsmh.umin.jp/journal/28-2/283-285.pdf")</f>
        <v>http://jsmh.umin.jp/journal/28-2/283-285.pdf</v>
      </c>
      <c r="H1890" s="43" t="str">
        <f t="shared" si="165"/>
        <v>http://dl.ndl.go.jp/info:ndljp/pid/3359296</v>
      </c>
    </row>
    <row r="1891" spans="1:8" ht="30" customHeight="1" x14ac:dyDescent="0.15">
      <c r="A1891" s="16" t="s">
        <v>1855</v>
      </c>
      <c r="B1891" s="17" t="s">
        <v>3499</v>
      </c>
      <c r="C1891" s="17" t="s">
        <v>2937</v>
      </c>
      <c r="D1891" s="25" t="s">
        <v>3382</v>
      </c>
      <c r="E1891" s="19" t="s">
        <v>3401</v>
      </c>
      <c r="F1891" s="19" t="s">
        <v>1920</v>
      </c>
      <c r="G1891" s="5" t="str">
        <f>HYPERLINK("http://jsmh.umin.jp/journal/28-2/286-287.pdf")</f>
        <v>http://jsmh.umin.jp/journal/28-2/286-287.pdf</v>
      </c>
      <c r="H1891" s="43" t="str">
        <f t="shared" si="165"/>
        <v>http://dl.ndl.go.jp/info:ndljp/pid/3359296</v>
      </c>
    </row>
    <row r="1892" spans="1:8" ht="30" customHeight="1" x14ac:dyDescent="0.15">
      <c r="A1892" s="16" t="s">
        <v>1855</v>
      </c>
      <c r="B1892" s="17" t="s">
        <v>3500</v>
      </c>
      <c r="C1892" s="17" t="s">
        <v>3501</v>
      </c>
      <c r="D1892" s="25" t="s">
        <v>3382</v>
      </c>
      <c r="E1892" s="19" t="s">
        <v>3401</v>
      </c>
      <c r="F1892" s="19" t="s">
        <v>3502</v>
      </c>
      <c r="G1892" s="5" t="str">
        <f>HYPERLINK("http://jsmh.umin.jp/journal/28-2/288-290.pdf")</f>
        <v>http://jsmh.umin.jp/journal/28-2/288-290.pdf</v>
      </c>
      <c r="H1892" s="43" t="str">
        <f t="shared" si="165"/>
        <v>http://dl.ndl.go.jp/info:ndljp/pid/3359296</v>
      </c>
    </row>
    <row r="1893" spans="1:8" ht="30" customHeight="1" x14ac:dyDescent="0.15">
      <c r="A1893" s="16" t="s">
        <v>1855</v>
      </c>
      <c r="B1893" s="17" t="s">
        <v>10134</v>
      </c>
      <c r="C1893" s="17" t="s">
        <v>3503</v>
      </c>
      <c r="D1893" s="25" t="s">
        <v>3382</v>
      </c>
      <c r="E1893" s="19" t="s">
        <v>3401</v>
      </c>
      <c r="F1893" s="19" t="s">
        <v>3504</v>
      </c>
      <c r="G1893" s="5" t="str">
        <f>HYPERLINK("http://jsmh.umin.jp/journal/28-2/290-291.pdf")</f>
        <v>http://jsmh.umin.jp/journal/28-2/290-291.pdf</v>
      </c>
      <c r="H1893" s="43" t="str">
        <f t="shared" si="165"/>
        <v>http://dl.ndl.go.jp/info:ndljp/pid/3359296</v>
      </c>
    </row>
    <row r="1894" spans="1:8" ht="30" customHeight="1" x14ac:dyDescent="0.15">
      <c r="A1894" s="16" t="s">
        <v>1855</v>
      </c>
      <c r="B1894" s="17" t="s">
        <v>3505</v>
      </c>
      <c r="C1894" s="17" t="s">
        <v>790</v>
      </c>
      <c r="D1894" s="25" t="s">
        <v>3382</v>
      </c>
      <c r="E1894" s="19" t="s">
        <v>3401</v>
      </c>
      <c r="F1894" s="19" t="s">
        <v>1057</v>
      </c>
      <c r="G1894" s="5" t="str">
        <f>HYPERLINK("http://jsmh.umin.jp/journal/28-2/291-292.pdf")</f>
        <v>http://jsmh.umin.jp/journal/28-2/291-292.pdf</v>
      </c>
      <c r="H1894" s="43" t="str">
        <f t="shared" si="165"/>
        <v>http://dl.ndl.go.jp/info:ndljp/pid/3359296</v>
      </c>
    </row>
    <row r="1895" spans="1:8" ht="30" customHeight="1" x14ac:dyDescent="0.15">
      <c r="A1895" s="16" t="s">
        <v>1855</v>
      </c>
      <c r="B1895" s="17" t="s">
        <v>3506</v>
      </c>
      <c r="C1895" s="17" t="s">
        <v>790</v>
      </c>
      <c r="D1895" s="25" t="s">
        <v>3382</v>
      </c>
      <c r="E1895" s="19" t="s">
        <v>3401</v>
      </c>
      <c r="F1895" s="19" t="s">
        <v>3507</v>
      </c>
      <c r="G1895" s="4" t="str">
        <f>HYPERLINK("http://jsmh.umin.jp/journal/28-2/292.pdf")</f>
        <v>http://jsmh.umin.jp/journal/28-2/292.pdf</v>
      </c>
      <c r="H1895" s="43" t="str">
        <f t="shared" si="165"/>
        <v>http://dl.ndl.go.jp/info:ndljp/pid/3359296</v>
      </c>
    </row>
    <row r="1896" spans="1:8" ht="30" customHeight="1" x14ac:dyDescent="0.15">
      <c r="A1896" s="16" t="s">
        <v>558</v>
      </c>
      <c r="B1896" s="17" t="s">
        <v>3508</v>
      </c>
      <c r="C1896" s="17"/>
      <c r="D1896" s="25" t="s">
        <v>3382</v>
      </c>
      <c r="E1896" s="19" t="s">
        <v>3401</v>
      </c>
      <c r="F1896" s="19" t="s">
        <v>1064</v>
      </c>
      <c r="G1896" s="5" t="str">
        <f>HYPERLINK("http://jsmh.umin.jp/journal/28-2/293.pdf")</f>
        <v>http://jsmh.umin.jp/journal/28-2/293.pdf</v>
      </c>
      <c r="H1896" s="43" t="str">
        <f t="shared" si="165"/>
        <v>http://dl.ndl.go.jp/info:ndljp/pid/3359296</v>
      </c>
    </row>
    <row r="1897" spans="1:8" ht="30" customHeight="1" x14ac:dyDescent="0.15">
      <c r="A1897" s="16" t="s">
        <v>558</v>
      </c>
      <c r="B1897" s="17" t="s">
        <v>3509</v>
      </c>
      <c r="C1897" s="17"/>
      <c r="D1897" s="25" t="s">
        <v>3382</v>
      </c>
      <c r="E1897" s="19" t="s">
        <v>3401</v>
      </c>
      <c r="F1897" s="19" t="s">
        <v>1064</v>
      </c>
      <c r="G1897" s="5" t="str">
        <f>HYPERLINK("http://jsmh.umin.jp/journal/28-2/293.pdf")</f>
        <v>http://jsmh.umin.jp/journal/28-2/293.pdf</v>
      </c>
      <c r="H1897" s="43" t="str">
        <f t="shared" si="165"/>
        <v>http://dl.ndl.go.jp/info:ndljp/pid/3359296</v>
      </c>
    </row>
    <row r="1898" spans="1:8" ht="30" customHeight="1" x14ac:dyDescent="0.15">
      <c r="A1898" s="16" t="s">
        <v>17</v>
      </c>
      <c r="B1898" s="17" t="s">
        <v>3510</v>
      </c>
      <c r="C1898" s="17" t="s">
        <v>3412</v>
      </c>
      <c r="D1898" s="25" t="s">
        <v>3382</v>
      </c>
      <c r="E1898" s="19" t="s">
        <v>3511</v>
      </c>
      <c r="F1898" s="19" t="s">
        <v>3512</v>
      </c>
      <c r="G1898" s="5" t="str">
        <f>HYPERLINK("http://jsmh.umin.jp/journal/28-3/297-306.pdf")</f>
        <v>http://jsmh.umin.jp/journal/28-3/297-306.pdf</v>
      </c>
      <c r="H1898" s="42" t="str">
        <f t="shared" ref="H1898:H1910" si="166">HYPERLINK("http://dl.ndl.go.jp/info:ndljp/pid/3359297")</f>
        <v>http://dl.ndl.go.jp/info:ndljp/pid/3359297</v>
      </c>
    </row>
    <row r="1899" spans="1:8" ht="30" customHeight="1" x14ac:dyDescent="0.15">
      <c r="A1899" s="16" t="s">
        <v>17</v>
      </c>
      <c r="B1899" s="17" t="s">
        <v>3513</v>
      </c>
      <c r="C1899" s="17" t="s">
        <v>838</v>
      </c>
      <c r="D1899" s="25" t="s">
        <v>3382</v>
      </c>
      <c r="E1899" s="19" t="s">
        <v>3511</v>
      </c>
      <c r="F1899" s="19" t="s">
        <v>3514</v>
      </c>
      <c r="G1899" s="5" t="str">
        <f>HYPERLINK("http://jsmh.umin.jp/journal/28-3/307-316.pdf")</f>
        <v>http://jsmh.umin.jp/journal/28-3/307-316.pdf</v>
      </c>
      <c r="H1899" s="43" t="str">
        <f t="shared" si="166"/>
        <v>http://dl.ndl.go.jp/info:ndljp/pid/3359297</v>
      </c>
    </row>
    <row r="1900" spans="1:8" ht="30" customHeight="1" x14ac:dyDescent="0.15">
      <c r="A1900" s="16" t="s">
        <v>17</v>
      </c>
      <c r="B1900" s="17" t="s">
        <v>3515</v>
      </c>
      <c r="C1900" s="17" t="s">
        <v>3010</v>
      </c>
      <c r="D1900" s="25" t="s">
        <v>3382</v>
      </c>
      <c r="E1900" s="19" t="s">
        <v>3511</v>
      </c>
      <c r="F1900" s="19" t="s">
        <v>3516</v>
      </c>
      <c r="G1900" s="5" t="str">
        <f>HYPERLINK("http://jsmh.umin.jp/journal/28-3/317-327.pdf")</f>
        <v>http://jsmh.umin.jp/journal/28-3/317-327.pdf</v>
      </c>
      <c r="H1900" s="43" t="str">
        <f t="shared" si="166"/>
        <v>http://dl.ndl.go.jp/info:ndljp/pid/3359297</v>
      </c>
    </row>
    <row r="1901" spans="1:8" ht="30" customHeight="1" x14ac:dyDescent="0.15">
      <c r="A1901" s="16" t="s">
        <v>17</v>
      </c>
      <c r="B1901" s="17" t="s">
        <v>3517</v>
      </c>
      <c r="C1901" s="17" t="s">
        <v>1764</v>
      </c>
      <c r="D1901" s="25" t="s">
        <v>3382</v>
      </c>
      <c r="E1901" s="19" t="s">
        <v>3511</v>
      </c>
      <c r="F1901" s="19" t="s">
        <v>3518</v>
      </c>
      <c r="G1901" s="5" t="str">
        <f>HYPERLINK("http://jsmh.umin.jp/journal/28-3/328-337.pdf")</f>
        <v>http://jsmh.umin.jp/journal/28-3/328-337.pdf</v>
      </c>
      <c r="H1901" s="43" t="str">
        <f t="shared" si="166"/>
        <v>http://dl.ndl.go.jp/info:ndljp/pid/3359297</v>
      </c>
    </row>
    <row r="1902" spans="1:8" ht="30" customHeight="1" x14ac:dyDescent="0.15">
      <c r="A1902" s="16" t="s">
        <v>17</v>
      </c>
      <c r="B1902" s="17" t="s">
        <v>3519</v>
      </c>
      <c r="C1902" s="17" t="s">
        <v>2697</v>
      </c>
      <c r="D1902" s="25" t="s">
        <v>3382</v>
      </c>
      <c r="E1902" s="19" t="s">
        <v>3511</v>
      </c>
      <c r="F1902" s="19" t="s">
        <v>3520</v>
      </c>
      <c r="G1902" s="5" t="str">
        <f>HYPERLINK("http://jsmh.umin.jp/journal/28-3/338-351.pdf")</f>
        <v>http://jsmh.umin.jp/journal/28-3/338-351.pdf</v>
      </c>
      <c r="H1902" s="43" t="str">
        <f t="shared" si="166"/>
        <v>http://dl.ndl.go.jp/info:ndljp/pid/3359297</v>
      </c>
    </row>
    <row r="1903" spans="1:8" ht="30" customHeight="1" x14ac:dyDescent="0.15">
      <c r="A1903" s="16" t="s">
        <v>17</v>
      </c>
      <c r="B1903" s="17" t="s">
        <v>3521</v>
      </c>
      <c r="C1903" s="17" t="s">
        <v>3522</v>
      </c>
      <c r="D1903" s="25" t="s">
        <v>3382</v>
      </c>
      <c r="E1903" s="19" t="s">
        <v>3511</v>
      </c>
      <c r="F1903" s="19" t="s">
        <v>3523</v>
      </c>
      <c r="G1903" s="5" t="str">
        <f>HYPERLINK("http://jsmh.umin.jp/journal/28-3/352-362.pdf")</f>
        <v>http://jsmh.umin.jp/journal/28-3/352-362.pdf</v>
      </c>
      <c r="H1903" s="43" t="str">
        <f t="shared" si="166"/>
        <v>http://dl.ndl.go.jp/info:ndljp/pid/3359297</v>
      </c>
    </row>
    <row r="1904" spans="1:8" ht="30" customHeight="1" x14ac:dyDescent="0.15">
      <c r="A1904" s="16" t="s">
        <v>17</v>
      </c>
      <c r="B1904" s="17" t="s">
        <v>3524</v>
      </c>
      <c r="C1904" s="17" t="s">
        <v>790</v>
      </c>
      <c r="D1904" s="25" t="s">
        <v>3382</v>
      </c>
      <c r="E1904" s="19" t="s">
        <v>3511</v>
      </c>
      <c r="F1904" s="19" t="s">
        <v>3525</v>
      </c>
      <c r="G1904" s="5" t="str">
        <f>HYPERLINK("http://jsmh.umin.jp/journal/28-3/363-372.pdf")</f>
        <v>http://jsmh.umin.jp/journal/28-3/363-372.pdf</v>
      </c>
      <c r="H1904" s="43" t="str">
        <f t="shared" si="166"/>
        <v>http://dl.ndl.go.jp/info:ndljp/pid/3359297</v>
      </c>
    </row>
    <row r="1905" spans="1:8" ht="30" customHeight="1" x14ac:dyDescent="0.15">
      <c r="A1905" s="16" t="s">
        <v>17</v>
      </c>
      <c r="B1905" s="17" t="s">
        <v>3526</v>
      </c>
      <c r="C1905" s="17" t="s">
        <v>1534</v>
      </c>
      <c r="D1905" s="25" t="s">
        <v>3382</v>
      </c>
      <c r="E1905" s="19" t="s">
        <v>3511</v>
      </c>
      <c r="F1905" s="19" t="s">
        <v>3527</v>
      </c>
      <c r="G1905" s="5" t="str">
        <f>HYPERLINK("http://jsmh.umin.jp/journal/28-3/373-384.pdf")</f>
        <v>http://jsmh.umin.jp/journal/28-3/373-384.pdf</v>
      </c>
      <c r="H1905" s="43" t="str">
        <f t="shared" si="166"/>
        <v>http://dl.ndl.go.jp/info:ndljp/pid/3359297</v>
      </c>
    </row>
    <row r="1906" spans="1:8" ht="30" customHeight="1" x14ac:dyDescent="0.15">
      <c r="A1906" s="16" t="s">
        <v>3387</v>
      </c>
      <c r="B1906" s="17" t="s">
        <v>3528</v>
      </c>
      <c r="C1906" s="17" t="s">
        <v>790</v>
      </c>
      <c r="D1906" s="25" t="s">
        <v>3382</v>
      </c>
      <c r="E1906" s="19" t="s">
        <v>3511</v>
      </c>
      <c r="F1906" s="19" t="s">
        <v>3529</v>
      </c>
      <c r="G1906" s="5" t="str">
        <f>HYPERLINK("http://jsmh.umin.jp/journal/28-3/385-390.pdf")</f>
        <v>http://jsmh.umin.jp/journal/28-3/385-390.pdf</v>
      </c>
      <c r="H1906" s="43" t="str">
        <f t="shared" si="166"/>
        <v>http://dl.ndl.go.jp/info:ndljp/pid/3359297</v>
      </c>
    </row>
    <row r="1907" spans="1:8" ht="30" customHeight="1" x14ac:dyDescent="0.15">
      <c r="A1907" s="16" t="s">
        <v>3387</v>
      </c>
      <c r="B1907" s="17" t="s">
        <v>3530</v>
      </c>
      <c r="C1907" s="17" t="s">
        <v>1764</v>
      </c>
      <c r="D1907" s="25" t="s">
        <v>3382</v>
      </c>
      <c r="E1907" s="19" t="s">
        <v>3511</v>
      </c>
      <c r="F1907" s="19" t="s">
        <v>3531</v>
      </c>
      <c r="G1907" s="5" t="str">
        <f>HYPERLINK("http://jsmh.umin.jp/journal/28-3/391-394.pdf")</f>
        <v>http://jsmh.umin.jp/journal/28-3/391-394.pdf</v>
      </c>
      <c r="H1907" s="43" t="str">
        <f t="shared" si="166"/>
        <v>http://dl.ndl.go.jp/info:ndljp/pid/3359297</v>
      </c>
    </row>
    <row r="1908" spans="1:8" ht="30" customHeight="1" x14ac:dyDescent="0.15">
      <c r="A1908" s="16" t="s">
        <v>2990</v>
      </c>
      <c r="B1908" s="17" t="s">
        <v>10135</v>
      </c>
      <c r="C1908" s="17" t="s">
        <v>790</v>
      </c>
      <c r="D1908" s="25" t="s">
        <v>3382</v>
      </c>
      <c r="E1908" s="19" t="s">
        <v>3511</v>
      </c>
      <c r="F1908" s="19" t="s">
        <v>2322</v>
      </c>
      <c r="G1908" s="4" t="str">
        <f>HYPERLINK("http://jsmh.umin.jp/journal/28-3/395.pdf")</f>
        <v>http://jsmh.umin.jp/journal/28-3/395.pdf</v>
      </c>
      <c r="H1908" s="43" t="str">
        <f t="shared" si="166"/>
        <v>http://dl.ndl.go.jp/info:ndljp/pid/3359297</v>
      </c>
    </row>
    <row r="1909" spans="1:8" ht="30" customHeight="1" x14ac:dyDescent="0.15">
      <c r="A1909" s="16" t="s">
        <v>558</v>
      </c>
      <c r="B1909" s="17" t="s">
        <v>704</v>
      </c>
      <c r="C1909" s="17"/>
      <c r="D1909" s="25" t="s">
        <v>3382</v>
      </c>
      <c r="E1909" s="19" t="s">
        <v>3511</v>
      </c>
      <c r="F1909" s="19" t="s">
        <v>2322</v>
      </c>
      <c r="G1909" s="5" t="str">
        <f>HYPERLINK("http://jsmh.umin.jp/journal/28-3/395.pdf")</f>
        <v>http://jsmh.umin.jp/journal/28-3/395.pdf</v>
      </c>
      <c r="H1909" s="43" t="str">
        <f t="shared" si="166"/>
        <v>http://dl.ndl.go.jp/info:ndljp/pid/3359297</v>
      </c>
    </row>
    <row r="1910" spans="1:8" ht="30" customHeight="1" x14ac:dyDescent="0.15">
      <c r="A1910" s="16" t="s">
        <v>17</v>
      </c>
      <c r="B1910" s="17" t="s">
        <v>3532</v>
      </c>
      <c r="C1910" s="17" t="s">
        <v>3533</v>
      </c>
      <c r="D1910" s="25" t="s">
        <v>3382</v>
      </c>
      <c r="E1910" s="19" t="s">
        <v>3511</v>
      </c>
      <c r="F1910" s="19" t="s">
        <v>3534</v>
      </c>
      <c r="G1910" s="5" t="str">
        <f>HYPERLINK("http://jsmh.umin.jp/journal/28-3/400-424.pdf")</f>
        <v>http://jsmh.umin.jp/journal/28-3/400-424.pdf</v>
      </c>
      <c r="H1910" s="43" t="str">
        <f t="shared" si="166"/>
        <v>http://dl.ndl.go.jp/info:ndljp/pid/3359297</v>
      </c>
    </row>
    <row r="1911" spans="1:8" ht="30" customHeight="1" x14ac:dyDescent="0.15">
      <c r="A1911" s="16" t="s">
        <v>3535</v>
      </c>
      <c r="B1911" s="17" t="s">
        <v>3536</v>
      </c>
      <c r="C1911" s="17" t="s">
        <v>2937</v>
      </c>
      <c r="D1911" s="25" t="s">
        <v>3382</v>
      </c>
      <c r="E1911" s="19" t="s">
        <v>3537</v>
      </c>
      <c r="F1911" s="19" t="s">
        <v>1992</v>
      </c>
      <c r="G1911" s="5" t="str">
        <f>HYPERLINK("http://jsmh.umin.jp/journal/28-4/425-426.pdf")</f>
        <v>http://jsmh.umin.jp/journal/28-4/425-426.pdf</v>
      </c>
      <c r="H1911" s="42" t="str">
        <f t="shared" ref="H1911:H1926" si="167">HYPERLINK("http://dl.ndl.go.jp/info:ndljp/pid/3359298")</f>
        <v>http://dl.ndl.go.jp/info:ndljp/pid/3359298</v>
      </c>
    </row>
    <row r="1912" spans="1:8" ht="30" customHeight="1" x14ac:dyDescent="0.15">
      <c r="A1912" s="16" t="s">
        <v>558</v>
      </c>
      <c r="B1912" s="17" t="s">
        <v>3538</v>
      </c>
      <c r="C1912" s="17" t="s">
        <v>3539</v>
      </c>
      <c r="D1912" s="25" t="s">
        <v>3382</v>
      </c>
      <c r="E1912" s="19" t="s">
        <v>3537</v>
      </c>
      <c r="F1912" s="19" t="s">
        <v>3540</v>
      </c>
      <c r="G1912" s="5" t="str">
        <f>HYPERLINK("http://jsmh.umin.jp/journal/28-4/427-443.pdf")</f>
        <v>http://jsmh.umin.jp/journal/28-4/427-443.pdf</v>
      </c>
      <c r="H1912" s="43" t="str">
        <f t="shared" si="167"/>
        <v>http://dl.ndl.go.jp/info:ndljp/pid/3359298</v>
      </c>
    </row>
    <row r="1913" spans="1:8" ht="30" customHeight="1" x14ac:dyDescent="0.15">
      <c r="A1913" s="16" t="s">
        <v>3535</v>
      </c>
      <c r="B1913" s="17" t="s">
        <v>3541</v>
      </c>
      <c r="C1913" s="17" t="s">
        <v>2937</v>
      </c>
      <c r="D1913" s="25" t="s">
        <v>3382</v>
      </c>
      <c r="E1913" s="19" t="s">
        <v>3537</v>
      </c>
      <c r="F1913" s="19" t="s">
        <v>3542</v>
      </c>
      <c r="G1913" s="5" t="str">
        <f>HYPERLINK("http://jsmh.umin.jp/journal/28-4/444-456.pdf")</f>
        <v>http://jsmh.umin.jp/journal/28-4/444-456.pdf</v>
      </c>
      <c r="H1913" s="43" t="str">
        <f t="shared" si="167"/>
        <v>http://dl.ndl.go.jp/info:ndljp/pid/3359298</v>
      </c>
    </row>
    <row r="1914" spans="1:8" ht="30" customHeight="1" x14ac:dyDescent="0.15">
      <c r="A1914" s="16" t="s">
        <v>558</v>
      </c>
      <c r="B1914" s="17" t="s">
        <v>3543</v>
      </c>
      <c r="C1914" s="17" t="s">
        <v>3544</v>
      </c>
      <c r="D1914" s="25" t="s">
        <v>3382</v>
      </c>
      <c r="E1914" s="19" t="s">
        <v>3537</v>
      </c>
      <c r="F1914" s="19" t="s">
        <v>3545</v>
      </c>
      <c r="G1914" s="5" t="str">
        <f>HYPERLINK("http://jsmh.umin.jp/journal/28-4/457-470.pdf")</f>
        <v>http://jsmh.umin.jp/journal/28-4/457-470.pdf</v>
      </c>
      <c r="H1914" s="43" t="str">
        <f t="shared" si="167"/>
        <v>http://dl.ndl.go.jp/info:ndljp/pid/3359298</v>
      </c>
    </row>
    <row r="1915" spans="1:8" ht="30" customHeight="1" x14ac:dyDescent="0.15">
      <c r="A1915" s="16" t="s">
        <v>558</v>
      </c>
      <c r="B1915" s="17" t="s">
        <v>10136</v>
      </c>
      <c r="C1915" s="17" t="s">
        <v>2256</v>
      </c>
      <c r="D1915" s="25" t="s">
        <v>3382</v>
      </c>
      <c r="E1915" s="19" t="s">
        <v>3537</v>
      </c>
      <c r="F1915" s="19" t="s">
        <v>3546</v>
      </c>
      <c r="G1915" s="5" t="str">
        <f>HYPERLINK("http://jsmh.umin.jp/journal/28-4/471-478.pdf")</f>
        <v>http://jsmh.umin.jp/journal/28-4/471-478.pdf</v>
      </c>
      <c r="H1915" s="43" t="str">
        <f t="shared" si="167"/>
        <v>http://dl.ndl.go.jp/info:ndljp/pid/3359298</v>
      </c>
    </row>
    <row r="1916" spans="1:8" ht="30" customHeight="1" x14ac:dyDescent="0.15">
      <c r="A1916" s="16" t="s">
        <v>3535</v>
      </c>
      <c r="B1916" s="17" t="s">
        <v>3547</v>
      </c>
      <c r="C1916" s="17" t="s">
        <v>3548</v>
      </c>
      <c r="D1916" s="25" t="s">
        <v>3382</v>
      </c>
      <c r="E1916" s="19" t="s">
        <v>3537</v>
      </c>
      <c r="F1916" s="19" t="s">
        <v>3549</v>
      </c>
      <c r="G1916" s="5" t="str">
        <f>HYPERLINK("http://jsmh.umin.jp/journal/28-4/479-485.pdf")</f>
        <v>http://jsmh.umin.jp/journal/28-4/479-485.pdf</v>
      </c>
      <c r="H1916" s="43" t="str">
        <f t="shared" si="167"/>
        <v>http://dl.ndl.go.jp/info:ndljp/pid/3359298</v>
      </c>
    </row>
    <row r="1917" spans="1:8" ht="30" customHeight="1" x14ac:dyDescent="0.15">
      <c r="A1917" s="16" t="s">
        <v>558</v>
      </c>
      <c r="B1917" s="17" t="s">
        <v>3550</v>
      </c>
      <c r="C1917" s="17" t="s">
        <v>273</v>
      </c>
      <c r="D1917" s="25" t="s">
        <v>3382</v>
      </c>
      <c r="E1917" s="19" t="s">
        <v>3537</v>
      </c>
      <c r="F1917" s="19" t="s">
        <v>3551</v>
      </c>
      <c r="G1917" s="5" t="str">
        <f>HYPERLINK("http://jsmh.umin.jp/journal/28-4/486-488.pdf")</f>
        <v>http://jsmh.umin.jp/journal/28-4/486-488.pdf</v>
      </c>
      <c r="H1917" s="43" t="str">
        <f t="shared" si="167"/>
        <v>http://dl.ndl.go.jp/info:ndljp/pid/3359298</v>
      </c>
    </row>
    <row r="1918" spans="1:8" ht="30" customHeight="1" x14ac:dyDescent="0.15">
      <c r="A1918" s="16" t="s">
        <v>3535</v>
      </c>
      <c r="B1918" s="17" t="s">
        <v>3552</v>
      </c>
      <c r="C1918" s="17" t="s">
        <v>3553</v>
      </c>
      <c r="D1918" s="25" t="s">
        <v>3382</v>
      </c>
      <c r="E1918" s="19" t="s">
        <v>3537</v>
      </c>
      <c r="F1918" s="19" t="s">
        <v>3554</v>
      </c>
      <c r="G1918" s="5" t="str">
        <f>HYPERLINK("http://jsmh.umin.jp/journal/28-4/489-491.pdf")</f>
        <v>http://jsmh.umin.jp/journal/28-4/489-491.pdf</v>
      </c>
      <c r="H1918" s="43" t="str">
        <f t="shared" si="167"/>
        <v>http://dl.ndl.go.jp/info:ndljp/pid/3359298</v>
      </c>
    </row>
    <row r="1919" spans="1:8" ht="30" customHeight="1" x14ac:dyDescent="0.15">
      <c r="A1919" s="16" t="s">
        <v>3535</v>
      </c>
      <c r="B1919" s="17" t="s">
        <v>3555</v>
      </c>
      <c r="C1919" s="17" t="s">
        <v>303</v>
      </c>
      <c r="D1919" s="25" t="s">
        <v>3382</v>
      </c>
      <c r="E1919" s="19" t="s">
        <v>3537</v>
      </c>
      <c r="F1919" s="19" t="s">
        <v>3556</v>
      </c>
      <c r="G1919" s="5" t="str">
        <f>HYPERLINK("http://jsmh.umin.jp/journal/28-4/492-496.pdf")</f>
        <v>http://jsmh.umin.jp/journal/28-4/492-496.pdf</v>
      </c>
      <c r="H1919" s="43" t="str">
        <f t="shared" si="167"/>
        <v>http://dl.ndl.go.jp/info:ndljp/pid/3359298</v>
      </c>
    </row>
    <row r="1920" spans="1:8" ht="30" customHeight="1" x14ac:dyDescent="0.15">
      <c r="A1920" s="16" t="s">
        <v>558</v>
      </c>
      <c r="B1920" s="17" t="s">
        <v>3557</v>
      </c>
      <c r="C1920" s="17" t="s">
        <v>2937</v>
      </c>
      <c r="D1920" s="25" t="s">
        <v>3382</v>
      </c>
      <c r="E1920" s="19" t="s">
        <v>3537</v>
      </c>
      <c r="F1920" s="19" t="s">
        <v>3558</v>
      </c>
      <c r="G1920" s="5" t="str">
        <f>HYPERLINK("http://jsmh.umin.jp/journal/28-4/497-502.pdf")</f>
        <v>http://jsmh.umin.jp/journal/28-4/497-502.pdf</v>
      </c>
      <c r="H1920" s="43" t="str">
        <f t="shared" si="167"/>
        <v>http://dl.ndl.go.jp/info:ndljp/pid/3359298</v>
      </c>
    </row>
    <row r="1921" spans="1:8" ht="30" customHeight="1" x14ac:dyDescent="0.15">
      <c r="A1921" s="16" t="s">
        <v>3535</v>
      </c>
      <c r="B1921" s="17" t="s">
        <v>3559</v>
      </c>
      <c r="C1921" s="17" t="s">
        <v>2937</v>
      </c>
      <c r="D1921" s="25" t="s">
        <v>3382</v>
      </c>
      <c r="E1921" s="19" t="s">
        <v>3537</v>
      </c>
      <c r="F1921" s="19" t="s">
        <v>3560</v>
      </c>
      <c r="G1921" s="5" t="str">
        <f>HYPERLINK("http://jsmh.umin.jp/journal/28-4/503-508.pdf")</f>
        <v>http://jsmh.umin.jp/journal/28-4/503-508.pdf</v>
      </c>
      <c r="H1921" s="43" t="str">
        <f t="shared" si="167"/>
        <v>http://dl.ndl.go.jp/info:ndljp/pid/3359298</v>
      </c>
    </row>
    <row r="1922" spans="1:8" ht="30" customHeight="1" x14ac:dyDescent="0.15">
      <c r="A1922" s="16" t="s">
        <v>2894</v>
      </c>
      <c r="B1922" s="17" t="s">
        <v>3561</v>
      </c>
      <c r="C1922" s="17"/>
      <c r="D1922" s="25" t="s">
        <v>3382</v>
      </c>
      <c r="E1922" s="19" t="s">
        <v>3537</v>
      </c>
      <c r="F1922" s="19" t="s">
        <v>3562</v>
      </c>
      <c r="G1922" s="5" t="str">
        <f>HYPERLINK("http://jsmh.umin.jp/journal/28-4/509-532.pdf")</f>
        <v>http://jsmh.umin.jp/journal/28-4/509-532.pdf</v>
      </c>
      <c r="H1922" s="43" t="str">
        <f t="shared" si="167"/>
        <v>http://dl.ndl.go.jp/info:ndljp/pid/3359298</v>
      </c>
    </row>
    <row r="1923" spans="1:8" ht="30" customHeight="1" x14ac:dyDescent="0.15">
      <c r="A1923" s="16" t="s">
        <v>2990</v>
      </c>
      <c r="B1923" s="17" t="s">
        <v>3563</v>
      </c>
      <c r="C1923" s="17" t="s">
        <v>273</v>
      </c>
      <c r="D1923" s="25" t="s">
        <v>3382</v>
      </c>
      <c r="E1923" s="19" t="s">
        <v>3537</v>
      </c>
      <c r="F1923" s="19" t="s">
        <v>3564</v>
      </c>
      <c r="G1923" s="5" t="str">
        <f>HYPERLINK("http://jsmh.umin.jp/journal/28-4/533.pdf")</f>
        <v>http://jsmh.umin.jp/journal/28-4/533.pdf</v>
      </c>
      <c r="H1923" s="43" t="str">
        <f t="shared" si="167"/>
        <v>http://dl.ndl.go.jp/info:ndljp/pid/3359298</v>
      </c>
    </row>
    <row r="1924" spans="1:8" ht="30" customHeight="1" x14ac:dyDescent="0.15">
      <c r="A1924" s="16" t="s">
        <v>558</v>
      </c>
      <c r="B1924" s="17" t="s">
        <v>704</v>
      </c>
      <c r="C1924" s="17"/>
      <c r="D1924" s="25" t="s">
        <v>3382</v>
      </c>
      <c r="E1924" s="19" t="s">
        <v>3537</v>
      </c>
      <c r="F1924" s="19" t="s">
        <v>3565</v>
      </c>
      <c r="G1924" s="5" t="str">
        <f>HYPERLINK("http://jsmh.umin.jp/journal/28-4/534.pdf")</f>
        <v>http://jsmh.umin.jp/journal/28-4/534.pdf</v>
      </c>
      <c r="H1924" s="43" t="str">
        <f t="shared" si="167"/>
        <v>http://dl.ndl.go.jp/info:ndljp/pid/3359298</v>
      </c>
    </row>
    <row r="1925" spans="1:8" ht="30" customHeight="1" x14ac:dyDescent="0.15">
      <c r="A1925" s="16" t="s">
        <v>3223</v>
      </c>
      <c r="B1925" s="17" t="s">
        <v>3566</v>
      </c>
      <c r="C1925" s="17" t="s">
        <v>24</v>
      </c>
      <c r="D1925" s="25" t="s">
        <v>3382</v>
      </c>
      <c r="E1925" s="19" t="s">
        <v>3537</v>
      </c>
      <c r="F1925" s="19" t="s">
        <v>3567</v>
      </c>
      <c r="G1925" s="5" t="str">
        <f>HYPERLINK("http://jsmh.umin.jp/journal/28-4/535-536.pdf")</f>
        <v>http://jsmh.umin.jp/journal/28-4/535-536.pdf</v>
      </c>
      <c r="H1925" s="43" t="str">
        <f t="shared" si="167"/>
        <v>http://dl.ndl.go.jp/info:ndljp/pid/3359298</v>
      </c>
    </row>
    <row r="1926" spans="1:8" ht="30" customHeight="1" x14ac:dyDescent="0.15">
      <c r="A1926" s="16" t="s">
        <v>558</v>
      </c>
      <c r="B1926" s="17" t="s">
        <v>3568</v>
      </c>
      <c r="C1926" s="17" t="s">
        <v>3569</v>
      </c>
      <c r="D1926" s="25" t="s">
        <v>3382</v>
      </c>
      <c r="E1926" s="19" t="s">
        <v>3537</v>
      </c>
      <c r="F1926" s="19" t="s">
        <v>3570</v>
      </c>
      <c r="G1926" s="5" t="str">
        <f>HYPERLINK("http://jsmh.umin.jp/journal/28-4/562-540.pdf")</f>
        <v>http://jsmh.umin.jp/journal/28-4/562-540.pdf</v>
      </c>
      <c r="H1926" s="43" t="str">
        <f t="shared" si="167"/>
        <v>http://dl.ndl.go.jp/info:ndljp/pid/3359298</v>
      </c>
    </row>
    <row r="1927" spans="1:8" ht="30" customHeight="1" x14ac:dyDescent="0.15">
      <c r="A1927" s="16" t="s">
        <v>17</v>
      </c>
      <c r="B1927" s="17" t="s">
        <v>3571</v>
      </c>
      <c r="C1927" s="17" t="s">
        <v>1699</v>
      </c>
      <c r="D1927" s="18" t="s">
        <v>3572</v>
      </c>
      <c r="E1927" s="19" t="s">
        <v>3573</v>
      </c>
      <c r="F1927" s="19" t="s">
        <v>796</v>
      </c>
      <c r="G1927" s="5" t="str">
        <f>HYPERLINK("http://jsmh.umin.jp/journal/29-1/1-18.pdf")</f>
        <v>http://jsmh.umin.jp/journal/29-1/1-18.pdf</v>
      </c>
      <c r="H1927" s="42" t="str">
        <f t="shared" ref="H1927:H1940" si="168">HYPERLINK("http://dl.ndl.go.jp/info:ndljp/pid/3359299")</f>
        <v>http://dl.ndl.go.jp/info:ndljp/pid/3359299</v>
      </c>
    </row>
    <row r="1928" spans="1:8" ht="30" customHeight="1" x14ac:dyDescent="0.15">
      <c r="A1928" s="16" t="s">
        <v>17</v>
      </c>
      <c r="B1928" s="17" t="s">
        <v>3574</v>
      </c>
      <c r="C1928" s="17" t="s">
        <v>3432</v>
      </c>
      <c r="D1928" s="25" t="s">
        <v>3572</v>
      </c>
      <c r="E1928" s="19" t="s">
        <v>3573</v>
      </c>
      <c r="F1928" s="19" t="s">
        <v>1128</v>
      </c>
      <c r="G1928" s="5" t="str">
        <f>HYPERLINK("http://jsmh.umin.jp/journal/29-1/19-24.pdf")</f>
        <v>http://jsmh.umin.jp/journal/29-1/19-24.pdf</v>
      </c>
      <c r="H1928" s="43" t="str">
        <f t="shared" si="168"/>
        <v>http://dl.ndl.go.jp/info:ndljp/pid/3359299</v>
      </c>
    </row>
    <row r="1929" spans="1:8" ht="30" customHeight="1" x14ac:dyDescent="0.15">
      <c r="A1929" s="16" t="s">
        <v>17</v>
      </c>
      <c r="B1929" s="17" t="s">
        <v>3575</v>
      </c>
      <c r="C1929" s="17" t="s">
        <v>790</v>
      </c>
      <c r="D1929" s="25" t="s">
        <v>3572</v>
      </c>
      <c r="E1929" s="19" t="s">
        <v>3573</v>
      </c>
      <c r="F1929" s="19" t="s">
        <v>3576</v>
      </c>
      <c r="G1929" s="5" t="str">
        <f>HYPERLINK("http://jsmh.umin.jp/journal/29-1/25-34.pdf")</f>
        <v>http://jsmh.umin.jp/journal/29-1/25-34.pdf</v>
      </c>
      <c r="H1929" s="43" t="str">
        <f t="shared" si="168"/>
        <v>http://dl.ndl.go.jp/info:ndljp/pid/3359299</v>
      </c>
    </row>
    <row r="1930" spans="1:8" ht="30" customHeight="1" x14ac:dyDescent="0.15">
      <c r="A1930" s="16" t="s">
        <v>17</v>
      </c>
      <c r="B1930" s="17" t="s">
        <v>3577</v>
      </c>
      <c r="C1930" s="17" t="s">
        <v>790</v>
      </c>
      <c r="D1930" s="25" t="s">
        <v>3572</v>
      </c>
      <c r="E1930" s="19" t="s">
        <v>3573</v>
      </c>
      <c r="F1930" s="19" t="s">
        <v>3578</v>
      </c>
      <c r="G1930" s="5" t="str">
        <f>HYPERLINK("http://jsmh.umin.jp/journal/29-1/35-41.pdf")</f>
        <v>http://jsmh.umin.jp/journal/29-1/35-41.pdf</v>
      </c>
      <c r="H1930" s="43" t="str">
        <f t="shared" si="168"/>
        <v>http://dl.ndl.go.jp/info:ndljp/pid/3359299</v>
      </c>
    </row>
    <row r="1931" spans="1:8" ht="30" customHeight="1" x14ac:dyDescent="0.15">
      <c r="A1931" s="16" t="s">
        <v>17</v>
      </c>
      <c r="B1931" s="17" t="s">
        <v>3579</v>
      </c>
      <c r="C1931" s="17" t="s">
        <v>3010</v>
      </c>
      <c r="D1931" s="25" t="s">
        <v>3572</v>
      </c>
      <c r="E1931" s="19" t="s">
        <v>3573</v>
      </c>
      <c r="F1931" s="19" t="s">
        <v>3580</v>
      </c>
      <c r="G1931" s="5" t="str">
        <f>HYPERLINK("http://jsmh.umin.jp/journal/29-1/42-49.pdf")</f>
        <v>http://jsmh.umin.jp/journal/29-1/42-49.pdf</v>
      </c>
      <c r="H1931" s="43" t="str">
        <f t="shared" si="168"/>
        <v>http://dl.ndl.go.jp/info:ndljp/pid/3359299</v>
      </c>
    </row>
    <row r="1932" spans="1:8" ht="30" customHeight="1" x14ac:dyDescent="0.15">
      <c r="A1932" s="16" t="s">
        <v>17</v>
      </c>
      <c r="B1932" s="17" t="s">
        <v>3581</v>
      </c>
      <c r="C1932" s="17" t="s">
        <v>3412</v>
      </c>
      <c r="D1932" s="25" t="s">
        <v>3572</v>
      </c>
      <c r="E1932" s="19" t="s">
        <v>3573</v>
      </c>
      <c r="F1932" s="19" t="s">
        <v>3582</v>
      </c>
      <c r="G1932" s="5" t="str">
        <f>HYPERLINK("http://jsmh.umin.jp/journal/29-1/50-63.pdf")</f>
        <v>http://jsmh.umin.jp/journal/29-1/50-63.pdf</v>
      </c>
      <c r="H1932" s="43" t="str">
        <f t="shared" si="168"/>
        <v>http://dl.ndl.go.jp/info:ndljp/pid/3359299</v>
      </c>
    </row>
    <row r="1933" spans="1:8" ht="30" customHeight="1" x14ac:dyDescent="0.15">
      <c r="A1933" s="16" t="s">
        <v>692</v>
      </c>
      <c r="B1933" s="17" t="s">
        <v>3583</v>
      </c>
      <c r="C1933" s="17" t="s">
        <v>3010</v>
      </c>
      <c r="D1933" s="25" t="s">
        <v>3572</v>
      </c>
      <c r="E1933" s="19" t="s">
        <v>3573</v>
      </c>
      <c r="F1933" s="19" t="s">
        <v>3584</v>
      </c>
      <c r="G1933" s="5" t="str">
        <f>HYPERLINK("http://jsmh.umin.jp/journal/29-1/64-69.pdf")</f>
        <v>http://jsmh.umin.jp/journal/29-1/64-69.pdf</v>
      </c>
      <c r="H1933" s="43" t="str">
        <f t="shared" si="168"/>
        <v>http://dl.ndl.go.jp/info:ndljp/pid/3359299</v>
      </c>
    </row>
    <row r="1934" spans="1:8" ht="30" customHeight="1" x14ac:dyDescent="0.15">
      <c r="A1934" s="16" t="s">
        <v>692</v>
      </c>
      <c r="B1934" s="17" t="s">
        <v>3585</v>
      </c>
      <c r="C1934" s="17" t="s">
        <v>1764</v>
      </c>
      <c r="D1934" s="25" t="s">
        <v>3572</v>
      </c>
      <c r="E1934" s="19" t="s">
        <v>3573</v>
      </c>
      <c r="F1934" s="19" t="s">
        <v>3586</v>
      </c>
      <c r="G1934" s="5" t="str">
        <f>HYPERLINK("http://jsmh.umin.jp/journal/29-1/70-72.pdf")</f>
        <v>http://jsmh.umin.jp/journal/29-1/70-72.pdf</v>
      </c>
      <c r="H1934" s="43" t="str">
        <f t="shared" si="168"/>
        <v>http://dl.ndl.go.jp/info:ndljp/pid/3359299</v>
      </c>
    </row>
    <row r="1935" spans="1:8" ht="30" customHeight="1" x14ac:dyDescent="0.15">
      <c r="A1935" s="16" t="s">
        <v>2990</v>
      </c>
      <c r="B1935" s="17" t="s">
        <v>3587</v>
      </c>
      <c r="C1935" s="17" t="s">
        <v>273</v>
      </c>
      <c r="D1935" s="25" t="s">
        <v>3572</v>
      </c>
      <c r="E1935" s="19" t="s">
        <v>3573</v>
      </c>
      <c r="F1935" s="19" t="s">
        <v>597</v>
      </c>
      <c r="G1935" s="5" t="str">
        <f>HYPERLINK("http://jsmh.umin.jp/journal/29-1/73.pdf")</f>
        <v>http://jsmh.umin.jp/journal/29-1/73.pdf</v>
      </c>
      <c r="H1935" s="43" t="str">
        <f t="shared" si="168"/>
        <v>http://dl.ndl.go.jp/info:ndljp/pid/3359299</v>
      </c>
    </row>
    <row r="1936" spans="1:8" ht="30" customHeight="1" x14ac:dyDescent="0.15">
      <c r="A1936" s="16" t="s">
        <v>558</v>
      </c>
      <c r="B1936" s="17" t="s">
        <v>3588</v>
      </c>
      <c r="C1936" s="17"/>
      <c r="D1936" s="25" t="s">
        <v>3572</v>
      </c>
      <c r="E1936" s="19" t="s">
        <v>3573</v>
      </c>
      <c r="F1936" s="19" t="s">
        <v>833</v>
      </c>
      <c r="G1936" s="5" t="str">
        <f>HYPERLINK("http://jsmh.umin.jp/journal/29-1/74.pdf")</f>
        <v>http://jsmh.umin.jp/journal/29-1/74.pdf</v>
      </c>
      <c r="H1936" s="43" t="str">
        <f t="shared" si="168"/>
        <v>http://dl.ndl.go.jp/info:ndljp/pid/3359299</v>
      </c>
    </row>
    <row r="1937" spans="1:8" ht="30" customHeight="1" x14ac:dyDescent="0.15">
      <c r="A1937" s="16" t="s">
        <v>558</v>
      </c>
      <c r="B1937" s="17" t="s">
        <v>704</v>
      </c>
      <c r="C1937" s="17"/>
      <c r="D1937" s="25" t="s">
        <v>3572</v>
      </c>
      <c r="E1937" s="19" t="s">
        <v>3573</v>
      </c>
      <c r="F1937" s="19" t="s">
        <v>833</v>
      </c>
      <c r="G1937" s="5" t="str">
        <f>HYPERLINK("http://jsmh.umin.jp/journal/29-1/74.pdf")</f>
        <v>http://jsmh.umin.jp/journal/29-1/74.pdf</v>
      </c>
      <c r="H1937" s="43" t="str">
        <f t="shared" si="168"/>
        <v>http://dl.ndl.go.jp/info:ndljp/pid/3359299</v>
      </c>
    </row>
    <row r="1938" spans="1:8" ht="30" customHeight="1" x14ac:dyDescent="0.15">
      <c r="A1938" s="16" t="s">
        <v>81</v>
      </c>
      <c r="B1938" s="17" t="s">
        <v>3589</v>
      </c>
      <c r="C1938" s="17"/>
      <c r="D1938" s="25" t="s">
        <v>3572</v>
      </c>
      <c r="E1938" s="19" t="s">
        <v>3573</v>
      </c>
      <c r="F1938" s="19" t="s">
        <v>600</v>
      </c>
      <c r="G1938" s="5" t="str">
        <f>HYPERLINK("http://jsmh.umin.jp/journal/29-1/75-76.pdf")</f>
        <v>http://jsmh.umin.jp/journal/29-1/75-76.pdf</v>
      </c>
      <c r="H1938" s="43" t="str">
        <f t="shared" si="168"/>
        <v>http://dl.ndl.go.jp/info:ndljp/pid/3359299</v>
      </c>
    </row>
    <row r="1939" spans="1:8" ht="30" customHeight="1" x14ac:dyDescent="0.15">
      <c r="A1939" s="16" t="s">
        <v>558</v>
      </c>
      <c r="B1939" s="17" t="s">
        <v>3590</v>
      </c>
      <c r="C1939" s="17"/>
      <c r="D1939" s="25" t="s">
        <v>3572</v>
      </c>
      <c r="E1939" s="19" t="s">
        <v>3573</v>
      </c>
      <c r="F1939" s="19" t="s">
        <v>3591</v>
      </c>
      <c r="G1939" s="5" t="str">
        <f>HYPERLINK("http://jsmh.umin.jp/journal/29-1/76-78.pdf")</f>
        <v>http://jsmh.umin.jp/journal/29-1/76-78.pdf</v>
      </c>
      <c r="H1939" s="43" t="str">
        <f t="shared" si="168"/>
        <v>http://dl.ndl.go.jp/info:ndljp/pid/3359299</v>
      </c>
    </row>
    <row r="1940" spans="1:8" ht="30" customHeight="1" x14ac:dyDescent="0.15">
      <c r="A1940" s="16" t="s">
        <v>17</v>
      </c>
      <c r="B1940" s="17" t="s">
        <v>3592</v>
      </c>
      <c r="C1940" s="17" t="s">
        <v>10137</v>
      </c>
      <c r="D1940" s="25" t="s">
        <v>3572</v>
      </c>
      <c r="E1940" s="19" t="s">
        <v>3573</v>
      </c>
      <c r="F1940" s="19" t="s">
        <v>3593</v>
      </c>
      <c r="G1940" s="5" t="str">
        <f>HYPERLINK("http://jsmh.umin.jp/journal/29-1/94-83.pdf")</f>
        <v>http://jsmh.umin.jp/journal/29-1/94-83.pdf</v>
      </c>
      <c r="H1940" s="43" t="str">
        <f t="shared" si="168"/>
        <v>http://dl.ndl.go.jp/info:ndljp/pid/3359299</v>
      </c>
    </row>
    <row r="1941" spans="1:8" ht="30" customHeight="1" x14ac:dyDescent="0.15">
      <c r="A1941" s="16" t="s">
        <v>1855</v>
      </c>
      <c r="B1941" s="17" t="s">
        <v>3594</v>
      </c>
      <c r="C1941" s="17" t="s">
        <v>2327</v>
      </c>
      <c r="D1941" s="25" t="s">
        <v>3572</v>
      </c>
      <c r="E1941" s="19" t="s">
        <v>3595</v>
      </c>
      <c r="F1941" s="19" t="s">
        <v>3596</v>
      </c>
      <c r="G1941" s="5" t="str">
        <f>HYPERLINK("http://jsmh.umin.jp/journal/29-2/95-98.pdf")</f>
        <v>http://jsmh.umin.jp/journal/29-2/95-98.pdf</v>
      </c>
      <c r="H1941" s="42" t="str">
        <f t="shared" ref="H1941:H1972" si="169">HYPERLINK("http://dl.ndl.go.jp/info:ndljp/pid/3359300")</f>
        <v>http://dl.ndl.go.jp/info:ndljp/pid/3359300</v>
      </c>
    </row>
    <row r="1942" spans="1:8" ht="30" customHeight="1" x14ac:dyDescent="0.15">
      <c r="A1942" s="16" t="s">
        <v>1855</v>
      </c>
      <c r="B1942" s="17" t="s">
        <v>3597</v>
      </c>
      <c r="C1942" s="17" t="s">
        <v>2222</v>
      </c>
      <c r="D1942" s="25" t="s">
        <v>3572</v>
      </c>
      <c r="E1942" s="19" t="s">
        <v>3595</v>
      </c>
      <c r="F1942" s="19" t="s">
        <v>3598</v>
      </c>
      <c r="G1942" s="5" t="str">
        <f>HYPERLINK("http://jsmh.umin.jp/journal/29-2/99-101.pdf")</f>
        <v>http://jsmh.umin.jp/journal/29-2/99-101.pdf</v>
      </c>
      <c r="H1942" s="43" t="str">
        <f t="shared" si="169"/>
        <v>http://dl.ndl.go.jp/info:ndljp/pid/3359300</v>
      </c>
    </row>
    <row r="1943" spans="1:8" ht="30" customHeight="1" x14ac:dyDescent="0.15">
      <c r="A1943" s="16" t="s">
        <v>1855</v>
      </c>
      <c r="B1943" s="17" t="s">
        <v>3599</v>
      </c>
      <c r="C1943" s="17" t="s">
        <v>1097</v>
      </c>
      <c r="D1943" s="25" t="s">
        <v>3572</v>
      </c>
      <c r="E1943" s="19" t="s">
        <v>3595</v>
      </c>
      <c r="F1943" s="19" t="s">
        <v>184</v>
      </c>
      <c r="G1943" s="5" t="str">
        <f>HYPERLINK("http://jsmh.umin.jp/journal/29-2/102-104.pdf")</f>
        <v>http://jsmh.umin.jp/journal/29-2/102-104.pdf</v>
      </c>
      <c r="H1943" s="43" t="str">
        <f t="shared" si="169"/>
        <v>http://dl.ndl.go.jp/info:ndljp/pid/3359300</v>
      </c>
    </row>
    <row r="1944" spans="1:8" ht="30" customHeight="1" x14ac:dyDescent="0.15">
      <c r="A1944" s="16" t="s">
        <v>1855</v>
      </c>
      <c r="B1944" s="17" t="s">
        <v>3600</v>
      </c>
      <c r="C1944" s="17" t="s">
        <v>507</v>
      </c>
      <c r="D1944" s="25" t="s">
        <v>3572</v>
      </c>
      <c r="E1944" s="19" t="s">
        <v>3595</v>
      </c>
      <c r="F1944" s="19" t="s">
        <v>3601</v>
      </c>
      <c r="G1944" s="5" t="str">
        <f>HYPERLINK("http://jsmh.umin.jp/journal/29-2/105-107.pdf")</f>
        <v>http://jsmh.umin.jp/journal/29-2/105-107.pdf</v>
      </c>
      <c r="H1944" s="43" t="str">
        <f t="shared" si="169"/>
        <v>http://dl.ndl.go.jp/info:ndljp/pid/3359300</v>
      </c>
    </row>
    <row r="1945" spans="1:8" ht="30" customHeight="1" x14ac:dyDescent="0.15">
      <c r="A1945" s="16" t="s">
        <v>1855</v>
      </c>
      <c r="B1945" s="17" t="s">
        <v>3602</v>
      </c>
      <c r="C1945" s="17" t="s">
        <v>953</v>
      </c>
      <c r="D1945" s="25" t="s">
        <v>3572</v>
      </c>
      <c r="E1945" s="19" t="s">
        <v>3595</v>
      </c>
      <c r="F1945" s="19" t="s">
        <v>194</v>
      </c>
      <c r="G1945" s="5" t="str">
        <f>HYPERLINK("http://jsmh.umin.jp/journal/29-2/107-108.pdf")</f>
        <v>http://jsmh.umin.jp/journal/29-2/107-108.pdf</v>
      </c>
      <c r="H1945" s="43" t="str">
        <f t="shared" si="169"/>
        <v>http://dl.ndl.go.jp/info:ndljp/pid/3359300</v>
      </c>
    </row>
    <row r="1946" spans="1:8" ht="30" customHeight="1" x14ac:dyDescent="0.15">
      <c r="A1946" s="16" t="s">
        <v>1855</v>
      </c>
      <c r="B1946" s="17" t="s">
        <v>3603</v>
      </c>
      <c r="C1946" s="17" t="s">
        <v>2386</v>
      </c>
      <c r="D1946" s="25" t="s">
        <v>3572</v>
      </c>
      <c r="E1946" s="19" t="s">
        <v>3595</v>
      </c>
      <c r="F1946" s="19" t="s">
        <v>3604</v>
      </c>
      <c r="G1946" s="5" t="str">
        <f>HYPERLINK("http://jsmh.umin.jp/journal/29-2/108-110.pdf")</f>
        <v>http://jsmh.umin.jp/journal/29-2/108-110.pdf</v>
      </c>
      <c r="H1946" s="43" t="str">
        <f t="shared" si="169"/>
        <v>http://dl.ndl.go.jp/info:ndljp/pid/3359300</v>
      </c>
    </row>
    <row r="1947" spans="1:8" ht="30" customHeight="1" x14ac:dyDescent="0.15">
      <c r="A1947" s="16" t="s">
        <v>1855</v>
      </c>
      <c r="B1947" s="17" t="s">
        <v>3605</v>
      </c>
      <c r="C1947" s="17" t="s">
        <v>2325</v>
      </c>
      <c r="D1947" s="25" t="s">
        <v>3572</v>
      </c>
      <c r="E1947" s="19" t="s">
        <v>3595</v>
      </c>
      <c r="F1947" s="19" t="s">
        <v>3606</v>
      </c>
      <c r="G1947" s="5" t="str">
        <f>HYPERLINK("http://jsmh.umin.jp/journal/29-2/110-112.pdf")</f>
        <v>http://jsmh.umin.jp/journal/29-2/110-112.pdf</v>
      </c>
      <c r="H1947" s="43" t="str">
        <f t="shared" si="169"/>
        <v>http://dl.ndl.go.jp/info:ndljp/pid/3359300</v>
      </c>
    </row>
    <row r="1948" spans="1:8" ht="30" customHeight="1" x14ac:dyDescent="0.15">
      <c r="A1948" s="16" t="s">
        <v>1855</v>
      </c>
      <c r="B1948" s="17" t="s">
        <v>3607</v>
      </c>
      <c r="C1948" s="17" t="s">
        <v>273</v>
      </c>
      <c r="D1948" s="25" t="s">
        <v>3572</v>
      </c>
      <c r="E1948" s="19" t="s">
        <v>3595</v>
      </c>
      <c r="F1948" s="19" t="s">
        <v>3608</v>
      </c>
      <c r="G1948" s="5" t="str">
        <f>HYPERLINK("http://jsmh.umin.jp/journal/29-2/113-115.pdf")</f>
        <v>http://jsmh.umin.jp/journal/29-2/113-115.pdf</v>
      </c>
      <c r="H1948" s="43" t="str">
        <f t="shared" si="169"/>
        <v>http://dl.ndl.go.jp/info:ndljp/pid/3359300</v>
      </c>
    </row>
    <row r="1949" spans="1:8" ht="30" customHeight="1" x14ac:dyDescent="0.15">
      <c r="A1949" s="16" t="s">
        <v>1855</v>
      </c>
      <c r="B1949" s="17" t="s">
        <v>3609</v>
      </c>
      <c r="C1949" s="17" t="s">
        <v>2465</v>
      </c>
      <c r="D1949" s="25" t="s">
        <v>3572</v>
      </c>
      <c r="E1949" s="19" t="s">
        <v>3595</v>
      </c>
      <c r="F1949" s="19" t="s">
        <v>3610</v>
      </c>
      <c r="G1949" s="5" t="str">
        <f>HYPERLINK("http://jsmh.umin.jp/journal/29-2/115-117.pdf")</f>
        <v>http://jsmh.umin.jp/journal/29-2/115-117.pdf</v>
      </c>
      <c r="H1949" s="43" t="str">
        <f t="shared" si="169"/>
        <v>http://dl.ndl.go.jp/info:ndljp/pid/3359300</v>
      </c>
    </row>
    <row r="1950" spans="1:8" ht="30" customHeight="1" x14ac:dyDescent="0.15">
      <c r="A1950" s="16" t="s">
        <v>1855</v>
      </c>
      <c r="B1950" s="17" t="s">
        <v>3611</v>
      </c>
      <c r="C1950" s="17" t="s">
        <v>3612</v>
      </c>
      <c r="D1950" s="25" t="s">
        <v>3572</v>
      </c>
      <c r="E1950" s="19" t="s">
        <v>3595</v>
      </c>
      <c r="F1950" s="19" t="s">
        <v>964</v>
      </c>
      <c r="G1950" s="5" t="str">
        <f>HYPERLINK("http://jsmh.umin.jp/journal/29-2/118-119.pdf")</f>
        <v>http://jsmh.umin.jp/journal/29-2/118-119.pdf</v>
      </c>
      <c r="H1950" s="43" t="str">
        <f t="shared" si="169"/>
        <v>http://dl.ndl.go.jp/info:ndljp/pid/3359300</v>
      </c>
    </row>
    <row r="1951" spans="1:8" ht="30" customHeight="1" x14ac:dyDescent="0.15">
      <c r="A1951" s="16" t="s">
        <v>1855</v>
      </c>
      <c r="B1951" s="17" t="s">
        <v>3613</v>
      </c>
      <c r="C1951" s="17" t="s">
        <v>1699</v>
      </c>
      <c r="D1951" s="25" t="s">
        <v>3572</v>
      </c>
      <c r="E1951" s="19" t="s">
        <v>3595</v>
      </c>
      <c r="F1951" s="19" t="s">
        <v>3614</v>
      </c>
      <c r="G1951" s="5" t="str">
        <f>HYPERLINK("http://jsmh.umin.jp/journal/29-2/119-120.pdf")</f>
        <v>http://jsmh.umin.jp/journal/29-2/119-120.pdf</v>
      </c>
      <c r="H1951" s="43" t="str">
        <f t="shared" si="169"/>
        <v>http://dl.ndl.go.jp/info:ndljp/pid/3359300</v>
      </c>
    </row>
    <row r="1952" spans="1:8" ht="30" customHeight="1" x14ac:dyDescent="0.15">
      <c r="A1952" s="16" t="s">
        <v>1855</v>
      </c>
      <c r="B1952" s="17" t="s">
        <v>3615</v>
      </c>
      <c r="C1952" s="17" t="s">
        <v>3616</v>
      </c>
      <c r="D1952" s="25" t="s">
        <v>3572</v>
      </c>
      <c r="E1952" s="19" t="s">
        <v>3595</v>
      </c>
      <c r="F1952" s="19" t="s">
        <v>3617</v>
      </c>
      <c r="G1952" s="5" t="str">
        <f>HYPERLINK("http://jsmh.umin.jp/journal/29-2/121-123.pdf")</f>
        <v>http://jsmh.umin.jp/journal/29-2/121-123.pdf</v>
      </c>
      <c r="H1952" s="43" t="str">
        <f t="shared" si="169"/>
        <v>http://dl.ndl.go.jp/info:ndljp/pid/3359300</v>
      </c>
    </row>
    <row r="1953" spans="1:8" ht="30" customHeight="1" x14ac:dyDescent="0.15">
      <c r="A1953" s="16" t="s">
        <v>1855</v>
      </c>
      <c r="B1953" s="17" t="s">
        <v>3618</v>
      </c>
      <c r="C1953" s="17" t="s">
        <v>2199</v>
      </c>
      <c r="D1953" s="25" t="s">
        <v>3572</v>
      </c>
      <c r="E1953" s="19" t="s">
        <v>3595</v>
      </c>
      <c r="F1953" s="19" t="s">
        <v>2412</v>
      </c>
      <c r="G1953" s="5" t="str">
        <f>HYPERLINK("http://jsmh.umin.jp/journal/29-2/123.pdf")</f>
        <v>http://jsmh.umin.jp/journal/29-2/123.pdf</v>
      </c>
      <c r="H1953" s="43" t="str">
        <f t="shared" si="169"/>
        <v>http://dl.ndl.go.jp/info:ndljp/pid/3359300</v>
      </c>
    </row>
    <row r="1954" spans="1:8" ht="30" customHeight="1" x14ac:dyDescent="0.15">
      <c r="A1954" s="16" t="s">
        <v>1855</v>
      </c>
      <c r="B1954" s="17" t="s">
        <v>3619</v>
      </c>
      <c r="C1954" s="17" t="s">
        <v>1745</v>
      </c>
      <c r="D1954" s="25" t="s">
        <v>3572</v>
      </c>
      <c r="E1954" s="19" t="s">
        <v>3595</v>
      </c>
      <c r="F1954" s="19" t="s">
        <v>3620</v>
      </c>
      <c r="G1954" s="5" t="str">
        <f>HYPERLINK("http://jsmh.umin.jp/journal/29-2/124.pdf")</f>
        <v>http://jsmh.umin.jp/journal/29-2/124.pdf</v>
      </c>
      <c r="H1954" s="43" t="str">
        <f t="shared" si="169"/>
        <v>http://dl.ndl.go.jp/info:ndljp/pid/3359300</v>
      </c>
    </row>
    <row r="1955" spans="1:8" ht="30" customHeight="1" x14ac:dyDescent="0.15">
      <c r="A1955" s="16" t="s">
        <v>1855</v>
      </c>
      <c r="B1955" s="17" t="s">
        <v>3621</v>
      </c>
      <c r="C1955" s="17" t="s">
        <v>3622</v>
      </c>
      <c r="D1955" s="25" t="s">
        <v>3572</v>
      </c>
      <c r="E1955" s="19" t="s">
        <v>3595</v>
      </c>
      <c r="F1955" s="19" t="s">
        <v>3623</v>
      </c>
      <c r="G1955" s="5" t="str">
        <f>HYPERLINK("http://jsmh.umin.jp/journal/29-2/125-126.pdf")</f>
        <v>http://jsmh.umin.jp/journal/29-2/125-126.pdf</v>
      </c>
      <c r="H1955" s="43" t="str">
        <f t="shared" si="169"/>
        <v>http://dl.ndl.go.jp/info:ndljp/pid/3359300</v>
      </c>
    </row>
    <row r="1956" spans="1:8" ht="30" customHeight="1" x14ac:dyDescent="0.15">
      <c r="A1956" s="16" t="s">
        <v>1855</v>
      </c>
      <c r="B1956" s="17" t="s">
        <v>3624</v>
      </c>
      <c r="C1956" s="17" t="s">
        <v>69</v>
      </c>
      <c r="D1956" s="25" t="s">
        <v>3572</v>
      </c>
      <c r="E1956" s="19" t="s">
        <v>3595</v>
      </c>
      <c r="F1956" s="19" t="s">
        <v>3625</v>
      </c>
      <c r="G1956" s="5" t="str">
        <f>HYPERLINK("http://jsmh.umin.jp/journal/29-2/127-129.pdf")</f>
        <v>http://jsmh.umin.jp/journal/29-2/127-129.pdf</v>
      </c>
      <c r="H1956" s="43" t="str">
        <f t="shared" si="169"/>
        <v>http://dl.ndl.go.jp/info:ndljp/pid/3359300</v>
      </c>
    </row>
    <row r="1957" spans="1:8" ht="30" customHeight="1" x14ac:dyDescent="0.15">
      <c r="A1957" s="16" t="s">
        <v>1855</v>
      </c>
      <c r="B1957" s="17" t="s">
        <v>3626</v>
      </c>
      <c r="C1957" s="17" t="s">
        <v>1299</v>
      </c>
      <c r="D1957" s="25" t="s">
        <v>3572</v>
      </c>
      <c r="E1957" s="19" t="s">
        <v>3595</v>
      </c>
      <c r="F1957" s="19" t="s">
        <v>3627</v>
      </c>
      <c r="G1957" s="5" t="str">
        <f>HYPERLINK("http://jsmh.umin.jp/journal/29-2/129-131.pdf")</f>
        <v>http://jsmh.umin.jp/journal/29-2/129-131.pdf</v>
      </c>
      <c r="H1957" s="43" t="str">
        <f t="shared" si="169"/>
        <v>http://dl.ndl.go.jp/info:ndljp/pid/3359300</v>
      </c>
    </row>
    <row r="1958" spans="1:8" ht="30" customHeight="1" x14ac:dyDescent="0.15">
      <c r="A1958" s="16" t="s">
        <v>1855</v>
      </c>
      <c r="B1958" s="17" t="s">
        <v>3628</v>
      </c>
      <c r="C1958" s="17" t="s">
        <v>3024</v>
      </c>
      <c r="D1958" s="25" t="s">
        <v>3572</v>
      </c>
      <c r="E1958" s="19" t="s">
        <v>3595</v>
      </c>
      <c r="F1958" s="19" t="s">
        <v>2217</v>
      </c>
      <c r="G1958" s="5" t="str">
        <f>HYPERLINK("http://jsmh.umin.jp/journal/29-2/132-133.pdf")</f>
        <v>http://jsmh.umin.jp/journal/29-2/132-133.pdf</v>
      </c>
      <c r="H1958" s="43" t="str">
        <f t="shared" si="169"/>
        <v>http://dl.ndl.go.jp/info:ndljp/pid/3359300</v>
      </c>
    </row>
    <row r="1959" spans="1:8" ht="30" customHeight="1" x14ac:dyDescent="0.15">
      <c r="A1959" s="16" t="s">
        <v>1855</v>
      </c>
      <c r="B1959" s="17" t="s">
        <v>3629</v>
      </c>
      <c r="C1959" s="17" t="s">
        <v>3630</v>
      </c>
      <c r="D1959" s="25" t="s">
        <v>3572</v>
      </c>
      <c r="E1959" s="19" t="s">
        <v>3595</v>
      </c>
      <c r="F1959" s="19" t="s">
        <v>3631</v>
      </c>
      <c r="G1959" s="5" t="str">
        <f>HYPERLINK("http://jsmh.umin.jp/journal/29-2/133-135.pdf")</f>
        <v>http://jsmh.umin.jp/journal/29-2/133-135.pdf</v>
      </c>
      <c r="H1959" s="43" t="str">
        <f t="shared" si="169"/>
        <v>http://dl.ndl.go.jp/info:ndljp/pid/3359300</v>
      </c>
    </row>
    <row r="1960" spans="1:8" ht="30" customHeight="1" x14ac:dyDescent="0.15">
      <c r="A1960" s="16" t="s">
        <v>1855</v>
      </c>
      <c r="B1960" s="17" t="s">
        <v>3632</v>
      </c>
      <c r="C1960" s="17" t="s">
        <v>644</v>
      </c>
      <c r="D1960" s="25" t="s">
        <v>3572</v>
      </c>
      <c r="E1960" s="19" t="s">
        <v>3595</v>
      </c>
      <c r="F1960" s="19" t="s">
        <v>1347</v>
      </c>
      <c r="G1960" s="5" t="str">
        <f>HYPERLINK("http://jsmh.umin.jp/journal/29-2/136.pdf")</f>
        <v>http://jsmh.umin.jp/journal/29-2/136.pdf</v>
      </c>
      <c r="H1960" s="43" t="str">
        <f t="shared" si="169"/>
        <v>http://dl.ndl.go.jp/info:ndljp/pid/3359300</v>
      </c>
    </row>
    <row r="1961" spans="1:8" ht="30" customHeight="1" x14ac:dyDescent="0.15">
      <c r="A1961" s="16" t="s">
        <v>1855</v>
      </c>
      <c r="B1961" s="17" t="s">
        <v>3633</v>
      </c>
      <c r="C1961" s="17" t="s">
        <v>2212</v>
      </c>
      <c r="D1961" s="25" t="s">
        <v>3572</v>
      </c>
      <c r="E1961" s="19" t="s">
        <v>3595</v>
      </c>
      <c r="F1961" s="19" t="s">
        <v>1349</v>
      </c>
      <c r="G1961" s="5" t="str">
        <f>HYPERLINK("http://jsmh.umin.jp/journal/29-2/137-138.pdf")</f>
        <v>http://jsmh.umin.jp/journal/29-2/137-138.pdf</v>
      </c>
      <c r="H1961" s="43" t="str">
        <f t="shared" si="169"/>
        <v>http://dl.ndl.go.jp/info:ndljp/pid/3359300</v>
      </c>
    </row>
    <row r="1962" spans="1:8" ht="30" customHeight="1" x14ac:dyDescent="0.15">
      <c r="A1962" s="16" t="s">
        <v>1855</v>
      </c>
      <c r="B1962" s="17" t="s">
        <v>3634</v>
      </c>
      <c r="C1962" s="17" t="s">
        <v>3635</v>
      </c>
      <c r="D1962" s="25" t="s">
        <v>3572</v>
      </c>
      <c r="E1962" s="19" t="s">
        <v>3595</v>
      </c>
      <c r="F1962" s="19" t="s">
        <v>1356</v>
      </c>
      <c r="G1962" s="5" t="str">
        <f>HYPERLINK("http://jsmh.umin.jp/journal/29-2/139-140.pdf")</f>
        <v>http://jsmh.umin.jp/journal/29-2/139-140.pdf</v>
      </c>
      <c r="H1962" s="43" t="str">
        <f t="shared" si="169"/>
        <v>http://dl.ndl.go.jp/info:ndljp/pid/3359300</v>
      </c>
    </row>
    <row r="1963" spans="1:8" ht="30" customHeight="1" x14ac:dyDescent="0.15">
      <c r="A1963" s="16" t="s">
        <v>1855</v>
      </c>
      <c r="B1963" s="17" t="s">
        <v>3636</v>
      </c>
      <c r="C1963" s="17" t="s">
        <v>3482</v>
      </c>
      <c r="D1963" s="25" t="s">
        <v>3572</v>
      </c>
      <c r="E1963" s="19" t="s">
        <v>3595</v>
      </c>
      <c r="F1963" s="19" t="s">
        <v>2234</v>
      </c>
      <c r="G1963" s="5" t="str">
        <f>HYPERLINK("http://jsmh.umin.jp/journal/29-2/141-143.pdf")</f>
        <v>http://jsmh.umin.jp/journal/29-2/141-143.pdf</v>
      </c>
      <c r="H1963" s="43" t="str">
        <f t="shared" si="169"/>
        <v>http://dl.ndl.go.jp/info:ndljp/pid/3359300</v>
      </c>
    </row>
    <row r="1964" spans="1:8" ht="30" customHeight="1" x14ac:dyDescent="0.15">
      <c r="A1964" s="16" t="s">
        <v>1855</v>
      </c>
      <c r="B1964" s="17" t="s">
        <v>3637</v>
      </c>
      <c r="C1964" s="17" t="s">
        <v>627</v>
      </c>
      <c r="D1964" s="25" t="s">
        <v>3572</v>
      </c>
      <c r="E1964" s="19" t="s">
        <v>3595</v>
      </c>
      <c r="F1964" s="19" t="s">
        <v>3638</v>
      </c>
      <c r="G1964" s="5" t="str">
        <f>HYPERLINK("http://jsmh.umin.jp/journal/29-2/143-145.pdf")</f>
        <v>http://jsmh.umin.jp/journal/29-2/143-145.pdf</v>
      </c>
      <c r="H1964" s="43" t="str">
        <f t="shared" si="169"/>
        <v>http://dl.ndl.go.jp/info:ndljp/pid/3359300</v>
      </c>
    </row>
    <row r="1965" spans="1:8" ht="30" customHeight="1" x14ac:dyDescent="0.15">
      <c r="A1965" s="16" t="s">
        <v>1855</v>
      </c>
      <c r="B1965" s="17" t="s">
        <v>3639</v>
      </c>
      <c r="C1965" s="17" t="s">
        <v>10138</v>
      </c>
      <c r="D1965" s="25" t="s">
        <v>3572</v>
      </c>
      <c r="E1965" s="19" t="s">
        <v>3595</v>
      </c>
      <c r="F1965" s="19" t="s">
        <v>3640</v>
      </c>
      <c r="G1965" s="5" t="str">
        <f>HYPERLINK("http://jsmh.umin.jp/journal/29-2/146-148.pdf")</f>
        <v>http://jsmh.umin.jp/journal/29-2/146-148.pdf</v>
      </c>
      <c r="H1965" s="43" t="str">
        <f t="shared" si="169"/>
        <v>http://dl.ndl.go.jp/info:ndljp/pid/3359300</v>
      </c>
    </row>
    <row r="1966" spans="1:8" ht="30" customHeight="1" x14ac:dyDescent="0.15">
      <c r="A1966" s="16" t="s">
        <v>1855</v>
      </c>
      <c r="B1966" s="17" t="s">
        <v>3641</v>
      </c>
      <c r="C1966" s="17" t="s">
        <v>3642</v>
      </c>
      <c r="D1966" s="25" t="s">
        <v>3572</v>
      </c>
      <c r="E1966" s="19" t="s">
        <v>3595</v>
      </c>
      <c r="F1966" s="19" t="s">
        <v>2240</v>
      </c>
      <c r="G1966" s="5" t="str">
        <f>HYPERLINK("http://jsmh.umin.jp/journal/29-2/148-149.pdf")</f>
        <v>http://jsmh.umin.jp/journal/29-2/148-149.pdf</v>
      </c>
      <c r="H1966" s="43" t="str">
        <f t="shared" si="169"/>
        <v>http://dl.ndl.go.jp/info:ndljp/pid/3359300</v>
      </c>
    </row>
    <row r="1967" spans="1:8" ht="30" customHeight="1" x14ac:dyDescent="0.15">
      <c r="A1967" s="16" t="s">
        <v>1855</v>
      </c>
      <c r="B1967" s="17" t="s">
        <v>3643</v>
      </c>
      <c r="C1967" s="17" t="s">
        <v>3644</v>
      </c>
      <c r="D1967" s="25" t="s">
        <v>3572</v>
      </c>
      <c r="E1967" s="19" t="s">
        <v>3595</v>
      </c>
      <c r="F1967" s="19" t="s">
        <v>2764</v>
      </c>
      <c r="G1967" s="5" t="str">
        <f>HYPERLINK("http://jsmh.umin.jp/journal/29-2/149-151.pdf")</f>
        <v>http://jsmh.umin.jp/journal/29-2/149-151.pdf</v>
      </c>
      <c r="H1967" s="43" t="str">
        <f t="shared" si="169"/>
        <v>http://dl.ndl.go.jp/info:ndljp/pid/3359300</v>
      </c>
    </row>
    <row r="1968" spans="1:8" ht="30" customHeight="1" x14ac:dyDescent="0.15">
      <c r="A1968" s="16" t="s">
        <v>1855</v>
      </c>
      <c r="B1968" s="17" t="s">
        <v>3645</v>
      </c>
      <c r="C1968" s="17" t="s">
        <v>3646</v>
      </c>
      <c r="D1968" s="25" t="s">
        <v>3572</v>
      </c>
      <c r="E1968" s="19" t="s">
        <v>3595</v>
      </c>
      <c r="F1968" s="19" t="s">
        <v>2766</v>
      </c>
      <c r="G1968" s="5" t="str">
        <f>HYPERLINK("http://jsmh.umin.jp/journal/29-2/152-154.pdf")</f>
        <v>http://jsmh.umin.jp/journal/29-2/152-154.pdf</v>
      </c>
      <c r="H1968" s="43" t="str">
        <f t="shared" si="169"/>
        <v>http://dl.ndl.go.jp/info:ndljp/pid/3359300</v>
      </c>
    </row>
    <row r="1969" spans="1:8" ht="30" customHeight="1" x14ac:dyDescent="0.15">
      <c r="A1969" s="16" t="s">
        <v>1855</v>
      </c>
      <c r="B1969" s="17" t="s">
        <v>3647</v>
      </c>
      <c r="C1969" s="17" t="s">
        <v>1136</v>
      </c>
      <c r="D1969" s="25" t="s">
        <v>3572</v>
      </c>
      <c r="E1969" s="19" t="s">
        <v>3595</v>
      </c>
      <c r="F1969" s="19" t="s">
        <v>3648</v>
      </c>
      <c r="G1969" s="5" t="str">
        <f>HYPERLINK("http://jsmh.umin.jp/journal/29-2/154-155.pdf")</f>
        <v>http://jsmh.umin.jp/journal/29-2/154-155.pdf</v>
      </c>
      <c r="H1969" s="43" t="str">
        <f t="shared" si="169"/>
        <v>http://dl.ndl.go.jp/info:ndljp/pid/3359300</v>
      </c>
    </row>
    <row r="1970" spans="1:8" ht="30" customHeight="1" x14ac:dyDescent="0.15">
      <c r="A1970" s="16" t="s">
        <v>1855</v>
      </c>
      <c r="B1970" s="17" t="s">
        <v>3649</v>
      </c>
      <c r="C1970" s="17" t="s">
        <v>3650</v>
      </c>
      <c r="D1970" s="25" t="s">
        <v>3572</v>
      </c>
      <c r="E1970" s="19" t="s">
        <v>3595</v>
      </c>
      <c r="F1970" s="19" t="s">
        <v>3651</v>
      </c>
      <c r="G1970" s="5" t="str">
        <f>HYPERLINK("http://jsmh.umin.jp/journal/29-2/155-157.pdf")</f>
        <v>http://jsmh.umin.jp/journal/29-2/155-157.pdf</v>
      </c>
      <c r="H1970" s="43" t="str">
        <f t="shared" si="169"/>
        <v>http://dl.ndl.go.jp/info:ndljp/pid/3359300</v>
      </c>
    </row>
    <row r="1971" spans="1:8" ht="30" customHeight="1" x14ac:dyDescent="0.15">
      <c r="A1971" s="16" t="s">
        <v>1855</v>
      </c>
      <c r="B1971" s="17" t="s">
        <v>3652</v>
      </c>
      <c r="C1971" s="17" t="s">
        <v>3135</v>
      </c>
      <c r="D1971" s="25" t="s">
        <v>3572</v>
      </c>
      <c r="E1971" s="19" t="s">
        <v>3595</v>
      </c>
      <c r="F1971" s="19" t="s">
        <v>3653</v>
      </c>
      <c r="G1971" s="5" t="str">
        <f>HYPERLINK("http://jsmh.umin.jp/journal/29-2/157-159.pdf")</f>
        <v>http://jsmh.umin.jp/journal/29-2/157-159.pdf</v>
      </c>
      <c r="H1971" s="43" t="str">
        <f t="shared" si="169"/>
        <v>http://dl.ndl.go.jp/info:ndljp/pid/3359300</v>
      </c>
    </row>
    <row r="1972" spans="1:8" ht="30" customHeight="1" x14ac:dyDescent="0.15">
      <c r="A1972" s="16" t="s">
        <v>1855</v>
      </c>
      <c r="B1972" s="17" t="s">
        <v>3654</v>
      </c>
      <c r="C1972" s="17" t="s">
        <v>3655</v>
      </c>
      <c r="D1972" s="25" t="s">
        <v>3572</v>
      </c>
      <c r="E1972" s="19" t="s">
        <v>3595</v>
      </c>
      <c r="F1972" s="19" t="s">
        <v>3656</v>
      </c>
      <c r="G1972" s="5" t="str">
        <f>HYPERLINK("http://jsmh.umin.jp/journal/29-2/160-162.pdf")</f>
        <v>http://jsmh.umin.jp/journal/29-2/160-162.pdf</v>
      </c>
      <c r="H1972" s="43" t="str">
        <f t="shared" si="169"/>
        <v>http://dl.ndl.go.jp/info:ndljp/pid/3359300</v>
      </c>
    </row>
    <row r="1973" spans="1:8" ht="30" customHeight="1" x14ac:dyDescent="0.15">
      <c r="A1973" s="16" t="s">
        <v>1855</v>
      </c>
      <c r="B1973" s="17" t="s">
        <v>3657</v>
      </c>
      <c r="C1973" s="17" t="s">
        <v>2233</v>
      </c>
      <c r="D1973" s="25" t="s">
        <v>3572</v>
      </c>
      <c r="E1973" s="19" t="s">
        <v>3595</v>
      </c>
      <c r="F1973" s="19" t="s">
        <v>3658</v>
      </c>
      <c r="G1973" s="5" t="str">
        <f>HYPERLINK("http://jsmh.umin.jp/journal/29-2/162-163.pdf")</f>
        <v>http://jsmh.umin.jp/journal/29-2/162-163.pdf</v>
      </c>
      <c r="H1973" s="43" t="str">
        <f t="shared" ref="H1973:H2002" si="170">HYPERLINK("http://dl.ndl.go.jp/info:ndljp/pid/3359300")</f>
        <v>http://dl.ndl.go.jp/info:ndljp/pid/3359300</v>
      </c>
    </row>
    <row r="1974" spans="1:8" ht="30" customHeight="1" x14ac:dyDescent="0.15">
      <c r="A1974" s="16" t="s">
        <v>1855</v>
      </c>
      <c r="B1974" s="17" t="s">
        <v>3659</v>
      </c>
      <c r="C1974" s="17" t="s">
        <v>3447</v>
      </c>
      <c r="D1974" s="25" t="s">
        <v>3572</v>
      </c>
      <c r="E1974" s="19" t="s">
        <v>3595</v>
      </c>
      <c r="F1974" s="19" t="s">
        <v>3410</v>
      </c>
      <c r="G1974" s="5" t="str">
        <f>HYPERLINK("http://jsmh.umin.jp/journal/29-2/164-166.pdf")</f>
        <v>http://jsmh.umin.jp/journal/29-2/164-166.pdf</v>
      </c>
      <c r="H1974" s="43" t="str">
        <f t="shared" si="170"/>
        <v>http://dl.ndl.go.jp/info:ndljp/pid/3359300</v>
      </c>
    </row>
    <row r="1975" spans="1:8" ht="30" customHeight="1" x14ac:dyDescent="0.15">
      <c r="A1975" s="16" t="s">
        <v>1855</v>
      </c>
      <c r="B1975" s="17" t="s">
        <v>3660</v>
      </c>
      <c r="C1975" s="17" t="s">
        <v>2592</v>
      </c>
      <c r="D1975" s="25" t="s">
        <v>3572</v>
      </c>
      <c r="E1975" s="19" t="s">
        <v>3595</v>
      </c>
      <c r="F1975" s="19" t="s">
        <v>3413</v>
      </c>
      <c r="G1975" s="5" t="str">
        <f>HYPERLINK("http://jsmh.umin.jp/journal/29-2/166-168.pdf")</f>
        <v>http://jsmh.umin.jp/journal/29-2/166-168.pdf</v>
      </c>
      <c r="H1975" s="43" t="str">
        <f t="shared" si="170"/>
        <v>http://dl.ndl.go.jp/info:ndljp/pid/3359300</v>
      </c>
    </row>
    <row r="1976" spans="1:8" ht="30" customHeight="1" x14ac:dyDescent="0.15">
      <c r="A1976" s="16" t="s">
        <v>1855</v>
      </c>
      <c r="B1976" s="17" t="s">
        <v>3661</v>
      </c>
      <c r="C1976" s="17" t="s">
        <v>3409</v>
      </c>
      <c r="D1976" s="25" t="s">
        <v>3572</v>
      </c>
      <c r="E1976" s="19" t="s">
        <v>3595</v>
      </c>
      <c r="F1976" s="19" t="s">
        <v>3662</v>
      </c>
      <c r="G1976" s="5" t="str">
        <f>HYPERLINK("http://jsmh.umin.jp/journal/29-2/169-171.pdf")</f>
        <v>http://jsmh.umin.jp/journal/29-2/169-171.pdf</v>
      </c>
      <c r="H1976" s="43" t="str">
        <f t="shared" si="170"/>
        <v>http://dl.ndl.go.jp/info:ndljp/pid/3359300</v>
      </c>
    </row>
    <row r="1977" spans="1:8" ht="30" customHeight="1" x14ac:dyDescent="0.15">
      <c r="A1977" s="16" t="s">
        <v>1855</v>
      </c>
      <c r="B1977" s="17" t="s">
        <v>3663</v>
      </c>
      <c r="C1977" s="17" t="s">
        <v>3412</v>
      </c>
      <c r="D1977" s="25" t="s">
        <v>3572</v>
      </c>
      <c r="E1977" s="19" t="s">
        <v>3595</v>
      </c>
      <c r="F1977" s="19" t="s">
        <v>3418</v>
      </c>
      <c r="G1977" s="5" t="str">
        <f>HYPERLINK("http://jsmh.umin.jp/journal/29-2/171-173.pdf")</f>
        <v>http://jsmh.umin.jp/journal/29-2/171-173.pdf</v>
      </c>
      <c r="H1977" s="43" t="str">
        <f t="shared" si="170"/>
        <v>http://dl.ndl.go.jp/info:ndljp/pid/3359300</v>
      </c>
    </row>
    <row r="1978" spans="1:8" ht="30" customHeight="1" x14ac:dyDescent="0.15">
      <c r="A1978" s="16" t="s">
        <v>1855</v>
      </c>
      <c r="B1978" s="17" t="s">
        <v>3664</v>
      </c>
      <c r="C1978" s="17" t="s">
        <v>3432</v>
      </c>
      <c r="D1978" s="25" t="s">
        <v>3572</v>
      </c>
      <c r="E1978" s="19" t="s">
        <v>3595</v>
      </c>
      <c r="F1978" s="19" t="s">
        <v>2922</v>
      </c>
      <c r="G1978" s="5" t="str">
        <f>HYPERLINK("http://jsmh.umin.jp/journal/29-2/174-175.pdf")</f>
        <v>http://jsmh.umin.jp/journal/29-2/174-175.pdf</v>
      </c>
      <c r="H1978" s="43" t="str">
        <f t="shared" si="170"/>
        <v>http://dl.ndl.go.jp/info:ndljp/pid/3359300</v>
      </c>
    </row>
    <row r="1979" spans="1:8" ht="30" customHeight="1" x14ac:dyDescent="0.15">
      <c r="A1979" s="16" t="s">
        <v>1855</v>
      </c>
      <c r="B1979" s="17" t="s">
        <v>3665</v>
      </c>
      <c r="C1979" s="17" t="s">
        <v>841</v>
      </c>
      <c r="D1979" s="25" t="s">
        <v>3572</v>
      </c>
      <c r="E1979" s="19" t="s">
        <v>3595</v>
      </c>
      <c r="F1979" s="19" t="s">
        <v>3421</v>
      </c>
      <c r="G1979" s="5" t="str">
        <f>HYPERLINK("http://jsmh.umin.jp/journal/29-2/176-178.pdf")</f>
        <v>http://jsmh.umin.jp/journal/29-2/176-178.pdf</v>
      </c>
      <c r="H1979" s="43" t="str">
        <f t="shared" si="170"/>
        <v>http://dl.ndl.go.jp/info:ndljp/pid/3359300</v>
      </c>
    </row>
    <row r="1980" spans="1:8" ht="30" customHeight="1" x14ac:dyDescent="0.15">
      <c r="A1980" s="16" t="s">
        <v>1855</v>
      </c>
      <c r="B1980" s="17" t="s">
        <v>3666</v>
      </c>
      <c r="C1980" s="17" t="s">
        <v>2485</v>
      </c>
      <c r="D1980" s="25" t="s">
        <v>3572</v>
      </c>
      <c r="E1980" s="19" t="s">
        <v>3595</v>
      </c>
      <c r="F1980" s="19" t="s">
        <v>3667</v>
      </c>
      <c r="G1980" s="5" t="str">
        <f>HYPERLINK("http://jsmh.umin.jp/journal/29-2/178-179.pdf")</f>
        <v>http://jsmh.umin.jp/journal/29-2/178-179.pdf</v>
      </c>
      <c r="H1980" s="43" t="str">
        <f t="shared" si="170"/>
        <v>http://dl.ndl.go.jp/info:ndljp/pid/3359300</v>
      </c>
    </row>
    <row r="1981" spans="1:8" ht="30" customHeight="1" x14ac:dyDescent="0.15">
      <c r="A1981" s="16" t="s">
        <v>1855</v>
      </c>
      <c r="B1981" s="17" t="s">
        <v>3668</v>
      </c>
      <c r="C1981" s="17" t="s">
        <v>3172</v>
      </c>
      <c r="D1981" s="25" t="s">
        <v>3572</v>
      </c>
      <c r="E1981" s="19" t="s">
        <v>3595</v>
      </c>
      <c r="F1981" s="19" t="s">
        <v>1713</v>
      </c>
      <c r="G1981" s="5" t="str">
        <f>HYPERLINK("http://jsmh.umin.jp/journal/29-2/180-181.pdf")</f>
        <v>http://jsmh.umin.jp/journal/29-2/180-181.pdf</v>
      </c>
      <c r="H1981" s="43" t="str">
        <f t="shared" si="170"/>
        <v>http://dl.ndl.go.jp/info:ndljp/pid/3359300</v>
      </c>
    </row>
    <row r="1982" spans="1:8" ht="30" customHeight="1" x14ac:dyDescent="0.15">
      <c r="A1982" s="16" t="s">
        <v>1855</v>
      </c>
      <c r="B1982" s="17" t="s">
        <v>3669</v>
      </c>
      <c r="C1982" s="17" t="s">
        <v>3301</v>
      </c>
      <c r="D1982" s="25" t="s">
        <v>3572</v>
      </c>
      <c r="E1982" s="19" t="s">
        <v>3595</v>
      </c>
      <c r="F1982" s="19" t="s">
        <v>3670</v>
      </c>
      <c r="G1982" s="5" t="str">
        <f>HYPERLINK("http://jsmh.umin.jp/journal/29-2/182-184.pdf")</f>
        <v>http://jsmh.umin.jp/journal/29-2/182-184.pdf</v>
      </c>
      <c r="H1982" s="43" t="str">
        <f t="shared" si="170"/>
        <v>http://dl.ndl.go.jp/info:ndljp/pid/3359300</v>
      </c>
    </row>
    <row r="1983" spans="1:8" ht="30" customHeight="1" x14ac:dyDescent="0.15">
      <c r="A1983" s="16" t="s">
        <v>1855</v>
      </c>
      <c r="B1983" s="17" t="s">
        <v>3671</v>
      </c>
      <c r="C1983" s="17" t="s">
        <v>3120</v>
      </c>
      <c r="D1983" s="25" t="s">
        <v>3572</v>
      </c>
      <c r="E1983" s="19" t="s">
        <v>3595</v>
      </c>
      <c r="F1983" s="19" t="s">
        <v>3672</v>
      </c>
      <c r="G1983" s="5" t="str">
        <f>HYPERLINK("http://jsmh.umin.jp/journal/29-2/184-186.pdf")</f>
        <v>http://jsmh.umin.jp/journal/29-2/184-186.pdf</v>
      </c>
      <c r="H1983" s="43" t="str">
        <f t="shared" si="170"/>
        <v>http://dl.ndl.go.jp/info:ndljp/pid/3359300</v>
      </c>
    </row>
    <row r="1984" spans="1:8" ht="30" customHeight="1" x14ac:dyDescent="0.15">
      <c r="A1984" s="16" t="s">
        <v>1855</v>
      </c>
      <c r="B1984" s="17" t="s">
        <v>3673</v>
      </c>
      <c r="C1984" s="17" t="s">
        <v>485</v>
      </c>
      <c r="D1984" s="25" t="s">
        <v>3572</v>
      </c>
      <c r="E1984" s="19" t="s">
        <v>3595</v>
      </c>
      <c r="F1984" s="19" t="s">
        <v>3674</v>
      </c>
      <c r="G1984" s="5" t="str">
        <f>HYPERLINK("http://jsmh.umin.jp/journal/29-2/187.pdf")</f>
        <v>http://jsmh.umin.jp/journal/29-2/187.pdf</v>
      </c>
      <c r="H1984" s="43" t="str">
        <f t="shared" si="170"/>
        <v>http://dl.ndl.go.jp/info:ndljp/pid/3359300</v>
      </c>
    </row>
    <row r="1985" spans="1:8" ht="30" customHeight="1" x14ac:dyDescent="0.15">
      <c r="A1985" s="16" t="s">
        <v>1855</v>
      </c>
      <c r="B1985" s="17" t="s">
        <v>3675</v>
      </c>
      <c r="C1985" s="17" t="s">
        <v>1338</v>
      </c>
      <c r="D1985" s="25" t="s">
        <v>3572</v>
      </c>
      <c r="E1985" s="19" t="s">
        <v>3595</v>
      </c>
      <c r="F1985" s="19" t="s">
        <v>2797</v>
      </c>
      <c r="G1985" s="5" t="str">
        <f>HYPERLINK("http://jsmh.umin.jp/journal/29-2/188-190.pdf")</f>
        <v>http://jsmh.umin.jp/journal/29-2/188-190.pdf</v>
      </c>
      <c r="H1985" s="43" t="str">
        <f t="shared" si="170"/>
        <v>http://dl.ndl.go.jp/info:ndljp/pid/3359300</v>
      </c>
    </row>
    <row r="1986" spans="1:8" ht="30" customHeight="1" x14ac:dyDescent="0.15">
      <c r="A1986" s="16" t="s">
        <v>1855</v>
      </c>
      <c r="B1986" s="17" t="s">
        <v>3676</v>
      </c>
      <c r="C1986" s="17" t="s">
        <v>3677</v>
      </c>
      <c r="D1986" s="25" t="s">
        <v>3572</v>
      </c>
      <c r="E1986" s="19" t="s">
        <v>3595</v>
      </c>
      <c r="F1986" s="19" t="s">
        <v>2582</v>
      </c>
      <c r="G1986" s="5" t="str">
        <f>HYPERLINK("http://jsmh.umin.jp/journal/29-2/190-192.pdf")</f>
        <v>http://jsmh.umin.jp/journal/29-2/190-192.pdf</v>
      </c>
      <c r="H1986" s="43" t="str">
        <f t="shared" si="170"/>
        <v>http://dl.ndl.go.jp/info:ndljp/pid/3359300</v>
      </c>
    </row>
    <row r="1987" spans="1:8" ht="30" customHeight="1" x14ac:dyDescent="0.15">
      <c r="A1987" s="16" t="s">
        <v>1855</v>
      </c>
      <c r="B1987" s="17" t="s">
        <v>3678</v>
      </c>
      <c r="C1987" s="17" t="s">
        <v>2553</v>
      </c>
      <c r="D1987" s="25" t="s">
        <v>3572</v>
      </c>
      <c r="E1987" s="19" t="s">
        <v>3595</v>
      </c>
      <c r="F1987" s="19" t="s">
        <v>3433</v>
      </c>
      <c r="G1987" s="5" t="str">
        <f>HYPERLINK("http://jsmh.umin.jp/journal/29-2/192-194.pdf")</f>
        <v>http://jsmh.umin.jp/journal/29-2/192-194.pdf</v>
      </c>
      <c r="H1987" s="43" t="str">
        <f t="shared" si="170"/>
        <v>http://dl.ndl.go.jp/info:ndljp/pid/3359300</v>
      </c>
    </row>
    <row r="1988" spans="1:8" ht="30" customHeight="1" x14ac:dyDescent="0.15">
      <c r="A1988" s="16" t="s">
        <v>1855</v>
      </c>
      <c r="B1988" s="17" t="s">
        <v>3679</v>
      </c>
      <c r="C1988" s="17" t="s">
        <v>3470</v>
      </c>
      <c r="D1988" s="25" t="s">
        <v>3572</v>
      </c>
      <c r="E1988" s="19" t="s">
        <v>3595</v>
      </c>
      <c r="F1988" s="19" t="s">
        <v>1734</v>
      </c>
      <c r="G1988" s="5" t="str">
        <f>HYPERLINK("http://jsmh.umin.jp/journal/29-2/195-196.pdf")</f>
        <v>http://jsmh.umin.jp/journal/29-2/195-196.pdf</v>
      </c>
      <c r="H1988" s="43" t="str">
        <f t="shared" si="170"/>
        <v>http://dl.ndl.go.jp/info:ndljp/pid/3359300</v>
      </c>
    </row>
    <row r="1989" spans="1:8" ht="30" customHeight="1" x14ac:dyDescent="0.15">
      <c r="A1989" s="16" t="s">
        <v>1855</v>
      </c>
      <c r="B1989" s="17" t="s">
        <v>3680</v>
      </c>
      <c r="C1989" s="17" t="s">
        <v>2881</v>
      </c>
      <c r="D1989" s="25" t="s">
        <v>3572</v>
      </c>
      <c r="E1989" s="19" t="s">
        <v>3595</v>
      </c>
      <c r="F1989" s="19" t="s">
        <v>3436</v>
      </c>
      <c r="G1989" s="5" t="str">
        <f>HYPERLINK("http://jsmh.umin.jp/journal/29-2/196-198.pdf")</f>
        <v>http://jsmh.umin.jp/journal/29-2/196-198.pdf</v>
      </c>
      <c r="H1989" s="43" t="str">
        <f t="shared" si="170"/>
        <v>http://dl.ndl.go.jp/info:ndljp/pid/3359300</v>
      </c>
    </row>
    <row r="1990" spans="1:8" ht="30" customHeight="1" x14ac:dyDescent="0.15">
      <c r="A1990" s="16" t="s">
        <v>1855</v>
      </c>
      <c r="B1990" s="17" t="s">
        <v>3681</v>
      </c>
      <c r="C1990" s="17" t="s">
        <v>790</v>
      </c>
      <c r="D1990" s="25" t="s">
        <v>3572</v>
      </c>
      <c r="E1990" s="19" t="s">
        <v>3595</v>
      </c>
      <c r="F1990" s="19" t="s">
        <v>1740</v>
      </c>
      <c r="G1990" s="5" t="str">
        <f>HYPERLINK("http://jsmh.umin.jp/journal/29-2/198-199.pdf")</f>
        <v>http://jsmh.umin.jp/journal/29-2/198-199.pdf</v>
      </c>
      <c r="H1990" s="43" t="str">
        <f t="shared" si="170"/>
        <v>http://dl.ndl.go.jp/info:ndljp/pid/3359300</v>
      </c>
    </row>
    <row r="1991" spans="1:8" ht="30" customHeight="1" x14ac:dyDescent="0.15">
      <c r="A1991" s="16" t="s">
        <v>1855</v>
      </c>
      <c r="B1991" s="17" t="s">
        <v>10139</v>
      </c>
      <c r="C1991" s="17" t="s">
        <v>10140</v>
      </c>
      <c r="D1991" s="25" t="s">
        <v>3572</v>
      </c>
      <c r="E1991" s="19" t="s">
        <v>3595</v>
      </c>
      <c r="F1991" s="19" t="s">
        <v>3682</v>
      </c>
      <c r="G1991" s="5" t="str">
        <f>HYPERLINK("http://jsmh.umin.jp/journal/29-2/200-202.pdf")</f>
        <v>http://jsmh.umin.jp/journal/29-2/200-202.pdf</v>
      </c>
      <c r="H1991" s="43" t="str">
        <f t="shared" si="170"/>
        <v>http://dl.ndl.go.jp/info:ndljp/pid/3359300</v>
      </c>
    </row>
    <row r="1992" spans="1:8" ht="30" customHeight="1" x14ac:dyDescent="0.15">
      <c r="A1992" s="16" t="s">
        <v>1855</v>
      </c>
      <c r="B1992" s="17" t="s">
        <v>3683</v>
      </c>
      <c r="C1992" s="17" t="s">
        <v>3469</v>
      </c>
      <c r="D1992" s="25" t="s">
        <v>3572</v>
      </c>
      <c r="E1992" s="19" t="s">
        <v>3595</v>
      </c>
      <c r="F1992" s="19" t="s">
        <v>2810</v>
      </c>
      <c r="G1992" s="5" t="str">
        <f>HYPERLINK("http://jsmh.umin.jp/journal/29-2/202-204.pdf")</f>
        <v>http://jsmh.umin.jp/journal/29-2/202-204.pdf</v>
      </c>
      <c r="H1992" s="43" t="str">
        <f t="shared" si="170"/>
        <v>http://dl.ndl.go.jp/info:ndljp/pid/3359300</v>
      </c>
    </row>
    <row r="1993" spans="1:8" ht="30" customHeight="1" x14ac:dyDescent="0.15">
      <c r="A1993" s="16" t="s">
        <v>1855</v>
      </c>
      <c r="B1993" s="17" t="s">
        <v>3684</v>
      </c>
      <c r="C1993" s="17" t="s">
        <v>838</v>
      </c>
      <c r="D1993" s="25" t="s">
        <v>3572</v>
      </c>
      <c r="E1993" s="19" t="s">
        <v>3595</v>
      </c>
      <c r="F1993" s="19" t="s">
        <v>2068</v>
      </c>
      <c r="G1993" s="5" t="str">
        <f>HYPERLINK("http://jsmh.umin.jp/journal/29-2/205-206.pdf")</f>
        <v>http://jsmh.umin.jp/journal/29-2/205-206.pdf</v>
      </c>
      <c r="H1993" s="43" t="str">
        <f t="shared" si="170"/>
        <v>http://dl.ndl.go.jp/info:ndljp/pid/3359300</v>
      </c>
    </row>
    <row r="1994" spans="1:8" ht="30" customHeight="1" x14ac:dyDescent="0.15">
      <c r="A1994" s="16" t="s">
        <v>1855</v>
      </c>
      <c r="B1994" s="17" t="s">
        <v>3685</v>
      </c>
      <c r="C1994" s="17" t="s">
        <v>2937</v>
      </c>
      <c r="D1994" s="25" t="s">
        <v>3572</v>
      </c>
      <c r="E1994" s="19" t="s">
        <v>3595</v>
      </c>
      <c r="F1994" s="19" t="s">
        <v>3686</v>
      </c>
      <c r="G1994" s="5" t="str">
        <f>HYPERLINK("http://jsmh.umin.jp/journal/29-2/207-209.pdf")</f>
        <v>http://jsmh.umin.jp/journal/29-2/207-209.pdf</v>
      </c>
      <c r="H1994" s="43" t="str">
        <f t="shared" si="170"/>
        <v>http://dl.ndl.go.jp/info:ndljp/pid/3359300</v>
      </c>
    </row>
    <row r="1995" spans="1:8" ht="30" customHeight="1" x14ac:dyDescent="0.15">
      <c r="A1995" s="16" t="s">
        <v>1855</v>
      </c>
      <c r="B1995" s="17" t="s">
        <v>3687</v>
      </c>
      <c r="C1995" s="17" t="s">
        <v>444</v>
      </c>
      <c r="D1995" s="25" t="s">
        <v>3572</v>
      </c>
      <c r="E1995" s="19" t="s">
        <v>3595</v>
      </c>
      <c r="F1995" s="19" t="s">
        <v>2600</v>
      </c>
      <c r="G1995" s="5" t="str">
        <f>HYPERLINK("http://jsmh.umin.jp/journal/29-2/209-211.pdf")</f>
        <v>http://jsmh.umin.jp/journal/29-2/209-211.pdf</v>
      </c>
      <c r="H1995" s="43" t="str">
        <f t="shared" si="170"/>
        <v>http://dl.ndl.go.jp/info:ndljp/pid/3359300</v>
      </c>
    </row>
    <row r="1996" spans="1:8" ht="30" customHeight="1" x14ac:dyDescent="0.15">
      <c r="A1996" s="16" t="s">
        <v>1855</v>
      </c>
      <c r="B1996" s="17" t="s">
        <v>3688</v>
      </c>
      <c r="C1996" s="17" t="s">
        <v>3322</v>
      </c>
      <c r="D1996" s="25" t="s">
        <v>3572</v>
      </c>
      <c r="E1996" s="19" t="s">
        <v>3595</v>
      </c>
      <c r="F1996" s="19" t="s">
        <v>3689</v>
      </c>
      <c r="G1996" s="5" t="str">
        <f>HYPERLINK("http://jsmh.umin.jp/journal/29-2/212-214.pdf")</f>
        <v>http://jsmh.umin.jp/journal/29-2/212-214.pdf</v>
      </c>
      <c r="H1996" s="43" t="str">
        <f t="shared" si="170"/>
        <v>http://dl.ndl.go.jp/info:ndljp/pid/3359300</v>
      </c>
    </row>
    <row r="1997" spans="1:8" ht="30" customHeight="1" x14ac:dyDescent="0.15">
      <c r="A1997" s="16" t="s">
        <v>1855</v>
      </c>
      <c r="B1997" s="17" t="s">
        <v>3690</v>
      </c>
      <c r="C1997" s="17" t="s">
        <v>66</v>
      </c>
      <c r="D1997" s="25" t="s">
        <v>3572</v>
      </c>
      <c r="E1997" s="19" t="s">
        <v>3595</v>
      </c>
      <c r="F1997" s="19" t="s">
        <v>3691</v>
      </c>
      <c r="G1997" s="5" t="str">
        <f>HYPERLINK("http://jsmh.umin.jp/journal/29-2/214-216.pdf")</f>
        <v>http://jsmh.umin.jp/journal/29-2/214-216.pdf</v>
      </c>
      <c r="H1997" s="43" t="str">
        <f t="shared" si="170"/>
        <v>http://dl.ndl.go.jp/info:ndljp/pid/3359300</v>
      </c>
    </row>
    <row r="1998" spans="1:8" ht="30" customHeight="1" x14ac:dyDescent="0.15">
      <c r="A1998" s="16" t="s">
        <v>1855</v>
      </c>
      <c r="B1998" s="17" t="s">
        <v>3692</v>
      </c>
      <c r="C1998" s="17" t="s">
        <v>479</v>
      </c>
      <c r="D1998" s="25" t="s">
        <v>3572</v>
      </c>
      <c r="E1998" s="19" t="s">
        <v>3595</v>
      </c>
      <c r="F1998" s="19" t="s">
        <v>2083</v>
      </c>
      <c r="G1998" s="5" t="str">
        <f>HYPERLINK("http://jsmh.umin.jp/journal/29-2/217-219.pdf")</f>
        <v>http://jsmh.umin.jp/journal/29-2/217-219.pdf</v>
      </c>
      <c r="H1998" s="43" t="str">
        <f t="shared" si="170"/>
        <v>http://dl.ndl.go.jp/info:ndljp/pid/3359300</v>
      </c>
    </row>
    <row r="1999" spans="1:8" ht="30" customHeight="1" x14ac:dyDescent="0.15">
      <c r="A1999" s="16" t="s">
        <v>1855</v>
      </c>
      <c r="B1999" s="17" t="s">
        <v>3693</v>
      </c>
      <c r="C1999" s="17" t="s">
        <v>790</v>
      </c>
      <c r="D1999" s="25" t="s">
        <v>3572</v>
      </c>
      <c r="E1999" s="19" t="s">
        <v>3595</v>
      </c>
      <c r="F1999" s="19" t="s">
        <v>300</v>
      </c>
      <c r="G1999" s="5" t="str">
        <f>HYPERLINK("http://jsmh.umin.jp/journal/29-2/219-220.pdf")</f>
        <v>http://jsmh.umin.jp/journal/29-2/219-220.pdf</v>
      </c>
      <c r="H1999" s="43" t="str">
        <f t="shared" si="170"/>
        <v>http://dl.ndl.go.jp/info:ndljp/pid/3359300</v>
      </c>
    </row>
    <row r="2000" spans="1:8" ht="30" customHeight="1" x14ac:dyDescent="0.15">
      <c r="A2000" s="16" t="s">
        <v>1855</v>
      </c>
      <c r="B2000" s="17" t="s">
        <v>3694</v>
      </c>
      <c r="C2000" s="17" t="s">
        <v>790</v>
      </c>
      <c r="D2000" s="25" t="s">
        <v>3572</v>
      </c>
      <c r="E2000" s="19" t="s">
        <v>3595</v>
      </c>
      <c r="F2000" s="19" t="s">
        <v>2960</v>
      </c>
      <c r="G2000" s="5" t="str">
        <f>HYPERLINK("http://jsmh.umin.jp/journal/29-2/221.pdf")</f>
        <v>http://jsmh.umin.jp/journal/29-2/221.pdf</v>
      </c>
      <c r="H2000" s="43" t="str">
        <f t="shared" si="170"/>
        <v>http://dl.ndl.go.jp/info:ndljp/pid/3359300</v>
      </c>
    </row>
    <row r="2001" spans="1:8" ht="30" customHeight="1" x14ac:dyDescent="0.15">
      <c r="A2001" s="16" t="s">
        <v>1855</v>
      </c>
      <c r="B2001" s="17" t="s">
        <v>3695</v>
      </c>
      <c r="C2001" s="17" t="s">
        <v>3696</v>
      </c>
      <c r="D2001" s="25" t="s">
        <v>3572</v>
      </c>
      <c r="E2001" s="19" t="s">
        <v>3595</v>
      </c>
      <c r="F2001" s="19" t="s">
        <v>3697</v>
      </c>
      <c r="G2001" s="5" t="str">
        <f>HYPERLINK("http://jsmh.umin.jp/journal/29-2/222-224.pdf")</f>
        <v>http://jsmh.umin.jp/journal/29-2/222-224.pdf</v>
      </c>
      <c r="H2001" s="43" t="str">
        <f t="shared" si="170"/>
        <v>http://dl.ndl.go.jp/info:ndljp/pid/3359300</v>
      </c>
    </row>
    <row r="2002" spans="1:8" ht="30" customHeight="1" x14ac:dyDescent="0.15">
      <c r="A2002" s="16" t="s">
        <v>2990</v>
      </c>
      <c r="B2002" s="17" t="s">
        <v>10141</v>
      </c>
      <c r="C2002" s="17"/>
      <c r="D2002" s="25" t="s">
        <v>3572</v>
      </c>
      <c r="E2002" s="19" t="s">
        <v>3595</v>
      </c>
      <c r="F2002" s="19" t="s">
        <v>1874</v>
      </c>
      <c r="G2002" s="5" t="str">
        <f>HYPERLINK("http://jsmh.umin.jp/journal/29-2/228.pdf")</f>
        <v>http://jsmh.umin.jp/journal/29-2/228.pdf</v>
      </c>
      <c r="H2002" s="43" t="str">
        <f t="shared" si="170"/>
        <v>http://dl.ndl.go.jp/info:ndljp/pid/3359300</v>
      </c>
    </row>
    <row r="2003" spans="1:8" ht="30" customHeight="1" x14ac:dyDescent="0.15">
      <c r="A2003" s="16" t="s">
        <v>3535</v>
      </c>
      <c r="B2003" s="17" t="s">
        <v>3698</v>
      </c>
      <c r="C2003" s="17" t="s">
        <v>3699</v>
      </c>
      <c r="D2003" s="25" t="s">
        <v>3572</v>
      </c>
      <c r="E2003" s="19" t="s">
        <v>3700</v>
      </c>
      <c r="F2003" s="19" t="s">
        <v>148</v>
      </c>
      <c r="G2003" s="5" t="str">
        <f>HYPERLINK("http://jsmh.umin.jp/journal/29-3/239-240.pdf")</f>
        <v>http://jsmh.umin.jp/journal/29-3/239-240.pdf</v>
      </c>
      <c r="H2003" s="42" t="str">
        <f t="shared" ref="H2003:H2016" si="171">HYPERLINK("http://dl.ndl.go.jp/info:ndljp/pid/3359301")</f>
        <v>http://dl.ndl.go.jp/info:ndljp/pid/3359301</v>
      </c>
    </row>
    <row r="2004" spans="1:8" ht="30" customHeight="1" x14ac:dyDescent="0.15">
      <c r="A2004" s="16" t="s">
        <v>558</v>
      </c>
      <c r="B2004" s="17" t="s">
        <v>3701</v>
      </c>
      <c r="C2004" s="17" t="s">
        <v>3702</v>
      </c>
      <c r="D2004" s="25" t="s">
        <v>3572</v>
      </c>
      <c r="E2004" s="19" t="s">
        <v>3700</v>
      </c>
      <c r="F2004" s="19" t="s">
        <v>3703</v>
      </c>
      <c r="G2004" s="5" t="str">
        <f>HYPERLINK("http://jsmh.umin.jp/journal/29-3/241-254.pdf")</f>
        <v>http://jsmh.umin.jp/journal/29-3/241-254.pdf</v>
      </c>
      <c r="H2004" s="43" t="str">
        <f t="shared" si="171"/>
        <v>http://dl.ndl.go.jp/info:ndljp/pid/3359301</v>
      </c>
    </row>
    <row r="2005" spans="1:8" ht="30" customHeight="1" x14ac:dyDescent="0.15">
      <c r="A2005" s="16" t="s">
        <v>3535</v>
      </c>
      <c r="B2005" s="17" t="s">
        <v>3704</v>
      </c>
      <c r="C2005" s="17" t="s">
        <v>3415</v>
      </c>
      <c r="D2005" s="25" t="s">
        <v>3572</v>
      </c>
      <c r="E2005" s="19" t="s">
        <v>3700</v>
      </c>
      <c r="F2005" s="19" t="s">
        <v>3705</v>
      </c>
      <c r="G2005" s="5" t="str">
        <f>HYPERLINK("http://jsmh.umin.jp/journal/29-3/255-258.pdf")</f>
        <v>http://jsmh.umin.jp/journal/29-3/255-258.pdf</v>
      </c>
      <c r="H2005" s="43" t="str">
        <f t="shared" si="171"/>
        <v>http://dl.ndl.go.jp/info:ndljp/pid/3359301</v>
      </c>
    </row>
    <row r="2006" spans="1:8" ht="30" customHeight="1" x14ac:dyDescent="0.15">
      <c r="A2006" s="16" t="s">
        <v>558</v>
      </c>
      <c r="B2006" s="17" t="s">
        <v>3706</v>
      </c>
      <c r="C2006" s="17" t="s">
        <v>18</v>
      </c>
      <c r="D2006" s="25" t="s">
        <v>3572</v>
      </c>
      <c r="E2006" s="19" t="s">
        <v>3700</v>
      </c>
      <c r="F2006" s="19" t="s">
        <v>3707</v>
      </c>
      <c r="G2006" s="5" t="str">
        <f>HYPERLINK("http://jsmh.umin.jp/journal/29-3/259-262.pdf")</f>
        <v>http://jsmh.umin.jp/journal/29-3/259-262.pdf</v>
      </c>
      <c r="H2006" s="43" t="str">
        <f t="shared" si="171"/>
        <v>http://dl.ndl.go.jp/info:ndljp/pid/3359301</v>
      </c>
    </row>
    <row r="2007" spans="1:8" ht="30" customHeight="1" x14ac:dyDescent="0.15">
      <c r="A2007" s="16" t="s">
        <v>558</v>
      </c>
      <c r="B2007" s="17" t="s">
        <v>3708</v>
      </c>
      <c r="C2007" s="17" t="s">
        <v>1097</v>
      </c>
      <c r="D2007" s="25" t="s">
        <v>3572</v>
      </c>
      <c r="E2007" s="19" t="s">
        <v>3700</v>
      </c>
      <c r="F2007" s="19" t="s">
        <v>3709</v>
      </c>
      <c r="G2007" s="5" t="str">
        <f>HYPERLINK("http://jsmh.umin.jp/journal/29-3/263-269.pdf")</f>
        <v>http://jsmh.umin.jp/journal/29-3/263-269.pdf</v>
      </c>
      <c r="H2007" s="43" t="str">
        <f t="shared" si="171"/>
        <v>http://dl.ndl.go.jp/info:ndljp/pid/3359301</v>
      </c>
    </row>
    <row r="2008" spans="1:8" ht="30" customHeight="1" x14ac:dyDescent="0.15">
      <c r="A2008" s="16" t="s">
        <v>3535</v>
      </c>
      <c r="B2008" s="17" t="s">
        <v>3710</v>
      </c>
      <c r="C2008" s="17"/>
      <c r="D2008" s="25" t="s">
        <v>3572</v>
      </c>
      <c r="E2008" s="19" t="s">
        <v>3700</v>
      </c>
      <c r="F2008" s="19" t="s">
        <v>3711</v>
      </c>
      <c r="G2008" s="5" t="str">
        <f>HYPERLINK("http://jsmh.umin.jp/journal/29-3/270-273.pdf")</f>
        <v>http://jsmh.umin.jp/journal/29-3/270-273.pdf</v>
      </c>
      <c r="H2008" s="43" t="str">
        <f t="shared" si="171"/>
        <v>http://dl.ndl.go.jp/info:ndljp/pid/3359301</v>
      </c>
    </row>
    <row r="2009" spans="1:8" ht="30" customHeight="1" x14ac:dyDescent="0.15">
      <c r="A2009" s="16" t="s">
        <v>3535</v>
      </c>
      <c r="B2009" s="17" t="s">
        <v>3712</v>
      </c>
      <c r="C2009" s="17"/>
      <c r="D2009" s="25" t="s">
        <v>3572</v>
      </c>
      <c r="E2009" s="19" t="s">
        <v>3700</v>
      </c>
      <c r="F2009" s="19" t="s">
        <v>1899</v>
      </c>
      <c r="G2009" s="5" t="str">
        <f>HYPERLINK("http://jsmh.umin.jp/journal/29-3/274-275.pdf")</f>
        <v>http://jsmh.umin.jp/journal/29-3/274-275.pdf</v>
      </c>
      <c r="H2009" s="43" t="str">
        <f t="shared" si="171"/>
        <v>http://dl.ndl.go.jp/info:ndljp/pid/3359301</v>
      </c>
    </row>
    <row r="2010" spans="1:8" ht="30" customHeight="1" x14ac:dyDescent="0.15">
      <c r="A2010" s="16" t="s">
        <v>17</v>
      </c>
      <c r="B2010" s="17" t="s">
        <v>3713</v>
      </c>
      <c r="C2010" s="17" t="s">
        <v>3010</v>
      </c>
      <c r="D2010" s="25" t="s">
        <v>3572</v>
      </c>
      <c r="E2010" s="19" t="s">
        <v>3700</v>
      </c>
      <c r="F2010" s="19" t="s">
        <v>3714</v>
      </c>
      <c r="G2010" s="5" t="str">
        <f>HYPERLINK("http://jsmh.umin.jp/journal/29-3/276-290.pdf")</f>
        <v>http://jsmh.umin.jp/journal/29-3/276-290.pdf</v>
      </c>
      <c r="H2010" s="43" t="str">
        <f t="shared" si="171"/>
        <v>http://dl.ndl.go.jp/info:ndljp/pid/3359301</v>
      </c>
    </row>
    <row r="2011" spans="1:8" ht="30" customHeight="1" x14ac:dyDescent="0.15">
      <c r="A2011" s="16" t="s">
        <v>17</v>
      </c>
      <c r="B2011" s="17" t="s">
        <v>3715</v>
      </c>
      <c r="C2011" s="17" t="s">
        <v>3447</v>
      </c>
      <c r="D2011" s="25" t="s">
        <v>3572</v>
      </c>
      <c r="E2011" s="19" t="s">
        <v>3700</v>
      </c>
      <c r="F2011" s="19" t="s">
        <v>3716</v>
      </c>
      <c r="G2011" s="5" t="str">
        <f>HYPERLINK("http://jsmh.umin.jp/journal/29-3/291-303.pdf")</f>
        <v>http://jsmh.umin.jp/journal/29-3/291-303.pdf</v>
      </c>
      <c r="H2011" s="43" t="str">
        <f t="shared" si="171"/>
        <v>http://dl.ndl.go.jp/info:ndljp/pid/3359301</v>
      </c>
    </row>
    <row r="2012" spans="1:8" ht="30" customHeight="1" x14ac:dyDescent="0.15">
      <c r="A2012" s="16" t="s">
        <v>17</v>
      </c>
      <c r="B2012" s="17" t="s">
        <v>3717</v>
      </c>
      <c r="C2012" s="17" t="s">
        <v>790</v>
      </c>
      <c r="D2012" s="25" t="s">
        <v>3572</v>
      </c>
      <c r="E2012" s="19" t="s">
        <v>3700</v>
      </c>
      <c r="F2012" s="19" t="s">
        <v>3357</v>
      </c>
      <c r="G2012" s="5" t="str">
        <f>HYPERLINK("http://jsmh.umin.jp/journal/29-3/304-315.pdf")</f>
        <v>http://jsmh.umin.jp/journal/29-3/304-315.pdf</v>
      </c>
      <c r="H2012" s="43" t="str">
        <f t="shared" si="171"/>
        <v>http://dl.ndl.go.jp/info:ndljp/pid/3359301</v>
      </c>
    </row>
    <row r="2013" spans="1:8" ht="30" customHeight="1" x14ac:dyDescent="0.15">
      <c r="A2013" s="16" t="s">
        <v>692</v>
      </c>
      <c r="B2013" s="17" t="s">
        <v>3718</v>
      </c>
      <c r="C2013" s="17" t="s">
        <v>2834</v>
      </c>
      <c r="D2013" s="25" t="s">
        <v>3572</v>
      </c>
      <c r="E2013" s="19" t="s">
        <v>3700</v>
      </c>
      <c r="F2013" s="19" t="s">
        <v>3719</v>
      </c>
      <c r="G2013" s="5" t="str">
        <f>HYPERLINK("http://jsmh.umin.jp/journal/29-3/316-339.pdf")</f>
        <v>http://jsmh.umin.jp/journal/29-3/316-339.pdf</v>
      </c>
      <c r="H2013" s="43" t="str">
        <f t="shared" si="171"/>
        <v>http://dl.ndl.go.jp/info:ndljp/pid/3359301</v>
      </c>
    </row>
    <row r="2014" spans="1:8" ht="30" customHeight="1" x14ac:dyDescent="0.15">
      <c r="A2014" s="16" t="s">
        <v>3720</v>
      </c>
      <c r="B2014" s="17" t="s">
        <v>3721</v>
      </c>
      <c r="C2014" s="17" t="s">
        <v>4785</v>
      </c>
      <c r="D2014" s="25" t="s">
        <v>3572</v>
      </c>
      <c r="E2014" s="19" t="s">
        <v>3700</v>
      </c>
      <c r="F2014" s="19" t="s">
        <v>3150</v>
      </c>
      <c r="G2014" s="5" t="str">
        <f>HYPERLINK("http://jsmh.umin.jp/journal/29-3/340-342.pdf")</f>
        <v>http://jsmh.umin.jp/journal/29-3/340-342.pdf</v>
      </c>
      <c r="H2014" s="43" t="str">
        <f t="shared" si="171"/>
        <v>http://dl.ndl.go.jp/info:ndljp/pid/3359301</v>
      </c>
    </row>
    <row r="2015" spans="1:8" ht="30" customHeight="1" x14ac:dyDescent="0.15">
      <c r="A2015" s="16" t="s">
        <v>558</v>
      </c>
      <c r="B2015" s="17" t="s">
        <v>704</v>
      </c>
      <c r="C2015" s="17"/>
      <c r="D2015" s="25" t="s">
        <v>3572</v>
      </c>
      <c r="E2015" s="19" t="s">
        <v>3700</v>
      </c>
      <c r="F2015" s="19" t="s">
        <v>3722</v>
      </c>
      <c r="G2015" s="5" t="str">
        <f>HYPERLINK("http://jsmh.umin.jp/journal/29-3/340.pdf")</f>
        <v>http://jsmh.umin.jp/journal/29-3/340.pdf</v>
      </c>
      <c r="H2015" s="43" t="str">
        <f t="shared" si="171"/>
        <v>http://dl.ndl.go.jp/info:ndljp/pid/3359301</v>
      </c>
    </row>
    <row r="2016" spans="1:8" ht="30" customHeight="1" x14ac:dyDescent="0.15">
      <c r="A2016" s="16" t="s">
        <v>17</v>
      </c>
      <c r="B2016" s="17" t="s">
        <v>3723</v>
      </c>
      <c r="C2016" s="17" t="s">
        <v>3724</v>
      </c>
      <c r="D2016" s="25" t="s">
        <v>3572</v>
      </c>
      <c r="E2016" s="19" t="s">
        <v>3700</v>
      </c>
      <c r="F2016" s="19" t="s">
        <v>3725</v>
      </c>
      <c r="G2016" s="5" t="str">
        <f>HYPERLINK("http://jsmh.umin.jp/journal/29-3/352-348.pdf")</f>
        <v>http://jsmh.umin.jp/journal/29-3/352-348.pdf</v>
      </c>
      <c r="H2016" s="43" t="str">
        <f t="shared" si="171"/>
        <v>http://dl.ndl.go.jp/info:ndljp/pid/3359301</v>
      </c>
    </row>
    <row r="2017" spans="1:8" ht="30" customHeight="1" x14ac:dyDescent="0.15">
      <c r="A2017" s="16" t="s">
        <v>17</v>
      </c>
      <c r="B2017" s="17" t="s">
        <v>3726</v>
      </c>
      <c r="C2017" s="17" t="s">
        <v>3447</v>
      </c>
      <c r="D2017" s="25" t="s">
        <v>3572</v>
      </c>
      <c r="E2017" s="19" t="s">
        <v>3727</v>
      </c>
      <c r="F2017" s="19" t="s">
        <v>3728</v>
      </c>
      <c r="G2017" s="5" t="str">
        <f>HYPERLINK("http://jsmh.umin.jp/journal/29-4/353-367.pdf")</f>
        <v>http://jsmh.umin.jp/journal/29-4/353-367.pdf</v>
      </c>
      <c r="H2017" s="42" t="str">
        <f t="shared" ref="H2017:H2031" si="172">HYPERLINK("http://dl.ndl.go.jp/info:ndljp/pid/3359302")</f>
        <v>http://dl.ndl.go.jp/info:ndljp/pid/3359302</v>
      </c>
    </row>
    <row r="2018" spans="1:8" ht="30" customHeight="1" x14ac:dyDescent="0.15">
      <c r="A2018" s="16" t="s">
        <v>17</v>
      </c>
      <c r="B2018" s="17" t="s">
        <v>3729</v>
      </c>
      <c r="C2018" s="17" t="s">
        <v>2937</v>
      </c>
      <c r="D2018" s="25" t="s">
        <v>3572</v>
      </c>
      <c r="E2018" s="19" t="s">
        <v>3727</v>
      </c>
      <c r="F2018" s="19" t="s">
        <v>3730</v>
      </c>
      <c r="G2018" s="5" t="str">
        <f>HYPERLINK("http://jsmh.umin.jp/journal/29-4/368-391.pdf")</f>
        <v>http://jsmh.umin.jp/journal/29-4/368-391.pdf</v>
      </c>
      <c r="H2018" s="43" t="str">
        <f t="shared" si="172"/>
        <v>http://dl.ndl.go.jp/info:ndljp/pid/3359302</v>
      </c>
    </row>
    <row r="2019" spans="1:8" ht="30" customHeight="1" x14ac:dyDescent="0.15">
      <c r="A2019" s="16" t="s">
        <v>17</v>
      </c>
      <c r="B2019" s="17" t="s">
        <v>3731</v>
      </c>
      <c r="C2019" s="17" t="s">
        <v>790</v>
      </c>
      <c r="D2019" s="25" t="s">
        <v>3572</v>
      </c>
      <c r="E2019" s="19" t="s">
        <v>3727</v>
      </c>
      <c r="F2019" s="19" t="s">
        <v>3732</v>
      </c>
      <c r="G2019" s="5" t="str">
        <f>HYPERLINK("http://jsmh.umin.jp/journal/29-4/392-403.pdf")</f>
        <v>http://jsmh.umin.jp/journal/29-4/392-403.pdf</v>
      </c>
      <c r="H2019" s="43" t="str">
        <f t="shared" si="172"/>
        <v>http://dl.ndl.go.jp/info:ndljp/pid/3359302</v>
      </c>
    </row>
    <row r="2020" spans="1:8" ht="30" customHeight="1" x14ac:dyDescent="0.15">
      <c r="A2020" s="16" t="s">
        <v>17</v>
      </c>
      <c r="B2020" s="17" t="s">
        <v>3733</v>
      </c>
      <c r="C2020" s="17" t="s">
        <v>1764</v>
      </c>
      <c r="D2020" s="25" t="s">
        <v>3572</v>
      </c>
      <c r="E2020" s="19" t="s">
        <v>3727</v>
      </c>
      <c r="F2020" s="19" t="s">
        <v>3734</v>
      </c>
      <c r="G2020" s="5" t="str">
        <f>HYPERLINK("http://jsmh.umin.jp/journal/29-4/404-411.pdf")</f>
        <v>http://jsmh.umin.jp/journal/29-4/404-411.pdf</v>
      </c>
      <c r="H2020" s="43" t="str">
        <f t="shared" si="172"/>
        <v>http://dl.ndl.go.jp/info:ndljp/pid/3359302</v>
      </c>
    </row>
    <row r="2021" spans="1:8" ht="30" customHeight="1" x14ac:dyDescent="0.15">
      <c r="A2021" s="16" t="s">
        <v>17</v>
      </c>
      <c r="B2021" s="17" t="s">
        <v>10607</v>
      </c>
      <c r="C2021" s="17" t="s">
        <v>1699</v>
      </c>
      <c r="D2021" s="25" t="s">
        <v>3572</v>
      </c>
      <c r="E2021" s="19" t="s">
        <v>3727</v>
      </c>
      <c r="F2021" s="19" t="s">
        <v>3735</v>
      </c>
      <c r="G2021" s="5" t="str">
        <f>HYPERLINK("http://jsmh.umin.jp/journal/29-4/412-427.pdf")</f>
        <v>http://jsmh.umin.jp/journal/29-4/412-427.pdf</v>
      </c>
      <c r="H2021" s="43" t="str">
        <f t="shared" si="172"/>
        <v>http://dl.ndl.go.jp/info:ndljp/pid/3359302</v>
      </c>
    </row>
    <row r="2022" spans="1:8" ht="30" customHeight="1" x14ac:dyDescent="0.15">
      <c r="A2022" s="16" t="s">
        <v>17</v>
      </c>
      <c r="B2022" s="17" t="s">
        <v>3736</v>
      </c>
      <c r="C2022" s="17" t="s">
        <v>2470</v>
      </c>
      <c r="D2022" s="25" t="s">
        <v>3572</v>
      </c>
      <c r="E2022" s="19" t="s">
        <v>3727</v>
      </c>
      <c r="F2022" s="19" t="s">
        <v>3737</v>
      </c>
      <c r="G2022" s="5" t="str">
        <f>HYPERLINK("http://jsmh.umin.jp/journal/29-4/428-434.pdf")</f>
        <v>http://jsmh.umin.jp/journal/29-4/428-434.pdf</v>
      </c>
      <c r="H2022" s="43" t="str">
        <f t="shared" si="172"/>
        <v>http://dl.ndl.go.jp/info:ndljp/pid/3359302</v>
      </c>
    </row>
    <row r="2023" spans="1:8" ht="30" customHeight="1" x14ac:dyDescent="0.15">
      <c r="A2023" s="16" t="s">
        <v>17</v>
      </c>
      <c r="B2023" s="17" t="s">
        <v>3738</v>
      </c>
      <c r="C2023" s="17" t="s">
        <v>3644</v>
      </c>
      <c r="D2023" s="25" t="s">
        <v>3572</v>
      </c>
      <c r="E2023" s="19" t="s">
        <v>3727</v>
      </c>
      <c r="F2023" s="19" t="s">
        <v>3739</v>
      </c>
      <c r="G2023" s="5" t="str">
        <f>HYPERLINK("http://jsmh.umin.jp/journal/29-4/435-446.pdf")</f>
        <v>http://jsmh.umin.jp/journal/29-4/435-446.pdf</v>
      </c>
      <c r="H2023" s="43" t="str">
        <f t="shared" si="172"/>
        <v>http://dl.ndl.go.jp/info:ndljp/pid/3359302</v>
      </c>
    </row>
    <row r="2024" spans="1:8" ht="30" customHeight="1" x14ac:dyDescent="0.15">
      <c r="A2024" s="16" t="s">
        <v>3387</v>
      </c>
      <c r="B2024" s="17" t="s">
        <v>10142</v>
      </c>
      <c r="C2024" s="17" t="s">
        <v>790</v>
      </c>
      <c r="D2024" s="25" t="s">
        <v>3572</v>
      </c>
      <c r="E2024" s="19" t="s">
        <v>3727</v>
      </c>
      <c r="F2024" s="19" t="s">
        <v>3740</v>
      </c>
      <c r="G2024" s="5" t="str">
        <f>HYPERLINK("http://jsmh.umin.jp/journal/29-4/447-454.pdf")</f>
        <v>http://jsmh.umin.jp/journal/29-4/447-454.pdf</v>
      </c>
      <c r="H2024" s="43" t="str">
        <f t="shared" si="172"/>
        <v>http://dl.ndl.go.jp/info:ndljp/pid/3359302</v>
      </c>
    </row>
    <row r="2025" spans="1:8" ht="30" customHeight="1" x14ac:dyDescent="0.15">
      <c r="A2025" s="16" t="s">
        <v>692</v>
      </c>
      <c r="B2025" s="17" t="s">
        <v>3741</v>
      </c>
      <c r="C2025" s="17" t="s">
        <v>3742</v>
      </c>
      <c r="D2025" s="25" t="s">
        <v>3572</v>
      </c>
      <c r="E2025" s="19" t="s">
        <v>3727</v>
      </c>
      <c r="F2025" s="19" t="s">
        <v>3743</v>
      </c>
      <c r="G2025" s="5" t="str">
        <f>HYPERLINK("http://jsmh.umin.jp/journal/29-4/455-461.pdf")</f>
        <v>http://jsmh.umin.jp/journal/29-4/455-461.pdf</v>
      </c>
      <c r="H2025" s="43" t="str">
        <f t="shared" si="172"/>
        <v>http://dl.ndl.go.jp/info:ndljp/pid/3359302</v>
      </c>
    </row>
    <row r="2026" spans="1:8" ht="30" customHeight="1" x14ac:dyDescent="0.15">
      <c r="A2026" s="16" t="s">
        <v>692</v>
      </c>
      <c r="B2026" s="17" t="s">
        <v>3744</v>
      </c>
      <c r="C2026" s="17" t="s">
        <v>3010</v>
      </c>
      <c r="D2026" s="25" t="s">
        <v>3572</v>
      </c>
      <c r="E2026" s="19" t="s">
        <v>3727</v>
      </c>
      <c r="F2026" s="19" t="s">
        <v>3745</v>
      </c>
      <c r="G2026" s="5" t="str">
        <f>HYPERLINK("http://jsmh.umin.jp/journal/29-4/462-476.pdf")</f>
        <v>http://jsmh.umin.jp/journal/29-4/462-476.pdf</v>
      </c>
      <c r="H2026" s="43" t="str">
        <f t="shared" si="172"/>
        <v>http://dl.ndl.go.jp/info:ndljp/pid/3359302</v>
      </c>
    </row>
    <row r="2027" spans="1:8" ht="30" customHeight="1" x14ac:dyDescent="0.15">
      <c r="A2027" s="16" t="s">
        <v>2894</v>
      </c>
      <c r="B2027" s="17" t="s">
        <v>3746</v>
      </c>
      <c r="C2027" s="17"/>
      <c r="D2027" s="25" t="s">
        <v>3572</v>
      </c>
      <c r="E2027" s="19" t="s">
        <v>3727</v>
      </c>
      <c r="F2027" s="19" t="s">
        <v>3747</v>
      </c>
      <c r="G2027" s="5" t="str">
        <f>HYPERLINK("http://jsmh.umin.jp/journal/29-4/477-510.pdf")</f>
        <v>http://jsmh.umin.jp/journal/29-4/477-510.pdf</v>
      </c>
      <c r="H2027" s="43" t="str">
        <f t="shared" si="172"/>
        <v>http://dl.ndl.go.jp/info:ndljp/pid/3359302</v>
      </c>
    </row>
    <row r="2028" spans="1:8" ht="30" customHeight="1" x14ac:dyDescent="0.15">
      <c r="A2028" s="16" t="s">
        <v>3720</v>
      </c>
      <c r="B2028" s="17" t="s">
        <v>3748</v>
      </c>
      <c r="C2028" s="17" t="s">
        <v>2325</v>
      </c>
      <c r="D2028" s="25" t="s">
        <v>3572</v>
      </c>
      <c r="E2028" s="19" t="s">
        <v>3727</v>
      </c>
      <c r="F2028" s="19" t="s">
        <v>3749</v>
      </c>
      <c r="G2028" s="5" t="str">
        <f>HYPERLINK("http://jsmh.umin.jp/journal/29-4/511-512.pdf")</f>
        <v>http://jsmh.umin.jp/journal/29-4/511-512.pdf</v>
      </c>
      <c r="H2028" s="43" t="str">
        <f t="shared" si="172"/>
        <v>http://dl.ndl.go.jp/info:ndljp/pid/3359302</v>
      </c>
    </row>
    <row r="2029" spans="1:8" ht="30" customHeight="1" x14ac:dyDescent="0.15">
      <c r="A2029" s="16" t="s">
        <v>558</v>
      </c>
      <c r="B2029" s="17" t="s">
        <v>704</v>
      </c>
      <c r="C2029" s="17"/>
      <c r="D2029" s="25" t="s">
        <v>3572</v>
      </c>
      <c r="E2029" s="19" t="s">
        <v>3727</v>
      </c>
      <c r="F2029" s="19" t="s">
        <v>3750</v>
      </c>
      <c r="G2029" s="5" t="str">
        <f>HYPERLINK("http://jsmh.umin.jp/journal/29-4/511.pdf")</f>
        <v>http://jsmh.umin.jp/journal/29-4/511.pdf</v>
      </c>
      <c r="H2029" s="43" t="str">
        <f t="shared" si="172"/>
        <v>http://dl.ndl.go.jp/info:ndljp/pid/3359302</v>
      </c>
    </row>
    <row r="2030" spans="1:8" ht="30" customHeight="1" x14ac:dyDescent="0.15">
      <c r="A2030" s="16" t="s">
        <v>3720</v>
      </c>
      <c r="B2030" s="17" t="s">
        <v>3751</v>
      </c>
      <c r="C2030" s="17" t="s">
        <v>627</v>
      </c>
      <c r="D2030" s="25" t="s">
        <v>3572</v>
      </c>
      <c r="E2030" s="19" t="s">
        <v>3727</v>
      </c>
      <c r="F2030" s="19" t="s">
        <v>3752</v>
      </c>
      <c r="G2030" s="5" t="str">
        <f>HYPERLINK("http://jsmh.umin.jp/journal/29-4/512.pdf")</f>
        <v>http://jsmh.umin.jp/journal/29-4/512.pdf</v>
      </c>
      <c r="H2030" s="43" t="str">
        <f t="shared" si="172"/>
        <v>http://dl.ndl.go.jp/info:ndljp/pid/3359302</v>
      </c>
    </row>
    <row r="2031" spans="1:8" ht="30" customHeight="1" x14ac:dyDescent="0.15">
      <c r="A2031" s="16" t="s">
        <v>2990</v>
      </c>
      <c r="B2031" s="17" t="s">
        <v>3753</v>
      </c>
      <c r="C2031" s="17" t="s">
        <v>1534</v>
      </c>
      <c r="D2031" s="25" t="s">
        <v>3572</v>
      </c>
      <c r="E2031" s="19" t="s">
        <v>3727</v>
      </c>
      <c r="F2031" s="19" t="s">
        <v>3754</v>
      </c>
      <c r="G2031" s="5" t="str">
        <f>HYPERLINK("http://jsmh.umin.jp/journal/29-4/513-514.pdf")</f>
        <v>http://jsmh.umin.jp/journal/29-4/513-514.pdf</v>
      </c>
      <c r="H2031" s="43" t="str">
        <f t="shared" si="172"/>
        <v>http://dl.ndl.go.jp/info:ndljp/pid/3359302</v>
      </c>
    </row>
    <row r="2032" spans="1:8" ht="30" customHeight="1" x14ac:dyDescent="0.15">
      <c r="A2032" s="16" t="s">
        <v>17</v>
      </c>
      <c r="B2032" s="17" t="s">
        <v>3755</v>
      </c>
      <c r="C2032" s="17" t="s">
        <v>3756</v>
      </c>
      <c r="D2032" s="18" t="s">
        <v>3757</v>
      </c>
      <c r="E2032" s="19" t="s">
        <v>3758</v>
      </c>
      <c r="F2032" s="19" t="s">
        <v>2727</v>
      </c>
      <c r="G2032" s="5" t="str">
        <f>HYPERLINK("http://jsmh.umin.jp/journal/30-1/1-13.pdf")</f>
        <v>http://jsmh.umin.jp/journal/30-1/1-13.pdf</v>
      </c>
      <c r="H2032" s="42" t="str">
        <f t="shared" ref="H2032:H2046" si="173">HYPERLINK("http://dl.ndl.go.jp/info:ndljp/pid/3359303")</f>
        <v>http://dl.ndl.go.jp/info:ndljp/pid/3359303</v>
      </c>
    </row>
    <row r="2033" spans="1:8" ht="30" customHeight="1" x14ac:dyDescent="0.15">
      <c r="A2033" s="16" t="s">
        <v>17</v>
      </c>
      <c r="B2033" s="17" t="s">
        <v>3759</v>
      </c>
      <c r="C2033" s="17" t="s">
        <v>2465</v>
      </c>
      <c r="D2033" s="25" t="s">
        <v>3757</v>
      </c>
      <c r="E2033" s="19" t="s">
        <v>3758</v>
      </c>
      <c r="F2033" s="19" t="s">
        <v>3760</v>
      </c>
      <c r="G2033" s="5" t="str">
        <f>HYPERLINK("http://jsmh.umin.jp/journal/30-1/14-40.pdf")</f>
        <v>http://jsmh.umin.jp/journal/30-1/14-40.pdf</v>
      </c>
      <c r="H2033" s="43" t="str">
        <f t="shared" si="173"/>
        <v>http://dl.ndl.go.jp/info:ndljp/pid/3359303</v>
      </c>
    </row>
    <row r="2034" spans="1:8" ht="30" customHeight="1" x14ac:dyDescent="0.15">
      <c r="A2034" s="16" t="s">
        <v>17</v>
      </c>
      <c r="B2034" s="17" t="s">
        <v>3761</v>
      </c>
      <c r="C2034" s="17" t="s">
        <v>3762</v>
      </c>
      <c r="D2034" s="25" t="s">
        <v>3757</v>
      </c>
      <c r="E2034" s="19" t="s">
        <v>3758</v>
      </c>
      <c r="F2034" s="19" t="s">
        <v>1806</v>
      </c>
      <c r="G2034" s="5" t="str">
        <f>HYPERLINK("http://jsmh.umin.jp/journal/30-1/41-49.pdf")</f>
        <v>http://jsmh.umin.jp/journal/30-1/41-49.pdf</v>
      </c>
      <c r="H2034" s="43" t="str">
        <f t="shared" si="173"/>
        <v>http://dl.ndl.go.jp/info:ndljp/pid/3359303</v>
      </c>
    </row>
    <row r="2035" spans="1:8" ht="30" customHeight="1" x14ac:dyDescent="0.15">
      <c r="A2035" s="16" t="s">
        <v>17</v>
      </c>
      <c r="B2035" s="17" t="s">
        <v>3763</v>
      </c>
      <c r="C2035" s="17" t="s">
        <v>3432</v>
      </c>
      <c r="D2035" s="25" t="s">
        <v>3757</v>
      </c>
      <c r="E2035" s="19" t="s">
        <v>3758</v>
      </c>
      <c r="F2035" s="19" t="s">
        <v>3764</v>
      </c>
      <c r="G2035" s="5" t="str">
        <f>HYPERLINK("http://jsmh.umin.jp/journal/30-1/50-55.pdf")</f>
        <v>http://jsmh.umin.jp/journal/30-1/50-55.pdf</v>
      </c>
      <c r="H2035" s="43" t="str">
        <f t="shared" si="173"/>
        <v>http://dl.ndl.go.jp/info:ndljp/pid/3359303</v>
      </c>
    </row>
    <row r="2036" spans="1:8" ht="30" customHeight="1" x14ac:dyDescent="0.15">
      <c r="A2036" s="16" t="s">
        <v>17</v>
      </c>
      <c r="B2036" s="17" t="s">
        <v>3765</v>
      </c>
      <c r="C2036" s="17" t="s">
        <v>3766</v>
      </c>
      <c r="D2036" s="25" t="s">
        <v>3757</v>
      </c>
      <c r="E2036" s="19" t="s">
        <v>3758</v>
      </c>
      <c r="F2036" s="19" t="s">
        <v>3767</v>
      </c>
      <c r="G2036" s="5" t="str">
        <f>HYPERLINK("http://jsmh.umin.jp/journal/30-1/56-61.pdf")</f>
        <v>http://jsmh.umin.jp/journal/30-1/56-61.pdf</v>
      </c>
      <c r="H2036" s="43" t="str">
        <f t="shared" si="173"/>
        <v>http://dl.ndl.go.jp/info:ndljp/pid/3359303</v>
      </c>
    </row>
    <row r="2037" spans="1:8" ht="30" customHeight="1" x14ac:dyDescent="0.15">
      <c r="A2037" s="16" t="s">
        <v>17</v>
      </c>
      <c r="B2037" s="17" t="s">
        <v>3768</v>
      </c>
      <c r="C2037" s="17" t="s">
        <v>3381</v>
      </c>
      <c r="D2037" s="25" t="s">
        <v>3757</v>
      </c>
      <c r="E2037" s="19" t="s">
        <v>3758</v>
      </c>
      <c r="F2037" s="19" t="s">
        <v>3769</v>
      </c>
      <c r="G2037" s="5" t="str">
        <f>HYPERLINK("http://jsmh.umin.jp/journal/30-1/62-84.pdf")</f>
        <v>http://jsmh.umin.jp/journal/30-1/62-84.pdf</v>
      </c>
      <c r="H2037" s="43" t="str">
        <f t="shared" si="173"/>
        <v>http://dl.ndl.go.jp/info:ndljp/pid/3359303</v>
      </c>
    </row>
    <row r="2038" spans="1:8" ht="30" customHeight="1" x14ac:dyDescent="0.15">
      <c r="A2038" s="16" t="s">
        <v>3387</v>
      </c>
      <c r="B2038" s="17" t="s">
        <v>3770</v>
      </c>
      <c r="C2038" s="17" t="s">
        <v>690</v>
      </c>
      <c r="D2038" s="25" t="s">
        <v>3757</v>
      </c>
      <c r="E2038" s="19" t="s">
        <v>3758</v>
      </c>
      <c r="F2038" s="19" t="s">
        <v>3771</v>
      </c>
      <c r="G2038" s="5" t="str">
        <f>HYPERLINK("http://jsmh.umin.jp/journal/30-1/85-89.pdf")</f>
        <v>http://jsmh.umin.jp/journal/30-1/85-89.pdf</v>
      </c>
      <c r="H2038" s="43" t="str">
        <f t="shared" si="173"/>
        <v>http://dl.ndl.go.jp/info:ndljp/pid/3359303</v>
      </c>
    </row>
    <row r="2039" spans="1:8" ht="30" customHeight="1" x14ac:dyDescent="0.15">
      <c r="A2039" s="16" t="s">
        <v>3387</v>
      </c>
      <c r="B2039" s="17" t="s">
        <v>3772</v>
      </c>
      <c r="C2039" s="17" t="s">
        <v>790</v>
      </c>
      <c r="D2039" s="25" t="s">
        <v>3757</v>
      </c>
      <c r="E2039" s="19" t="s">
        <v>3758</v>
      </c>
      <c r="F2039" s="19" t="s">
        <v>3773</v>
      </c>
      <c r="G2039" s="5" t="str">
        <f>HYPERLINK("http://jsmh.umin.jp/journal/30-1/90-93.pdf")</f>
        <v>http://jsmh.umin.jp/journal/30-1/90-93.pdf</v>
      </c>
      <c r="H2039" s="43" t="str">
        <f t="shared" si="173"/>
        <v>http://dl.ndl.go.jp/info:ndljp/pid/3359303</v>
      </c>
    </row>
    <row r="2040" spans="1:8" ht="30" customHeight="1" x14ac:dyDescent="0.15">
      <c r="A2040" s="16" t="s">
        <v>3720</v>
      </c>
      <c r="B2040" s="17" t="s">
        <v>3774</v>
      </c>
      <c r="C2040" s="17" t="s">
        <v>690</v>
      </c>
      <c r="D2040" s="25" t="s">
        <v>3757</v>
      </c>
      <c r="E2040" s="19" t="s">
        <v>3758</v>
      </c>
      <c r="F2040" s="19" t="s">
        <v>941</v>
      </c>
      <c r="G2040" s="5" t="str">
        <f>HYPERLINK("http://jsmh.umin.jp/journal/30-1/94-97.pdf")</f>
        <v>http://jsmh.umin.jp/journal/30-1/94-97.pdf</v>
      </c>
      <c r="H2040" s="43" t="str">
        <f t="shared" si="173"/>
        <v>http://dl.ndl.go.jp/info:ndljp/pid/3359303</v>
      </c>
    </row>
    <row r="2041" spans="1:8" ht="30" customHeight="1" x14ac:dyDescent="0.15">
      <c r="A2041" s="16" t="s">
        <v>558</v>
      </c>
      <c r="B2041" s="17" t="s">
        <v>704</v>
      </c>
      <c r="C2041" s="17"/>
      <c r="D2041" s="25" t="s">
        <v>3757</v>
      </c>
      <c r="E2041" s="19" t="s">
        <v>3758</v>
      </c>
      <c r="F2041" s="19" t="s">
        <v>486</v>
      </c>
      <c r="G2041" s="5" t="str">
        <f>HYPERLINK("http://jsmh.umin.jp/journal/30-1/94.pdf")</f>
        <v>http://jsmh.umin.jp/journal/30-1/94.pdf</v>
      </c>
      <c r="H2041" s="43" t="str">
        <f t="shared" si="173"/>
        <v>http://dl.ndl.go.jp/info:ndljp/pid/3359303</v>
      </c>
    </row>
    <row r="2042" spans="1:8" ht="30" customHeight="1" x14ac:dyDescent="0.15">
      <c r="A2042" s="16" t="s">
        <v>3720</v>
      </c>
      <c r="B2042" s="17" t="s">
        <v>3775</v>
      </c>
      <c r="C2042" s="17" t="s">
        <v>1119</v>
      </c>
      <c r="D2042" s="25" t="s">
        <v>3757</v>
      </c>
      <c r="E2042" s="19" t="s">
        <v>3758</v>
      </c>
      <c r="F2042" s="19" t="s">
        <v>3776</v>
      </c>
      <c r="G2042" s="5" t="str">
        <f>HYPERLINK("http://jsmh.umin.jp/journal/30-1/97-98.pdf")</f>
        <v>http://jsmh.umin.jp/journal/30-1/97-98.pdf</v>
      </c>
      <c r="H2042" s="43" t="str">
        <f t="shared" si="173"/>
        <v>http://dl.ndl.go.jp/info:ndljp/pid/3359303</v>
      </c>
    </row>
    <row r="2043" spans="1:8" ht="30" customHeight="1" x14ac:dyDescent="0.15">
      <c r="A2043" s="16" t="s">
        <v>3720</v>
      </c>
      <c r="B2043" s="17" t="s">
        <v>3777</v>
      </c>
      <c r="C2043" s="17" t="s">
        <v>3778</v>
      </c>
      <c r="D2043" s="25" t="s">
        <v>3757</v>
      </c>
      <c r="E2043" s="19" t="s">
        <v>3758</v>
      </c>
      <c r="F2043" s="19" t="s">
        <v>3779</v>
      </c>
      <c r="G2043" s="5" t="str">
        <f>HYPERLINK("http://jsmh.umin.jp/journal/30-1/98-99.pdf")</f>
        <v>http://jsmh.umin.jp/journal/30-1/98-99.pdf</v>
      </c>
      <c r="H2043" s="43" t="str">
        <f t="shared" si="173"/>
        <v>http://dl.ndl.go.jp/info:ndljp/pid/3359303</v>
      </c>
    </row>
    <row r="2044" spans="1:8" ht="30" customHeight="1" x14ac:dyDescent="0.15">
      <c r="A2044" s="16" t="s">
        <v>3720</v>
      </c>
      <c r="B2044" s="17" t="s">
        <v>3780</v>
      </c>
      <c r="C2044" s="17" t="s">
        <v>3781</v>
      </c>
      <c r="D2044" s="25" t="s">
        <v>3757</v>
      </c>
      <c r="E2044" s="19" t="s">
        <v>3758</v>
      </c>
      <c r="F2044" s="19" t="s">
        <v>2194</v>
      </c>
      <c r="G2044" s="5" t="str">
        <f>HYPERLINK("http://jsmh.umin.jp/journal/30-1/99-100.pdf")</f>
        <v>http://jsmh.umin.jp/journal/30-1/99-100.pdf</v>
      </c>
      <c r="H2044" s="43" t="str">
        <f t="shared" si="173"/>
        <v>http://dl.ndl.go.jp/info:ndljp/pid/3359303</v>
      </c>
    </row>
    <row r="2045" spans="1:8" ht="30" customHeight="1" x14ac:dyDescent="0.15">
      <c r="A2045" s="16" t="s">
        <v>81</v>
      </c>
      <c r="B2045" s="17" t="s">
        <v>1606</v>
      </c>
      <c r="C2045" s="17"/>
      <c r="D2045" s="25" t="s">
        <v>3757</v>
      </c>
      <c r="E2045" s="19" t="s">
        <v>3758</v>
      </c>
      <c r="F2045" s="19" t="s">
        <v>778</v>
      </c>
      <c r="G2045" s="5" t="str">
        <f>HYPERLINK("http://jsmh.umin.jp/journal/30-1/100-101.pdf")</f>
        <v>http://jsmh.umin.jp/journal/30-1/100-101.pdf</v>
      </c>
      <c r="H2045" s="43" t="str">
        <f t="shared" si="173"/>
        <v>http://dl.ndl.go.jp/info:ndljp/pid/3359303</v>
      </c>
    </row>
    <row r="2046" spans="1:8" ht="30" customHeight="1" x14ac:dyDescent="0.15">
      <c r="A2046" s="16" t="s">
        <v>17</v>
      </c>
      <c r="B2046" s="17" t="s">
        <v>10143</v>
      </c>
      <c r="C2046" s="17" t="s">
        <v>3782</v>
      </c>
      <c r="D2046" s="25" t="s">
        <v>3757</v>
      </c>
      <c r="E2046" s="19" t="s">
        <v>3758</v>
      </c>
      <c r="F2046" s="19" t="s">
        <v>3783</v>
      </c>
      <c r="G2046" s="5" t="str">
        <f>HYPERLINK("http://jsmh.umin.jp/journal/30-1/118-108.pdf")</f>
        <v>http://jsmh.umin.jp/journal/30-1/118-108.pdf</v>
      </c>
      <c r="H2046" s="43" t="str">
        <f t="shared" si="173"/>
        <v>http://dl.ndl.go.jp/info:ndljp/pid/3359303</v>
      </c>
    </row>
    <row r="2047" spans="1:8" ht="30" customHeight="1" x14ac:dyDescent="0.15">
      <c r="A2047" s="16" t="s">
        <v>1855</v>
      </c>
      <c r="B2047" s="17" t="s">
        <v>3784</v>
      </c>
      <c r="C2047" s="17" t="s">
        <v>627</v>
      </c>
      <c r="D2047" s="25" t="s">
        <v>3757</v>
      </c>
      <c r="E2047" s="19" t="s">
        <v>3785</v>
      </c>
      <c r="F2047" s="19" t="s">
        <v>3786</v>
      </c>
      <c r="G2047" s="5" t="str">
        <f>HYPERLINK("http://jsmh.umin.jp/journal/30-2/119-121.pdf")</f>
        <v>http://jsmh.umin.jp/journal/30-2/119-121.pdf</v>
      </c>
      <c r="H2047" s="42" t="str">
        <f t="shared" ref="H2047:H2078" si="174">HYPERLINK("http://dl.ndl.go.jp/info:ndljp/pid/3359304")</f>
        <v>http://dl.ndl.go.jp/info:ndljp/pid/3359304</v>
      </c>
    </row>
    <row r="2048" spans="1:8" ht="30" customHeight="1" x14ac:dyDescent="0.15">
      <c r="A2048" s="16" t="s">
        <v>1855</v>
      </c>
      <c r="B2048" s="17" t="s">
        <v>3787</v>
      </c>
      <c r="C2048" s="17" t="s">
        <v>838</v>
      </c>
      <c r="D2048" s="25" t="s">
        <v>3757</v>
      </c>
      <c r="E2048" s="19" t="s">
        <v>3785</v>
      </c>
      <c r="F2048" s="19" t="s">
        <v>3788</v>
      </c>
      <c r="G2048" s="5" t="str">
        <f>HYPERLINK("http://jsmh.umin.jp/journal/30-2/122-129.pdf")</f>
        <v>http://jsmh.umin.jp/journal/30-2/122-129.pdf</v>
      </c>
      <c r="H2048" s="43" t="str">
        <f t="shared" si="174"/>
        <v>http://dl.ndl.go.jp/info:ndljp/pid/3359304</v>
      </c>
    </row>
    <row r="2049" spans="1:8" ht="30" customHeight="1" x14ac:dyDescent="0.15">
      <c r="A2049" s="16" t="s">
        <v>1855</v>
      </c>
      <c r="B2049" s="17" t="s">
        <v>3789</v>
      </c>
      <c r="C2049" s="17" t="s">
        <v>1299</v>
      </c>
      <c r="D2049" s="25" t="s">
        <v>3757</v>
      </c>
      <c r="E2049" s="19" t="s">
        <v>3785</v>
      </c>
      <c r="F2049" s="19" t="s">
        <v>54</v>
      </c>
      <c r="G2049" s="5" t="str">
        <f>HYPERLINK("http://jsmh.umin.jp/journal/30-2/130-137.pdf")</f>
        <v>http://jsmh.umin.jp/journal/30-2/130-137.pdf</v>
      </c>
      <c r="H2049" s="43" t="str">
        <f t="shared" si="174"/>
        <v>http://dl.ndl.go.jp/info:ndljp/pid/3359304</v>
      </c>
    </row>
    <row r="2050" spans="1:8" ht="30" customHeight="1" x14ac:dyDescent="0.15">
      <c r="A2050" s="16" t="s">
        <v>1855</v>
      </c>
      <c r="B2050" s="17" t="s">
        <v>3790</v>
      </c>
      <c r="C2050" s="17" t="s">
        <v>1070</v>
      </c>
      <c r="D2050" s="25" t="s">
        <v>3757</v>
      </c>
      <c r="E2050" s="19" t="s">
        <v>3785</v>
      </c>
      <c r="F2050" s="19" t="s">
        <v>2228</v>
      </c>
      <c r="G2050" s="5" t="str">
        <f>HYPERLINK("http://jsmh.umin.jp/journal/30-2/138-139.pdf")</f>
        <v>http://jsmh.umin.jp/journal/30-2/138-139.pdf</v>
      </c>
      <c r="H2050" s="43" t="str">
        <f t="shared" si="174"/>
        <v>http://dl.ndl.go.jp/info:ndljp/pid/3359304</v>
      </c>
    </row>
    <row r="2051" spans="1:8" ht="30" customHeight="1" x14ac:dyDescent="0.15">
      <c r="A2051" s="16" t="s">
        <v>1855</v>
      </c>
      <c r="B2051" s="17" t="s">
        <v>3791</v>
      </c>
      <c r="C2051" s="17" t="s">
        <v>2465</v>
      </c>
      <c r="D2051" s="25" t="s">
        <v>3757</v>
      </c>
      <c r="E2051" s="19" t="s">
        <v>3785</v>
      </c>
      <c r="F2051" s="19" t="s">
        <v>3792</v>
      </c>
      <c r="G2051" s="5" t="str">
        <f>HYPERLINK("http://jsmh.umin.jp/journal/30-2/139-141.pdf")</f>
        <v>http://jsmh.umin.jp/journal/30-2/139-141.pdf</v>
      </c>
      <c r="H2051" s="43" t="str">
        <f t="shared" si="174"/>
        <v>http://dl.ndl.go.jp/info:ndljp/pid/3359304</v>
      </c>
    </row>
    <row r="2052" spans="1:8" ht="30" customHeight="1" x14ac:dyDescent="0.15">
      <c r="A2052" s="16" t="s">
        <v>1855</v>
      </c>
      <c r="B2052" s="17" t="s">
        <v>3793</v>
      </c>
      <c r="C2052" s="17" t="s">
        <v>10144</v>
      </c>
      <c r="D2052" s="25" t="s">
        <v>3757</v>
      </c>
      <c r="E2052" s="19" t="s">
        <v>3785</v>
      </c>
      <c r="F2052" s="19" t="s">
        <v>3794</v>
      </c>
      <c r="G2052" s="5" t="str">
        <f>HYPERLINK("http://jsmh.umin.jp/journal/30-2/142-144.pdf")</f>
        <v>http://jsmh.umin.jp/journal/30-2/142-144.pdf</v>
      </c>
      <c r="H2052" s="43" t="str">
        <f t="shared" si="174"/>
        <v>http://dl.ndl.go.jp/info:ndljp/pid/3359304</v>
      </c>
    </row>
    <row r="2053" spans="1:8" ht="30" customHeight="1" x14ac:dyDescent="0.15">
      <c r="A2053" s="16" t="s">
        <v>1855</v>
      </c>
      <c r="B2053" s="17" t="s">
        <v>3795</v>
      </c>
      <c r="C2053" s="17" t="s">
        <v>790</v>
      </c>
      <c r="D2053" s="25" t="s">
        <v>3757</v>
      </c>
      <c r="E2053" s="19" t="s">
        <v>3785</v>
      </c>
      <c r="F2053" s="19" t="s">
        <v>3796</v>
      </c>
      <c r="G2053" s="5" t="str">
        <f>HYPERLINK("http://jsmh.umin.jp/journal/30-2/144-146.pdf")</f>
        <v>http://jsmh.umin.jp/journal/30-2/144-146.pdf</v>
      </c>
      <c r="H2053" s="43" t="str">
        <f t="shared" si="174"/>
        <v>http://dl.ndl.go.jp/info:ndljp/pid/3359304</v>
      </c>
    </row>
    <row r="2054" spans="1:8" ht="30" customHeight="1" x14ac:dyDescent="0.15">
      <c r="A2054" s="16" t="s">
        <v>1855</v>
      </c>
      <c r="B2054" s="17" t="s">
        <v>3797</v>
      </c>
      <c r="C2054" s="17" t="s">
        <v>273</v>
      </c>
      <c r="D2054" s="25" t="s">
        <v>3757</v>
      </c>
      <c r="E2054" s="19" t="s">
        <v>3785</v>
      </c>
      <c r="F2054" s="19" t="s">
        <v>3640</v>
      </c>
      <c r="G2054" s="5" t="str">
        <f>HYPERLINK("http://jsmh.umin.jp/journal/30-2/146-148.pdf")</f>
        <v>http://jsmh.umin.jp/journal/30-2/146-148.pdf</v>
      </c>
      <c r="H2054" s="43" t="str">
        <f t="shared" si="174"/>
        <v>http://dl.ndl.go.jp/info:ndljp/pid/3359304</v>
      </c>
    </row>
    <row r="2055" spans="1:8" ht="30" customHeight="1" x14ac:dyDescent="0.15">
      <c r="A2055" s="16" t="s">
        <v>1855</v>
      </c>
      <c r="B2055" s="17" t="s">
        <v>3798</v>
      </c>
      <c r="C2055" s="17" t="s">
        <v>841</v>
      </c>
      <c r="D2055" s="25" t="s">
        <v>3757</v>
      </c>
      <c r="E2055" s="19" t="s">
        <v>3785</v>
      </c>
      <c r="F2055" s="19" t="s">
        <v>2240</v>
      </c>
      <c r="G2055" s="5" t="str">
        <f>HYPERLINK("http://jsmh.umin.jp/journal/30-2/148-149.pdf")</f>
        <v>http://jsmh.umin.jp/journal/30-2/148-149.pdf</v>
      </c>
      <c r="H2055" s="43" t="str">
        <f t="shared" si="174"/>
        <v>http://dl.ndl.go.jp/info:ndljp/pid/3359304</v>
      </c>
    </row>
    <row r="2056" spans="1:8" ht="30" customHeight="1" x14ac:dyDescent="0.15">
      <c r="A2056" s="16" t="s">
        <v>1855</v>
      </c>
      <c r="B2056" s="17" t="s">
        <v>3799</v>
      </c>
      <c r="C2056" s="17" t="s">
        <v>3800</v>
      </c>
      <c r="D2056" s="25" t="s">
        <v>3757</v>
      </c>
      <c r="E2056" s="19" t="s">
        <v>3785</v>
      </c>
      <c r="F2056" s="19" t="s">
        <v>2244</v>
      </c>
      <c r="G2056" s="5" t="str">
        <f>HYPERLINK("http://jsmh.umin.jp/journal/30-2/150.pdf")</f>
        <v>http://jsmh.umin.jp/journal/30-2/150.pdf</v>
      </c>
      <c r="H2056" s="43" t="str">
        <f t="shared" si="174"/>
        <v>http://dl.ndl.go.jp/info:ndljp/pid/3359304</v>
      </c>
    </row>
    <row r="2057" spans="1:8" ht="30" customHeight="1" x14ac:dyDescent="0.15">
      <c r="A2057" s="16" t="s">
        <v>1855</v>
      </c>
      <c r="B2057" s="17" t="s">
        <v>3801</v>
      </c>
      <c r="C2057" s="17" t="s">
        <v>2386</v>
      </c>
      <c r="D2057" s="25" t="s">
        <v>3757</v>
      </c>
      <c r="E2057" s="19" t="s">
        <v>3785</v>
      </c>
      <c r="F2057" s="19" t="s">
        <v>3802</v>
      </c>
      <c r="G2057" s="5" t="str">
        <f>HYPERLINK("http://jsmh.umin.jp/journal/30-2/151-153.pdf")</f>
        <v>http://jsmh.umin.jp/journal/30-2/151-153.pdf</v>
      </c>
      <c r="H2057" s="43" t="str">
        <f t="shared" si="174"/>
        <v>http://dl.ndl.go.jp/info:ndljp/pid/3359304</v>
      </c>
    </row>
    <row r="2058" spans="1:8" ht="30" customHeight="1" x14ac:dyDescent="0.15">
      <c r="A2058" s="16" t="s">
        <v>1855</v>
      </c>
      <c r="B2058" s="17" t="s">
        <v>3803</v>
      </c>
      <c r="C2058" s="17" t="s">
        <v>69</v>
      </c>
      <c r="D2058" s="25" t="s">
        <v>3757</v>
      </c>
      <c r="E2058" s="19" t="s">
        <v>3785</v>
      </c>
      <c r="F2058" s="19" t="s">
        <v>3804</v>
      </c>
      <c r="G2058" s="5" t="str">
        <f>HYPERLINK("http://jsmh.umin.jp/journal/30-2/153-155.pdf")</f>
        <v>http://jsmh.umin.jp/journal/30-2/153-155.pdf</v>
      </c>
      <c r="H2058" s="43" t="str">
        <f t="shared" si="174"/>
        <v>http://dl.ndl.go.jp/info:ndljp/pid/3359304</v>
      </c>
    </row>
    <row r="2059" spans="1:8" ht="30" customHeight="1" x14ac:dyDescent="0.15">
      <c r="A2059" s="16" t="s">
        <v>1855</v>
      </c>
      <c r="B2059" s="17" t="s">
        <v>3805</v>
      </c>
      <c r="C2059" s="17" t="s">
        <v>3432</v>
      </c>
      <c r="D2059" s="25" t="s">
        <v>3757</v>
      </c>
      <c r="E2059" s="19" t="s">
        <v>3785</v>
      </c>
      <c r="F2059" s="19" t="s">
        <v>1691</v>
      </c>
      <c r="G2059" s="5" t="str">
        <f>HYPERLINK("http://jsmh.umin.jp/journal/30-2/156-157.pdf")</f>
        <v>http://jsmh.umin.jp/journal/30-2/156-157.pdf</v>
      </c>
      <c r="H2059" s="43" t="str">
        <f t="shared" si="174"/>
        <v>http://dl.ndl.go.jp/info:ndljp/pid/3359304</v>
      </c>
    </row>
    <row r="2060" spans="1:8" ht="30" customHeight="1" x14ac:dyDescent="0.15">
      <c r="A2060" s="16" t="s">
        <v>1855</v>
      </c>
      <c r="B2060" s="17" t="s">
        <v>3806</v>
      </c>
      <c r="C2060" s="17" t="s">
        <v>2325</v>
      </c>
      <c r="D2060" s="25" t="s">
        <v>3757</v>
      </c>
      <c r="E2060" s="19" t="s">
        <v>3785</v>
      </c>
      <c r="F2060" s="19" t="s">
        <v>2544</v>
      </c>
      <c r="G2060" s="5" t="str">
        <f>HYPERLINK("http://jsmh.umin.jp/journal/30-2/158-160.pdf")</f>
        <v>http://jsmh.umin.jp/journal/30-2/158-160.pdf</v>
      </c>
      <c r="H2060" s="43" t="str">
        <f t="shared" si="174"/>
        <v>http://dl.ndl.go.jp/info:ndljp/pid/3359304</v>
      </c>
    </row>
    <row r="2061" spans="1:8" ht="30" customHeight="1" x14ac:dyDescent="0.15">
      <c r="A2061" s="16" t="s">
        <v>1855</v>
      </c>
      <c r="B2061" s="17" t="s">
        <v>3807</v>
      </c>
      <c r="C2061" s="17" t="s">
        <v>3808</v>
      </c>
      <c r="D2061" s="25" t="s">
        <v>3757</v>
      </c>
      <c r="E2061" s="19" t="s">
        <v>3785</v>
      </c>
      <c r="F2061" s="19" t="s">
        <v>3656</v>
      </c>
      <c r="G2061" s="5" t="str">
        <f>HYPERLINK("http://jsmh.umin.jp/journal/30-2/160-162.pdf")</f>
        <v>http://jsmh.umin.jp/journal/30-2/160-162.pdf</v>
      </c>
      <c r="H2061" s="43" t="str">
        <f t="shared" si="174"/>
        <v>http://dl.ndl.go.jp/info:ndljp/pid/3359304</v>
      </c>
    </row>
    <row r="2062" spans="1:8" ht="30" customHeight="1" x14ac:dyDescent="0.15">
      <c r="A2062" s="16" t="s">
        <v>1855</v>
      </c>
      <c r="B2062" s="17" t="s">
        <v>3809</v>
      </c>
      <c r="C2062" s="17" t="s">
        <v>1699</v>
      </c>
      <c r="D2062" s="25" t="s">
        <v>3757</v>
      </c>
      <c r="E2062" s="19" t="s">
        <v>3785</v>
      </c>
      <c r="F2062" s="19" t="s">
        <v>3260</v>
      </c>
      <c r="G2062" s="5" t="str">
        <f>HYPERLINK("http://jsmh.umin.jp/journal/30-2/163.pdf")</f>
        <v>http://jsmh.umin.jp/journal/30-2/163.pdf</v>
      </c>
      <c r="H2062" s="43" t="str">
        <f t="shared" si="174"/>
        <v>http://dl.ndl.go.jp/info:ndljp/pid/3359304</v>
      </c>
    </row>
    <row r="2063" spans="1:8" ht="30" customHeight="1" x14ac:dyDescent="0.15">
      <c r="A2063" s="16" t="s">
        <v>1855</v>
      </c>
      <c r="B2063" s="17" t="s">
        <v>3810</v>
      </c>
      <c r="C2063" s="17" t="s">
        <v>3811</v>
      </c>
      <c r="D2063" s="25" t="s">
        <v>3757</v>
      </c>
      <c r="E2063" s="19" t="s">
        <v>3785</v>
      </c>
      <c r="F2063" s="19" t="s">
        <v>3410</v>
      </c>
      <c r="G2063" s="5" t="str">
        <f>HYPERLINK("http://jsmh.umin.jp/journal/30-2/164-166.pdf")</f>
        <v>http://jsmh.umin.jp/journal/30-2/164-166.pdf</v>
      </c>
      <c r="H2063" s="43" t="str">
        <f t="shared" si="174"/>
        <v>http://dl.ndl.go.jp/info:ndljp/pid/3359304</v>
      </c>
    </row>
    <row r="2064" spans="1:8" ht="30" customHeight="1" x14ac:dyDescent="0.15">
      <c r="A2064" s="16" t="s">
        <v>1855</v>
      </c>
      <c r="B2064" s="17" t="s">
        <v>3812</v>
      </c>
      <c r="C2064" s="17" t="s">
        <v>2212</v>
      </c>
      <c r="D2064" s="25" t="s">
        <v>3757</v>
      </c>
      <c r="E2064" s="19" t="s">
        <v>3785</v>
      </c>
      <c r="F2064" s="19" t="s">
        <v>3813</v>
      </c>
      <c r="G2064" s="5" t="str">
        <f>HYPERLINK("http://jsmh.umin.jp/journal/30-2/166.pdf")</f>
        <v>http://jsmh.umin.jp/journal/30-2/166.pdf</v>
      </c>
      <c r="H2064" s="43" t="str">
        <f t="shared" si="174"/>
        <v>http://dl.ndl.go.jp/info:ndljp/pid/3359304</v>
      </c>
    </row>
    <row r="2065" spans="1:8" ht="30" customHeight="1" x14ac:dyDescent="0.15">
      <c r="A2065" s="16" t="s">
        <v>1855</v>
      </c>
      <c r="B2065" s="17" t="s">
        <v>3814</v>
      </c>
      <c r="C2065" s="17" t="s">
        <v>963</v>
      </c>
      <c r="D2065" s="25" t="s">
        <v>3757</v>
      </c>
      <c r="E2065" s="19" t="s">
        <v>3785</v>
      </c>
      <c r="F2065" s="19" t="s">
        <v>73</v>
      </c>
      <c r="G2065" s="5" t="str">
        <f>HYPERLINK("http://jsmh.umin.jp/journal/30-2/167.pdf")</f>
        <v>http://jsmh.umin.jp/journal/30-2/167.pdf</v>
      </c>
      <c r="H2065" s="43" t="str">
        <f t="shared" si="174"/>
        <v>http://dl.ndl.go.jp/info:ndljp/pid/3359304</v>
      </c>
    </row>
    <row r="2066" spans="1:8" ht="30" customHeight="1" x14ac:dyDescent="0.15">
      <c r="A2066" s="16" t="s">
        <v>1855</v>
      </c>
      <c r="B2066" s="17" t="s">
        <v>3815</v>
      </c>
      <c r="C2066" s="17" t="s">
        <v>3029</v>
      </c>
      <c r="D2066" s="25" t="s">
        <v>3757</v>
      </c>
      <c r="E2066" s="19" t="s">
        <v>3785</v>
      </c>
      <c r="F2066" s="19" t="s">
        <v>233</v>
      </c>
      <c r="G2066" s="5" t="str">
        <f>HYPERLINK("http://jsmh.umin.jp/journal/30-2/168-170.pdf")</f>
        <v>http://jsmh.umin.jp/journal/30-2/168-170.pdf</v>
      </c>
      <c r="H2066" s="43" t="str">
        <f t="shared" si="174"/>
        <v>http://dl.ndl.go.jp/info:ndljp/pid/3359304</v>
      </c>
    </row>
    <row r="2067" spans="1:8" ht="30" customHeight="1" x14ac:dyDescent="0.15">
      <c r="A2067" s="16" t="s">
        <v>1855</v>
      </c>
      <c r="B2067" s="17" t="s">
        <v>3816</v>
      </c>
      <c r="C2067" s="17" t="s">
        <v>3817</v>
      </c>
      <c r="D2067" s="25" t="s">
        <v>3757</v>
      </c>
      <c r="E2067" s="19" t="s">
        <v>3785</v>
      </c>
      <c r="F2067" s="19" t="s">
        <v>1703</v>
      </c>
      <c r="G2067" s="5" t="str">
        <f>HYPERLINK("http://jsmh.umin.jp/journal/30-2/170-172.pdf")</f>
        <v>http://jsmh.umin.jp/journal/30-2/170-172.pdf</v>
      </c>
      <c r="H2067" s="43" t="str">
        <f t="shared" si="174"/>
        <v>http://dl.ndl.go.jp/info:ndljp/pid/3359304</v>
      </c>
    </row>
    <row r="2068" spans="1:8" ht="30" customHeight="1" x14ac:dyDescent="0.15">
      <c r="A2068" s="16" t="s">
        <v>1855</v>
      </c>
      <c r="B2068" s="17" t="s">
        <v>3818</v>
      </c>
      <c r="C2068" s="17" t="s">
        <v>3172</v>
      </c>
      <c r="D2068" s="25" t="s">
        <v>3757</v>
      </c>
      <c r="E2068" s="19" t="s">
        <v>3785</v>
      </c>
      <c r="F2068" s="19" t="s">
        <v>3819</v>
      </c>
      <c r="G2068" s="5" t="str">
        <f>HYPERLINK("http://jsmh.umin.jp/journal/30-2/173-175.pdf")</f>
        <v>http://jsmh.umin.jp/journal/30-2/173-175.pdf</v>
      </c>
      <c r="H2068" s="43" t="str">
        <f t="shared" si="174"/>
        <v>http://dl.ndl.go.jp/info:ndljp/pid/3359304</v>
      </c>
    </row>
    <row r="2069" spans="1:8" ht="30" customHeight="1" x14ac:dyDescent="0.15">
      <c r="A2069" s="16" t="s">
        <v>1855</v>
      </c>
      <c r="B2069" s="17" t="s">
        <v>3820</v>
      </c>
      <c r="C2069" s="17" t="s">
        <v>905</v>
      </c>
      <c r="D2069" s="25" t="s">
        <v>3757</v>
      </c>
      <c r="E2069" s="19" t="s">
        <v>3785</v>
      </c>
      <c r="F2069" s="19" t="s">
        <v>2924</v>
      </c>
      <c r="G2069" s="5" t="str">
        <f>HYPERLINK("http://jsmh.umin.jp/journal/30-2/175-177.pdf")</f>
        <v>http://jsmh.umin.jp/journal/30-2/175-177.pdf</v>
      </c>
      <c r="H2069" s="43" t="str">
        <f t="shared" si="174"/>
        <v>http://dl.ndl.go.jp/info:ndljp/pid/3359304</v>
      </c>
    </row>
    <row r="2070" spans="1:8" ht="30" customHeight="1" x14ac:dyDescent="0.15">
      <c r="A2070" s="16" t="s">
        <v>1855</v>
      </c>
      <c r="B2070" s="17" t="s">
        <v>3821</v>
      </c>
      <c r="C2070" s="17" t="s">
        <v>66</v>
      </c>
      <c r="D2070" s="25" t="s">
        <v>3757</v>
      </c>
      <c r="E2070" s="19" t="s">
        <v>3785</v>
      </c>
      <c r="F2070" s="19" t="s">
        <v>1711</v>
      </c>
      <c r="G2070" s="5" t="str">
        <f>HYPERLINK("http://jsmh.umin.jp/journal/30-2/178-180.pdf")</f>
        <v>http://jsmh.umin.jp/journal/30-2/178-180.pdf</v>
      </c>
      <c r="H2070" s="43" t="str">
        <f t="shared" si="174"/>
        <v>http://dl.ndl.go.jp/info:ndljp/pid/3359304</v>
      </c>
    </row>
    <row r="2071" spans="1:8" ht="30" customHeight="1" x14ac:dyDescent="0.15">
      <c r="A2071" s="16" t="s">
        <v>1855</v>
      </c>
      <c r="B2071" s="17" t="s">
        <v>3822</v>
      </c>
      <c r="C2071" s="17" t="s">
        <v>3677</v>
      </c>
      <c r="D2071" s="25" t="s">
        <v>3757</v>
      </c>
      <c r="E2071" s="19" t="s">
        <v>3785</v>
      </c>
      <c r="F2071" s="19" t="s">
        <v>2568</v>
      </c>
      <c r="G2071" s="5" t="str">
        <f>HYPERLINK("http://jsmh.umin.jp/journal/30-2/180-182.pdf")</f>
        <v>http://jsmh.umin.jp/journal/30-2/180-182.pdf</v>
      </c>
      <c r="H2071" s="43" t="str">
        <f t="shared" si="174"/>
        <v>http://dl.ndl.go.jp/info:ndljp/pid/3359304</v>
      </c>
    </row>
    <row r="2072" spans="1:8" ht="30" customHeight="1" x14ac:dyDescent="0.15">
      <c r="A2072" s="16" t="s">
        <v>1855</v>
      </c>
      <c r="B2072" s="17" t="s">
        <v>3823</v>
      </c>
      <c r="C2072" s="17" t="s">
        <v>3301</v>
      </c>
      <c r="D2072" s="25" t="s">
        <v>3757</v>
      </c>
      <c r="E2072" s="19" t="s">
        <v>3785</v>
      </c>
      <c r="F2072" s="19" t="s">
        <v>3670</v>
      </c>
      <c r="G2072" s="5" t="str">
        <f>HYPERLINK("http://jsmh.umin.jp/journal/30-2/182-184.pdf")</f>
        <v>http://jsmh.umin.jp/journal/30-2/182-184.pdf</v>
      </c>
      <c r="H2072" s="43" t="str">
        <f t="shared" si="174"/>
        <v>http://dl.ndl.go.jp/info:ndljp/pid/3359304</v>
      </c>
    </row>
    <row r="2073" spans="1:8" ht="30" customHeight="1" x14ac:dyDescent="0.15">
      <c r="A2073" s="16" t="s">
        <v>1855</v>
      </c>
      <c r="B2073" s="17" t="s">
        <v>3824</v>
      </c>
      <c r="C2073" s="17" t="s">
        <v>3612</v>
      </c>
      <c r="D2073" s="25" t="s">
        <v>3757</v>
      </c>
      <c r="E2073" s="19" t="s">
        <v>3785</v>
      </c>
      <c r="F2073" s="19" t="s">
        <v>2574</v>
      </c>
      <c r="G2073" s="5" t="str">
        <f>HYPERLINK("http://jsmh.umin.jp/journal/30-2/185-186.pdf")</f>
        <v>http://jsmh.umin.jp/journal/30-2/185-186.pdf</v>
      </c>
      <c r="H2073" s="43" t="str">
        <f t="shared" si="174"/>
        <v>http://dl.ndl.go.jp/info:ndljp/pid/3359304</v>
      </c>
    </row>
    <row r="2074" spans="1:8" ht="30" customHeight="1" x14ac:dyDescent="0.15">
      <c r="A2074" s="16" t="s">
        <v>1855</v>
      </c>
      <c r="B2074" s="17" t="s">
        <v>3825</v>
      </c>
      <c r="C2074" s="17" t="s">
        <v>2199</v>
      </c>
      <c r="D2074" s="25" t="s">
        <v>3757</v>
      </c>
      <c r="E2074" s="19" t="s">
        <v>3785</v>
      </c>
      <c r="F2074" s="19" t="s">
        <v>2577</v>
      </c>
      <c r="G2074" s="5" t="str">
        <f>HYPERLINK("http://jsmh.umin.jp/journal/30-2/187-188.pdf")</f>
        <v>http://jsmh.umin.jp/journal/30-2/187-188.pdf</v>
      </c>
      <c r="H2074" s="43" t="str">
        <f t="shared" si="174"/>
        <v>http://dl.ndl.go.jp/info:ndljp/pid/3359304</v>
      </c>
    </row>
    <row r="2075" spans="1:8" ht="30" customHeight="1" x14ac:dyDescent="0.15">
      <c r="A2075" s="16" t="s">
        <v>1855</v>
      </c>
      <c r="B2075" s="17" t="s">
        <v>3826</v>
      </c>
      <c r="C2075" s="17" t="s">
        <v>485</v>
      </c>
      <c r="D2075" s="25" t="s">
        <v>3757</v>
      </c>
      <c r="E2075" s="19" t="s">
        <v>3785</v>
      </c>
      <c r="F2075" s="19" t="s">
        <v>3674</v>
      </c>
      <c r="G2075" s="5" t="str">
        <f>HYPERLINK("http://jsmh.umin.jp/journal/30-2/187.pdf")</f>
        <v>http://jsmh.umin.jp/journal/30-2/187.pdf</v>
      </c>
      <c r="H2075" s="43" t="str">
        <f t="shared" si="174"/>
        <v>http://dl.ndl.go.jp/info:ndljp/pid/3359304</v>
      </c>
    </row>
    <row r="2076" spans="1:8" ht="30" customHeight="1" x14ac:dyDescent="0.15">
      <c r="A2076" s="16" t="s">
        <v>1855</v>
      </c>
      <c r="B2076" s="17" t="s">
        <v>3827</v>
      </c>
      <c r="C2076" s="17" t="s">
        <v>3828</v>
      </c>
      <c r="D2076" s="25" t="s">
        <v>3757</v>
      </c>
      <c r="E2076" s="19" t="s">
        <v>3785</v>
      </c>
      <c r="F2076" s="19" t="s">
        <v>1725</v>
      </c>
      <c r="G2076" s="5" t="str">
        <f>HYPERLINK("http://jsmh.umin.jp/journal/30-2/189.pdf")</f>
        <v>http://jsmh.umin.jp/journal/30-2/189.pdf</v>
      </c>
      <c r="H2076" s="43" t="str">
        <f t="shared" si="174"/>
        <v>http://dl.ndl.go.jp/info:ndljp/pid/3359304</v>
      </c>
    </row>
    <row r="2077" spans="1:8" ht="30" customHeight="1" x14ac:dyDescent="0.15">
      <c r="A2077" s="16" t="s">
        <v>1855</v>
      </c>
      <c r="B2077" s="17" t="s">
        <v>3829</v>
      </c>
      <c r="C2077" s="17" t="s">
        <v>3644</v>
      </c>
      <c r="D2077" s="25" t="s">
        <v>3757</v>
      </c>
      <c r="E2077" s="19" t="s">
        <v>3785</v>
      </c>
      <c r="F2077" s="19" t="s">
        <v>976</v>
      </c>
      <c r="G2077" s="5" t="str">
        <f>HYPERLINK("http://jsmh.umin.jp/journal/30-2/190-191.pdf")</f>
        <v>http://jsmh.umin.jp/journal/30-2/190-191.pdf</v>
      </c>
      <c r="H2077" s="43" t="str">
        <f t="shared" si="174"/>
        <v>http://dl.ndl.go.jp/info:ndljp/pid/3359304</v>
      </c>
    </row>
    <row r="2078" spans="1:8" ht="30" customHeight="1" x14ac:dyDescent="0.15">
      <c r="A2078" s="16" t="s">
        <v>1855</v>
      </c>
      <c r="B2078" s="17" t="s">
        <v>3830</v>
      </c>
      <c r="C2078" s="17" t="s">
        <v>1468</v>
      </c>
      <c r="D2078" s="25" t="s">
        <v>3757</v>
      </c>
      <c r="E2078" s="19" t="s">
        <v>3785</v>
      </c>
      <c r="F2078" s="19" t="s">
        <v>988</v>
      </c>
      <c r="G2078" s="5" t="str">
        <f>HYPERLINK("http://jsmh.umin.jp/journal/30-2/192.pdf")</f>
        <v>http://jsmh.umin.jp/journal/30-2/192.pdf</v>
      </c>
      <c r="H2078" s="43" t="str">
        <f t="shared" si="174"/>
        <v>http://dl.ndl.go.jp/info:ndljp/pid/3359304</v>
      </c>
    </row>
    <row r="2079" spans="1:8" ht="30" customHeight="1" x14ac:dyDescent="0.15">
      <c r="A2079" s="16" t="s">
        <v>1855</v>
      </c>
      <c r="B2079" s="17" t="s">
        <v>3831</v>
      </c>
      <c r="C2079" s="17" t="s">
        <v>479</v>
      </c>
      <c r="D2079" s="25" t="s">
        <v>3757</v>
      </c>
      <c r="E2079" s="19" t="s">
        <v>3785</v>
      </c>
      <c r="F2079" s="19" t="s">
        <v>3832</v>
      </c>
      <c r="G2079" s="5" t="str">
        <f>HYPERLINK("http://jsmh.umin.jp/journal/30-2/193-195.pdf")</f>
        <v>http://jsmh.umin.jp/journal/30-2/193-195.pdf</v>
      </c>
      <c r="H2079" s="43" t="str">
        <f t="shared" ref="H2079:H2101" si="175">HYPERLINK("http://dl.ndl.go.jp/info:ndljp/pid/3359304")</f>
        <v>http://dl.ndl.go.jp/info:ndljp/pid/3359304</v>
      </c>
    </row>
    <row r="2080" spans="1:8" ht="30" customHeight="1" x14ac:dyDescent="0.15">
      <c r="A2080" s="16" t="s">
        <v>1855</v>
      </c>
      <c r="B2080" s="17" t="s">
        <v>3833</v>
      </c>
      <c r="C2080" s="17" t="s">
        <v>2937</v>
      </c>
      <c r="D2080" s="25" t="s">
        <v>3757</v>
      </c>
      <c r="E2080" s="19" t="s">
        <v>3785</v>
      </c>
      <c r="F2080" s="19" t="s">
        <v>2438</v>
      </c>
      <c r="G2080" s="5" t="str">
        <f>HYPERLINK("http://jsmh.umin.jp/journal/30-2/195-197.pdf")</f>
        <v>http://jsmh.umin.jp/journal/30-2/195-197.pdf</v>
      </c>
      <c r="H2080" s="43" t="str">
        <f t="shared" si="175"/>
        <v>http://dl.ndl.go.jp/info:ndljp/pid/3359304</v>
      </c>
    </row>
    <row r="2081" spans="1:8" ht="30" customHeight="1" x14ac:dyDescent="0.15">
      <c r="A2081" s="16" t="s">
        <v>1855</v>
      </c>
      <c r="B2081" s="17" t="s">
        <v>3834</v>
      </c>
      <c r="C2081" s="17" t="s">
        <v>3485</v>
      </c>
      <c r="D2081" s="25" t="s">
        <v>3757</v>
      </c>
      <c r="E2081" s="19" t="s">
        <v>3785</v>
      </c>
      <c r="F2081" s="19" t="s">
        <v>1740</v>
      </c>
      <c r="G2081" s="5" t="str">
        <f>HYPERLINK("http://jsmh.umin.jp/journal/30-2/198-199.pdf")</f>
        <v>http://jsmh.umin.jp/journal/30-2/198-199.pdf</v>
      </c>
      <c r="H2081" s="43" t="str">
        <f t="shared" si="175"/>
        <v>http://dl.ndl.go.jp/info:ndljp/pid/3359304</v>
      </c>
    </row>
    <row r="2082" spans="1:8" ht="30" customHeight="1" x14ac:dyDescent="0.15">
      <c r="A2082" s="16" t="s">
        <v>1855</v>
      </c>
      <c r="B2082" s="17" t="s">
        <v>3835</v>
      </c>
      <c r="C2082" s="17" t="s">
        <v>3616</v>
      </c>
      <c r="D2082" s="25" t="s">
        <v>3757</v>
      </c>
      <c r="E2082" s="19" t="s">
        <v>3785</v>
      </c>
      <c r="F2082" s="19" t="s">
        <v>1743</v>
      </c>
      <c r="G2082" s="5" t="str">
        <f>HYPERLINK("http://jsmh.umin.jp/journal/30-2/200-201.pdf")</f>
        <v>http://jsmh.umin.jp/journal/30-2/200-201.pdf</v>
      </c>
      <c r="H2082" s="43" t="str">
        <f t="shared" si="175"/>
        <v>http://dl.ndl.go.jp/info:ndljp/pid/3359304</v>
      </c>
    </row>
    <row r="2083" spans="1:8" ht="30" customHeight="1" x14ac:dyDescent="0.15">
      <c r="A2083" s="16" t="s">
        <v>1855</v>
      </c>
      <c r="B2083" s="17" t="s">
        <v>3836</v>
      </c>
      <c r="C2083" s="17" t="s">
        <v>3837</v>
      </c>
      <c r="D2083" s="25" t="s">
        <v>3757</v>
      </c>
      <c r="E2083" s="19" t="s">
        <v>3785</v>
      </c>
      <c r="F2083" s="19" t="s">
        <v>3439</v>
      </c>
      <c r="G2083" s="5" t="str">
        <f>HYPERLINK("http://jsmh.umin.jp/journal/30-2/201-203.pdf")</f>
        <v>http://jsmh.umin.jp/journal/30-2/201-203.pdf</v>
      </c>
      <c r="H2083" s="43" t="str">
        <f t="shared" si="175"/>
        <v>http://dl.ndl.go.jp/info:ndljp/pid/3359304</v>
      </c>
    </row>
    <row r="2084" spans="1:8" ht="30" customHeight="1" x14ac:dyDescent="0.15">
      <c r="A2084" s="16" t="s">
        <v>1855</v>
      </c>
      <c r="B2084" s="17" t="s">
        <v>3838</v>
      </c>
      <c r="C2084" s="17" t="s">
        <v>3839</v>
      </c>
      <c r="D2084" s="25" t="s">
        <v>3757</v>
      </c>
      <c r="E2084" s="19" t="s">
        <v>3785</v>
      </c>
      <c r="F2084" s="19" t="s">
        <v>256</v>
      </c>
      <c r="G2084" s="5" t="str">
        <f>HYPERLINK("http://jsmh.umin.jp/journal/30-2/204-205.pdf")</f>
        <v>http://jsmh.umin.jp/journal/30-2/204-205.pdf</v>
      </c>
      <c r="H2084" s="43" t="str">
        <f t="shared" si="175"/>
        <v>http://dl.ndl.go.jp/info:ndljp/pid/3359304</v>
      </c>
    </row>
    <row r="2085" spans="1:8" ht="30" customHeight="1" x14ac:dyDescent="0.15">
      <c r="A2085" s="16" t="s">
        <v>1855</v>
      </c>
      <c r="B2085" s="17" t="s">
        <v>3840</v>
      </c>
      <c r="C2085" s="17" t="s">
        <v>1929</v>
      </c>
      <c r="D2085" s="25" t="s">
        <v>3757</v>
      </c>
      <c r="E2085" s="19" t="s">
        <v>3785</v>
      </c>
      <c r="F2085" s="19" t="s">
        <v>2598</v>
      </c>
      <c r="G2085" s="5" t="str">
        <f>HYPERLINK("http://jsmh.umin.jp/journal/30-2/206-208.pdf")</f>
        <v>http://jsmh.umin.jp/journal/30-2/206-208.pdf</v>
      </c>
      <c r="H2085" s="43" t="str">
        <f t="shared" si="175"/>
        <v>http://dl.ndl.go.jp/info:ndljp/pid/3359304</v>
      </c>
    </row>
    <row r="2086" spans="1:8" ht="30" customHeight="1" x14ac:dyDescent="0.15">
      <c r="A2086" s="16" t="s">
        <v>1855</v>
      </c>
      <c r="B2086" s="17" t="s">
        <v>3841</v>
      </c>
      <c r="C2086" s="17" t="s">
        <v>3842</v>
      </c>
      <c r="D2086" s="25" t="s">
        <v>3757</v>
      </c>
      <c r="E2086" s="19" t="s">
        <v>3785</v>
      </c>
      <c r="F2086" s="19" t="s">
        <v>2072</v>
      </c>
      <c r="G2086" s="5" t="str">
        <f>HYPERLINK("http://jsmh.umin.jp/journal/30-2/208-210.pdf")</f>
        <v>http://jsmh.umin.jp/journal/30-2/208-210.pdf</v>
      </c>
      <c r="H2086" s="43" t="str">
        <f t="shared" si="175"/>
        <v>http://dl.ndl.go.jp/info:ndljp/pid/3359304</v>
      </c>
    </row>
    <row r="2087" spans="1:8" ht="30" customHeight="1" x14ac:dyDescent="0.15">
      <c r="A2087" s="16" t="s">
        <v>1855</v>
      </c>
      <c r="B2087" s="17" t="s">
        <v>3843</v>
      </c>
      <c r="C2087" s="17" t="s">
        <v>3844</v>
      </c>
      <c r="D2087" s="25" t="s">
        <v>3757</v>
      </c>
      <c r="E2087" s="19" t="s">
        <v>3785</v>
      </c>
      <c r="F2087" s="19" t="s">
        <v>2076</v>
      </c>
      <c r="G2087" s="5" t="str">
        <f>HYPERLINK("http://jsmh.umin.jp/journal/30-2/211-212.pdf")</f>
        <v>http://jsmh.umin.jp/journal/30-2/211-212.pdf</v>
      </c>
      <c r="H2087" s="43" t="str">
        <f t="shared" si="175"/>
        <v>http://dl.ndl.go.jp/info:ndljp/pid/3359304</v>
      </c>
    </row>
    <row r="2088" spans="1:8" ht="30" customHeight="1" x14ac:dyDescent="0.15">
      <c r="A2088" s="16" t="s">
        <v>1855</v>
      </c>
      <c r="B2088" s="17" t="s">
        <v>3845</v>
      </c>
      <c r="C2088" s="17" t="s">
        <v>2592</v>
      </c>
      <c r="D2088" s="25" t="s">
        <v>3757</v>
      </c>
      <c r="E2088" s="19" t="s">
        <v>3785</v>
      </c>
      <c r="F2088" s="19" t="s">
        <v>1540</v>
      </c>
      <c r="G2088" s="5" t="str">
        <f>HYPERLINK("http://jsmh.umin.jp/journal/30-2/213-215.pdf")</f>
        <v>http://jsmh.umin.jp/journal/30-2/213-215.pdf</v>
      </c>
      <c r="H2088" s="43" t="str">
        <f t="shared" si="175"/>
        <v>http://dl.ndl.go.jp/info:ndljp/pid/3359304</v>
      </c>
    </row>
    <row r="2089" spans="1:8" ht="30" customHeight="1" x14ac:dyDescent="0.15">
      <c r="A2089" s="16" t="s">
        <v>1855</v>
      </c>
      <c r="B2089" s="17" t="s">
        <v>3846</v>
      </c>
      <c r="C2089" s="17" t="s">
        <v>2233</v>
      </c>
      <c r="D2089" s="25" t="s">
        <v>3757</v>
      </c>
      <c r="E2089" s="19" t="s">
        <v>3785</v>
      </c>
      <c r="F2089" s="19" t="s">
        <v>2081</v>
      </c>
      <c r="G2089" s="5" t="str">
        <f>HYPERLINK("http://jsmh.umin.jp/journal/30-2/215-217.pdf")</f>
        <v>http://jsmh.umin.jp/journal/30-2/215-217.pdf</v>
      </c>
      <c r="H2089" s="43" t="str">
        <f t="shared" si="175"/>
        <v>http://dl.ndl.go.jp/info:ndljp/pid/3359304</v>
      </c>
    </row>
    <row r="2090" spans="1:8" ht="30" customHeight="1" x14ac:dyDescent="0.15">
      <c r="A2090" s="16" t="s">
        <v>1855</v>
      </c>
      <c r="B2090" s="17" t="s">
        <v>3847</v>
      </c>
      <c r="C2090" s="17" t="s">
        <v>2881</v>
      </c>
      <c r="D2090" s="25" t="s">
        <v>3757</v>
      </c>
      <c r="E2090" s="19" t="s">
        <v>3785</v>
      </c>
      <c r="F2090" s="19" t="s">
        <v>2083</v>
      </c>
      <c r="G2090" s="5" t="str">
        <f>HYPERLINK("http://jsmh.umin.jp/journal/30-2/217-219.pdf")</f>
        <v>http://jsmh.umin.jp/journal/30-2/217-219.pdf</v>
      </c>
      <c r="H2090" s="43" t="str">
        <f t="shared" si="175"/>
        <v>http://dl.ndl.go.jp/info:ndljp/pid/3359304</v>
      </c>
    </row>
    <row r="2091" spans="1:8" ht="30" customHeight="1" x14ac:dyDescent="0.15">
      <c r="A2091" s="16" t="s">
        <v>1855</v>
      </c>
      <c r="B2091" s="17" t="s">
        <v>3848</v>
      </c>
      <c r="C2091" s="17" t="s">
        <v>3655</v>
      </c>
      <c r="D2091" s="25" t="s">
        <v>3757</v>
      </c>
      <c r="E2091" s="19" t="s">
        <v>3785</v>
      </c>
      <c r="F2091" s="19" t="s">
        <v>2607</v>
      </c>
      <c r="G2091" s="5" t="str">
        <f>HYPERLINK("http://jsmh.umin.jp/journal/30-2/219-221.pdf")</f>
        <v>http://jsmh.umin.jp/journal/30-2/219-221.pdf</v>
      </c>
      <c r="H2091" s="43" t="str">
        <f t="shared" si="175"/>
        <v>http://dl.ndl.go.jp/info:ndljp/pid/3359304</v>
      </c>
    </row>
    <row r="2092" spans="1:8" ht="30" customHeight="1" x14ac:dyDescent="0.15">
      <c r="A2092" s="16" t="s">
        <v>1855</v>
      </c>
      <c r="B2092" s="17" t="s">
        <v>3849</v>
      </c>
      <c r="C2092" s="17" t="s">
        <v>3850</v>
      </c>
      <c r="D2092" s="25" t="s">
        <v>3757</v>
      </c>
      <c r="E2092" s="19" t="s">
        <v>3785</v>
      </c>
      <c r="F2092" s="19" t="s">
        <v>3697</v>
      </c>
      <c r="G2092" s="5" t="str">
        <f>HYPERLINK("http://jsmh.umin.jp/journal/30-2/222-224.pdf")</f>
        <v>http://jsmh.umin.jp/journal/30-2/222-224.pdf</v>
      </c>
      <c r="H2092" s="43" t="str">
        <f t="shared" si="175"/>
        <v>http://dl.ndl.go.jp/info:ndljp/pid/3359304</v>
      </c>
    </row>
    <row r="2093" spans="1:8" ht="30" customHeight="1" x14ac:dyDescent="0.15">
      <c r="A2093" s="16" t="s">
        <v>1855</v>
      </c>
      <c r="B2093" s="17" t="s">
        <v>3851</v>
      </c>
      <c r="C2093" s="17" t="s">
        <v>3469</v>
      </c>
      <c r="D2093" s="25" t="s">
        <v>3757</v>
      </c>
      <c r="E2093" s="19" t="s">
        <v>3785</v>
      </c>
      <c r="F2093" s="19" t="s">
        <v>3852</v>
      </c>
      <c r="G2093" s="5" t="str">
        <f>HYPERLINK("http://jsmh.umin.jp/journal/30-2/224-226.pdf")</f>
        <v>http://jsmh.umin.jp/journal/30-2/224-226.pdf</v>
      </c>
      <c r="H2093" s="43" t="str">
        <f t="shared" si="175"/>
        <v>http://dl.ndl.go.jp/info:ndljp/pid/3359304</v>
      </c>
    </row>
    <row r="2094" spans="1:8" ht="30" customHeight="1" x14ac:dyDescent="0.15">
      <c r="A2094" s="16" t="s">
        <v>1855</v>
      </c>
      <c r="B2094" s="17" t="s">
        <v>10145</v>
      </c>
      <c r="C2094" s="17" t="s">
        <v>2222</v>
      </c>
      <c r="D2094" s="25" t="s">
        <v>3757</v>
      </c>
      <c r="E2094" s="19" t="s">
        <v>3785</v>
      </c>
      <c r="F2094" s="19" t="s">
        <v>103</v>
      </c>
      <c r="G2094" s="5" t="str">
        <f>HYPERLINK("http://jsmh.umin.jp/journal/30-2/227-228.pdf")</f>
        <v>http://jsmh.umin.jp/journal/30-2/227-228.pdf</v>
      </c>
      <c r="H2094" s="43" t="str">
        <f t="shared" si="175"/>
        <v>http://dl.ndl.go.jp/info:ndljp/pid/3359304</v>
      </c>
    </row>
    <row r="2095" spans="1:8" ht="30" customHeight="1" x14ac:dyDescent="0.15">
      <c r="A2095" s="16" t="s">
        <v>1855</v>
      </c>
      <c r="B2095" s="17" t="s">
        <v>3853</v>
      </c>
      <c r="C2095" s="17" t="s">
        <v>2553</v>
      </c>
      <c r="D2095" s="25" t="s">
        <v>3757</v>
      </c>
      <c r="E2095" s="19" t="s">
        <v>3785</v>
      </c>
      <c r="F2095" s="19" t="s">
        <v>3854</v>
      </c>
      <c r="G2095" s="5" t="str">
        <f>HYPERLINK("http://jsmh.umin.jp/journal/30-2/228-230.pdf")</f>
        <v>http://jsmh.umin.jp/journal/30-2/228-230.pdf</v>
      </c>
      <c r="H2095" s="43" t="str">
        <f t="shared" si="175"/>
        <v>http://dl.ndl.go.jp/info:ndljp/pid/3359304</v>
      </c>
    </row>
    <row r="2096" spans="1:8" ht="30" customHeight="1" x14ac:dyDescent="0.15">
      <c r="A2096" s="16" t="s">
        <v>1855</v>
      </c>
      <c r="B2096" s="17" t="s">
        <v>3855</v>
      </c>
      <c r="C2096" s="17" t="s">
        <v>10140</v>
      </c>
      <c r="D2096" s="25" t="s">
        <v>3757</v>
      </c>
      <c r="E2096" s="19" t="s">
        <v>3785</v>
      </c>
      <c r="F2096" s="19" t="s">
        <v>3856</v>
      </c>
      <c r="G2096" s="5" t="str">
        <f>HYPERLINK("http://jsmh.umin.jp/journal/30-2/231-233.pdf")</f>
        <v>http://jsmh.umin.jp/journal/30-2/231-233.pdf</v>
      </c>
      <c r="H2096" s="43" t="str">
        <f t="shared" si="175"/>
        <v>http://dl.ndl.go.jp/info:ndljp/pid/3359304</v>
      </c>
    </row>
    <row r="2097" spans="1:8" ht="30" customHeight="1" x14ac:dyDescent="0.15">
      <c r="A2097" s="16" t="s">
        <v>1855</v>
      </c>
      <c r="B2097" s="17" t="s">
        <v>3857</v>
      </c>
      <c r="C2097" s="17" t="s">
        <v>4785</v>
      </c>
      <c r="D2097" s="25" t="s">
        <v>3757</v>
      </c>
      <c r="E2097" s="19" t="s">
        <v>3785</v>
      </c>
      <c r="F2097" s="19" t="s">
        <v>3858</v>
      </c>
      <c r="G2097" s="5" t="str">
        <f>HYPERLINK("http://jsmh.umin.jp/journal/30-2/233-235.pdf")</f>
        <v>http://jsmh.umin.jp/journal/30-2/233-235.pdf</v>
      </c>
      <c r="H2097" s="43" t="str">
        <f t="shared" si="175"/>
        <v>http://dl.ndl.go.jp/info:ndljp/pid/3359304</v>
      </c>
    </row>
    <row r="2098" spans="1:8" ht="30" customHeight="1" x14ac:dyDescent="0.15">
      <c r="A2098" s="16" t="s">
        <v>1855</v>
      </c>
      <c r="B2098" s="17" t="s">
        <v>3859</v>
      </c>
      <c r="C2098" s="17" t="s">
        <v>3135</v>
      </c>
      <c r="D2098" s="25" t="s">
        <v>3757</v>
      </c>
      <c r="E2098" s="19" t="s">
        <v>3785</v>
      </c>
      <c r="F2098" s="19" t="s">
        <v>3860</v>
      </c>
      <c r="G2098" s="5" t="str">
        <f>HYPERLINK("http://jsmh.umin.jp/journal/30-2/235-237.pdf")</f>
        <v>http://jsmh.umin.jp/journal/30-2/235-237.pdf</v>
      </c>
      <c r="H2098" s="43" t="str">
        <f t="shared" si="175"/>
        <v>http://dl.ndl.go.jp/info:ndljp/pid/3359304</v>
      </c>
    </row>
    <row r="2099" spans="1:8" ht="30" customHeight="1" x14ac:dyDescent="0.15">
      <c r="A2099" s="16" t="s">
        <v>1855</v>
      </c>
      <c r="B2099" s="17" t="s">
        <v>3861</v>
      </c>
      <c r="C2099" s="17" t="s">
        <v>3862</v>
      </c>
      <c r="D2099" s="25" t="s">
        <v>3757</v>
      </c>
      <c r="E2099" s="19" t="s">
        <v>3785</v>
      </c>
      <c r="F2099" s="19" t="s">
        <v>3863</v>
      </c>
      <c r="G2099" s="5" t="str">
        <f>HYPERLINK("http://jsmh.umin.jp/journal/30-2/238-240.pdf")</f>
        <v>http://jsmh.umin.jp/journal/30-2/238-240.pdf</v>
      </c>
      <c r="H2099" s="43" t="str">
        <f t="shared" si="175"/>
        <v>http://dl.ndl.go.jp/info:ndljp/pid/3359304</v>
      </c>
    </row>
    <row r="2100" spans="1:8" ht="30" customHeight="1" x14ac:dyDescent="0.15">
      <c r="A2100" s="16" t="s">
        <v>1855</v>
      </c>
      <c r="B2100" s="17" t="s">
        <v>3864</v>
      </c>
      <c r="C2100" s="17" t="s">
        <v>3482</v>
      </c>
      <c r="D2100" s="25" t="s">
        <v>3757</v>
      </c>
      <c r="E2100" s="19" t="s">
        <v>3785</v>
      </c>
      <c r="F2100" s="19" t="s">
        <v>3302</v>
      </c>
      <c r="G2100" s="5" t="str">
        <f>HYPERLINK("http://jsmh.umin.jp/journal/30-2/240-242.pdf")</f>
        <v>http://jsmh.umin.jp/journal/30-2/240-242.pdf</v>
      </c>
      <c r="H2100" s="43" t="str">
        <f t="shared" si="175"/>
        <v>http://dl.ndl.go.jp/info:ndljp/pid/3359304</v>
      </c>
    </row>
    <row r="2101" spans="1:8" ht="30" customHeight="1" x14ac:dyDescent="0.15">
      <c r="A2101" s="16" t="s">
        <v>1855</v>
      </c>
      <c r="B2101" s="17" t="s">
        <v>3865</v>
      </c>
      <c r="C2101" s="17" t="s">
        <v>3447</v>
      </c>
      <c r="D2101" s="25" t="s">
        <v>3757</v>
      </c>
      <c r="E2101" s="19" t="s">
        <v>3785</v>
      </c>
      <c r="F2101" s="19" t="s">
        <v>3866</v>
      </c>
      <c r="G2101" s="5" t="str">
        <f>HYPERLINK("http://jsmh.umin.jp/journal/30-2/242-244.pdf")</f>
        <v>http://jsmh.umin.jp/journal/30-2/242-244.pdf</v>
      </c>
      <c r="H2101" s="43" t="str">
        <f t="shared" si="175"/>
        <v>http://dl.ndl.go.jp/info:ndljp/pid/3359304</v>
      </c>
    </row>
    <row r="2102" spans="1:8" ht="30" customHeight="1" x14ac:dyDescent="0.15">
      <c r="A2102" s="16" t="s">
        <v>3223</v>
      </c>
      <c r="B2102" s="17" t="s">
        <v>3867</v>
      </c>
      <c r="C2102" s="17"/>
      <c r="D2102" s="25" t="s">
        <v>3757</v>
      </c>
      <c r="E2102" s="19" t="s">
        <v>3868</v>
      </c>
      <c r="F2102" s="19" t="s">
        <v>3869</v>
      </c>
      <c r="G2102" s="5" t="str">
        <f>HYPERLINK("http://jsmh.umin.jp/journal/30-3/249-252.pdf")</f>
        <v>http://jsmh.umin.jp/journal/30-3/249-252.pdf</v>
      </c>
      <c r="H2102" s="42" t="str">
        <f t="shared" ref="H2102:H2120" si="176">HYPERLINK("http://dl.ndl.go.jp/info:ndljp/pid/3359305")</f>
        <v>http://dl.ndl.go.jp/info:ndljp/pid/3359305</v>
      </c>
    </row>
    <row r="2103" spans="1:8" ht="30" customHeight="1" x14ac:dyDescent="0.15">
      <c r="A2103" s="16" t="s">
        <v>17</v>
      </c>
      <c r="B2103" s="17" t="s">
        <v>10146</v>
      </c>
      <c r="C2103" s="17" t="s">
        <v>1699</v>
      </c>
      <c r="D2103" s="25" t="s">
        <v>3757</v>
      </c>
      <c r="E2103" s="19" t="s">
        <v>3868</v>
      </c>
      <c r="F2103" s="19" t="s">
        <v>3870</v>
      </c>
      <c r="G2103" s="5" t="str">
        <f>HYPERLINK("http://jsmh.umin.jp/journal/30-3/253-267.pdf")</f>
        <v>http://jsmh.umin.jp/journal/30-3/253-267.pdf</v>
      </c>
      <c r="H2103" s="43" t="str">
        <f t="shared" si="176"/>
        <v>http://dl.ndl.go.jp/info:ndljp/pid/3359305</v>
      </c>
    </row>
    <row r="2104" spans="1:8" ht="30" customHeight="1" x14ac:dyDescent="0.15">
      <c r="A2104" s="16" t="s">
        <v>17</v>
      </c>
      <c r="B2104" s="17" t="s">
        <v>3871</v>
      </c>
      <c r="C2104" s="17" t="s">
        <v>3381</v>
      </c>
      <c r="D2104" s="25" t="s">
        <v>3757</v>
      </c>
      <c r="E2104" s="19" t="s">
        <v>3868</v>
      </c>
      <c r="F2104" s="19" t="s">
        <v>3872</v>
      </c>
      <c r="G2104" s="5" t="str">
        <f>HYPERLINK("http://jsmh.umin.jp/journal/30-3/258-276.pdf")</f>
        <v>http://jsmh.umin.jp/journal/30-3/258-276.pdf</v>
      </c>
      <c r="H2104" s="43" t="str">
        <f t="shared" si="176"/>
        <v>http://dl.ndl.go.jp/info:ndljp/pid/3359305</v>
      </c>
    </row>
    <row r="2105" spans="1:8" ht="30" customHeight="1" x14ac:dyDescent="0.15">
      <c r="A2105" s="16" t="s">
        <v>17</v>
      </c>
      <c r="B2105" s="17" t="s">
        <v>3873</v>
      </c>
      <c r="C2105" s="17" t="s">
        <v>48</v>
      </c>
      <c r="D2105" s="25" t="s">
        <v>3757</v>
      </c>
      <c r="E2105" s="19" t="s">
        <v>3868</v>
      </c>
      <c r="F2105" s="19" t="s">
        <v>3874</v>
      </c>
      <c r="G2105" s="5" t="str">
        <f>HYPERLINK("http://jsmh.umin.jp/journal/30-3/277-291.pdf")</f>
        <v>http://jsmh.umin.jp/journal/30-3/277-291.pdf</v>
      </c>
      <c r="H2105" s="43" t="str">
        <f t="shared" si="176"/>
        <v>http://dl.ndl.go.jp/info:ndljp/pid/3359305</v>
      </c>
    </row>
    <row r="2106" spans="1:8" ht="30" customHeight="1" x14ac:dyDescent="0.15">
      <c r="A2106" s="16" t="s">
        <v>17</v>
      </c>
      <c r="B2106" s="17" t="s">
        <v>3875</v>
      </c>
      <c r="C2106" s="17" t="s">
        <v>3762</v>
      </c>
      <c r="D2106" s="25" t="s">
        <v>3757</v>
      </c>
      <c r="E2106" s="19" t="s">
        <v>3868</v>
      </c>
      <c r="F2106" s="19" t="s">
        <v>3876</v>
      </c>
      <c r="G2106" s="5" t="str">
        <f>HYPERLINK("http://jsmh.umin.jp/journal/30-3/292-307.pdf")</f>
        <v>http://jsmh.umin.jp/journal/30-3/292-307.pdf</v>
      </c>
      <c r="H2106" s="43" t="str">
        <f t="shared" si="176"/>
        <v>http://dl.ndl.go.jp/info:ndljp/pid/3359305</v>
      </c>
    </row>
    <row r="2107" spans="1:8" ht="30" customHeight="1" x14ac:dyDescent="0.15">
      <c r="A2107" s="16" t="s">
        <v>3387</v>
      </c>
      <c r="B2107" s="17" t="s">
        <v>3877</v>
      </c>
      <c r="C2107" s="17" t="s">
        <v>790</v>
      </c>
      <c r="D2107" s="25" t="s">
        <v>3757</v>
      </c>
      <c r="E2107" s="19" t="s">
        <v>3868</v>
      </c>
      <c r="F2107" s="19" t="s">
        <v>3878</v>
      </c>
      <c r="G2107" s="5" t="str">
        <f>HYPERLINK("http://jsmh.umin.jp/journal/30-3/308-315.pdf")</f>
        <v>http://jsmh.umin.jp/journal/30-3/308-315.pdf</v>
      </c>
      <c r="H2107" s="43" t="str">
        <f t="shared" si="176"/>
        <v>http://dl.ndl.go.jp/info:ndljp/pid/3359305</v>
      </c>
    </row>
    <row r="2108" spans="1:8" ht="30" customHeight="1" x14ac:dyDescent="0.15">
      <c r="A2108" s="16" t="s">
        <v>692</v>
      </c>
      <c r="B2108" s="17" t="s">
        <v>3879</v>
      </c>
      <c r="C2108" s="17" t="s">
        <v>1764</v>
      </c>
      <c r="D2108" s="25" t="s">
        <v>3757</v>
      </c>
      <c r="E2108" s="19" t="s">
        <v>3868</v>
      </c>
      <c r="F2108" s="19" t="s">
        <v>3123</v>
      </c>
      <c r="G2108" s="5" t="str">
        <f>HYPERLINK("http://jsmh.umin.jp/journal/30-3/316-318.pdf")</f>
        <v>http://jsmh.umin.jp/journal/30-3/316-318.pdf</v>
      </c>
      <c r="H2108" s="43" t="str">
        <f t="shared" si="176"/>
        <v>http://dl.ndl.go.jp/info:ndljp/pid/3359305</v>
      </c>
    </row>
    <row r="2109" spans="1:8" ht="30" customHeight="1" x14ac:dyDescent="0.15">
      <c r="A2109" s="16" t="s">
        <v>3720</v>
      </c>
      <c r="B2109" s="17" t="s">
        <v>3880</v>
      </c>
      <c r="C2109" s="17" t="s">
        <v>303</v>
      </c>
      <c r="D2109" s="25" t="s">
        <v>3757</v>
      </c>
      <c r="E2109" s="19" t="s">
        <v>3868</v>
      </c>
      <c r="F2109" s="19" t="s">
        <v>3881</v>
      </c>
      <c r="G2109" s="5" t="str">
        <f>HYPERLINK("http://jsmh.umin.jp/journal/30-3/319-322.pdf")</f>
        <v>http://jsmh.umin.jp/journal/30-3/319-322.pdf</v>
      </c>
      <c r="H2109" s="43" t="str">
        <f t="shared" si="176"/>
        <v>http://dl.ndl.go.jp/info:ndljp/pid/3359305</v>
      </c>
    </row>
    <row r="2110" spans="1:8" ht="30" customHeight="1" x14ac:dyDescent="0.15">
      <c r="A2110" s="16" t="s">
        <v>3720</v>
      </c>
      <c r="B2110" s="17" t="s">
        <v>3833</v>
      </c>
      <c r="C2110" s="17" t="s">
        <v>2937</v>
      </c>
      <c r="D2110" s="25" t="s">
        <v>3757</v>
      </c>
      <c r="E2110" s="19" t="s">
        <v>3868</v>
      </c>
      <c r="F2110" s="19" t="s">
        <v>3129</v>
      </c>
      <c r="G2110" s="5" t="str">
        <f>HYPERLINK("http://jsmh.umin.jp/journal/30-3/322-323.pdf")</f>
        <v>http://jsmh.umin.jp/journal/30-3/322-323.pdf</v>
      </c>
      <c r="H2110" s="43" t="str">
        <f t="shared" si="176"/>
        <v>http://dl.ndl.go.jp/info:ndljp/pid/3359305</v>
      </c>
    </row>
    <row r="2111" spans="1:8" ht="30" customHeight="1" x14ac:dyDescent="0.15">
      <c r="A2111" s="16" t="s">
        <v>3720</v>
      </c>
      <c r="B2111" s="17" t="s">
        <v>3882</v>
      </c>
      <c r="C2111" s="17" t="s">
        <v>3883</v>
      </c>
      <c r="D2111" s="25" t="s">
        <v>3757</v>
      </c>
      <c r="E2111" s="19" t="s">
        <v>3868</v>
      </c>
      <c r="F2111" s="19" t="s">
        <v>3884</v>
      </c>
      <c r="G2111" s="5" t="str">
        <f>HYPERLINK("http://jsmh.umin.jp/journal/30-3/323-324.pdf")</f>
        <v>http://jsmh.umin.jp/journal/30-3/323-324.pdf</v>
      </c>
      <c r="H2111" s="43" t="str">
        <f t="shared" si="176"/>
        <v>http://dl.ndl.go.jp/info:ndljp/pid/3359305</v>
      </c>
    </row>
    <row r="2112" spans="1:8" ht="30" customHeight="1" x14ac:dyDescent="0.15">
      <c r="A2112" s="16" t="s">
        <v>3720</v>
      </c>
      <c r="B2112" s="17" t="s">
        <v>10147</v>
      </c>
      <c r="C2112" s="17" t="s">
        <v>3778</v>
      </c>
      <c r="D2112" s="25" t="s">
        <v>3757</v>
      </c>
      <c r="E2112" s="19" t="s">
        <v>3868</v>
      </c>
      <c r="F2112" s="19" t="s">
        <v>3885</v>
      </c>
      <c r="G2112" s="5" t="str">
        <f>HYPERLINK("http://jsmh.umin.jp/journal/30-3/324-325.pdf")</f>
        <v>http://jsmh.umin.jp/journal/30-3/324-325.pdf</v>
      </c>
      <c r="H2112" s="43" t="str">
        <f t="shared" si="176"/>
        <v>http://dl.ndl.go.jp/info:ndljp/pid/3359305</v>
      </c>
    </row>
    <row r="2113" spans="1:8" ht="30" customHeight="1" x14ac:dyDescent="0.15">
      <c r="A2113" s="16" t="s">
        <v>558</v>
      </c>
      <c r="B2113" s="17" t="s">
        <v>3886</v>
      </c>
      <c r="C2113" s="17"/>
      <c r="D2113" s="25" t="s">
        <v>3757</v>
      </c>
      <c r="E2113" s="19" t="s">
        <v>3868</v>
      </c>
      <c r="F2113" s="19" t="s">
        <v>3887</v>
      </c>
      <c r="G2113" s="5" t="str">
        <f>HYPERLINK("http://jsmh.umin.jp/journal/30-3/326-327.pdf")</f>
        <v>http://jsmh.umin.jp/journal/30-3/326-327.pdf</v>
      </c>
      <c r="H2113" s="43" t="str">
        <f t="shared" si="176"/>
        <v>http://dl.ndl.go.jp/info:ndljp/pid/3359305</v>
      </c>
    </row>
    <row r="2114" spans="1:8" ht="30" customHeight="1" x14ac:dyDescent="0.15">
      <c r="A2114" s="16" t="s">
        <v>558</v>
      </c>
      <c r="B2114" s="17" t="s">
        <v>3888</v>
      </c>
      <c r="C2114" s="17"/>
      <c r="D2114" s="25" t="s">
        <v>3757</v>
      </c>
      <c r="E2114" s="19" t="s">
        <v>3868</v>
      </c>
      <c r="F2114" s="19" t="s">
        <v>2458</v>
      </c>
      <c r="G2114" s="5" t="str">
        <f>HYPERLINK("http://jsmh.umin.jp/journal/30-3/326.pdf")</f>
        <v>http://jsmh.umin.jp/journal/30-3/326.pdf</v>
      </c>
      <c r="H2114" s="43" t="str">
        <f t="shared" si="176"/>
        <v>http://dl.ndl.go.jp/info:ndljp/pid/3359305</v>
      </c>
    </row>
    <row r="2115" spans="1:8" ht="30" customHeight="1" x14ac:dyDescent="0.15">
      <c r="A2115" s="16" t="s">
        <v>558</v>
      </c>
      <c r="B2115" s="17" t="s">
        <v>3889</v>
      </c>
      <c r="C2115" s="17"/>
      <c r="D2115" s="25" t="s">
        <v>3757</v>
      </c>
      <c r="E2115" s="19" t="s">
        <v>3868</v>
      </c>
      <c r="F2115" s="19" t="s">
        <v>2458</v>
      </c>
      <c r="G2115" s="5" t="str">
        <f>HYPERLINK("http://jsmh.umin.jp/journal/30-3/326.pdf")</f>
        <v>http://jsmh.umin.jp/journal/30-3/326.pdf</v>
      </c>
      <c r="H2115" s="43" t="str">
        <f t="shared" si="176"/>
        <v>http://dl.ndl.go.jp/info:ndljp/pid/3359305</v>
      </c>
    </row>
    <row r="2116" spans="1:8" ht="30" customHeight="1" x14ac:dyDescent="0.15">
      <c r="A2116" s="16" t="s">
        <v>1102</v>
      </c>
      <c r="B2116" s="17" t="s">
        <v>3890</v>
      </c>
      <c r="C2116" s="17" t="s">
        <v>2465</v>
      </c>
      <c r="D2116" s="25" t="s">
        <v>3757</v>
      </c>
      <c r="E2116" s="19" t="s">
        <v>3868</v>
      </c>
      <c r="F2116" s="19" t="s">
        <v>3891</v>
      </c>
      <c r="G2116" s="5" t="str">
        <f>HYPERLINK("http://jsmh.umin.jp/journal/30-3/328-329.pdf")</f>
        <v>http://jsmh.umin.jp/journal/30-3/328-329.pdf</v>
      </c>
      <c r="H2116" s="43" t="str">
        <f t="shared" si="176"/>
        <v>http://dl.ndl.go.jp/info:ndljp/pid/3359305</v>
      </c>
    </row>
    <row r="2117" spans="1:8" ht="30" customHeight="1" x14ac:dyDescent="0.15">
      <c r="A2117" s="16" t="s">
        <v>558</v>
      </c>
      <c r="B2117" s="17" t="s">
        <v>3892</v>
      </c>
      <c r="C2117" s="17"/>
      <c r="D2117" s="25" t="s">
        <v>3757</v>
      </c>
      <c r="E2117" s="19" t="s">
        <v>3868</v>
      </c>
      <c r="F2117" s="19" t="s">
        <v>3893</v>
      </c>
      <c r="G2117" s="5" t="str">
        <f>HYPERLINK("http://jsmh.umin.jp/journal/30-3/331-344.pdf")</f>
        <v>http://jsmh.umin.jp/journal/30-3/331-344.pdf</v>
      </c>
      <c r="H2117" s="43" t="str">
        <f t="shared" si="176"/>
        <v>http://dl.ndl.go.jp/info:ndljp/pid/3359305</v>
      </c>
    </row>
    <row r="2118" spans="1:8" ht="30" customHeight="1" x14ac:dyDescent="0.15">
      <c r="A2118" s="16" t="s">
        <v>3223</v>
      </c>
      <c r="B2118" s="17" t="s">
        <v>3894</v>
      </c>
      <c r="C2118" s="17" t="s">
        <v>479</v>
      </c>
      <c r="D2118" s="25" t="s">
        <v>3757</v>
      </c>
      <c r="E2118" s="19" t="s">
        <v>3868</v>
      </c>
      <c r="F2118" s="19" t="s">
        <v>3895</v>
      </c>
      <c r="G2118" s="5" t="str">
        <f>HYPERLINK("http://jsmh.umin.jp/journal/30-3/345.pdf")</f>
        <v>http://jsmh.umin.jp/journal/30-3/345.pdf</v>
      </c>
      <c r="H2118" s="43" t="str">
        <f t="shared" si="176"/>
        <v>http://dl.ndl.go.jp/info:ndljp/pid/3359305</v>
      </c>
    </row>
    <row r="2119" spans="1:8" ht="30" customHeight="1" x14ac:dyDescent="0.15">
      <c r="A2119" s="16" t="s">
        <v>3223</v>
      </c>
      <c r="B2119" s="17" t="s">
        <v>3896</v>
      </c>
      <c r="C2119" s="17" t="s">
        <v>507</v>
      </c>
      <c r="D2119" s="25" t="s">
        <v>3757</v>
      </c>
      <c r="E2119" s="19" t="s">
        <v>3868</v>
      </c>
      <c r="F2119" s="19" t="s">
        <v>3897</v>
      </c>
      <c r="G2119" s="5" t="str">
        <f>HYPERLINK("http://jsmh.umin.jp/journal/30-3/346.pdf")</f>
        <v>http://jsmh.umin.jp/journal/30-3/346.pdf</v>
      </c>
      <c r="H2119" s="43" t="str">
        <f t="shared" si="176"/>
        <v>http://dl.ndl.go.jp/info:ndljp/pid/3359305</v>
      </c>
    </row>
    <row r="2120" spans="1:8" ht="30" customHeight="1" x14ac:dyDescent="0.15">
      <c r="A2120" s="16" t="s">
        <v>692</v>
      </c>
      <c r="B2120" s="17" t="s">
        <v>3898</v>
      </c>
      <c r="C2120" s="17" t="s">
        <v>3899</v>
      </c>
      <c r="D2120" s="25" t="s">
        <v>3757</v>
      </c>
      <c r="E2120" s="19" t="s">
        <v>3868</v>
      </c>
      <c r="F2120" s="19" t="s">
        <v>3900</v>
      </c>
      <c r="G2120" s="5" t="str">
        <f>HYPERLINK("http://jsmh.umin.jp/journal/30-3/360-351.pdf")</f>
        <v>http://jsmh.umin.jp/journal/30-3/360-351.pdf</v>
      </c>
      <c r="H2120" s="43" t="str">
        <f t="shared" si="176"/>
        <v>http://dl.ndl.go.jp/info:ndljp/pid/3359305</v>
      </c>
    </row>
    <row r="2121" spans="1:8" ht="30" customHeight="1" x14ac:dyDescent="0.15">
      <c r="A2121" s="16" t="s">
        <v>558</v>
      </c>
      <c r="B2121" s="17" t="s">
        <v>704</v>
      </c>
      <c r="C2121" s="17"/>
      <c r="D2121" s="25" t="s">
        <v>3757</v>
      </c>
      <c r="E2121" s="19" t="s">
        <v>3901</v>
      </c>
      <c r="F2121" s="19" t="s">
        <v>3902</v>
      </c>
      <c r="G2121" s="5" t="str">
        <f>HYPERLINK("http://jsmh.umin.jp/journal/30-4/319.pdf")</f>
        <v>http://jsmh.umin.jp/journal/30-4/319.pdf</v>
      </c>
      <c r="H2121" s="42" t="str">
        <f t="shared" ref="H2121:H2140" si="177">HYPERLINK("http://dl.ndl.go.jp/info:ndljp/pid/3359306")</f>
        <v>http://dl.ndl.go.jp/info:ndljp/pid/3359306</v>
      </c>
    </row>
    <row r="2122" spans="1:8" ht="30" customHeight="1" x14ac:dyDescent="0.15">
      <c r="A2122" s="16" t="s">
        <v>17</v>
      </c>
      <c r="B2122" s="17" t="s">
        <v>10148</v>
      </c>
      <c r="C2122" s="17" t="s">
        <v>2937</v>
      </c>
      <c r="D2122" s="25" t="s">
        <v>3757</v>
      </c>
      <c r="E2122" s="19" t="s">
        <v>3901</v>
      </c>
      <c r="F2122" s="19" t="s">
        <v>3903</v>
      </c>
      <c r="G2122" s="5" t="str">
        <f>HYPERLINK("http://jsmh.umin.jp/journal/30-4/361-373.pdf")</f>
        <v>http://jsmh.umin.jp/journal/30-4/361-373.pdf</v>
      </c>
      <c r="H2122" s="43" t="str">
        <f t="shared" si="177"/>
        <v>http://dl.ndl.go.jp/info:ndljp/pid/3359306</v>
      </c>
    </row>
    <row r="2123" spans="1:8" ht="30" customHeight="1" x14ac:dyDescent="0.15">
      <c r="A2123" s="16" t="s">
        <v>17</v>
      </c>
      <c r="B2123" s="17" t="s">
        <v>3904</v>
      </c>
      <c r="C2123" s="17" t="s">
        <v>3905</v>
      </c>
      <c r="D2123" s="25" t="s">
        <v>3757</v>
      </c>
      <c r="E2123" s="19" t="s">
        <v>3901</v>
      </c>
      <c r="F2123" s="19" t="s">
        <v>3906</v>
      </c>
      <c r="G2123" s="5" t="str">
        <f>HYPERLINK("http://jsmh.umin.jp/journal/30-4/374-389.pdf")</f>
        <v>http://jsmh.umin.jp/journal/30-4/374-389.pdf</v>
      </c>
      <c r="H2123" s="43" t="str">
        <f t="shared" si="177"/>
        <v>http://dl.ndl.go.jp/info:ndljp/pid/3359306</v>
      </c>
    </row>
    <row r="2124" spans="1:8" ht="30" customHeight="1" x14ac:dyDescent="0.15">
      <c r="A2124" s="16" t="s">
        <v>17</v>
      </c>
      <c r="B2124" s="17" t="s">
        <v>3907</v>
      </c>
      <c r="C2124" s="17" t="s">
        <v>3644</v>
      </c>
      <c r="D2124" s="25" t="s">
        <v>3757</v>
      </c>
      <c r="E2124" s="19" t="s">
        <v>3901</v>
      </c>
      <c r="F2124" s="19" t="s">
        <v>3908</v>
      </c>
      <c r="G2124" s="5" t="str">
        <f>HYPERLINK("http://jsmh.umin.jp/journal/30-4/390-402.pdf")</f>
        <v>http://jsmh.umin.jp/journal/30-4/390-402.pdf</v>
      </c>
      <c r="H2124" s="43" t="str">
        <f t="shared" si="177"/>
        <v>http://dl.ndl.go.jp/info:ndljp/pid/3359306</v>
      </c>
    </row>
    <row r="2125" spans="1:8" ht="30" customHeight="1" x14ac:dyDescent="0.15">
      <c r="A2125" s="16" t="s">
        <v>17</v>
      </c>
      <c r="B2125" s="17" t="s">
        <v>3909</v>
      </c>
      <c r="C2125" s="17" t="s">
        <v>790</v>
      </c>
      <c r="D2125" s="25" t="s">
        <v>3757</v>
      </c>
      <c r="E2125" s="19" t="s">
        <v>3901</v>
      </c>
      <c r="F2125" s="19" t="s">
        <v>3910</v>
      </c>
      <c r="G2125" s="5" t="str">
        <f>HYPERLINK("http://jsmh.umin.jp/journal/30-4/403-412.pdf")</f>
        <v>http://jsmh.umin.jp/journal/30-4/403-412.pdf</v>
      </c>
      <c r="H2125" s="43" t="str">
        <f t="shared" si="177"/>
        <v>http://dl.ndl.go.jp/info:ndljp/pid/3359306</v>
      </c>
    </row>
    <row r="2126" spans="1:8" ht="30" customHeight="1" x14ac:dyDescent="0.15">
      <c r="A2126" s="16" t="s">
        <v>17</v>
      </c>
      <c r="B2126" s="17" t="s">
        <v>3911</v>
      </c>
      <c r="C2126" s="17" t="s">
        <v>3912</v>
      </c>
      <c r="D2126" s="25" t="s">
        <v>3757</v>
      </c>
      <c r="E2126" s="19" t="s">
        <v>3901</v>
      </c>
      <c r="F2126" s="19" t="s">
        <v>3913</v>
      </c>
      <c r="G2126" s="5" t="str">
        <f>HYPERLINK("http://jsmh.umin.jp/journal/30-4/413-424.pdf")</f>
        <v>http://jsmh.umin.jp/journal/30-4/413-424.pdf</v>
      </c>
      <c r="H2126" s="43" t="str">
        <f t="shared" si="177"/>
        <v>http://dl.ndl.go.jp/info:ndljp/pid/3359306</v>
      </c>
    </row>
    <row r="2127" spans="1:8" ht="30" customHeight="1" x14ac:dyDescent="0.15">
      <c r="A2127" s="16" t="s">
        <v>3387</v>
      </c>
      <c r="B2127" s="17" t="s">
        <v>3914</v>
      </c>
      <c r="C2127" s="17" t="s">
        <v>273</v>
      </c>
      <c r="D2127" s="25" t="s">
        <v>3757</v>
      </c>
      <c r="E2127" s="19" t="s">
        <v>3901</v>
      </c>
      <c r="F2127" s="19" t="s">
        <v>3915</v>
      </c>
      <c r="G2127" s="5" t="str">
        <f>HYPERLINK("http://jsmh.umin.jp/journal/30-4/425-431.pdf")</f>
        <v>http://jsmh.umin.jp/journal/30-4/425-431.pdf</v>
      </c>
      <c r="H2127" s="43" t="str">
        <f t="shared" si="177"/>
        <v>http://dl.ndl.go.jp/info:ndljp/pid/3359306</v>
      </c>
    </row>
    <row r="2128" spans="1:8" ht="30" customHeight="1" x14ac:dyDescent="0.15">
      <c r="A2128" s="16" t="s">
        <v>3387</v>
      </c>
      <c r="B2128" s="17" t="s">
        <v>3916</v>
      </c>
      <c r="C2128" s="17" t="s">
        <v>3917</v>
      </c>
      <c r="D2128" s="25" t="s">
        <v>3757</v>
      </c>
      <c r="E2128" s="19" t="s">
        <v>3901</v>
      </c>
      <c r="F2128" s="19" t="s">
        <v>3918</v>
      </c>
      <c r="G2128" s="5" t="str">
        <f>HYPERLINK("http://jsmh.umin.jp/journal/30-4/432-442.pdf")</f>
        <v>http://jsmh.umin.jp/journal/30-4/432-442.pdf</v>
      </c>
      <c r="H2128" s="43" t="str">
        <f t="shared" si="177"/>
        <v>http://dl.ndl.go.jp/info:ndljp/pid/3359306</v>
      </c>
    </row>
    <row r="2129" spans="1:8" ht="30" customHeight="1" x14ac:dyDescent="0.15">
      <c r="A2129" s="16" t="s">
        <v>3387</v>
      </c>
      <c r="B2129" s="17" t="s">
        <v>3919</v>
      </c>
      <c r="C2129" s="17" t="s">
        <v>3630</v>
      </c>
      <c r="D2129" s="25" t="s">
        <v>3757</v>
      </c>
      <c r="E2129" s="19" t="s">
        <v>3901</v>
      </c>
      <c r="F2129" s="19" t="s">
        <v>3920</v>
      </c>
      <c r="G2129" s="5" t="str">
        <f>HYPERLINK("http://jsmh.umin.jp/journal/30-4/443-449.pdf")</f>
        <v>http://jsmh.umin.jp/journal/30-4/443-449.pdf</v>
      </c>
      <c r="H2129" s="43" t="str">
        <f t="shared" si="177"/>
        <v>http://dl.ndl.go.jp/info:ndljp/pid/3359306</v>
      </c>
    </row>
    <row r="2130" spans="1:8" ht="30" customHeight="1" x14ac:dyDescent="0.15">
      <c r="A2130" s="16" t="s">
        <v>3387</v>
      </c>
      <c r="B2130" s="17" t="s">
        <v>3921</v>
      </c>
      <c r="C2130" s="17" t="s">
        <v>3432</v>
      </c>
      <c r="D2130" s="25" t="s">
        <v>3757</v>
      </c>
      <c r="E2130" s="19" t="s">
        <v>3901</v>
      </c>
      <c r="F2130" s="19" t="s">
        <v>3922</v>
      </c>
      <c r="G2130" s="5" t="str">
        <f>HYPERLINK("http://jsmh.umin.jp/journal/30-4/450-455.pdf")</f>
        <v>http://jsmh.umin.jp/journal/30-4/450-455.pdf</v>
      </c>
      <c r="H2130" s="43" t="str">
        <f t="shared" si="177"/>
        <v>http://dl.ndl.go.jp/info:ndljp/pid/3359306</v>
      </c>
    </row>
    <row r="2131" spans="1:8" ht="30" customHeight="1" x14ac:dyDescent="0.15">
      <c r="A2131" s="16" t="s">
        <v>692</v>
      </c>
      <c r="B2131" s="17" t="s">
        <v>10149</v>
      </c>
      <c r="C2131" s="17" t="s">
        <v>3010</v>
      </c>
      <c r="D2131" s="25" t="s">
        <v>3757</v>
      </c>
      <c r="E2131" s="19" t="s">
        <v>3901</v>
      </c>
      <c r="F2131" s="19" t="s">
        <v>3923</v>
      </c>
      <c r="G2131" s="5" t="str">
        <f>HYPERLINK("http://jsmh.umin.jp/journal/30-4/456-467.pdf")</f>
        <v>http://jsmh.umin.jp/journal/30-4/456-467.pdf</v>
      </c>
      <c r="H2131" s="43" t="str">
        <f t="shared" si="177"/>
        <v>http://dl.ndl.go.jp/info:ndljp/pid/3359306</v>
      </c>
    </row>
    <row r="2132" spans="1:8" ht="30" customHeight="1" x14ac:dyDescent="0.15">
      <c r="A2132" s="16" t="s">
        <v>2894</v>
      </c>
      <c r="B2132" s="17" t="s">
        <v>3924</v>
      </c>
      <c r="C2132" s="17"/>
      <c r="D2132" s="25" t="s">
        <v>3757</v>
      </c>
      <c r="E2132" s="19" t="s">
        <v>3901</v>
      </c>
      <c r="F2132" s="19" t="s">
        <v>3925</v>
      </c>
      <c r="G2132" s="5" t="str">
        <f>HYPERLINK("http://jsmh.umin.jp/journal/30-4/468-492.pdf")</f>
        <v>http://jsmh.umin.jp/journal/30-4/468-492.pdf</v>
      </c>
      <c r="H2132" s="43" t="str">
        <f t="shared" si="177"/>
        <v>http://dl.ndl.go.jp/info:ndljp/pid/3359306</v>
      </c>
    </row>
    <row r="2133" spans="1:8" ht="30" customHeight="1" x14ac:dyDescent="0.15">
      <c r="A2133" s="16" t="s">
        <v>3720</v>
      </c>
      <c r="B2133" s="17" t="s">
        <v>3926</v>
      </c>
      <c r="C2133" s="17" t="s">
        <v>3781</v>
      </c>
      <c r="D2133" s="25" t="s">
        <v>3757</v>
      </c>
      <c r="E2133" s="19" t="s">
        <v>3901</v>
      </c>
      <c r="F2133" s="19" t="s">
        <v>3927</v>
      </c>
      <c r="G2133" s="5" t="str">
        <f>HYPERLINK("http://jsmh.umin.jp/journal/30-4/493-494.pdf")</f>
        <v>http://jsmh.umin.jp/journal/30-4/493-494.pdf</v>
      </c>
      <c r="H2133" s="43" t="str">
        <f t="shared" si="177"/>
        <v>http://dl.ndl.go.jp/info:ndljp/pid/3359306</v>
      </c>
    </row>
    <row r="2134" spans="1:8" ht="30" customHeight="1" x14ac:dyDescent="0.15">
      <c r="A2134" s="16" t="s">
        <v>558</v>
      </c>
      <c r="B2134" s="17" t="s">
        <v>704</v>
      </c>
      <c r="C2134" s="17"/>
      <c r="D2134" s="25" t="s">
        <v>3757</v>
      </c>
      <c r="E2134" s="19" t="s">
        <v>3901</v>
      </c>
      <c r="F2134" s="19" t="s">
        <v>3928</v>
      </c>
      <c r="G2134" s="5" t="str">
        <f>HYPERLINK("http://jsmh.umin.jp/journal/30-4/493.pdf")</f>
        <v>http://jsmh.umin.jp/journal/30-4/493.pdf</v>
      </c>
      <c r="H2134" s="43" t="str">
        <f t="shared" si="177"/>
        <v>http://dl.ndl.go.jp/info:ndljp/pid/3359306</v>
      </c>
    </row>
    <row r="2135" spans="1:8" ht="30" customHeight="1" x14ac:dyDescent="0.15">
      <c r="A2135" s="16" t="s">
        <v>2990</v>
      </c>
      <c r="B2135" s="17" t="s">
        <v>3929</v>
      </c>
      <c r="C2135" s="17"/>
      <c r="D2135" s="25" t="s">
        <v>3757</v>
      </c>
      <c r="E2135" s="19" t="s">
        <v>3901</v>
      </c>
      <c r="F2135" s="19" t="s">
        <v>3930</v>
      </c>
      <c r="G2135" s="5" t="str">
        <f>HYPERLINK("http://jsmh.umin.jp/journal/30-4/494.pdf")</f>
        <v>http://jsmh.umin.jp/journal/30-4/494.pdf</v>
      </c>
      <c r="H2135" s="43" t="str">
        <f t="shared" si="177"/>
        <v>http://dl.ndl.go.jp/info:ndljp/pid/3359306</v>
      </c>
    </row>
    <row r="2136" spans="1:8" ht="30" customHeight="1" x14ac:dyDescent="0.15">
      <c r="A2136" s="16" t="s">
        <v>1102</v>
      </c>
      <c r="B2136" s="17" t="s">
        <v>3931</v>
      </c>
      <c r="C2136" s="17" t="s">
        <v>1659</v>
      </c>
      <c r="D2136" s="25" t="s">
        <v>3757</v>
      </c>
      <c r="E2136" s="19" t="s">
        <v>3901</v>
      </c>
      <c r="F2136" s="19" t="s">
        <v>3932</v>
      </c>
      <c r="G2136" s="5" t="str">
        <f>HYPERLINK("http://jsmh.umin.jp/journal/30-4/495.pdf")</f>
        <v>http://jsmh.umin.jp/journal/30-4/495.pdf</v>
      </c>
      <c r="H2136" s="43" t="str">
        <f t="shared" si="177"/>
        <v>http://dl.ndl.go.jp/info:ndljp/pid/3359306</v>
      </c>
    </row>
    <row r="2137" spans="1:8" ht="30" customHeight="1" x14ac:dyDescent="0.15">
      <c r="A2137" s="16" t="s">
        <v>81</v>
      </c>
      <c r="B2137" s="17" t="s">
        <v>3933</v>
      </c>
      <c r="C2137" s="17"/>
      <c r="D2137" s="25" t="s">
        <v>3757</v>
      </c>
      <c r="E2137" s="19" t="s">
        <v>3901</v>
      </c>
      <c r="F2137" s="19" t="s">
        <v>3934</v>
      </c>
      <c r="G2137" s="26" t="str">
        <f>HYPERLINK("http://jsmh.umin.jp/journal/30-4/496-499.pdf")</f>
        <v>http://jsmh.umin.jp/journal/30-4/496-499.pdf</v>
      </c>
      <c r="H2137" s="43" t="str">
        <f t="shared" si="177"/>
        <v>http://dl.ndl.go.jp/info:ndljp/pid/3359306</v>
      </c>
    </row>
    <row r="2138" spans="1:8" ht="30" customHeight="1" x14ac:dyDescent="0.15">
      <c r="A2138" s="16" t="s">
        <v>81</v>
      </c>
      <c r="B2138" s="17" t="s">
        <v>3935</v>
      </c>
      <c r="C2138" s="17" t="s">
        <v>1659</v>
      </c>
      <c r="D2138" s="25" t="s">
        <v>3757</v>
      </c>
      <c r="E2138" s="19" t="s">
        <v>3901</v>
      </c>
      <c r="F2138" s="19" t="s">
        <v>2709</v>
      </c>
      <c r="G2138" s="26" t="str">
        <f>HYPERLINK("http://jsmh.umin.jp/journal/30-4/496-499.pdf")</f>
        <v>http://jsmh.umin.jp/journal/30-4/496-499.pdf</v>
      </c>
      <c r="H2138" s="43" t="str">
        <f t="shared" si="177"/>
        <v>http://dl.ndl.go.jp/info:ndljp/pid/3359306</v>
      </c>
    </row>
    <row r="2139" spans="1:8" ht="30" customHeight="1" x14ac:dyDescent="0.15">
      <c r="A2139" s="16" t="s">
        <v>558</v>
      </c>
      <c r="B2139" s="17" t="s">
        <v>3936</v>
      </c>
      <c r="C2139" s="17"/>
      <c r="D2139" s="25" t="s">
        <v>3757</v>
      </c>
      <c r="E2139" s="19" t="s">
        <v>3901</v>
      </c>
      <c r="F2139" s="19" t="s">
        <v>2715</v>
      </c>
      <c r="G2139" s="26" t="str">
        <f>HYPERLINK("http://jsmh.umin.jp/journal/30-4/496-499.pdf")</f>
        <v>http://jsmh.umin.jp/journal/30-4/496-499.pdf</v>
      </c>
      <c r="H2139" s="43" t="str">
        <f t="shared" si="177"/>
        <v>http://dl.ndl.go.jp/info:ndljp/pid/3359306</v>
      </c>
    </row>
    <row r="2140" spans="1:8" ht="30" customHeight="1" x14ac:dyDescent="0.15">
      <c r="A2140" s="16" t="s">
        <v>558</v>
      </c>
      <c r="B2140" s="17" t="s">
        <v>3937</v>
      </c>
      <c r="C2140" s="17"/>
      <c r="D2140" s="25" t="s">
        <v>3757</v>
      </c>
      <c r="E2140" s="19" t="s">
        <v>3901</v>
      </c>
      <c r="F2140" s="19" t="s">
        <v>3938</v>
      </c>
      <c r="G2140" s="26" t="str">
        <f>HYPERLINK("http://jsmh.umin.jp/journal/30-4/496-499.pdf")</f>
        <v>http://jsmh.umin.jp/journal/30-4/496-499.pdf</v>
      </c>
      <c r="H2140" s="43" t="str">
        <f t="shared" si="177"/>
        <v>http://dl.ndl.go.jp/info:ndljp/pid/3359306</v>
      </c>
    </row>
    <row r="2141" spans="1:8" ht="30" customHeight="1" x14ac:dyDescent="0.15">
      <c r="A2141" s="16" t="s">
        <v>3939</v>
      </c>
      <c r="B2141" s="17" t="s">
        <v>3940</v>
      </c>
      <c r="C2141" s="17" t="s">
        <v>1876</v>
      </c>
      <c r="D2141" s="18" t="s">
        <v>3941</v>
      </c>
      <c r="E2141" s="19" t="s">
        <v>3942</v>
      </c>
      <c r="F2141" s="19" t="s">
        <v>879</v>
      </c>
      <c r="G2141" s="5" t="str">
        <f>HYPERLINK("http://jsmh.umin.jp/journal/31-1/1-15.pdf")</f>
        <v>http://jsmh.umin.jp/journal/31-1/1-15.pdf</v>
      </c>
      <c r="H2141" s="42" t="str">
        <f t="shared" ref="H2141:H2157" si="178">HYPERLINK("http://dl.ndl.go.jp/info:ndljp/pid/3359307")</f>
        <v>http://dl.ndl.go.jp/info:ndljp/pid/3359307</v>
      </c>
    </row>
    <row r="2142" spans="1:8" ht="30" customHeight="1" x14ac:dyDescent="0.15">
      <c r="A2142" s="16" t="s">
        <v>3939</v>
      </c>
      <c r="B2142" s="17" t="s">
        <v>3943</v>
      </c>
      <c r="C2142" s="17" t="s">
        <v>648</v>
      </c>
      <c r="D2142" s="25" t="s">
        <v>3941</v>
      </c>
      <c r="E2142" s="19" t="s">
        <v>3942</v>
      </c>
      <c r="F2142" s="19" t="s">
        <v>3944</v>
      </c>
      <c r="G2142" s="5" t="str">
        <f>HYPERLINK("http://jsmh.umin.jp/journal/31-1/16-24.pdf")</f>
        <v>http://jsmh.umin.jp/journal/31-1/16-24.pdf</v>
      </c>
      <c r="H2142" s="43" t="str">
        <f t="shared" si="178"/>
        <v>http://dl.ndl.go.jp/info:ndljp/pid/3359307</v>
      </c>
    </row>
    <row r="2143" spans="1:8" ht="30" customHeight="1" x14ac:dyDescent="0.15">
      <c r="A2143" s="16" t="s">
        <v>3939</v>
      </c>
      <c r="B2143" s="17" t="s">
        <v>3945</v>
      </c>
      <c r="C2143" s="17" t="s">
        <v>273</v>
      </c>
      <c r="D2143" s="25" t="s">
        <v>3941</v>
      </c>
      <c r="E2143" s="19" t="s">
        <v>3942</v>
      </c>
      <c r="F2143" s="19" t="s">
        <v>3946</v>
      </c>
      <c r="G2143" s="5" t="str">
        <f>HYPERLINK("http://jsmh.umin.jp/journal/31-1/25-38.pdf")</f>
        <v>http://jsmh.umin.jp/journal/31-1/25-38.pdf</v>
      </c>
      <c r="H2143" s="43" t="str">
        <f t="shared" si="178"/>
        <v>http://dl.ndl.go.jp/info:ndljp/pid/3359307</v>
      </c>
    </row>
    <row r="2144" spans="1:8" ht="30" customHeight="1" x14ac:dyDescent="0.15">
      <c r="A2144" s="16" t="s">
        <v>3939</v>
      </c>
      <c r="B2144" s="17" t="s">
        <v>3947</v>
      </c>
      <c r="C2144" s="17" t="s">
        <v>444</v>
      </c>
      <c r="D2144" s="25" t="s">
        <v>3941</v>
      </c>
      <c r="E2144" s="19" t="s">
        <v>3942</v>
      </c>
      <c r="F2144" s="19" t="s">
        <v>1650</v>
      </c>
      <c r="G2144" s="5" t="str">
        <f>HYPERLINK("http://jsmh.umin.jp/journal/31-1/39-50.pdf")</f>
        <v>http://jsmh.umin.jp/journal/31-1/39-50.pdf</v>
      </c>
      <c r="H2144" s="43" t="str">
        <f t="shared" si="178"/>
        <v>http://dl.ndl.go.jp/info:ndljp/pid/3359307</v>
      </c>
    </row>
    <row r="2145" spans="1:8" ht="30" customHeight="1" x14ac:dyDescent="0.15">
      <c r="A2145" s="16" t="s">
        <v>3939</v>
      </c>
      <c r="B2145" s="17" t="s">
        <v>3948</v>
      </c>
      <c r="C2145" s="17" t="s">
        <v>2465</v>
      </c>
      <c r="D2145" s="25" t="s">
        <v>3941</v>
      </c>
      <c r="E2145" s="19" t="s">
        <v>3942</v>
      </c>
      <c r="F2145" s="19" t="s">
        <v>3949</v>
      </c>
      <c r="G2145" s="5" t="str">
        <f>HYPERLINK("http://jsmh.umin.jp/journal/31-1/51-71.pdf")</f>
        <v>http://jsmh.umin.jp/journal/31-1/51-71.pdf</v>
      </c>
      <c r="H2145" s="43" t="str">
        <f t="shared" si="178"/>
        <v>http://dl.ndl.go.jp/info:ndljp/pid/3359307</v>
      </c>
    </row>
    <row r="2146" spans="1:8" ht="30" customHeight="1" x14ac:dyDescent="0.15">
      <c r="A2146" s="16" t="s">
        <v>3939</v>
      </c>
      <c r="B2146" s="17" t="s">
        <v>3950</v>
      </c>
      <c r="C2146" s="17" t="s">
        <v>10140</v>
      </c>
      <c r="D2146" s="25" t="s">
        <v>3941</v>
      </c>
      <c r="E2146" s="19" t="s">
        <v>3942</v>
      </c>
      <c r="F2146" s="19" t="s">
        <v>3951</v>
      </c>
      <c r="G2146" s="5" t="str">
        <f>HYPERLINK("http://jsmh.umin.jp/journal/31-1/72-81.pdf")</f>
        <v>http://jsmh.umin.jp/journal/31-1/72-81.pdf</v>
      </c>
      <c r="H2146" s="43" t="str">
        <f t="shared" si="178"/>
        <v>http://dl.ndl.go.jp/info:ndljp/pid/3359307</v>
      </c>
    </row>
    <row r="2147" spans="1:8" ht="30" customHeight="1" x14ac:dyDescent="0.15">
      <c r="A2147" s="16" t="s">
        <v>3939</v>
      </c>
      <c r="B2147" s="17" t="s">
        <v>3952</v>
      </c>
      <c r="C2147" s="17" t="s">
        <v>2325</v>
      </c>
      <c r="D2147" s="25" t="s">
        <v>3941</v>
      </c>
      <c r="E2147" s="19" t="s">
        <v>3942</v>
      </c>
      <c r="F2147" s="19" t="s">
        <v>3953</v>
      </c>
      <c r="G2147" s="5" t="str">
        <f>HYPERLINK("http://jsmh.umin.jp/journal/31-1/82-92.pdf")</f>
        <v>http://jsmh.umin.jp/journal/31-1/82-92.pdf</v>
      </c>
      <c r="H2147" s="43" t="str">
        <f t="shared" si="178"/>
        <v>http://dl.ndl.go.jp/info:ndljp/pid/3359307</v>
      </c>
    </row>
    <row r="2148" spans="1:8" ht="30" customHeight="1" x14ac:dyDescent="0.15">
      <c r="A2148" s="16" t="s">
        <v>3939</v>
      </c>
      <c r="B2148" s="17" t="s">
        <v>3954</v>
      </c>
      <c r="C2148" s="17" t="s">
        <v>2937</v>
      </c>
      <c r="D2148" s="25" t="s">
        <v>3941</v>
      </c>
      <c r="E2148" s="19" t="s">
        <v>3942</v>
      </c>
      <c r="F2148" s="19" t="s">
        <v>3955</v>
      </c>
      <c r="G2148" s="5" t="str">
        <f>HYPERLINK("http://jsmh.umin.jp/journal/31-1/93-107.pdf")</f>
        <v>http://jsmh.umin.jp/journal/31-1/93-107.pdf</v>
      </c>
      <c r="H2148" s="43" t="str">
        <f t="shared" si="178"/>
        <v>http://dl.ndl.go.jp/info:ndljp/pid/3359307</v>
      </c>
    </row>
    <row r="2149" spans="1:8" ht="30" customHeight="1" x14ac:dyDescent="0.15">
      <c r="A2149" s="16" t="s">
        <v>3939</v>
      </c>
      <c r="B2149" s="17" t="s">
        <v>3956</v>
      </c>
      <c r="C2149" s="17" t="s">
        <v>916</v>
      </c>
      <c r="D2149" s="25" t="s">
        <v>3941</v>
      </c>
      <c r="E2149" s="19" t="s">
        <v>3942</v>
      </c>
      <c r="F2149" s="19" t="s">
        <v>3957</v>
      </c>
      <c r="G2149" s="5" t="str">
        <f>HYPERLINK("http://jsmh.umin.jp/journal/31-1/108-122.pdf")</f>
        <v>http://jsmh.umin.jp/journal/31-1/108-122.pdf</v>
      </c>
      <c r="H2149" s="43" t="str">
        <f t="shared" si="178"/>
        <v>http://dl.ndl.go.jp/info:ndljp/pid/3359307</v>
      </c>
    </row>
    <row r="2150" spans="1:8" ht="30" customHeight="1" x14ac:dyDescent="0.15">
      <c r="A2150" s="16" t="s">
        <v>3939</v>
      </c>
      <c r="B2150" s="17" t="s">
        <v>3958</v>
      </c>
      <c r="C2150" s="17" t="s">
        <v>1070</v>
      </c>
      <c r="D2150" s="25" t="s">
        <v>3941</v>
      </c>
      <c r="E2150" s="19" t="s">
        <v>3942</v>
      </c>
      <c r="F2150" s="19" t="s">
        <v>3959</v>
      </c>
      <c r="G2150" s="5" t="str">
        <f>HYPERLINK("http://jsmh.umin.jp/journal/31-1/123-128.pdf")</f>
        <v>http://jsmh.umin.jp/journal/31-1/123-128.pdf</v>
      </c>
      <c r="H2150" s="43" t="str">
        <f t="shared" si="178"/>
        <v>http://dl.ndl.go.jp/info:ndljp/pid/3359307</v>
      </c>
    </row>
    <row r="2151" spans="1:8" ht="30" customHeight="1" x14ac:dyDescent="0.15">
      <c r="A2151" s="16" t="s">
        <v>3223</v>
      </c>
      <c r="B2151" s="17" t="s">
        <v>3960</v>
      </c>
      <c r="C2151" s="17" t="s">
        <v>198</v>
      </c>
      <c r="D2151" s="25" t="s">
        <v>3941</v>
      </c>
      <c r="E2151" s="19" t="s">
        <v>3942</v>
      </c>
      <c r="F2151" s="19" t="s">
        <v>3627</v>
      </c>
      <c r="G2151" s="5" t="str">
        <f>HYPERLINK("http://jsmh.umin.jp/journal/31-1/129-131.pdf")</f>
        <v>http://jsmh.umin.jp/journal/31-1/129-131.pdf</v>
      </c>
      <c r="H2151" s="43" t="str">
        <f t="shared" si="178"/>
        <v>http://dl.ndl.go.jp/info:ndljp/pid/3359307</v>
      </c>
    </row>
    <row r="2152" spans="1:8" ht="30" customHeight="1" x14ac:dyDescent="0.15">
      <c r="A2152" s="16" t="s">
        <v>3223</v>
      </c>
      <c r="B2152" s="17" t="s">
        <v>3960</v>
      </c>
      <c r="C2152" s="17" t="s">
        <v>1097</v>
      </c>
      <c r="D2152" s="25" t="s">
        <v>3941</v>
      </c>
      <c r="E2152" s="19" t="s">
        <v>3942</v>
      </c>
      <c r="F2152" s="19" t="s">
        <v>3961</v>
      </c>
      <c r="G2152" s="5" t="str">
        <f>HYPERLINK("http://jsmh.umin.jp/journal/31-1/131-138.pdf")</f>
        <v>http://jsmh.umin.jp/journal/31-1/131-138.pdf</v>
      </c>
      <c r="H2152" s="43" t="str">
        <f t="shared" si="178"/>
        <v>http://dl.ndl.go.jp/info:ndljp/pid/3359307</v>
      </c>
    </row>
    <row r="2153" spans="1:8" ht="30" customHeight="1" x14ac:dyDescent="0.15">
      <c r="A2153" s="16" t="s">
        <v>3223</v>
      </c>
      <c r="B2153" s="17" t="s">
        <v>3962</v>
      </c>
      <c r="C2153" s="17" t="s">
        <v>1602</v>
      </c>
      <c r="D2153" s="25" t="s">
        <v>3941</v>
      </c>
      <c r="E2153" s="19" t="s">
        <v>3942</v>
      </c>
      <c r="F2153" s="19" t="s">
        <v>3963</v>
      </c>
      <c r="G2153" s="5" t="str">
        <f>HYPERLINK("http://jsmh.umin.jp/journal/31-1/138-141.pdf")</f>
        <v>http://jsmh.umin.jp/journal/31-1/138-141.pdf</v>
      </c>
      <c r="H2153" s="43" t="str">
        <f t="shared" si="178"/>
        <v>http://dl.ndl.go.jp/info:ndljp/pid/3359307</v>
      </c>
    </row>
    <row r="2154" spans="1:8" ht="30" customHeight="1" x14ac:dyDescent="0.15">
      <c r="A2154" s="16" t="s">
        <v>3223</v>
      </c>
      <c r="B2154" s="17" t="s">
        <v>3964</v>
      </c>
      <c r="C2154" s="17" t="s">
        <v>507</v>
      </c>
      <c r="D2154" s="25" t="s">
        <v>3941</v>
      </c>
      <c r="E2154" s="19" t="s">
        <v>3942</v>
      </c>
      <c r="F2154" s="19" t="s">
        <v>2234</v>
      </c>
      <c r="G2154" s="5" t="str">
        <f>HYPERLINK("http://jsmh.umin.jp/journal/31-1/141-143.pdf")</f>
        <v>http://jsmh.umin.jp/journal/31-1/141-143.pdf</v>
      </c>
      <c r="H2154" s="43" t="str">
        <f t="shared" si="178"/>
        <v>http://dl.ndl.go.jp/info:ndljp/pid/3359307</v>
      </c>
    </row>
    <row r="2155" spans="1:8" ht="30" customHeight="1" x14ac:dyDescent="0.15">
      <c r="A2155" s="16" t="s">
        <v>3223</v>
      </c>
      <c r="B2155" s="17" t="s">
        <v>3965</v>
      </c>
      <c r="C2155" s="17" t="s">
        <v>830</v>
      </c>
      <c r="D2155" s="25" t="s">
        <v>3941</v>
      </c>
      <c r="E2155" s="19" t="s">
        <v>3942</v>
      </c>
      <c r="F2155" s="19" t="s">
        <v>3966</v>
      </c>
      <c r="G2155" s="5" t="str">
        <f>HYPERLINK("http://jsmh.umin.jp/journal/31-1/143-154.pdf")</f>
        <v>http://jsmh.umin.jp/journal/31-1/143-154.pdf</v>
      </c>
      <c r="H2155" s="43" t="str">
        <f t="shared" si="178"/>
        <v>http://dl.ndl.go.jp/info:ndljp/pid/3359307</v>
      </c>
    </row>
    <row r="2156" spans="1:8" ht="30" customHeight="1" x14ac:dyDescent="0.15">
      <c r="A2156" s="16" t="s">
        <v>2990</v>
      </c>
      <c r="B2156" s="17" t="s">
        <v>3967</v>
      </c>
      <c r="C2156" s="17" t="s">
        <v>1659</v>
      </c>
      <c r="D2156" s="25" t="s">
        <v>3941</v>
      </c>
      <c r="E2156" s="19" t="s">
        <v>3942</v>
      </c>
      <c r="F2156" s="19" t="s">
        <v>2253</v>
      </c>
      <c r="G2156" s="5" t="str">
        <f>HYPERLINK("http://jsmh.umin.jp/journal/31-1/155-156.pdf")</f>
        <v>http://jsmh.umin.jp/journal/31-1/155-156.pdf</v>
      </c>
      <c r="H2156" s="43" t="str">
        <f t="shared" si="178"/>
        <v>http://dl.ndl.go.jp/info:ndljp/pid/3359307</v>
      </c>
    </row>
    <row r="2157" spans="1:8" ht="30" customHeight="1" x14ac:dyDescent="0.15">
      <c r="A2157" s="16" t="s">
        <v>2990</v>
      </c>
      <c r="B2157" s="17" t="s">
        <v>3968</v>
      </c>
      <c r="C2157" s="17" t="s">
        <v>1764</v>
      </c>
      <c r="D2157" s="25" t="s">
        <v>3941</v>
      </c>
      <c r="E2157" s="19" t="s">
        <v>3942</v>
      </c>
      <c r="F2157" s="19" t="s">
        <v>3969</v>
      </c>
      <c r="G2157" s="5" t="str">
        <f>HYPERLINK("http://jsmh.umin.jp/journal/31-1/156-156.pdf")</f>
        <v>http://jsmh.umin.jp/journal/31-1/156-156.pdf</v>
      </c>
      <c r="H2157" s="43" t="str">
        <f t="shared" si="178"/>
        <v>http://dl.ndl.go.jp/info:ndljp/pid/3359307</v>
      </c>
    </row>
    <row r="2158" spans="1:8" ht="30" customHeight="1" x14ac:dyDescent="0.15">
      <c r="A2158" s="16" t="s">
        <v>1855</v>
      </c>
      <c r="B2158" s="17" t="s">
        <v>3970</v>
      </c>
      <c r="C2158" s="17" t="s">
        <v>10655</v>
      </c>
      <c r="D2158" s="25" t="s">
        <v>3941</v>
      </c>
      <c r="E2158" s="19" t="s">
        <v>3971</v>
      </c>
      <c r="F2158" s="19" t="s">
        <v>67</v>
      </c>
      <c r="G2158" s="5" t="str">
        <f>HYPERLINK("http://jsmh.umin.jp/journal/31-2/161-164.pdf")</f>
        <v>http://jsmh.umin.jp/journal/31-2/161-164.pdf</v>
      </c>
      <c r="H2158" s="42" t="str">
        <f t="shared" ref="H2158:H2189" si="179">HYPERLINK("http://dl.ndl.go.jp/info:ndljp/pid/3359308")</f>
        <v>http://dl.ndl.go.jp/info:ndljp/pid/3359308</v>
      </c>
    </row>
    <row r="2159" spans="1:8" ht="30" customHeight="1" x14ac:dyDescent="0.15">
      <c r="A2159" s="16" t="s">
        <v>1855</v>
      </c>
      <c r="B2159" s="17" t="s">
        <v>3972</v>
      </c>
      <c r="C2159" s="17" t="s">
        <v>3973</v>
      </c>
      <c r="D2159" s="25" t="s">
        <v>3941</v>
      </c>
      <c r="E2159" s="19" t="s">
        <v>3971</v>
      </c>
      <c r="F2159" s="19" t="s">
        <v>1701</v>
      </c>
      <c r="G2159" s="5" t="str">
        <f>HYPERLINK("http://jsmh.umin.jp/journal/31-2/165-169.pdf")</f>
        <v>http://jsmh.umin.jp/journal/31-2/165-169.pdf</v>
      </c>
      <c r="H2159" s="43" t="str">
        <f t="shared" si="179"/>
        <v>http://dl.ndl.go.jp/info:ndljp/pid/3359308</v>
      </c>
    </row>
    <row r="2160" spans="1:8" ht="30" customHeight="1" x14ac:dyDescent="0.15">
      <c r="A2160" s="16" t="s">
        <v>1855</v>
      </c>
      <c r="B2160" s="17" t="s">
        <v>3974</v>
      </c>
      <c r="C2160" s="17" t="s">
        <v>790</v>
      </c>
      <c r="D2160" s="25" t="s">
        <v>3941</v>
      </c>
      <c r="E2160" s="19" t="s">
        <v>3971</v>
      </c>
      <c r="F2160" s="19" t="s">
        <v>3975</v>
      </c>
      <c r="G2160" s="5" t="str">
        <f>HYPERLINK("http://jsmh.umin.jp/journal/31-2/170-173.pdf")</f>
        <v>http://jsmh.umin.jp/journal/31-2/170-173.pdf</v>
      </c>
      <c r="H2160" s="43" t="str">
        <f t="shared" si="179"/>
        <v>http://dl.ndl.go.jp/info:ndljp/pid/3359308</v>
      </c>
    </row>
    <row r="2161" spans="1:8" ht="30" customHeight="1" x14ac:dyDescent="0.15">
      <c r="A2161" s="16" t="s">
        <v>1855</v>
      </c>
      <c r="B2161" s="17" t="s">
        <v>3976</v>
      </c>
      <c r="C2161" s="17" t="s">
        <v>3977</v>
      </c>
      <c r="D2161" s="25" t="s">
        <v>3941</v>
      </c>
      <c r="E2161" s="19" t="s">
        <v>3971</v>
      </c>
      <c r="F2161" s="19" t="s">
        <v>2782</v>
      </c>
      <c r="G2161" s="5" t="str">
        <f>HYPERLINK("http://jsmh.umin.jp/journal/31-2/174-176.pdf")</f>
        <v>http://jsmh.umin.jp/journal/31-2/174-176.pdf</v>
      </c>
      <c r="H2161" s="43" t="str">
        <f t="shared" si="179"/>
        <v>http://dl.ndl.go.jp/info:ndljp/pid/3359308</v>
      </c>
    </row>
    <row r="2162" spans="1:8" ht="30" customHeight="1" x14ac:dyDescent="0.15">
      <c r="A2162" s="16" t="s">
        <v>1855</v>
      </c>
      <c r="B2162" s="17" t="s">
        <v>3978</v>
      </c>
      <c r="C2162" s="17" t="s">
        <v>830</v>
      </c>
      <c r="D2162" s="25" t="s">
        <v>3941</v>
      </c>
      <c r="E2162" s="19" t="s">
        <v>3971</v>
      </c>
      <c r="F2162" s="19" t="s">
        <v>3979</v>
      </c>
      <c r="G2162" s="5" t="str">
        <f>HYPERLINK("http://jsmh.umin.jp/journal/31-2/177-180.pdf")</f>
        <v>http://jsmh.umin.jp/journal/31-2/177-180.pdf</v>
      </c>
      <c r="H2162" s="43" t="str">
        <f t="shared" si="179"/>
        <v>http://dl.ndl.go.jp/info:ndljp/pid/3359308</v>
      </c>
    </row>
    <row r="2163" spans="1:8" ht="30" customHeight="1" x14ac:dyDescent="0.15">
      <c r="A2163" s="16" t="s">
        <v>1855</v>
      </c>
      <c r="B2163" s="17" t="s">
        <v>3980</v>
      </c>
      <c r="C2163" s="17" t="s">
        <v>3981</v>
      </c>
      <c r="D2163" s="25" t="s">
        <v>3941</v>
      </c>
      <c r="E2163" s="19" t="s">
        <v>3971</v>
      </c>
      <c r="F2163" s="19" t="s">
        <v>3982</v>
      </c>
      <c r="G2163" s="5" t="str">
        <f>HYPERLINK("http://jsmh.umin.jp/journal/31-2/181-183.pdf")</f>
        <v>http://jsmh.umin.jp/journal/31-2/181-183.pdf</v>
      </c>
      <c r="H2163" s="43" t="str">
        <f t="shared" si="179"/>
        <v>http://dl.ndl.go.jp/info:ndljp/pid/3359308</v>
      </c>
    </row>
    <row r="2164" spans="1:8" ht="30" customHeight="1" x14ac:dyDescent="0.15">
      <c r="A2164" s="16" t="s">
        <v>1855</v>
      </c>
      <c r="B2164" s="17" t="s">
        <v>3983</v>
      </c>
      <c r="C2164" s="17" t="s">
        <v>1699</v>
      </c>
      <c r="D2164" s="25" t="s">
        <v>3941</v>
      </c>
      <c r="E2164" s="19" t="s">
        <v>3971</v>
      </c>
      <c r="F2164" s="19" t="s">
        <v>3984</v>
      </c>
      <c r="G2164" s="5" t="str">
        <f>HYPERLINK("http://jsmh.umin.jp/journal/31-2/184-185.pdf")</f>
        <v>http://jsmh.umin.jp/journal/31-2/184-185.pdf</v>
      </c>
      <c r="H2164" s="43" t="str">
        <f t="shared" si="179"/>
        <v>http://dl.ndl.go.jp/info:ndljp/pid/3359308</v>
      </c>
    </row>
    <row r="2165" spans="1:8" ht="30" customHeight="1" x14ac:dyDescent="0.15">
      <c r="A2165" s="16" t="s">
        <v>1855</v>
      </c>
      <c r="B2165" s="17" t="s">
        <v>3985</v>
      </c>
      <c r="C2165" s="17" t="s">
        <v>3677</v>
      </c>
      <c r="D2165" s="25" t="s">
        <v>3941</v>
      </c>
      <c r="E2165" s="19" t="s">
        <v>3971</v>
      </c>
      <c r="F2165" s="19" t="s">
        <v>2795</v>
      </c>
      <c r="G2165" s="5" t="str">
        <f>HYPERLINK("http://jsmh.umin.jp/journal/31-2/186-188.pdf")</f>
        <v>http://jsmh.umin.jp/journal/31-2/186-188.pdf</v>
      </c>
      <c r="H2165" s="43" t="str">
        <f t="shared" si="179"/>
        <v>http://dl.ndl.go.jp/info:ndljp/pid/3359308</v>
      </c>
    </row>
    <row r="2166" spans="1:8" ht="30" customHeight="1" x14ac:dyDescent="0.15">
      <c r="A2166" s="16" t="s">
        <v>1855</v>
      </c>
      <c r="B2166" s="17" t="s">
        <v>3986</v>
      </c>
      <c r="C2166" s="17" t="s">
        <v>1299</v>
      </c>
      <c r="D2166" s="25" t="s">
        <v>3941</v>
      </c>
      <c r="E2166" s="19" t="s">
        <v>3971</v>
      </c>
      <c r="F2166" s="19" t="s">
        <v>2797</v>
      </c>
      <c r="G2166" s="5" t="str">
        <f>HYPERLINK("http://jsmh.umin.jp/journal/31-2/188-190.pdf")</f>
        <v>http://jsmh.umin.jp/journal/31-2/188-190.pdf</v>
      </c>
      <c r="H2166" s="43" t="str">
        <f t="shared" si="179"/>
        <v>http://dl.ndl.go.jp/info:ndljp/pid/3359308</v>
      </c>
    </row>
    <row r="2167" spans="1:8" ht="30" customHeight="1" x14ac:dyDescent="0.15">
      <c r="A2167" s="16" t="s">
        <v>1855</v>
      </c>
      <c r="B2167" s="17" t="s">
        <v>3987</v>
      </c>
      <c r="C2167" s="17" t="s">
        <v>444</v>
      </c>
      <c r="D2167" s="25" t="s">
        <v>3941</v>
      </c>
      <c r="E2167" s="19" t="s">
        <v>3971</v>
      </c>
      <c r="F2167" s="19" t="s">
        <v>2582</v>
      </c>
      <c r="G2167" s="5" t="str">
        <f>HYPERLINK("http://jsmh.umin.jp/journal/31-2/190-192.pdf")</f>
        <v>http://jsmh.umin.jp/journal/31-2/190-192.pdf</v>
      </c>
      <c r="H2167" s="43" t="str">
        <f t="shared" si="179"/>
        <v>http://dl.ndl.go.jp/info:ndljp/pid/3359308</v>
      </c>
    </row>
    <row r="2168" spans="1:8" ht="30" customHeight="1" x14ac:dyDescent="0.15">
      <c r="A2168" s="16" t="s">
        <v>1855</v>
      </c>
      <c r="B2168" s="17" t="s">
        <v>3988</v>
      </c>
      <c r="C2168" s="17" t="s">
        <v>3630</v>
      </c>
      <c r="D2168" s="25" t="s">
        <v>3941</v>
      </c>
      <c r="E2168" s="19" t="s">
        <v>3971</v>
      </c>
      <c r="F2168" s="19" t="s">
        <v>3832</v>
      </c>
      <c r="G2168" s="5" t="str">
        <f>HYPERLINK("http://jsmh.umin.jp/journal/31-2/193-195.pdf")</f>
        <v>http://jsmh.umin.jp/journal/31-2/193-195.pdf</v>
      </c>
      <c r="H2168" s="43" t="str">
        <f t="shared" si="179"/>
        <v>http://dl.ndl.go.jp/info:ndljp/pid/3359308</v>
      </c>
    </row>
    <row r="2169" spans="1:8" ht="30" customHeight="1" x14ac:dyDescent="0.15">
      <c r="A2169" s="16" t="s">
        <v>1855</v>
      </c>
      <c r="B2169" s="17" t="s">
        <v>3989</v>
      </c>
      <c r="C2169" s="17" t="s">
        <v>69</v>
      </c>
      <c r="D2169" s="25" t="s">
        <v>3941</v>
      </c>
      <c r="E2169" s="19" t="s">
        <v>3971</v>
      </c>
      <c r="F2169" s="19" t="s">
        <v>2438</v>
      </c>
      <c r="G2169" s="5" t="str">
        <f>HYPERLINK("http://jsmh.umin.jp/journal/31-2/195-197.pdf")</f>
        <v>http://jsmh.umin.jp/journal/31-2/195-197.pdf</v>
      </c>
      <c r="H2169" s="43" t="str">
        <f t="shared" si="179"/>
        <v>http://dl.ndl.go.jp/info:ndljp/pid/3359308</v>
      </c>
    </row>
    <row r="2170" spans="1:8" ht="30" customHeight="1" x14ac:dyDescent="0.15">
      <c r="A2170" s="16" t="s">
        <v>1855</v>
      </c>
      <c r="B2170" s="17" t="s">
        <v>3990</v>
      </c>
      <c r="C2170" s="17" t="s">
        <v>2937</v>
      </c>
      <c r="D2170" s="25" t="s">
        <v>3941</v>
      </c>
      <c r="E2170" s="19" t="s">
        <v>3971</v>
      </c>
      <c r="F2170" s="19" t="s">
        <v>2803</v>
      </c>
      <c r="G2170" s="5" t="str">
        <f>HYPERLINK("http://jsmh.umin.jp/journal/31-2/198-200.pdf")</f>
        <v>http://jsmh.umin.jp/journal/31-2/198-200.pdf</v>
      </c>
      <c r="H2170" s="43" t="str">
        <f t="shared" si="179"/>
        <v>http://dl.ndl.go.jp/info:ndljp/pid/3359308</v>
      </c>
    </row>
    <row r="2171" spans="1:8" ht="30" customHeight="1" x14ac:dyDescent="0.15">
      <c r="A2171" s="16" t="s">
        <v>1855</v>
      </c>
      <c r="B2171" s="17" t="s">
        <v>3991</v>
      </c>
      <c r="C2171" s="17" t="s">
        <v>66</v>
      </c>
      <c r="D2171" s="25" t="s">
        <v>3941</v>
      </c>
      <c r="E2171" s="19" t="s">
        <v>3971</v>
      </c>
      <c r="F2171" s="19" t="s">
        <v>3682</v>
      </c>
      <c r="G2171" s="5" t="str">
        <f>HYPERLINK("http://jsmh.umin.jp/journal/31-2/200-202.pdf")</f>
        <v>http://jsmh.umin.jp/journal/31-2/200-202.pdf</v>
      </c>
      <c r="H2171" s="43" t="str">
        <f t="shared" si="179"/>
        <v>http://dl.ndl.go.jp/info:ndljp/pid/3359308</v>
      </c>
    </row>
    <row r="2172" spans="1:8" ht="30" customHeight="1" x14ac:dyDescent="0.15">
      <c r="A2172" s="16" t="s">
        <v>1855</v>
      </c>
      <c r="B2172" s="17" t="s">
        <v>3992</v>
      </c>
      <c r="C2172" s="17" t="s">
        <v>10150</v>
      </c>
      <c r="D2172" s="25" t="s">
        <v>3941</v>
      </c>
      <c r="E2172" s="19" t="s">
        <v>3971</v>
      </c>
      <c r="F2172" s="19" t="s">
        <v>84</v>
      </c>
      <c r="G2172" s="5" t="str">
        <f>HYPERLINK("http://jsmh.umin.jp/journal/31-2/203-204.pdf")</f>
        <v>http://jsmh.umin.jp/journal/31-2/203-204.pdf</v>
      </c>
      <c r="H2172" s="43" t="str">
        <f t="shared" si="179"/>
        <v>http://dl.ndl.go.jp/info:ndljp/pid/3359308</v>
      </c>
    </row>
    <row r="2173" spans="1:8" ht="30" customHeight="1" x14ac:dyDescent="0.15">
      <c r="A2173" s="16" t="s">
        <v>1855</v>
      </c>
      <c r="B2173" s="17" t="s">
        <v>3993</v>
      </c>
      <c r="C2173" s="17" t="s">
        <v>3135</v>
      </c>
      <c r="D2173" s="25" t="s">
        <v>3941</v>
      </c>
      <c r="E2173" s="19" t="s">
        <v>3971</v>
      </c>
      <c r="F2173" s="19" t="s">
        <v>3994</v>
      </c>
      <c r="G2173" s="5" t="str">
        <f>HYPERLINK("http://jsmh.umin.jp/journal/31-2/204-206.pdf")</f>
        <v>http://jsmh.umin.jp/journal/31-2/204-206.pdf</v>
      </c>
      <c r="H2173" s="43" t="str">
        <f t="shared" si="179"/>
        <v>http://dl.ndl.go.jp/info:ndljp/pid/3359308</v>
      </c>
    </row>
    <row r="2174" spans="1:8" ht="30" customHeight="1" x14ac:dyDescent="0.15">
      <c r="A2174" s="16" t="s">
        <v>1855</v>
      </c>
      <c r="B2174" s="17" t="s">
        <v>3995</v>
      </c>
      <c r="C2174" s="17" t="s">
        <v>10140</v>
      </c>
      <c r="D2174" s="25" t="s">
        <v>3941</v>
      </c>
      <c r="E2174" s="19" t="s">
        <v>3971</v>
      </c>
      <c r="F2174" s="19" t="s">
        <v>3996</v>
      </c>
      <c r="G2174" s="5" t="str">
        <f>HYPERLINK("http://jsmh.umin.jp/journal/31-2/207-208.pdf")</f>
        <v>http://jsmh.umin.jp/journal/31-2/207-208.pdf</v>
      </c>
      <c r="H2174" s="43" t="str">
        <f t="shared" si="179"/>
        <v>http://dl.ndl.go.jp/info:ndljp/pid/3359308</v>
      </c>
    </row>
    <row r="2175" spans="1:8" ht="30" customHeight="1" x14ac:dyDescent="0.15">
      <c r="A2175" s="16" t="s">
        <v>1855</v>
      </c>
      <c r="B2175" s="17" t="s">
        <v>3997</v>
      </c>
      <c r="C2175" s="17" t="s">
        <v>3998</v>
      </c>
      <c r="D2175" s="25" t="s">
        <v>3941</v>
      </c>
      <c r="E2175" s="19" t="s">
        <v>3971</v>
      </c>
      <c r="F2175" s="19" t="s">
        <v>2600</v>
      </c>
      <c r="G2175" s="5" t="str">
        <f>HYPERLINK("http://jsmh.umin.jp/journal/31-2/209-211.pdf")</f>
        <v>http://jsmh.umin.jp/journal/31-2/209-211.pdf</v>
      </c>
      <c r="H2175" s="43" t="str">
        <f t="shared" si="179"/>
        <v>http://dl.ndl.go.jp/info:ndljp/pid/3359308</v>
      </c>
    </row>
    <row r="2176" spans="1:8" ht="30" customHeight="1" x14ac:dyDescent="0.15">
      <c r="A2176" s="16" t="s">
        <v>1855</v>
      </c>
      <c r="B2176" s="17" t="s">
        <v>3999</v>
      </c>
      <c r="C2176" s="17" t="s">
        <v>4000</v>
      </c>
      <c r="D2176" s="25" t="s">
        <v>3941</v>
      </c>
      <c r="E2176" s="19" t="s">
        <v>3971</v>
      </c>
      <c r="F2176" s="19" t="s">
        <v>2076</v>
      </c>
      <c r="G2176" s="5" t="str">
        <f>HYPERLINK("http://jsmh.umin.jp/journal/31-2/211-212.pdf")</f>
        <v>http://jsmh.umin.jp/journal/31-2/211-212.pdf</v>
      </c>
      <c r="H2176" s="43" t="str">
        <f t="shared" si="179"/>
        <v>http://dl.ndl.go.jp/info:ndljp/pid/3359308</v>
      </c>
    </row>
    <row r="2177" spans="1:8" ht="30" customHeight="1" x14ac:dyDescent="0.15">
      <c r="A2177" s="16" t="s">
        <v>1855</v>
      </c>
      <c r="B2177" s="17" t="s">
        <v>4001</v>
      </c>
      <c r="C2177" s="17" t="s">
        <v>1823</v>
      </c>
      <c r="D2177" s="25" t="s">
        <v>3941</v>
      </c>
      <c r="E2177" s="19" t="s">
        <v>3971</v>
      </c>
      <c r="F2177" s="19" t="s">
        <v>3689</v>
      </c>
      <c r="G2177" s="5" t="str">
        <f>HYPERLINK("http://jsmh.umin.jp/journal/31-2/212-214.pdf")</f>
        <v>http://jsmh.umin.jp/journal/31-2/212-214.pdf</v>
      </c>
      <c r="H2177" s="43" t="str">
        <f t="shared" si="179"/>
        <v>http://dl.ndl.go.jp/info:ndljp/pid/3359308</v>
      </c>
    </row>
    <row r="2178" spans="1:8" ht="30" customHeight="1" x14ac:dyDescent="0.15">
      <c r="A2178" s="16" t="s">
        <v>1855</v>
      </c>
      <c r="B2178" s="17" t="s">
        <v>4002</v>
      </c>
      <c r="C2178" s="17" t="s">
        <v>3616</v>
      </c>
      <c r="D2178" s="25" t="s">
        <v>3941</v>
      </c>
      <c r="E2178" s="19" t="s">
        <v>3971</v>
      </c>
      <c r="F2178" s="19" t="s">
        <v>288</v>
      </c>
      <c r="G2178" s="5" t="str">
        <f>HYPERLINK("http://jsmh.umin.jp/journal/31-2/215.pdf")</f>
        <v>http://jsmh.umin.jp/journal/31-2/215.pdf</v>
      </c>
      <c r="H2178" s="43" t="str">
        <f t="shared" si="179"/>
        <v>http://dl.ndl.go.jp/info:ndljp/pid/3359308</v>
      </c>
    </row>
    <row r="2179" spans="1:8" ht="30" customHeight="1" x14ac:dyDescent="0.15">
      <c r="A2179" s="16" t="s">
        <v>1855</v>
      </c>
      <c r="B2179" s="17" t="s">
        <v>4003</v>
      </c>
      <c r="C2179" s="17" t="s">
        <v>2325</v>
      </c>
      <c r="D2179" s="25" t="s">
        <v>3941</v>
      </c>
      <c r="E2179" s="19" t="s">
        <v>3971</v>
      </c>
      <c r="F2179" s="19" t="s">
        <v>4004</v>
      </c>
      <c r="G2179" s="5" t="str">
        <f>HYPERLINK("http://jsmh.umin.jp/journal/31-2/216-218.pdf")</f>
        <v>http://jsmh.umin.jp/journal/31-2/216-218.pdf</v>
      </c>
      <c r="H2179" s="43" t="str">
        <f t="shared" si="179"/>
        <v>http://dl.ndl.go.jp/info:ndljp/pid/3359308</v>
      </c>
    </row>
    <row r="2180" spans="1:8" ht="30" customHeight="1" x14ac:dyDescent="0.15">
      <c r="A2180" s="16" t="s">
        <v>1855</v>
      </c>
      <c r="B2180" s="17" t="s">
        <v>4005</v>
      </c>
      <c r="C2180" s="17" t="s">
        <v>4006</v>
      </c>
      <c r="D2180" s="25" t="s">
        <v>3941</v>
      </c>
      <c r="E2180" s="19" t="s">
        <v>3971</v>
      </c>
      <c r="F2180" s="19" t="s">
        <v>2955</v>
      </c>
      <c r="G2180" s="5" t="str">
        <f>HYPERLINK("http://jsmh.umin.jp/journal/31-2/218-220.pdf")</f>
        <v>http://jsmh.umin.jp/journal/31-2/218-220.pdf</v>
      </c>
      <c r="H2180" s="43" t="str">
        <f t="shared" si="179"/>
        <v>http://dl.ndl.go.jp/info:ndljp/pid/3359308</v>
      </c>
    </row>
    <row r="2181" spans="1:8" ht="30" customHeight="1" x14ac:dyDescent="0.15">
      <c r="A2181" s="16" t="s">
        <v>1855</v>
      </c>
      <c r="B2181" s="17" t="s">
        <v>4007</v>
      </c>
      <c r="C2181" s="17" t="s">
        <v>963</v>
      </c>
      <c r="D2181" s="25" t="s">
        <v>3941</v>
      </c>
      <c r="E2181" s="19" t="s">
        <v>3971</v>
      </c>
      <c r="F2181" s="19" t="s">
        <v>2960</v>
      </c>
      <c r="G2181" s="5" t="str">
        <f>HYPERLINK("http://jsmh.umin.jp/journal/31-2/221.pdf")</f>
        <v>http://jsmh.umin.jp/journal/31-2/221.pdf</v>
      </c>
      <c r="H2181" s="43" t="str">
        <f t="shared" si="179"/>
        <v>http://dl.ndl.go.jp/info:ndljp/pid/3359308</v>
      </c>
    </row>
    <row r="2182" spans="1:8" ht="30" customHeight="1" x14ac:dyDescent="0.15">
      <c r="A2182" s="16" t="s">
        <v>1855</v>
      </c>
      <c r="B2182" s="17" t="s">
        <v>4008</v>
      </c>
      <c r="C2182" s="17" t="s">
        <v>2553</v>
      </c>
      <c r="D2182" s="25" t="s">
        <v>3941</v>
      </c>
      <c r="E2182" s="19" t="s">
        <v>3971</v>
      </c>
      <c r="F2182" s="19" t="s">
        <v>3697</v>
      </c>
      <c r="G2182" s="5" t="str">
        <f>HYPERLINK("http://jsmh.umin.jp/journal/31-2/222-224.pdf")</f>
        <v>http://jsmh.umin.jp/journal/31-2/222-224.pdf</v>
      </c>
      <c r="H2182" s="43" t="str">
        <f t="shared" si="179"/>
        <v>http://dl.ndl.go.jp/info:ndljp/pid/3359308</v>
      </c>
    </row>
    <row r="2183" spans="1:8" ht="30" customHeight="1" x14ac:dyDescent="0.15">
      <c r="A2183" s="16" t="s">
        <v>1855</v>
      </c>
      <c r="B2183" s="17" t="s">
        <v>4009</v>
      </c>
      <c r="C2183" s="17" t="s">
        <v>4010</v>
      </c>
      <c r="D2183" s="25" t="s">
        <v>3941</v>
      </c>
      <c r="E2183" s="19" t="s">
        <v>3971</v>
      </c>
      <c r="F2183" s="19" t="s">
        <v>1393</v>
      </c>
      <c r="G2183" s="5" t="str">
        <f>HYPERLINK("http://jsmh.umin.jp/journal/31-2/224-225.pdf")</f>
        <v>http://jsmh.umin.jp/journal/31-2/224-225.pdf</v>
      </c>
      <c r="H2183" s="43" t="str">
        <f t="shared" si="179"/>
        <v>http://dl.ndl.go.jp/info:ndljp/pid/3359308</v>
      </c>
    </row>
    <row r="2184" spans="1:8" ht="30" customHeight="1" x14ac:dyDescent="0.15">
      <c r="A2184" s="16" t="s">
        <v>1855</v>
      </c>
      <c r="B2184" s="17" t="s">
        <v>4011</v>
      </c>
      <c r="C2184" s="17" t="s">
        <v>2222</v>
      </c>
      <c r="D2184" s="25" t="s">
        <v>3941</v>
      </c>
      <c r="E2184" s="19" t="s">
        <v>3971</v>
      </c>
      <c r="F2184" s="19" t="s">
        <v>94</v>
      </c>
      <c r="G2184" s="5" t="str">
        <f>HYPERLINK("http://jsmh.umin.jp/journal/31-2/225-226.pdf")</f>
        <v>http://jsmh.umin.jp/journal/31-2/225-226.pdf</v>
      </c>
      <c r="H2184" s="43" t="str">
        <f t="shared" si="179"/>
        <v>http://dl.ndl.go.jp/info:ndljp/pid/3359308</v>
      </c>
    </row>
    <row r="2185" spans="1:8" ht="30" customHeight="1" x14ac:dyDescent="0.15">
      <c r="A2185" s="16" t="s">
        <v>1855</v>
      </c>
      <c r="B2185" s="17" t="s">
        <v>4012</v>
      </c>
      <c r="C2185" s="17" t="s">
        <v>3905</v>
      </c>
      <c r="D2185" s="25" t="s">
        <v>3941</v>
      </c>
      <c r="E2185" s="19" t="s">
        <v>3971</v>
      </c>
      <c r="F2185" s="19" t="s">
        <v>105</v>
      </c>
      <c r="G2185" s="5" t="str">
        <f>HYPERLINK("http://jsmh.umin.jp/journal/31-2/227.pdf")</f>
        <v>http://jsmh.umin.jp/journal/31-2/227.pdf</v>
      </c>
      <c r="H2185" s="43" t="str">
        <f t="shared" si="179"/>
        <v>http://dl.ndl.go.jp/info:ndljp/pid/3359308</v>
      </c>
    </row>
    <row r="2186" spans="1:8" ht="30" customHeight="1" x14ac:dyDescent="0.15">
      <c r="A2186" s="16" t="s">
        <v>1855</v>
      </c>
      <c r="B2186" s="17" t="s">
        <v>4013</v>
      </c>
      <c r="C2186" s="17" t="s">
        <v>2881</v>
      </c>
      <c r="D2186" s="25" t="s">
        <v>3941</v>
      </c>
      <c r="E2186" s="19" t="s">
        <v>3971</v>
      </c>
      <c r="F2186" s="19" t="s">
        <v>3854</v>
      </c>
      <c r="G2186" s="5" t="str">
        <f>HYPERLINK("http://jsmh.umin.jp/journal/31-2/228-230.pdf")</f>
        <v>http://jsmh.umin.jp/journal/31-2/228-230.pdf</v>
      </c>
      <c r="H2186" s="43" t="str">
        <f t="shared" si="179"/>
        <v>http://dl.ndl.go.jp/info:ndljp/pid/3359308</v>
      </c>
    </row>
    <row r="2187" spans="1:8" ht="30" customHeight="1" x14ac:dyDescent="0.15">
      <c r="A2187" s="16" t="s">
        <v>1855</v>
      </c>
      <c r="B2187" s="17" t="s">
        <v>4014</v>
      </c>
      <c r="C2187" s="17" t="s">
        <v>3485</v>
      </c>
      <c r="D2187" s="25" t="s">
        <v>3941</v>
      </c>
      <c r="E2187" s="19" t="s">
        <v>3971</v>
      </c>
      <c r="F2187" s="19" t="s">
        <v>4015</v>
      </c>
      <c r="G2187" s="5" t="str">
        <f>HYPERLINK("http://jsmh.umin.jp/journal/31-2/230-232.pdf")</f>
        <v>http://jsmh.umin.jp/journal/31-2/230-232.pdf</v>
      </c>
      <c r="H2187" s="43" t="str">
        <f t="shared" si="179"/>
        <v>http://dl.ndl.go.jp/info:ndljp/pid/3359308</v>
      </c>
    </row>
    <row r="2188" spans="1:8" ht="30" customHeight="1" x14ac:dyDescent="0.15">
      <c r="A2188" s="16" t="s">
        <v>1855</v>
      </c>
      <c r="B2188" s="17" t="s">
        <v>10151</v>
      </c>
      <c r="C2188" s="17" t="s">
        <v>1994</v>
      </c>
      <c r="D2188" s="25" t="s">
        <v>3941</v>
      </c>
      <c r="E2188" s="19" t="s">
        <v>3971</v>
      </c>
      <c r="F2188" s="19" t="s">
        <v>124</v>
      </c>
      <c r="G2188" s="5" t="str">
        <f>HYPERLINK("http://jsmh.umin.jp/journal/31-2/232-233.pdf")</f>
        <v>http://jsmh.umin.jp/journal/31-2/232-233.pdf</v>
      </c>
      <c r="H2188" s="43" t="str">
        <f t="shared" si="179"/>
        <v>http://dl.ndl.go.jp/info:ndljp/pid/3359308</v>
      </c>
    </row>
    <row r="2189" spans="1:8" ht="30" customHeight="1" x14ac:dyDescent="0.15">
      <c r="A2189" s="16" t="s">
        <v>1855</v>
      </c>
      <c r="B2189" s="17" t="s">
        <v>4016</v>
      </c>
      <c r="C2189" s="17" t="s">
        <v>1338</v>
      </c>
      <c r="D2189" s="25" t="s">
        <v>3941</v>
      </c>
      <c r="E2189" s="19" t="s">
        <v>3971</v>
      </c>
      <c r="F2189" s="19" t="s">
        <v>135</v>
      </c>
      <c r="G2189" s="5" t="str">
        <f>HYPERLINK("http://jsmh.umin.jp/journal/31-2/234.pdf")</f>
        <v>http://jsmh.umin.jp/journal/31-2/234.pdf</v>
      </c>
      <c r="H2189" s="43" t="str">
        <f t="shared" si="179"/>
        <v>http://dl.ndl.go.jp/info:ndljp/pid/3359308</v>
      </c>
    </row>
    <row r="2190" spans="1:8" ht="30" customHeight="1" x14ac:dyDescent="0.15">
      <c r="A2190" s="16" t="s">
        <v>1855</v>
      </c>
      <c r="B2190" s="17" t="s">
        <v>4017</v>
      </c>
      <c r="C2190" s="17" t="s">
        <v>3839</v>
      </c>
      <c r="D2190" s="25" t="s">
        <v>3941</v>
      </c>
      <c r="E2190" s="19" t="s">
        <v>3971</v>
      </c>
      <c r="F2190" s="19" t="s">
        <v>137</v>
      </c>
      <c r="G2190" s="5" t="str">
        <f>HYPERLINK("http://jsmh.umin.jp/journal/31-2/235-236.pdf")</f>
        <v>http://jsmh.umin.jp/journal/31-2/235-236.pdf</v>
      </c>
      <c r="H2190" s="43" t="str">
        <f t="shared" ref="H2190:H2216" si="180">HYPERLINK("http://dl.ndl.go.jp/info:ndljp/pid/3359308")</f>
        <v>http://dl.ndl.go.jp/info:ndljp/pid/3359308</v>
      </c>
    </row>
    <row r="2191" spans="1:8" ht="30" customHeight="1" x14ac:dyDescent="0.15">
      <c r="A2191" s="16" t="s">
        <v>1855</v>
      </c>
      <c r="B2191" s="17" t="s">
        <v>4018</v>
      </c>
      <c r="C2191" s="17" t="s">
        <v>2667</v>
      </c>
      <c r="D2191" s="25" t="s">
        <v>3941</v>
      </c>
      <c r="E2191" s="19" t="s">
        <v>3971</v>
      </c>
      <c r="F2191" s="19" t="s">
        <v>4019</v>
      </c>
      <c r="G2191" s="5" t="str">
        <f>HYPERLINK("http://jsmh.umin.jp/journal/31-2/237.pdf")</f>
        <v>http://jsmh.umin.jp/journal/31-2/237.pdf</v>
      </c>
      <c r="H2191" s="43" t="str">
        <f t="shared" si="180"/>
        <v>http://dl.ndl.go.jp/info:ndljp/pid/3359308</v>
      </c>
    </row>
    <row r="2192" spans="1:8" ht="30" customHeight="1" x14ac:dyDescent="0.15">
      <c r="A2192" s="16" t="s">
        <v>1855</v>
      </c>
      <c r="B2192" s="17" t="s">
        <v>4020</v>
      </c>
      <c r="C2192" s="17" t="s">
        <v>479</v>
      </c>
      <c r="D2192" s="25" t="s">
        <v>3941</v>
      </c>
      <c r="E2192" s="19" t="s">
        <v>3971</v>
      </c>
      <c r="F2192" s="19" t="s">
        <v>3863</v>
      </c>
      <c r="G2192" s="5" t="str">
        <f>HYPERLINK("http://jsmh.umin.jp/journal/31-2/238-240.pdf")</f>
        <v>http://jsmh.umin.jp/journal/31-2/238-240.pdf</v>
      </c>
      <c r="H2192" s="43" t="str">
        <f t="shared" si="180"/>
        <v>http://dl.ndl.go.jp/info:ndljp/pid/3359308</v>
      </c>
    </row>
    <row r="2193" spans="1:8" ht="30" customHeight="1" x14ac:dyDescent="0.15">
      <c r="A2193" s="16" t="s">
        <v>1855</v>
      </c>
      <c r="B2193" s="17" t="s">
        <v>4021</v>
      </c>
      <c r="C2193" s="17" t="s">
        <v>2386</v>
      </c>
      <c r="D2193" s="25" t="s">
        <v>3941</v>
      </c>
      <c r="E2193" s="19" t="s">
        <v>3971</v>
      </c>
      <c r="F2193" s="19" t="s">
        <v>3302</v>
      </c>
      <c r="G2193" s="5" t="str">
        <f>HYPERLINK("http://jsmh.umin.jp/journal/31-2/240-242.pdf")</f>
        <v>http://jsmh.umin.jp/journal/31-2/240-242.pdf</v>
      </c>
      <c r="H2193" s="43" t="str">
        <f t="shared" si="180"/>
        <v>http://dl.ndl.go.jp/info:ndljp/pid/3359308</v>
      </c>
    </row>
    <row r="2194" spans="1:8" ht="30" customHeight="1" x14ac:dyDescent="0.15">
      <c r="A2194" s="16" t="s">
        <v>1855</v>
      </c>
      <c r="B2194" s="17" t="s">
        <v>4022</v>
      </c>
      <c r="C2194" s="17" t="s">
        <v>4023</v>
      </c>
      <c r="D2194" s="25" t="s">
        <v>3941</v>
      </c>
      <c r="E2194" s="19" t="s">
        <v>3971</v>
      </c>
      <c r="F2194" s="19" t="s">
        <v>4024</v>
      </c>
      <c r="G2194" s="5" t="str">
        <f>HYPERLINK("http://jsmh.umin.jp/journal/31-2/243-244.pdf")</f>
        <v>http://jsmh.umin.jp/journal/31-2/243-244.pdf</v>
      </c>
      <c r="H2194" s="43" t="str">
        <f t="shared" si="180"/>
        <v>http://dl.ndl.go.jp/info:ndljp/pid/3359308</v>
      </c>
    </row>
    <row r="2195" spans="1:8" ht="30" customHeight="1" x14ac:dyDescent="0.15">
      <c r="A2195" s="16" t="s">
        <v>1855</v>
      </c>
      <c r="B2195" s="17" t="s">
        <v>4025</v>
      </c>
      <c r="C2195" s="17" t="s">
        <v>4026</v>
      </c>
      <c r="D2195" s="25" t="s">
        <v>3941</v>
      </c>
      <c r="E2195" s="19" t="s">
        <v>3971</v>
      </c>
      <c r="F2195" s="19" t="s">
        <v>4027</v>
      </c>
      <c r="G2195" s="5" t="str">
        <f>HYPERLINK("http://jsmh.umin.jp/journal/31-2/245-246.pdf")</f>
        <v>http://jsmh.umin.jp/journal/31-2/245-246.pdf</v>
      </c>
      <c r="H2195" s="43" t="str">
        <f t="shared" si="180"/>
        <v>http://dl.ndl.go.jp/info:ndljp/pid/3359308</v>
      </c>
    </row>
    <row r="2196" spans="1:8" ht="30" customHeight="1" x14ac:dyDescent="0.15">
      <c r="A2196" s="16" t="s">
        <v>1855</v>
      </c>
      <c r="B2196" s="17" t="s">
        <v>4028</v>
      </c>
      <c r="C2196" s="17" t="s">
        <v>4029</v>
      </c>
      <c r="D2196" s="25" t="s">
        <v>3941</v>
      </c>
      <c r="E2196" s="19" t="s">
        <v>3971</v>
      </c>
      <c r="F2196" s="19" t="s">
        <v>4030</v>
      </c>
      <c r="G2196" s="5" t="str">
        <f>HYPERLINK("http://jsmh.umin.jp/journal/31-2/246-248.pdf")</f>
        <v>http://jsmh.umin.jp/journal/31-2/246-248.pdf</v>
      </c>
      <c r="H2196" s="43" t="str">
        <f t="shared" si="180"/>
        <v>http://dl.ndl.go.jp/info:ndljp/pid/3359308</v>
      </c>
    </row>
    <row r="2197" spans="1:8" ht="30" customHeight="1" x14ac:dyDescent="0.15">
      <c r="A2197" s="16" t="s">
        <v>1855</v>
      </c>
      <c r="B2197" s="17" t="s">
        <v>4031</v>
      </c>
      <c r="C2197" s="17" t="s">
        <v>4785</v>
      </c>
      <c r="D2197" s="25" t="s">
        <v>3941</v>
      </c>
      <c r="E2197" s="19" t="s">
        <v>3971</v>
      </c>
      <c r="F2197" s="19" t="s">
        <v>4032</v>
      </c>
      <c r="G2197" s="5" t="str">
        <f>HYPERLINK("http://jsmh.umin.jp/journal/31-2/249-251.pdf")</f>
        <v>http://jsmh.umin.jp/journal/31-2/249-251.pdf</v>
      </c>
      <c r="H2197" s="43" t="str">
        <f t="shared" si="180"/>
        <v>http://dl.ndl.go.jp/info:ndljp/pid/3359308</v>
      </c>
    </row>
    <row r="2198" spans="1:8" ht="30" customHeight="1" x14ac:dyDescent="0.15">
      <c r="A2198" s="16" t="s">
        <v>1855</v>
      </c>
      <c r="B2198" s="17" t="s">
        <v>4033</v>
      </c>
      <c r="C2198" s="17" t="s">
        <v>3844</v>
      </c>
      <c r="D2198" s="25" t="s">
        <v>3941</v>
      </c>
      <c r="E2198" s="19" t="s">
        <v>3971</v>
      </c>
      <c r="F2198" s="19" t="s">
        <v>1558</v>
      </c>
      <c r="G2198" s="5" t="str">
        <f>HYPERLINK("http://jsmh.umin.jp/journal/31-2/251-253.pdf")</f>
        <v>http://jsmh.umin.jp/journal/31-2/251-253.pdf</v>
      </c>
      <c r="H2198" s="43" t="str">
        <f t="shared" si="180"/>
        <v>http://dl.ndl.go.jp/info:ndljp/pid/3359308</v>
      </c>
    </row>
    <row r="2199" spans="1:8" ht="30" customHeight="1" x14ac:dyDescent="0.15">
      <c r="A2199" s="16" t="s">
        <v>1855</v>
      </c>
      <c r="B2199" s="17" t="s">
        <v>4034</v>
      </c>
      <c r="C2199" s="17" t="s">
        <v>4035</v>
      </c>
      <c r="D2199" s="25" t="s">
        <v>3941</v>
      </c>
      <c r="E2199" s="19" t="s">
        <v>3971</v>
      </c>
      <c r="F2199" s="19" t="s">
        <v>3320</v>
      </c>
      <c r="G2199" s="5" t="str">
        <f>HYPERLINK("http://jsmh.umin.jp/journal/31-2/254-255.pdf")</f>
        <v>http://jsmh.umin.jp/journal/31-2/254-255.pdf</v>
      </c>
      <c r="H2199" s="43" t="str">
        <f t="shared" si="180"/>
        <v>http://dl.ndl.go.jp/info:ndljp/pid/3359308</v>
      </c>
    </row>
    <row r="2200" spans="1:8" ht="30" customHeight="1" x14ac:dyDescent="0.15">
      <c r="A2200" s="16" t="s">
        <v>1855</v>
      </c>
      <c r="B2200" s="17" t="s">
        <v>4036</v>
      </c>
      <c r="C2200" s="17" t="s">
        <v>4037</v>
      </c>
      <c r="D2200" s="25" t="s">
        <v>3941</v>
      </c>
      <c r="E2200" s="19" t="s">
        <v>3971</v>
      </c>
      <c r="F2200" s="19" t="s">
        <v>3473</v>
      </c>
      <c r="G2200" s="5" t="str">
        <f>HYPERLINK("http://jsmh.umin.jp/journal/31-2/255-257.pdf")</f>
        <v>http://jsmh.umin.jp/journal/31-2/255-257.pdf</v>
      </c>
      <c r="H2200" s="43" t="str">
        <f t="shared" si="180"/>
        <v>http://dl.ndl.go.jp/info:ndljp/pid/3359308</v>
      </c>
    </row>
    <row r="2201" spans="1:8" ht="30" customHeight="1" x14ac:dyDescent="0.15">
      <c r="A2201" s="16" t="s">
        <v>1855</v>
      </c>
      <c r="B2201" s="17" t="s">
        <v>4038</v>
      </c>
      <c r="C2201" s="17" t="s">
        <v>4039</v>
      </c>
      <c r="D2201" s="25" t="s">
        <v>3941</v>
      </c>
      <c r="E2201" s="19" t="s">
        <v>3971</v>
      </c>
      <c r="F2201" s="19" t="s">
        <v>4040</v>
      </c>
      <c r="G2201" s="5" t="str">
        <f>HYPERLINK("http://jsmh.umin.jp/journal/31-2/258-260.pdf")</f>
        <v>http://jsmh.umin.jp/journal/31-2/258-260.pdf</v>
      </c>
      <c r="H2201" s="43" t="str">
        <f t="shared" si="180"/>
        <v>http://dl.ndl.go.jp/info:ndljp/pid/3359308</v>
      </c>
    </row>
    <row r="2202" spans="1:8" ht="30" customHeight="1" x14ac:dyDescent="0.15">
      <c r="A2202" s="16" t="s">
        <v>1855</v>
      </c>
      <c r="B2202" s="17" t="s">
        <v>4041</v>
      </c>
      <c r="C2202" s="17" t="s">
        <v>2233</v>
      </c>
      <c r="D2202" s="25" t="s">
        <v>3941</v>
      </c>
      <c r="E2202" s="19" t="s">
        <v>3971</v>
      </c>
      <c r="F2202" s="19" t="s">
        <v>1019</v>
      </c>
      <c r="G2202" s="5" t="str">
        <f>HYPERLINK("http://jsmh.umin.jp/journal/31-2/260-262.pdf")</f>
        <v>http://jsmh.umin.jp/journal/31-2/260-262.pdf</v>
      </c>
      <c r="H2202" s="43" t="str">
        <f t="shared" si="180"/>
        <v>http://dl.ndl.go.jp/info:ndljp/pid/3359308</v>
      </c>
    </row>
    <row r="2203" spans="1:8" ht="30" customHeight="1" x14ac:dyDescent="0.15">
      <c r="A2203" s="16" t="s">
        <v>1855</v>
      </c>
      <c r="B2203" s="17" t="s">
        <v>4042</v>
      </c>
      <c r="C2203" s="17" t="s">
        <v>3655</v>
      </c>
      <c r="D2203" s="25" t="s">
        <v>3941</v>
      </c>
      <c r="E2203" s="19" t="s">
        <v>3971</v>
      </c>
      <c r="F2203" s="19" t="s">
        <v>3329</v>
      </c>
      <c r="G2203" s="5" t="str">
        <f>HYPERLINK("http://jsmh.umin.jp/journal/31-2/262-264.pdf")</f>
        <v>http://jsmh.umin.jp/journal/31-2/262-264.pdf</v>
      </c>
      <c r="H2203" s="43" t="str">
        <f t="shared" si="180"/>
        <v>http://dl.ndl.go.jp/info:ndljp/pid/3359308</v>
      </c>
    </row>
    <row r="2204" spans="1:8" ht="30" customHeight="1" x14ac:dyDescent="0.15">
      <c r="A2204" s="16" t="s">
        <v>1855</v>
      </c>
      <c r="B2204" s="17" t="s">
        <v>4043</v>
      </c>
      <c r="C2204" s="17" t="s">
        <v>4044</v>
      </c>
      <c r="D2204" s="25" t="s">
        <v>3941</v>
      </c>
      <c r="E2204" s="19" t="s">
        <v>3971</v>
      </c>
      <c r="F2204" s="19" t="s">
        <v>1031</v>
      </c>
      <c r="G2204" s="5" t="str">
        <f>HYPERLINK("http://jsmh.umin.jp/journal/31-2/265-266.pdf")</f>
        <v>http://jsmh.umin.jp/journal/31-2/265-266.pdf</v>
      </c>
      <c r="H2204" s="43" t="str">
        <f t="shared" si="180"/>
        <v>http://dl.ndl.go.jp/info:ndljp/pid/3359308</v>
      </c>
    </row>
    <row r="2205" spans="1:8" ht="30" customHeight="1" x14ac:dyDescent="0.15">
      <c r="A2205" s="16" t="s">
        <v>1855</v>
      </c>
      <c r="B2205" s="17" t="s">
        <v>4045</v>
      </c>
      <c r="C2205" s="17" t="s">
        <v>3301</v>
      </c>
      <c r="D2205" s="25" t="s">
        <v>3941</v>
      </c>
      <c r="E2205" s="19" t="s">
        <v>3971</v>
      </c>
      <c r="F2205" s="19" t="s">
        <v>4046</v>
      </c>
      <c r="G2205" s="5" t="str">
        <f>HYPERLINK("http://jsmh.umin.jp/journal/31-2/267-269.pdf")</f>
        <v>http://jsmh.umin.jp/journal/31-2/267-269.pdf</v>
      </c>
      <c r="H2205" s="43" t="str">
        <f t="shared" si="180"/>
        <v>http://dl.ndl.go.jp/info:ndljp/pid/3359308</v>
      </c>
    </row>
    <row r="2206" spans="1:8" ht="30" customHeight="1" x14ac:dyDescent="0.15">
      <c r="A2206" s="16" t="s">
        <v>1855</v>
      </c>
      <c r="B2206" s="17" t="s">
        <v>4047</v>
      </c>
      <c r="C2206" s="17" t="s">
        <v>4048</v>
      </c>
      <c r="D2206" s="25" t="s">
        <v>3941</v>
      </c>
      <c r="E2206" s="19" t="s">
        <v>3971</v>
      </c>
      <c r="F2206" s="19" t="s">
        <v>3080</v>
      </c>
      <c r="G2206" s="5" t="str">
        <f>HYPERLINK("http://jsmh.umin.jp/journal/31-2/269-271.pdf")</f>
        <v>http://jsmh.umin.jp/journal/31-2/269-271.pdf</v>
      </c>
      <c r="H2206" s="43" t="str">
        <f t="shared" si="180"/>
        <v>http://dl.ndl.go.jp/info:ndljp/pid/3359308</v>
      </c>
    </row>
    <row r="2207" spans="1:8" ht="30" customHeight="1" x14ac:dyDescent="0.15">
      <c r="A2207" s="16" t="s">
        <v>1855</v>
      </c>
      <c r="B2207" s="17" t="s">
        <v>4049</v>
      </c>
      <c r="C2207" s="17" t="s">
        <v>4048</v>
      </c>
      <c r="D2207" s="25" t="s">
        <v>3941</v>
      </c>
      <c r="E2207" s="19" t="s">
        <v>3971</v>
      </c>
      <c r="F2207" s="19" t="s">
        <v>3338</v>
      </c>
      <c r="G2207" s="5" t="str">
        <f>HYPERLINK("http://jsmh.umin.jp/journal/31-2/272-274.pdf")</f>
        <v>http://jsmh.umin.jp/journal/31-2/272-274.pdf</v>
      </c>
      <c r="H2207" s="43" t="str">
        <f t="shared" si="180"/>
        <v>http://dl.ndl.go.jp/info:ndljp/pid/3359308</v>
      </c>
    </row>
    <row r="2208" spans="1:8" ht="30" customHeight="1" x14ac:dyDescent="0.15">
      <c r="A2208" s="16" t="s">
        <v>1855</v>
      </c>
      <c r="B2208" s="17" t="s">
        <v>4050</v>
      </c>
      <c r="C2208" s="17" t="s">
        <v>1972</v>
      </c>
      <c r="D2208" s="25" t="s">
        <v>3941</v>
      </c>
      <c r="E2208" s="19" t="s">
        <v>3971</v>
      </c>
      <c r="F2208" s="19" t="s">
        <v>3085</v>
      </c>
      <c r="G2208" s="5" t="str">
        <f>HYPERLINK("http://jsmh.umin.jp/journal/31-2/274-276.pdf")</f>
        <v>http://jsmh.umin.jp/journal/31-2/274-276.pdf</v>
      </c>
      <c r="H2208" s="43" t="str">
        <f t="shared" si="180"/>
        <v>http://dl.ndl.go.jp/info:ndljp/pid/3359308</v>
      </c>
    </row>
    <row r="2209" spans="1:8" ht="30" customHeight="1" x14ac:dyDescent="0.15">
      <c r="A2209" s="16" t="s">
        <v>1855</v>
      </c>
      <c r="B2209" s="17" t="s">
        <v>4051</v>
      </c>
      <c r="C2209" s="17" t="s">
        <v>3644</v>
      </c>
      <c r="D2209" s="25" t="s">
        <v>3941</v>
      </c>
      <c r="E2209" s="19" t="s">
        <v>3971</v>
      </c>
      <c r="F2209" s="19" t="s">
        <v>4052</v>
      </c>
      <c r="G2209" s="5" t="str">
        <f>HYPERLINK("http://jsmh.umin.jp/journal/31-2/276-278.pdf")</f>
        <v>http://jsmh.umin.jp/journal/31-2/276-278.pdf</v>
      </c>
      <c r="H2209" s="43" t="str">
        <f t="shared" si="180"/>
        <v>http://dl.ndl.go.jp/info:ndljp/pid/3359308</v>
      </c>
    </row>
    <row r="2210" spans="1:8" ht="30" customHeight="1" x14ac:dyDescent="0.15">
      <c r="A2210" s="16" t="s">
        <v>1855</v>
      </c>
      <c r="B2210" s="17" t="s">
        <v>4053</v>
      </c>
      <c r="C2210" s="17" t="s">
        <v>2592</v>
      </c>
      <c r="D2210" s="25" t="s">
        <v>3941</v>
      </c>
      <c r="E2210" s="19" t="s">
        <v>3971</v>
      </c>
      <c r="F2210" s="19" t="s">
        <v>4054</v>
      </c>
      <c r="G2210" s="5" t="str">
        <f>HYPERLINK("http://jsmh.umin.jp/journal/31-2/279-281.pdf")</f>
        <v>http://jsmh.umin.jp/journal/31-2/279-281.pdf</v>
      </c>
      <c r="H2210" s="43" t="str">
        <f t="shared" si="180"/>
        <v>http://dl.ndl.go.jp/info:ndljp/pid/3359308</v>
      </c>
    </row>
    <row r="2211" spans="1:8" ht="30" customHeight="1" x14ac:dyDescent="0.15">
      <c r="A2211" s="16" t="s">
        <v>1855</v>
      </c>
      <c r="B2211" s="17" t="s">
        <v>4055</v>
      </c>
      <c r="C2211" s="17" t="s">
        <v>2465</v>
      </c>
      <c r="D2211" s="25" t="s">
        <v>3941</v>
      </c>
      <c r="E2211" s="19" t="s">
        <v>3971</v>
      </c>
      <c r="F2211" s="19" t="s">
        <v>3091</v>
      </c>
      <c r="G2211" s="5" t="str">
        <f>HYPERLINK("http://jsmh.umin.jp/journal/31-2/281-283.pdf")</f>
        <v>http://jsmh.umin.jp/journal/31-2/281-283.pdf</v>
      </c>
      <c r="H2211" s="43" t="str">
        <f t="shared" si="180"/>
        <v>http://dl.ndl.go.jp/info:ndljp/pid/3359308</v>
      </c>
    </row>
    <row r="2212" spans="1:8" ht="30" customHeight="1" x14ac:dyDescent="0.15">
      <c r="A2212" s="16" t="s">
        <v>1855</v>
      </c>
      <c r="B2212" s="17" t="s">
        <v>4056</v>
      </c>
      <c r="C2212" s="17" t="s">
        <v>3696</v>
      </c>
      <c r="D2212" s="25" t="s">
        <v>3941</v>
      </c>
      <c r="E2212" s="19" t="s">
        <v>3971</v>
      </c>
      <c r="F2212" s="19" t="s">
        <v>3347</v>
      </c>
      <c r="G2212" s="5" t="str">
        <f>HYPERLINK("http://jsmh.umin.jp/journal/31-2/283-285.pdf")</f>
        <v>http://jsmh.umin.jp/journal/31-2/283-285.pdf</v>
      </c>
      <c r="H2212" s="43" t="str">
        <f t="shared" si="180"/>
        <v>http://dl.ndl.go.jp/info:ndljp/pid/3359308</v>
      </c>
    </row>
    <row r="2213" spans="1:8" ht="30" customHeight="1" x14ac:dyDescent="0.15">
      <c r="A2213" s="16" t="s">
        <v>1855</v>
      </c>
      <c r="B2213" s="17" t="s">
        <v>4057</v>
      </c>
      <c r="C2213" s="17" t="s">
        <v>790</v>
      </c>
      <c r="D2213" s="25" t="s">
        <v>3941</v>
      </c>
      <c r="E2213" s="19" t="s">
        <v>3971</v>
      </c>
      <c r="F2213" s="19" t="s">
        <v>1920</v>
      </c>
      <c r="G2213" s="5" t="str">
        <f>HYPERLINK("http://jsmh.umin.jp/journal/31-2/286-287.pdf")</f>
        <v>http://jsmh.umin.jp/journal/31-2/286-287.pdf</v>
      </c>
      <c r="H2213" s="43" t="str">
        <f t="shared" si="180"/>
        <v>http://dl.ndl.go.jp/info:ndljp/pid/3359308</v>
      </c>
    </row>
    <row r="2214" spans="1:8" ht="30" customHeight="1" x14ac:dyDescent="0.15">
      <c r="A2214" s="16" t="s">
        <v>558</v>
      </c>
      <c r="B2214" s="17" t="s">
        <v>4058</v>
      </c>
      <c r="C2214" s="17"/>
      <c r="D2214" s="25" t="s">
        <v>3941</v>
      </c>
      <c r="E2214" s="19" t="s">
        <v>3971</v>
      </c>
      <c r="F2214" s="19" t="s">
        <v>1047</v>
      </c>
      <c r="G2214" s="5" t="str">
        <f>HYPERLINK("http://jsmh.umin.jp/journal/31-2/288.pdf")</f>
        <v>http://jsmh.umin.jp/journal/31-2/288.pdf</v>
      </c>
      <c r="H2214" s="43" t="str">
        <f t="shared" si="180"/>
        <v>http://dl.ndl.go.jp/info:ndljp/pid/3359308</v>
      </c>
    </row>
    <row r="2215" spans="1:8" ht="30" customHeight="1" x14ac:dyDescent="0.15">
      <c r="A2215" s="16" t="s">
        <v>558</v>
      </c>
      <c r="B2215" s="17" t="s">
        <v>4059</v>
      </c>
      <c r="C2215" s="17"/>
      <c r="D2215" s="25" t="s">
        <v>3941</v>
      </c>
      <c r="E2215" s="19" t="s">
        <v>3971</v>
      </c>
      <c r="F2215" s="19" t="s">
        <v>1047</v>
      </c>
      <c r="G2215" s="5" t="str">
        <f>HYPERLINK("http://jsmh.umin.jp/journal/31-2/288.pdf")</f>
        <v>http://jsmh.umin.jp/journal/31-2/288.pdf</v>
      </c>
      <c r="H2215" s="43" t="str">
        <f t="shared" si="180"/>
        <v>http://dl.ndl.go.jp/info:ndljp/pid/3359308</v>
      </c>
    </row>
    <row r="2216" spans="1:8" ht="30" customHeight="1" x14ac:dyDescent="0.15">
      <c r="A2216" s="16" t="s">
        <v>1</v>
      </c>
      <c r="B2216" s="17" t="s">
        <v>4060</v>
      </c>
      <c r="C2216" s="17" t="s">
        <v>4061</v>
      </c>
      <c r="D2216" s="25" t="s">
        <v>3941</v>
      </c>
      <c r="E2216" s="19" t="s">
        <v>3971</v>
      </c>
      <c r="F2216" s="19" t="s">
        <v>4062</v>
      </c>
      <c r="G2216" s="5" t="str">
        <f>HYPERLINK("http://jsmh.umin.jp/journal/31-2/296-293.pdf")</f>
        <v>http://jsmh.umin.jp/journal/31-2/296-293.pdf</v>
      </c>
      <c r="H2216" s="43" t="str">
        <f t="shared" si="180"/>
        <v>http://dl.ndl.go.jp/info:ndljp/pid/3359308</v>
      </c>
    </row>
    <row r="2217" spans="1:8" ht="30" customHeight="1" x14ac:dyDescent="0.15">
      <c r="A2217" s="16" t="s">
        <v>1855</v>
      </c>
      <c r="B2217" s="17" t="s">
        <v>4063</v>
      </c>
      <c r="C2217" s="17" t="s">
        <v>273</v>
      </c>
      <c r="D2217" s="25" t="s">
        <v>3941</v>
      </c>
      <c r="E2217" s="19" t="s">
        <v>4064</v>
      </c>
      <c r="F2217" s="19" t="s">
        <v>4065</v>
      </c>
      <c r="G2217" s="5" t="str">
        <f>HYPERLINK("http://jsmh.umin.jp/journal/31-3/297-302.pdf")</f>
        <v>http://jsmh.umin.jp/journal/31-3/297-302.pdf</v>
      </c>
      <c r="H2217" s="42" t="str">
        <f t="shared" ref="H2217:H2238" si="181">HYPERLINK("http://dl.ndl.go.jp/info:ndljp/pid/3359309")</f>
        <v>http://dl.ndl.go.jp/info:ndljp/pid/3359309</v>
      </c>
    </row>
    <row r="2218" spans="1:8" ht="30" customHeight="1" x14ac:dyDescent="0.15">
      <c r="A2218" s="16" t="s">
        <v>1855</v>
      </c>
      <c r="B2218" s="17" t="s">
        <v>4066</v>
      </c>
      <c r="C2218" s="17" t="s">
        <v>209</v>
      </c>
      <c r="D2218" s="25" t="s">
        <v>3941</v>
      </c>
      <c r="E2218" s="19" t="s">
        <v>4064</v>
      </c>
      <c r="F2218" s="19" t="s">
        <v>4067</v>
      </c>
      <c r="G2218" s="5" t="str">
        <f>HYPERLINK("http://jsmh.umin.jp/journal/31-3/303-316.pdf")</f>
        <v>http://jsmh.umin.jp/journal/31-3/303-316.pdf</v>
      </c>
      <c r="H2218" s="43" t="str">
        <f t="shared" si="181"/>
        <v>http://dl.ndl.go.jp/info:ndljp/pid/3359309</v>
      </c>
    </row>
    <row r="2219" spans="1:8" ht="30" customHeight="1" x14ac:dyDescent="0.15">
      <c r="A2219" s="16" t="s">
        <v>1855</v>
      </c>
      <c r="B2219" s="17" t="s">
        <v>4068</v>
      </c>
      <c r="C2219" s="17" t="s">
        <v>4069</v>
      </c>
      <c r="D2219" s="25" t="s">
        <v>3941</v>
      </c>
      <c r="E2219" s="19" t="s">
        <v>4064</v>
      </c>
      <c r="F2219" s="19" t="s">
        <v>4070</v>
      </c>
      <c r="G2219" s="5" t="str">
        <f>HYPERLINK("http://jsmh.umin.jp/journal/31-3/317-325.pdf")</f>
        <v>http://jsmh.umin.jp/journal/31-3/317-325.pdf</v>
      </c>
      <c r="H2219" s="43" t="str">
        <f t="shared" si="181"/>
        <v>http://dl.ndl.go.jp/info:ndljp/pid/3359309</v>
      </c>
    </row>
    <row r="2220" spans="1:8" ht="30" customHeight="1" x14ac:dyDescent="0.15">
      <c r="A2220" s="16" t="s">
        <v>1855</v>
      </c>
      <c r="B2220" s="17" t="s">
        <v>4071</v>
      </c>
      <c r="C2220" s="17" t="s">
        <v>4072</v>
      </c>
      <c r="D2220" s="25" t="s">
        <v>3941</v>
      </c>
      <c r="E2220" s="19" t="s">
        <v>4064</v>
      </c>
      <c r="F2220" s="19" t="s">
        <v>4073</v>
      </c>
      <c r="G2220" s="5" t="str">
        <f>HYPERLINK("http://jsmh.umin.jp/journal/31-3/326-371.pdf")</f>
        <v>http://jsmh.umin.jp/journal/31-3/326-371.pdf</v>
      </c>
      <c r="H2220" s="43" t="str">
        <f t="shared" si="181"/>
        <v>http://dl.ndl.go.jp/info:ndljp/pid/3359309</v>
      </c>
    </row>
    <row r="2221" spans="1:8" ht="30" customHeight="1" x14ac:dyDescent="0.15">
      <c r="A2221" s="16" t="s">
        <v>17</v>
      </c>
      <c r="B2221" s="17" t="s">
        <v>4074</v>
      </c>
      <c r="C2221" s="17" t="s">
        <v>2465</v>
      </c>
      <c r="D2221" s="25" t="s">
        <v>3941</v>
      </c>
      <c r="E2221" s="19" t="s">
        <v>4064</v>
      </c>
      <c r="F2221" s="19" t="s">
        <v>4075</v>
      </c>
      <c r="G2221" s="5" t="str">
        <f>HYPERLINK("http://jsmh.umin.jp/journal/31-3/372-291.pdf")</f>
        <v>http://jsmh.umin.jp/journal/31-3/372-291.pdf</v>
      </c>
      <c r="H2221" s="43" t="str">
        <f t="shared" si="181"/>
        <v>http://dl.ndl.go.jp/info:ndljp/pid/3359309</v>
      </c>
    </row>
    <row r="2222" spans="1:8" ht="30" customHeight="1" x14ac:dyDescent="0.15">
      <c r="A2222" s="16" t="s">
        <v>17</v>
      </c>
      <c r="B2222" s="17" t="s">
        <v>4076</v>
      </c>
      <c r="C2222" s="17" t="s">
        <v>790</v>
      </c>
      <c r="D2222" s="25" t="s">
        <v>3941</v>
      </c>
      <c r="E2222" s="19" t="s">
        <v>4064</v>
      </c>
      <c r="F2222" s="19" t="s">
        <v>4077</v>
      </c>
      <c r="G2222" s="5" t="str">
        <f>HYPERLINK("http://jsmh.umin.jp/journal/31-3/392-405.pdf")</f>
        <v>http://jsmh.umin.jp/journal/31-3/392-405.pdf</v>
      </c>
      <c r="H2222" s="43" t="str">
        <f t="shared" si="181"/>
        <v>http://dl.ndl.go.jp/info:ndljp/pid/3359309</v>
      </c>
    </row>
    <row r="2223" spans="1:8" ht="30" customHeight="1" x14ac:dyDescent="0.15">
      <c r="A2223" s="16" t="s">
        <v>17</v>
      </c>
      <c r="B2223" s="17" t="s">
        <v>4078</v>
      </c>
      <c r="C2223" s="17" t="s">
        <v>916</v>
      </c>
      <c r="D2223" s="25" t="s">
        <v>3941</v>
      </c>
      <c r="E2223" s="19" t="s">
        <v>4064</v>
      </c>
      <c r="F2223" s="19" t="s">
        <v>4079</v>
      </c>
      <c r="G2223" s="5" t="str">
        <f>HYPERLINK("http://jsmh.umin.jp/journal/31-3/406-429.pdf")</f>
        <v>http://jsmh.umin.jp/journal/31-3/406-429.pdf</v>
      </c>
      <c r="H2223" s="43" t="str">
        <f t="shared" si="181"/>
        <v>http://dl.ndl.go.jp/info:ndljp/pid/3359309</v>
      </c>
    </row>
    <row r="2224" spans="1:8" ht="30" customHeight="1" x14ac:dyDescent="0.15">
      <c r="A2224" s="16" t="s">
        <v>692</v>
      </c>
      <c r="B2224" s="17" t="s">
        <v>10152</v>
      </c>
      <c r="C2224" s="17" t="s">
        <v>3010</v>
      </c>
      <c r="D2224" s="25" t="s">
        <v>3941</v>
      </c>
      <c r="E2224" s="19" t="s">
        <v>4064</v>
      </c>
      <c r="F2224" s="19" t="s">
        <v>4080</v>
      </c>
      <c r="G2224" s="5" t="str">
        <f>HYPERLINK("http://jsmh.umin.jp/journal/31-3/430-440.pdf")</f>
        <v>http://jsmh.umin.jp/journal/31-3/430-440.pdf</v>
      </c>
      <c r="H2224" s="43" t="str">
        <f t="shared" si="181"/>
        <v>http://dl.ndl.go.jp/info:ndljp/pid/3359309</v>
      </c>
    </row>
    <row r="2225" spans="1:8" ht="30" customHeight="1" x14ac:dyDescent="0.15">
      <c r="A2225" s="16" t="s">
        <v>3720</v>
      </c>
      <c r="B2225" s="17" t="s">
        <v>4081</v>
      </c>
      <c r="C2225" s="17" t="s">
        <v>4082</v>
      </c>
      <c r="D2225" s="25" t="s">
        <v>3941</v>
      </c>
      <c r="E2225" s="19" t="s">
        <v>4064</v>
      </c>
      <c r="F2225" s="19" t="s">
        <v>4083</v>
      </c>
      <c r="G2225" s="26" t="str">
        <f>HYPERLINK("http://jsmh.umin.jp/journal/31-3/442.pdf")</f>
        <v>http://jsmh.umin.jp/journal/31-3/442.pdf</v>
      </c>
      <c r="H2225" s="43" t="str">
        <f t="shared" si="181"/>
        <v>http://dl.ndl.go.jp/info:ndljp/pid/3359309</v>
      </c>
    </row>
    <row r="2226" spans="1:8" ht="30" customHeight="1" x14ac:dyDescent="0.15">
      <c r="A2226" s="16" t="s">
        <v>3720</v>
      </c>
      <c r="B2226" s="17" t="s">
        <v>4084</v>
      </c>
      <c r="C2226" s="17" t="s">
        <v>4085</v>
      </c>
      <c r="D2226" s="25" t="s">
        <v>3941</v>
      </c>
      <c r="E2226" s="19" t="s">
        <v>4064</v>
      </c>
      <c r="F2226" s="19" t="s">
        <v>4086</v>
      </c>
      <c r="G2226" s="5" t="str">
        <f>HYPERLINK("http://jsmh.umin.jp/journal/31-3/442-444.pdf")</f>
        <v>http://jsmh.umin.jp/journal/31-3/442-444.pdf</v>
      </c>
      <c r="H2226" s="43" t="str">
        <f t="shared" si="181"/>
        <v>http://dl.ndl.go.jp/info:ndljp/pid/3359309</v>
      </c>
    </row>
    <row r="2227" spans="1:8" ht="30" customHeight="1" x14ac:dyDescent="0.15">
      <c r="A2227" s="16" t="s">
        <v>3720</v>
      </c>
      <c r="B2227" s="17" t="s">
        <v>4087</v>
      </c>
      <c r="C2227" s="17" t="s">
        <v>2832</v>
      </c>
      <c r="D2227" s="25" t="s">
        <v>3941</v>
      </c>
      <c r="E2227" s="19" t="s">
        <v>4064</v>
      </c>
      <c r="F2227" s="19" t="s">
        <v>2483</v>
      </c>
      <c r="G2227" s="5" t="str">
        <f>HYPERLINK("http://jsmh.umin.jp/journal/31-3/445-446.pdf")</f>
        <v>http://jsmh.umin.jp/journal/31-3/445-446.pdf</v>
      </c>
      <c r="H2227" s="43" t="str">
        <f t="shared" si="181"/>
        <v>http://dl.ndl.go.jp/info:ndljp/pid/3359309</v>
      </c>
    </row>
    <row r="2228" spans="1:8" ht="30" customHeight="1" x14ac:dyDescent="0.15">
      <c r="A2228" s="16" t="s">
        <v>3720</v>
      </c>
      <c r="B2228" s="17" t="s">
        <v>4088</v>
      </c>
      <c r="C2228" s="17" t="s">
        <v>1338</v>
      </c>
      <c r="D2228" s="25" t="s">
        <v>3941</v>
      </c>
      <c r="E2228" s="19" t="s">
        <v>4064</v>
      </c>
      <c r="F2228" s="19" t="s">
        <v>4089</v>
      </c>
      <c r="G2228" s="5" t="str">
        <f>HYPERLINK("http://jsmh.umin.jp/journal/31-3/447-448.pdf")</f>
        <v>http://jsmh.umin.jp/journal/31-3/447-448.pdf</v>
      </c>
      <c r="H2228" s="43" t="str">
        <f t="shared" si="181"/>
        <v>http://dl.ndl.go.jp/info:ndljp/pid/3359309</v>
      </c>
    </row>
    <row r="2229" spans="1:8" ht="30" customHeight="1" x14ac:dyDescent="0.15">
      <c r="A2229" s="16" t="s">
        <v>3720</v>
      </c>
      <c r="B2229" s="17" t="s">
        <v>4090</v>
      </c>
      <c r="C2229" s="17" t="s">
        <v>4035</v>
      </c>
      <c r="D2229" s="25" t="s">
        <v>3941</v>
      </c>
      <c r="E2229" s="19" t="s">
        <v>4064</v>
      </c>
      <c r="F2229" s="19" t="s">
        <v>2496</v>
      </c>
      <c r="G2229" s="5" t="str">
        <f>HYPERLINK("http://jsmh.umin.jp/journal/31-3/447.pdf")</f>
        <v>http://jsmh.umin.jp/journal/31-3/447.pdf</v>
      </c>
      <c r="H2229" s="43" t="str">
        <f t="shared" si="181"/>
        <v>http://dl.ndl.go.jp/info:ndljp/pid/3359309</v>
      </c>
    </row>
    <row r="2230" spans="1:8" ht="30" customHeight="1" x14ac:dyDescent="0.15">
      <c r="A2230" s="16" t="s">
        <v>558</v>
      </c>
      <c r="B2230" s="17" t="s">
        <v>4091</v>
      </c>
      <c r="C2230" s="17"/>
      <c r="D2230" s="25" t="s">
        <v>3941</v>
      </c>
      <c r="E2230" s="19" t="s">
        <v>4064</v>
      </c>
      <c r="F2230" s="19" t="s">
        <v>4092</v>
      </c>
      <c r="G2230" s="5" t="str">
        <f>HYPERLINK("http://jsmh.umin.jp/journal/31-3/449.pdf")</f>
        <v>http://jsmh.umin.jp/journal/31-3/449.pdf</v>
      </c>
      <c r="H2230" s="43" t="str">
        <f t="shared" si="181"/>
        <v>http://dl.ndl.go.jp/info:ndljp/pid/3359309</v>
      </c>
    </row>
    <row r="2231" spans="1:8" ht="30" customHeight="1" x14ac:dyDescent="0.15">
      <c r="A2231" s="16" t="s">
        <v>558</v>
      </c>
      <c r="B2231" s="17" t="s">
        <v>4093</v>
      </c>
      <c r="C2231" s="17"/>
      <c r="D2231" s="25" t="s">
        <v>3941</v>
      </c>
      <c r="E2231" s="19" t="s">
        <v>4064</v>
      </c>
      <c r="F2231" s="19" t="s">
        <v>4094</v>
      </c>
      <c r="G2231" s="5" t="str">
        <f>HYPERLINK("http://jsmh.umin.jp/journal/31-3/450-451.pdf")</f>
        <v>http://jsmh.umin.jp/journal/31-3/450-451.pdf</v>
      </c>
      <c r="H2231" s="43" t="str">
        <f t="shared" si="181"/>
        <v>http://dl.ndl.go.jp/info:ndljp/pid/3359309</v>
      </c>
    </row>
    <row r="2232" spans="1:8" ht="30" customHeight="1" x14ac:dyDescent="0.15">
      <c r="A2232" s="16" t="s">
        <v>558</v>
      </c>
      <c r="B2232" s="17" t="s">
        <v>4095</v>
      </c>
      <c r="C2232" s="17"/>
      <c r="D2232" s="25" t="s">
        <v>3941</v>
      </c>
      <c r="E2232" s="19" t="s">
        <v>4064</v>
      </c>
      <c r="F2232" s="19" t="s">
        <v>4096</v>
      </c>
      <c r="G2232" s="5" t="str">
        <f>HYPERLINK("http://jsmh.umin.jp/journal/31-3/451-452.pdf")</f>
        <v>http://jsmh.umin.jp/journal/31-3/451-452.pdf</v>
      </c>
      <c r="H2232" s="43" t="str">
        <f t="shared" si="181"/>
        <v>http://dl.ndl.go.jp/info:ndljp/pid/3359309</v>
      </c>
    </row>
    <row r="2233" spans="1:8" ht="30" customHeight="1" x14ac:dyDescent="0.15">
      <c r="A2233" s="16" t="s">
        <v>558</v>
      </c>
      <c r="B2233" s="17" t="s">
        <v>4097</v>
      </c>
      <c r="C2233" s="17"/>
      <c r="D2233" s="25" t="s">
        <v>3941</v>
      </c>
      <c r="E2233" s="19" t="s">
        <v>4064</v>
      </c>
      <c r="F2233" s="19" t="s">
        <v>4098</v>
      </c>
      <c r="G2233" s="5" t="str">
        <f>HYPERLINK("http://jsmh.umin.jp/journal/31-3/452.pdf")</f>
        <v>http://jsmh.umin.jp/journal/31-3/452.pdf</v>
      </c>
      <c r="H2233" s="43" t="str">
        <f t="shared" si="181"/>
        <v>http://dl.ndl.go.jp/info:ndljp/pid/3359309</v>
      </c>
    </row>
    <row r="2234" spans="1:8" ht="30" customHeight="1" x14ac:dyDescent="0.15">
      <c r="A2234" s="16" t="s">
        <v>1102</v>
      </c>
      <c r="B2234" s="17" t="s">
        <v>4099</v>
      </c>
      <c r="C2234" s="17" t="s">
        <v>479</v>
      </c>
      <c r="D2234" s="25" t="s">
        <v>3941</v>
      </c>
      <c r="E2234" s="19" t="s">
        <v>4064</v>
      </c>
      <c r="F2234" s="19" t="s">
        <v>4100</v>
      </c>
      <c r="G2234" s="26" t="str">
        <f>HYPERLINK("http://jsmh.umin.jp/journal/31-3/453-458.pdf")</f>
        <v>http://jsmh.umin.jp/journal/31-3/453-458.pdf</v>
      </c>
      <c r="H2234" s="43" t="str">
        <f t="shared" si="181"/>
        <v>http://dl.ndl.go.jp/info:ndljp/pid/3359309</v>
      </c>
    </row>
    <row r="2235" spans="1:8" ht="30" customHeight="1" x14ac:dyDescent="0.15">
      <c r="A2235" s="16" t="s">
        <v>1102</v>
      </c>
      <c r="B2235" s="17" t="s">
        <v>10153</v>
      </c>
      <c r="C2235" s="17" t="s">
        <v>1764</v>
      </c>
      <c r="D2235" s="25" t="s">
        <v>3941</v>
      </c>
      <c r="E2235" s="19" t="s">
        <v>4064</v>
      </c>
      <c r="F2235" s="19" t="s">
        <v>4101</v>
      </c>
      <c r="G2235" s="26" t="str">
        <f>HYPERLINK("http://jsmh.umin.jp/journal/31-3/453-458.pdf")</f>
        <v>http://jsmh.umin.jp/journal/31-3/453-458.pdf</v>
      </c>
      <c r="H2235" s="43" t="str">
        <f t="shared" si="181"/>
        <v>http://dl.ndl.go.jp/info:ndljp/pid/3359309</v>
      </c>
    </row>
    <row r="2236" spans="1:8" ht="30" customHeight="1" x14ac:dyDescent="0.15">
      <c r="A2236" s="16" t="s">
        <v>1102</v>
      </c>
      <c r="B2236" s="17" t="s">
        <v>4102</v>
      </c>
      <c r="C2236" s="17" t="s">
        <v>4103</v>
      </c>
      <c r="D2236" s="25" t="s">
        <v>3941</v>
      </c>
      <c r="E2236" s="19" t="s">
        <v>4064</v>
      </c>
      <c r="F2236" s="19" t="s">
        <v>4104</v>
      </c>
      <c r="G2236" s="26" t="str">
        <f>HYPERLINK("http://jsmh.umin.jp/journal/31-3/453-458.pdf")</f>
        <v>http://jsmh.umin.jp/journal/31-3/453-458.pdf</v>
      </c>
      <c r="H2236" s="43" t="str">
        <f t="shared" si="181"/>
        <v>http://dl.ndl.go.jp/info:ndljp/pid/3359309</v>
      </c>
    </row>
    <row r="2237" spans="1:8" ht="30" customHeight="1" x14ac:dyDescent="0.15">
      <c r="A2237" s="16" t="s">
        <v>1102</v>
      </c>
      <c r="B2237" s="17" t="s">
        <v>4105</v>
      </c>
      <c r="C2237" s="17" t="s">
        <v>4106</v>
      </c>
      <c r="D2237" s="25" t="s">
        <v>3941</v>
      </c>
      <c r="E2237" s="19" t="s">
        <v>4064</v>
      </c>
      <c r="F2237" s="19" t="s">
        <v>4107</v>
      </c>
      <c r="G2237" s="26" t="str">
        <f>HYPERLINK("http://jsmh.umin.jp/journal/31-3/453-458.pdf")</f>
        <v>http://jsmh.umin.jp/journal/31-3/453-458.pdf</v>
      </c>
      <c r="H2237" s="43" t="str">
        <f t="shared" si="181"/>
        <v>http://dl.ndl.go.jp/info:ndljp/pid/3359309</v>
      </c>
    </row>
    <row r="2238" spans="1:8" ht="30" customHeight="1" x14ac:dyDescent="0.15">
      <c r="A2238" s="16" t="s">
        <v>1102</v>
      </c>
      <c r="B2238" s="17" t="s">
        <v>4108</v>
      </c>
      <c r="C2238" s="17" t="s">
        <v>2828</v>
      </c>
      <c r="D2238" s="25" t="s">
        <v>3941</v>
      </c>
      <c r="E2238" s="19" t="s">
        <v>4064</v>
      </c>
      <c r="F2238" s="19" t="s">
        <v>4109</v>
      </c>
      <c r="G2238" s="26" t="str">
        <f>HYPERLINK("http://jsmh.umin.jp/journal/31-3/453-458.pdf")</f>
        <v>http://jsmh.umin.jp/journal/31-3/453-458.pdf</v>
      </c>
      <c r="H2238" s="43" t="str">
        <f t="shared" si="181"/>
        <v>http://dl.ndl.go.jp/info:ndljp/pid/3359309</v>
      </c>
    </row>
    <row r="2239" spans="1:8" ht="30" customHeight="1" x14ac:dyDescent="0.15">
      <c r="A2239" s="16" t="s">
        <v>17</v>
      </c>
      <c r="B2239" s="17" t="s">
        <v>4110</v>
      </c>
      <c r="C2239" s="17" t="s">
        <v>790</v>
      </c>
      <c r="D2239" s="25" t="s">
        <v>3941</v>
      </c>
      <c r="E2239" s="19" t="s">
        <v>4111</v>
      </c>
      <c r="F2239" s="19" t="s">
        <v>4112</v>
      </c>
      <c r="G2239" s="5" t="str">
        <f>HYPERLINK("http://jsmh.umin.jp/journal/31-4/463-489.pdf")</f>
        <v>http://jsmh.umin.jp/journal/31-4/463-489.pdf</v>
      </c>
      <c r="H2239" s="42" t="str">
        <f t="shared" ref="H2239:H2249" si="182">HYPERLINK("http://dl.ndl.go.jp/info:ndljp/pid/3359310")</f>
        <v>http://dl.ndl.go.jp/info:ndljp/pid/3359310</v>
      </c>
    </row>
    <row r="2240" spans="1:8" ht="30" customHeight="1" x14ac:dyDescent="0.15">
      <c r="A2240" s="16" t="s">
        <v>17</v>
      </c>
      <c r="B2240" s="17" t="s">
        <v>4113</v>
      </c>
      <c r="C2240" s="17" t="s">
        <v>2465</v>
      </c>
      <c r="D2240" s="25" t="s">
        <v>3941</v>
      </c>
      <c r="E2240" s="19" t="s">
        <v>4111</v>
      </c>
      <c r="F2240" s="19" t="s">
        <v>4114</v>
      </c>
      <c r="G2240" s="5" t="str">
        <f>HYPERLINK("http://jsmh.umin.jp/journal/31-4/490-502.pdf")</f>
        <v>http://jsmh.umin.jp/journal/31-4/490-502.pdf</v>
      </c>
      <c r="H2240" s="43" t="str">
        <f t="shared" si="182"/>
        <v>http://dl.ndl.go.jp/info:ndljp/pid/3359310</v>
      </c>
    </row>
    <row r="2241" spans="1:8" ht="30" customHeight="1" x14ac:dyDescent="0.15">
      <c r="A2241" s="16" t="s">
        <v>17</v>
      </c>
      <c r="B2241" s="17" t="s">
        <v>4115</v>
      </c>
      <c r="C2241" s="17" t="s">
        <v>2233</v>
      </c>
      <c r="D2241" s="25" t="s">
        <v>3941</v>
      </c>
      <c r="E2241" s="19" t="s">
        <v>4111</v>
      </c>
      <c r="F2241" s="19" t="s">
        <v>4116</v>
      </c>
      <c r="G2241" s="5" t="str">
        <f>HYPERLINK("http://jsmh.umin.jp/journal/31-4/503-519.pdf")</f>
        <v>http://jsmh.umin.jp/journal/31-4/503-519.pdf</v>
      </c>
      <c r="H2241" s="43" t="str">
        <f t="shared" si="182"/>
        <v>http://dl.ndl.go.jp/info:ndljp/pid/3359310</v>
      </c>
    </row>
    <row r="2242" spans="1:8" ht="30" customHeight="1" x14ac:dyDescent="0.15">
      <c r="A2242" s="16" t="s">
        <v>17</v>
      </c>
      <c r="B2242" s="17" t="s">
        <v>4117</v>
      </c>
      <c r="C2242" s="17" t="s">
        <v>3655</v>
      </c>
      <c r="D2242" s="25" t="s">
        <v>3941</v>
      </c>
      <c r="E2242" s="19" t="s">
        <v>4111</v>
      </c>
      <c r="F2242" s="19" t="s">
        <v>4118</v>
      </c>
      <c r="G2242" s="5" t="str">
        <f>HYPERLINK("http://jsmh.umin.jp/journal/31-4/520-528.pdf")</f>
        <v>http://jsmh.umin.jp/journal/31-4/520-528.pdf</v>
      </c>
      <c r="H2242" s="43" t="str">
        <f t="shared" si="182"/>
        <v>http://dl.ndl.go.jp/info:ndljp/pid/3359310</v>
      </c>
    </row>
    <row r="2243" spans="1:8" ht="30" customHeight="1" x14ac:dyDescent="0.15">
      <c r="A2243" s="16" t="s">
        <v>17</v>
      </c>
      <c r="B2243" s="17" t="s">
        <v>4119</v>
      </c>
      <c r="C2243" s="17" t="s">
        <v>3010</v>
      </c>
      <c r="D2243" s="25" t="s">
        <v>3941</v>
      </c>
      <c r="E2243" s="19" t="s">
        <v>4111</v>
      </c>
      <c r="F2243" s="19" t="s">
        <v>4120</v>
      </c>
      <c r="G2243" s="5" t="str">
        <f>HYPERLINK("http://jsmh.umin.jp/journal/31-4/529-534.pdf")</f>
        <v>http://jsmh.umin.jp/journal/31-4/529-534.pdf</v>
      </c>
      <c r="H2243" s="43" t="str">
        <f t="shared" si="182"/>
        <v>http://dl.ndl.go.jp/info:ndljp/pid/3359310</v>
      </c>
    </row>
    <row r="2244" spans="1:8" ht="30" customHeight="1" x14ac:dyDescent="0.15">
      <c r="A2244" s="16" t="s">
        <v>17</v>
      </c>
      <c r="B2244" s="17" t="s">
        <v>4121</v>
      </c>
      <c r="C2244" s="17" t="s">
        <v>1070</v>
      </c>
      <c r="D2244" s="25" t="s">
        <v>3941</v>
      </c>
      <c r="E2244" s="19" t="s">
        <v>4111</v>
      </c>
      <c r="F2244" s="19" t="s">
        <v>4122</v>
      </c>
      <c r="G2244" s="5" t="str">
        <f>HYPERLINK("http://jsmh.umin.jp/journal/31-4/535-544.pdf")</f>
        <v>http://jsmh.umin.jp/journal/31-4/535-544.pdf</v>
      </c>
      <c r="H2244" s="43" t="str">
        <f t="shared" si="182"/>
        <v>http://dl.ndl.go.jp/info:ndljp/pid/3359310</v>
      </c>
    </row>
    <row r="2245" spans="1:8" ht="30" customHeight="1" x14ac:dyDescent="0.15">
      <c r="A2245" s="16" t="s">
        <v>2894</v>
      </c>
      <c r="B2245" s="17" t="s">
        <v>4123</v>
      </c>
      <c r="C2245" s="17"/>
      <c r="D2245" s="25" t="s">
        <v>3941</v>
      </c>
      <c r="E2245" s="19" t="s">
        <v>4111</v>
      </c>
      <c r="F2245" s="19" t="s">
        <v>4124</v>
      </c>
      <c r="G2245" s="5" t="str">
        <f>HYPERLINK("http://jsmh.umin.jp/journal/31-4/545-576.pdf")</f>
        <v>http://jsmh.umin.jp/journal/31-4/545-576.pdf</v>
      </c>
      <c r="H2245" s="43" t="str">
        <f t="shared" si="182"/>
        <v>http://dl.ndl.go.jp/info:ndljp/pid/3359310</v>
      </c>
    </row>
    <row r="2246" spans="1:8" ht="30" customHeight="1" x14ac:dyDescent="0.15">
      <c r="A2246" s="16" t="s">
        <v>3720</v>
      </c>
      <c r="B2246" s="17" t="s">
        <v>10154</v>
      </c>
      <c r="C2246" s="17" t="s">
        <v>4125</v>
      </c>
      <c r="D2246" s="25" t="s">
        <v>3941</v>
      </c>
      <c r="E2246" s="19" t="s">
        <v>4111</v>
      </c>
      <c r="F2246" s="19" t="s">
        <v>4126</v>
      </c>
      <c r="G2246" s="5" t="str">
        <f>HYPERLINK("http://jsmh.umin.jp/journal/31-4/577-580.pdf")</f>
        <v>http://jsmh.umin.jp/journal/31-4/577-580.pdf</v>
      </c>
      <c r="H2246" s="43" t="str">
        <f t="shared" si="182"/>
        <v>http://dl.ndl.go.jp/info:ndljp/pid/3359310</v>
      </c>
    </row>
    <row r="2247" spans="1:8" ht="30" customHeight="1" x14ac:dyDescent="0.15">
      <c r="A2247" s="16" t="s">
        <v>558</v>
      </c>
      <c r="B2247" s="17" t="s">
        <v>704</v>
      </c>
      <c r="C2247" s="17"/>
      <c r="D2247" s="25" t="s">
        <v>3941</v>
      </c>
      <c r="E2247" s="19" t="s">
        <v>4111</v>
      </c>
      <c r="F2247" s="19" t="s">
        <v>4127</v>
      </c>
      <c r="G2247" s="5" t="str">
        <f>HYPERLINK("http://jsmh.umin.jp/journal/31-4/577.pdf")</f>
        <v>http://jsmh.umin.jp/journal/31-4/577.pdf</v>
      </c>
      <c r="H2247" s="43" t="str">
        <f t="shared" si="182"/>
        <v>http://dl.ndl.go.jp/info:ndljp/pid/3359310</v>
      </c>
    </row>
    <row r="2248" spans="1:8" ht="30" customHeight="1" x14ac:dyDescent="0.15">
      <c r="A2248" s="16" t="s">
        <v>3720</v>
      </c>
      <c r="B2248" s="17" t="s">
        <v>10155</v>
      </c>
      <c r="C2248" s="17" t="s">
        <v>4128</v>
      </c>
      <c r="D2248" s="25" t="s">
        <v>3941</v>
      </c>
      <c r="E2248" s="19" t="s">
        <v>4111</v>
      </c>
      <c r="F2248" s="19" t="s">
        <v>4129</v>
      </c>
      <c r="G2248" s="5" t="str">
        <f>HYPERLINK("http://jsmh.umin.jp/journal/31-4/580-583.pdf")</f>
        <v>http://jsmh.umin.jp/journal/31-4/580-583.pdf</v>
      </c>
      <c r="H2248" s="43" t="str">
        <f t="shared" si="182"/>
        <v>http://dl.ndl.go.jp/info:ndljp/pid/3359310</v>
      </c>
    </row>
    <row r="2249" spans="1:8" ht="30" customHeight="1" x14ac:dyDescent="0.15">
      <c r="A2249" s="16" t="s">
        <v>558</v>
      </c>
      <c r="B2249" s="17" t="s">
        <v>4130</v>
      </c>
      <c r="C2249" s="17"/>
      <c r="D2249" s="25" t="s">
        <v>3941</v>
      </c>
      <c r="E2249" s="19" t="s">
        <v>4111</v>
      </c>
      <c r="F2249" s="19" t="s">
        <v>4131</v>
      </c>
      <c r="G2249" s="5" t="str">
        <f>HYPERLINK("http://jsmh.umin.jp/journal/31-4/583-584.pdf")</f>
        <v>http://jsmh.umin.jp/journal/31-4/583-584.pdf</v>
      </c>
      <c r="H2249" s="43" t="str">
        <f t="shared" si="182"/>
        <v>http://dl.ndl.go.jp/info:ndljp/pid/3359310</v>
      </c>
    </row>
    <row r="2250" spans="1:8" ht="30" customHeight="1" x14ac:dyDescent="0.15">
      <c r="A2250" s="16" t="s">
        <v>17</v>
      </c>
      <c r="B2250" s="17" t="s">
        <v>4132</v>
      </c>
      <c r="C2250" s="17" t="s">
        <v>3655</v>
      </c>
      <c r="D2250" s="18" t="s">
        <v>4133</v>
      </c>
      <c r="E2250" s="19" t="s">
        <v>4134</v>
      </c>
      <c r="F2250" s="19" t="s">
        <v>866</v>
      </c>
      <c r="G2250" s="4" t="str">
        <f>HYPERLINK("http://jsmh.umin.jp/journal/32-1/1-25.pdf")</f>
        <v>http://jsmh.umin.jp/journal/32-1/1-25.pdf</v>
      </c>
      <c r="H2250" s="42" t="str">
        <f t="shared" ref="H2250:H2261" si="183">HYPERLINK("http://dl.ndl.go.jp/info:ndljp/pid/3359311")</f>
        <v>http://dl.ndl.go.jp/info:ndljp/pid/3359311</v>
      </c>
    </row>
    <row r="2251" spans="1:8" ht="30" customHeight="1" x14ac:dyDescent="0.15">
      <c r="A2251" s="16" t="s">
        <v>17</v>
      </c>
      <c r="B2251" s="17" t="s">
        <v>4135</v>
      </c>
      <c r="C2251" s="17" t="s">
        <v>4136</v>
      </c>
      <c r="D2251" s="25" t="s">
        <v>4133</v>
      </c>
      <c r="E2251" s="19" t="s">
        <v>4134</v>
      </c>
      <c r="F2251" s="19" t="s">
        <v>4137</v>
      </c>
      <c r="G2251" s="5" t="str">
        <f>HYPERLINK("http://jsmh.umin.jp/journal/32-1/26-42.pdf")</f>
        <v>http://jsmh.umin.jp/journal/32-1/26-42.pdf</v>
      </c>
      <c r="H2251" s="43" t="str">
        <f t="shared" si="183"/>
        <v>http://dl.ndl.go.jp/info:ndljp/pid/3359311</v>
      </c>
    </row>
    <row r="2252" spans="1:8" ht="30" customHeight="1" x14ac:dyDescent="0.15">
      <c r="A2252" s="16" t="s">
        <v>17</v>
      </c>
      <c r="B2252" s="17" t="s">
        <v>4138</v>
      </c>
      <c r="C2252" s="17" t="s">
        <v>10156</v>
      </c>
      <c r="D2252" s="25" t="s">
        <v>4133</v>
      </c>
      <c r="E2252" s="19" t="s">
        <v>4134</v>
      </c>
      <c r="F2252" s="19" t="s">
        <v>4139</v>
      </c>
      <c r="G2252" s="5" t="str">
        <f>HYPERLINK("http://jsmh.umin.jp/journal/32-1/43-49.pdf")</f>
        <v>http://jsmh.umin.jp/journal/32-1/43-49.pdf</v>
      </c>
      <c r="H2252" s="43" t="str">
        <f t="shared" si="183"/>
        <v>http://dl.ndl.go.jp/info:ndljp/pid/3359311</v>
      </c>
    </row>
    <row r="2253" spans="1:8" ht="30" customHeight="1" x14ac:dyDescent="0.15">
      <c r="A2253" s="16" t="s">
        <v>17</v>
      </c>
      <c r="B2253" s="17" t="s">
        <v>4140</v>
      </c>
      <c r="C2253" s="17" t="s">
        <v>479</v>
      </c>
      <c r="D2253" s="25" t="s">
        <v>4133</v>
      </c>
      <c r="E2253" s="19" t="s">
        <v>4134</v>
      </c>
      <c r="F2253" s="19" t="s">
        <v>4141</v>
      </c>
      <c r="G2253" s="5" t="str">
        <f>HYPERLINK("http://jsmh.umin.jp/journal/32-1/50-67.pdf")</f>
        <v>http://jsmh.umin.jp/journal/32-1/50-67.pdf</v>
      </c>
      <c r="H2253" s="43" t="str">
        <f t="shared" si="183"/>
        <v>http://dl.ndl.go.jp/info:ndljp/pid/3359311</v>
      </c>
    </row>
    <row r="2254" spans="1:8" ht="30" customHeight="1" x14ac:dyDescent="0.15">
      <c r="A2254" s="16" t="s">
        <v>17</v>
      </c>
      <c r="B2254" s="17" t="s">
        <v>4142</v>
      </c>
      <c r="C2254" s="17" t="s">
        <v>3973</v>
      </c>
      <c r="D2254" s="25" t="s">
        <v>4133</v>
      </c>
      <c r="E2254" s="19" t="s">
        <v>4134</v>
      </c>
      <c r="F2254" s="19" t="s">
        <v>4143</v>
      </c>
      <c r="G2254" s="5" t="str">
        <f>HYPERLINK("http://jsmh.umin.jp/journal/32-1/68-88.pdf")</f>
        <v>http://jsmh.umin.jp/journal/32-1/68-88.pdf</v>
      </c>
      <c r="H2254" s="43" t="str">
        <f t="shared" si="183"/>
        <v>http://dl.ndl.go.jp/info:ndljp/pid/3359311</v>
      </c>
    </row>
    <row r="2255" spans="1:8" ht="30" customHeight="1" x14ac:dyDescent="0.15">
      <c r="A2255" s="16" t="s">
        <v>692</v>
      </c>
      <c r="B2255" s="17" t="s">
        <v>4144</v>
      </c>
      <c r="C2255" s="17" t="s">
        <v>3655</v>
      </c>
      <c r="D2255" s="25" t="s">
        <v>4133</v>
      </c>
      <c r="E2255" s="19" t="s">
        <v>4134</v>
      </c>
      <c r="F2255" s="19" t="s">
        <v>4145</v>
      </c>
      <c r="G2255" s="5" t="str">
        <f>HYPERLINK("http://jsmh.umin.jp/journal/32-1/89-118.pdf")</f>
        <v>http://jsmh.umin.jp/journal/32-1/89-118.pdf</v>
      </c>
      <c r="H2255" s="43" t="str">
        <f t="shared" si="183"/>
        <v>http://dl.ndl.go.jp/info:ndljp/pid/3359311</v>
      </c>
    </row>
    <row r="2256" spans="1:8" ht="30" customHeight="1" x14ac:dyDescent="0.15">
      <c r="A2256" s="16" t="s">
        <v>558</v>
      </c>
      <c r="B2256" s="17" t="s">
        <v>4146</v>
      </c>
      <c r="C2256" s="17"/>
      <c r="D2256" s="25" t="s">
        <v>4133</v>
      </c>
      <c r="E2256" s="19" t="s">
        <v>4134</v>
      </c>
      <c r="F2256" s="19" t="s">
        <v>3614</v>
      </c>
      <c r="G2256" s="5" t="str">
        <f>HYPERLINK("http://jsmh.umin.jp/journal/32-1/119-120.pdf")</f>
        <v>http://jsmh.umin.jp/journal/32-1/119-120.pdf</v>
      </c>
      <c r="H2256" s="43" t="str">
        <f t="shared" si="183"/>
        <v>http://dl.ndl.go.jp/info:ndljp/pid/3359311</v>
      </c>
    </row>
    <row r="2257" spans="1:8" ht="30" customHeight="1" x14ac:dyDescent="0.15">
      <c r="A2257" s="16" t="s">
        <v>558</v>
      </c>
      <c r="B2257" s="17" t="s">
        <v>704</v>
      </c>
      <c r="C2257" s="17"/>
      <c r="D2257" s="25" t="s">
        <v>4133</v>
      </c>
      <c r="E2257" s="19" t="s">
        <v>4134</v>
      </c>
      <c r="F2257" s="19" t="s">
        <v>2404</v>
      </c>
      <c r="G2257" s="5" t="str">
        <f>HYPERLINK("http://jsmh.umin.jp/journal/32-1/119.pdf")</f>
        <v>http://jsmh.umin.jp/journal/32-1/119.pdf</v>
      </c>
      <c r="H2257" s="43" t="str">
        <f t="shared" si="183"/>
        <v>http://dl.ndl.go.jp/info:ndljp/pid/3359311</v>
      </c>
    </row>
    <row r="2258" spans="1:8" ht="30" customHeight="1" x14ac:dyDescent="0.15">
      <c r="A2258" s="16" t="s">
        <v>558</v>
      </c>
      <c r="B2258" s="17" t="s">
        <v>4147</v>
      </c>
      <c r="C2258" s="17"/>
      <c r="D2258" s="25" t="s">
        <v>4133</v>
      </c>
      <c r="E2258" s="19" t="s">
        <v>4134</v>
      </c>
      <c r="F2258" s="19" t="s">
        <v>4148</v>
      </c>
      <c r="G2258" s="5" t="str">
        <f>HYPERLINK("http://jsmh.umin.jp/journal/32-1/121.pdf")</f>
        <v>http://jsmh.umin.jp/journal/32-1/121.pdf</v>
      </c>
      <c r="H2258" s="43" t="str">
        <f t="shared" si="183"/>
        <v>http://dl.ndl.go.jp/info:ndljp/pid/3359311</v>
      </c>
    </row>
    <row r="2259" spans="1:8" ht="30" customHeight="1" x14ac:dyDescent="0.15">
      <c r="A2259" s="16" t="s">
        <v>558</v>
      </c>
      <c r="B2259" s="17" t="s">
        <v>4149</v>
      </c>
      <c r="C2259" s="17"/>
      <c r="D2259" s="25" t="s">
        <v>4133</v>
      </c>
      <c r="E2259" s="19" t="s">
        <v>4134</v>
      </c>
      <c r="F2259" s="19" t="s">
        <v>4148</v>
      </c>
      <c r="G2259" s="5" t="str">
        <f>HYPERLINK("http://jsmh.umin.jp/journal/32-1/121.pdf")</f>
        <v>http://jsmh.umin.jp/journal/32-1/121.pdf</v>
      </c>
      <c r="H2259" s="43" t="str">
        <f t="shared" si="183"/>
        <v>http://dl.ndl.go.jp/info:ndljp/pid/3359311</v>
      </c>
    </row>
    <row r="2260" spans="1:8" ht="30" customHeight="1" x14ac:dyDescent="0.15">
      <c r="A2260" s="16" t="s">
        <v>558</v>
      </c>
      <c r="B2260" s="17" t="s">
        <v>4150</v>
      </c>
      <c r="C2260" s="17"/>
      <c r="D2260" s="25" t="s">
        <v>4133</v>
      </c>
      <c r="E2260" s="19" t="s">
        <v>4134</v>
      </c>
      <c r="F2260" s="19" t="s">
        <v>4151</v>
      </c>
      <c r="G2260" s="5" t="str">
        <f>HYPERLINK("http://jsmh.umin.jp/journal/32-1/122.pdf")</f>
        <v>http://jsmh.umin.jp/journal/32-1/122.pdf</v>
      </c>
      <c r="H2260" s="43" t="str">
        <f t="shared" si="183"/>
        <v>http://dl.ndl.go.jp/info:ndljp/pid/3359311</v>
      </c>
    </row>
    <row r="2261" spans="1:8" ht="30" customHeight="1" x14ac:dyDescent="0.15">
      <c r="A2261" s="16" t="s">
        <v>17</v>
      </c>
      <c r="B2261" s="17" t="s">
        <v>4152</v>
      </c>
      <c r="C2261" s="17" t="s">
        <v>4153</v>
      </c>
      <c r="D2261" s="25" t="s">
        <v>4133</v>
      </c>
      <c r="E2261" s="19" t="s">
        <v>4134</v>
      </c>
      <c r="F2261" s="19" t="s">
        <v>4154</v>
      </c>
      <c r="G2261" s="5" t="str">
        <f>HYPERLINK("http://jsmh.umin.jp/journal/32-1/144-128.pdf")</f>
        <v>http://jsmh.umin.jp/journal/32-1/144-128.pdf</v>
      </c>
      <c r="H2261" s="43" t="str">
        <f t="shared" si="183"/>
        <v>http://dl.ndl.go.jp/info:ndljp/pid/3359311</v>
      </c>
    </row>
    <row r="2262" spans="1:8" ht="30" customHeight="1" x14ac:dyDescent="0.15">
      <c r="A2262" s="16" t="s">
        <v>1855</v>
      </c>
      <c r="B2262" s="17" t="s">
        <v>4155</v>
      </c>
      <c r="C2262" s="17" t="s">
        <v>2937</v>
      </c>
      <c r="D2262" s="25" t="s">
        <v>4133</v>
      </c>
      <c r="E2262" s="19" t="s">
        <v>4156</v>
      </c>
      <c r="F2262" s="19" t="s">
        <v>4157</v>
      </c>
      <c r="G2262" s="5" t="str">
        <f>HYPERLINK("http://jsmh.umin.jp/journal/32-2/145-153.pdf")</f>
        <v>http://jsmh.umin.jp/journal/32-2/145-153.pdf</v>
      </c>
      <c r="H2262" s="42" t="str">
        <f t="shared" ref="H2262:H2309" si="184">HYPERLINK("http://dl.ndl.go.jp/info:ndljp/pid/3359312")</f>
        <v>http://dl.ndl.go.jp/info:ndljp/pid/3359312</v>
      </c>
    </row>
    <row r="2263" spans="1:8" ht="30" customHeight="1" x14ac:dyDescent="0.15">
      <c r="A2263" s="16" t="s">
        <v>1855</v>
      </c>
      <c r="B2263" s="17" t="s">
        <v>4158</v>
      </c>
      <c r="C2263" s="17" t="s">
        <v>1602</v>
      </c>
      <c r="D2263" s="25" t="s">
        <v>4133</v>
      </c>
      <c r="E2263" s="19" t="s">
        <v>4156</v>
      </c>
      <c r="F2263" s="19" t="s">
        <v>4159</v>
      </c>
      <c r="G2263" s="5" t="str">
        <f>HYPERLINK("http://jsmh.umin.jp/journal/32-2/154-157.pdf")</f>
        <v>http://jsmh.umin.jp/journal/32-2/154-157.pdf</v>
      </c>
      <c r="H2263" s="43" t="str">
        <f t="shared" si="184"/>
        <v>http://dl.ndl.go.jp/info:ndljp/pid/3359312</v>
      </c>
    </row>
    <row r="2264" spans="1:8" ht="30" customHeight="1" x14ac:dyDescent="0.15">
      <c r="A2264" s="16" t="s">
        <v>1855</v>
      </c>
      <c r="B2264" s="17" t="s">
        <v>4160</v>
      </c>
      <c r="C2264" s="17" t="s">
        <v>4161</v>
      </c>
      <c r="D2264" s="25" t="s">
        <v>4133</v>
      </c>
      <c r="E2264" s="19" t="s">
        <v>4156</v>
      </c>
      <c r="F2264" s="19" t="s">
        <v>2544</v>
      </c>
      <c r="G2264" s="5" t="str">
        <f>HYPERLINK("http://jsmh.umin.jp/journal/32-2/158-160.pdf")</f>
        <v>http://jsmh.umin.jp/journal/32-2/158-160.pdf</v>
      </c>
      <c r="H2264" s="43" t="str">
        <f t="shared" si="184"/>
        <v>http://dl.ndl.go.jp/info:ndljp/pid/3359312</v>
      </c>
    </row>
    <row r="2265" spans="1:8" ht="30" customHeight="1" x14ac:dyDescent="0.15">
      <c r="A2265" s="16" t="s">
        <v>1855</v>
      </c>
      <c r="B2265" s="17" t="s">
        <v>4162</v>
      </c>
      <c r="C2265" s="17" t="s">
        <v>4163</v>
      </c>
      <c r="D2265" s="25" t="s">
        <v>4133</v>
      </c>
      <c r="E2265" s="19" t="s">
        <v>4156</v>
      </c>
      <c r="F2265" s="19" t="s">
        <v>2911</v>
      </c>
      <c r="G2265" s="5" t="str">
        <f>HYPERLINK("http://jsmh.umin.jp/journal/32-2/161-163.pdf")</f>
        <v>http://jsmh.umin.jp/journal/32-2/161-163.pdf</v>
      </c>
      <c r="H2265" s="43" t="str">
        <f t="shared" si="184"/>
        <v>http://dl.ndl.go.jp/info:ndljp/pid/3359312</v>
      </c>
    </row>
    <row r="2266" spans="1:8" ht="30" customHeight="1" x14ac:dyDescent="0.15">
      <c r="A2266" s="16" t="s">
        <v>1855</v>
      </c>
      <c r="B2266" s="17" t="s">
        <v>4164</v>
      </c>
      <c r="C2266" s="17" t="s">
        <v>4029</v>
      </c>
      <c r="D2266" s="25" t="s">
        <v>4133</v>
      </c>
      <c r="E2266" s="19" t="s">
        <v>4156</v>
      </c>
      <c r="F2266" s="19" t="s">
        <v>4165</v>
      </c>
      <c r="G2266" s="5" t="str">
        <f>HYPERLINK("http://jsmh.umin.jp/journal/32-2/163-165.pdf")</f>
        <v>http://jsmh.umin.jp/journal/32-2/163-165.pdf</v>
      </c>
      <c r="H2266" s="43" t="str">
        <f t="shared" si="184"/>
        <v>http://dl.ndl.go.jp/info:ndljp/pid/3359312</v>
      </c>
    </row>
    <row r="2267" spans="1:8" ht="30" customHeight="1" x14ac:dyDescent="0.15">
      <c r="A2267" s="16" t="s">
        <v>1855</v>
      </c>
      <c r="B2267" s="17" t="s">
        <v>10157</v>
      </c>
      <c r="C2267" s="17" t="s">
        <v>2212</v>
      </c>
      <c r="D2267" s="25" t="s">
        <v>4133</v>
      </c>
      <c r="E2267" s="19" t="s">
        <v>4156</v>
      </c>
      <c r="F2267" s="19" t="s">
        <v>2776</v>
      </c>
      <c r="G2267" s="5" t="str">
        <f>HYPERLINK("http://jsmh.umin.jp/journal/32-2/166-167.pdf")</f>
        <v>http://jsmh.umin.jp/journal/32-2/166-167.pdf</v>
      </c>
      <c r="H2267" s="43" t="str">
        <f t="shared" si="184"/>
        <v>http://dl.ndl.go.jp/info:ndljp/pid/3359312</v>
      </c>
    </row>
    <row r="2268" spans="1:8" ht="30" customHeight="1" x14ac:dyDescent="0.15">
      <c r="A2268" s="16" t="s">
        <v>1855</v>
      </c>
      <c r="B2268" s="17" t="s">
        <v>4166</v>
      </c>
      <c r="C2268" s="17" t="s">
        <v>69</v>
      </c>
      <c r="D2268" s="25" t="s">
        <v>4133</v>
      </c>
      <c r="E2268" s="19" t="s">
        <v>4156</v>
      </c>
      <c r="F2268" s="19" t="s">
        <v>2554</v>
      </c>
      <c r="G2268" s="5" t="str">
        <f>HYPERLINK("http://jsmh.umin.jp/journal/32-2/167-169.pdf")</f>
        <v>http://jsmh.umin.jp/journal/32-2/167-169.pdf</v>
      </c>
      <c r="H2268" s="43" t="str">
        <f t="shared" si="184"/>
        <v>http://dl.ndl.go.jp/info:ndljp/pid/3359312</v>
      </c>
    </row>
    <row r="2269" spans="1:8" ht="30" customHeight="1" x14ac:dyDescent="0.15">
      <c r="A2269" s="16" t="s">
        <v>1855</v>
      </c>
      <c r="B2269" s="17" t="s">
        <v>4167</v>
      </c>
      <c r="C2269" s="17" t="s">
        <v>3301</v>
      </c>
      <c r="D2269" s="25" t="s">
        <v>4133</v>
      </c>
      <c r="E2269" s="19" t="s">
        <v>4156</v>
      </c>
      <c r="F2269" s="19" t="s">
        <v>3662</v>
      </c>
      <c r="G2269" s="5" t="str">
        <f>HYPERLINK("http://jsmh.umin.jp/journal/32-2/169-171.pdf")</f>
        <v>http://jsmh.umin.jp/journal/32-2/169-171.pdf</v>
      </c>
      <c r="H2269" s="43" t="str">
        <f t="shared" si="184"/>
        <v>http://dl.ndl.go.jp/info:ndljp/pid/3359312</v>
      </c>
    </row>
    <row r="2270" spans="1:8" ht="30" customHeight="1" x14ac:dyDescent="0.15">
      <c r="A2270" s="16" t="s">
        <v>1855</v>
      </c>
      <c r="B2270" s="17" t="s">
        <v>4168</v>
      </c>
      <c r="C2270" s="17" t="s">
        <v>273</v>
      </c>
      <c r="D2270" s="25" t="s">
        <v>4133</v>
      </c>
      <c r="E2270" s="19" t="s">
        <v>4156</v>
      </c>
      <c r="F2270" s="19" t="s">
        <v>2561</v>
      </c>
      <c r="G2270" s="5" t="str">
        <f>HYPERLINK("http://jsmh.umin.jp/journal/32-2/172-174.pdf")</f>
        <v>http://jsmh.umin.jp/journal/32-2/172-174.pdf</v>
      </c>
      <c r="H2270" s="43" t="str">
        <f t="shared" si="184"/>
        <v>http://dl.ndl.go.jp/info:ndljp/pid/3359312</v>
      </c>
    </row>
    <row r="2271" spans="1:8" ht="30" customHeight="1" x14ac:dyDescent="0.15">
      <c r="A2271" s="16" t="s">
        <v>1855</v>
      </c>
      <c r="B2271" s="17" t="s">
        <v>4169</v>
      </c>
      <c r="C2271" s="17" t="s">
        <v>479</v>
      </c>
      <c r="D2271" s="25" t="s">
        <v>4133</v>
      </c>
      <c r="E2271" s="19" t="s">
        <v>4156</v>
      </c>
      <c r="F2271" s="19" t="s">
        <v>4170</v>
      </c>
      <c r="G2271" s="5" t="str">
        <f>HYPERLINK("http://jsmh.umin.jp/journal/32-2/175-176.pdf")</f>
        <v>http://jsmh.umin.jp/journal/32-2/175-176.pdf</v>
      </c>
      <c r="H2271" s="43" t="str">
        <f t="shared" si="184"/>
        <v>http://dl.ndl.go.jp/info:ndljp/pid/3359312</v>
      </c>
    </row>
    <row r="2272" spans="1:8" ht="30" customHeight="1" x14ac:dyDescent="0.15">
      <c r="A2272" s="16" t="s">
        <v>1855</v>
      </c>
      <c r="B2272" s="17" t="s">
        <v>4171</v>
      </c>
      <c r="C2272" s="17" t="s">
        <v>838</v>
      </c>
      <c r="D2272" s="25" t="s">
        <v>4133</v>
      </c>
      <c r="E2272" s="19" t="s">
        <v>4156</v>
      </c>
      <c r="F2272" s="19" t="s">
        <v>3421</v>
      </c>
      <c r="G2272" s="5" t="str">
        <f>HYPERLINK("http://jsmh.umin.jp/journal/32-2/176-178.pdf")</f>
        <v>http://jsmh.umin.jp/journal/32-2/176-178.pdf</v>
      </c>
      <c r="H2272" s="43" t="str">
        <f t="shared" si="184"/>
        <v>http://dl.ndl.go.jp/info:ndljp/pid/3359312</v>
      </c>
    </row>
    <row r="2273" spans="1:8" ht="30" customHeight="1" x14ac:dyDescent="0.15">
      <c r="A2273" s="16" t="s">
        <v>1855</v>
      </c>
      <c r="B2273" s="17" t="s">
        <v>4172</v>
      </c>
      <c r="C2273" s="17" t="s">
        <v>1070</v>
      </c>
      <c r="D2273" s="25" t="s">
        <v>4133</v>
      </c>
      <c r="E2273" s="19" t="s">
        <v>4156</v>
      </c>
      <c r="F2273" s="19" t="s">
        <v>4173</v>
      </c>
      <c r="G2273" s="5" t="str">
        <f>HYPERLINK("http://jsmh.umin.jp/journal/32-2/179.pdf")</f>
        <v>http://jsmh.umin.jp/journal/32-2/179.pdf</v>
      </c>
      <c r="H2273" s="43" t="str">
        <f t="shared" si="184"/>
        <v>http://dl.ndl.go.jp/info:ndljp/pid/3359312</v>
      </c>
    </row>
    <row r="2274" spans="1:8" ht="30" customHeight="1" x14ac:dyDescent="0.15">
      <c r="A2274" s="16" t="s">
        <v>1855</v>
      </c>
      <c r="B2274" s="17" t="s">
        <v>4174</v>
      </c>
      <c r="C2274" s="17" t="s">
        <v>4175</v>
      </c>
      <c r="D2274" s="25" t="s">
        <v>4133</v>
      </c>
      <c r="E2274" s="19" t="s">
        <v>4156</v>
      </c>
      <c r="F2274" s="19" t="s">
        <v>2568</v>
      </c>
      <c r="G2274" s="5" t="str">
        <f>HYPERLINK("http://jsmh.umin.jp/journal/32-2/180-182.pdf")</f>
        <v>http://jsmh.umin.jp/journal/32-2/180-182.pdf</v>
      </c>
      <c r="H2274" s="43" t="str">
        <f t="shared" si="184"/>
        <v>http://dl.ndl.go.jp/info:ndljp/pid/3359312</v>
      </c>
    </row>
    <row r="2275" spans="1:8" ht="30" customHeight="1" x14ac:dyDescent="0.15">
      <c r="A2275" s="16" t="s">
        <v>1855</v>
      </c>
      <c r="B2275" s="17" t="s">
        <v>4176</v>
      </c>
      <c r="C2275" s="17" t="s">
        <v>3644</v>
      </c>
      <c r="D2275" s="25" t="s">
        <v>4133</v>
      </c>
      <c r="E2275" s="19" t="s">
        <v>4156</v>
      </c>
      <c r="F2275" s="19" t="s">
        <v>3670</v>
      </c>
      <c r="G2275" s="5" t="str">
        <f>HYPERLINK("http://jsmh.umin.jp/journal/32-2/182-184.pdf")</f>
        <v>http://jsmh.umin.jp/journal/32-2/182-184.pdf</v>
      </c>
      <c r="H2275" s="43" t="str">
        <f t="shared" si="184"/>
        <v>http://dl.ndl.go.jp/info:ndljp/pid/3359312</v>
      </c>
    </row>
    <row r="2276" spans="1:8" ht="30" customHeight="1" x14ac:dyDescent="0.15">
      <c r="A2276" s="16" t="s">
        <v>1855</v>
      </c>
      <c r="B2276" s="17" t="s">
        <v>4177</v>
      </c>
      <c r="C2276" s="17" t="s">
        <v>3839</v>
      </c>
      <c r="D2276" s="25" t="s">
        <v>4133</v>
      </c>
      <c r="E2276" s="19" t="s">
        <v>4156</v>
      </c>
      <c r="F2276" s="19" t="s">
        <v>3672</v>
      </c>
      <c r="G2276" s="5" t="str">
        <f>HYPERLINK("http://jsmh.umin.jp/journal/32-2/184-186.pdf")</f>
        <v>http://jsmh.umin.jp/journal/32-2/184-186.pdf</v>
      </c>
      <c r="H2276" s="43" t="str">
        <f t="shared" si="184"/>
        <v>http://dl.ndl.go.jp/info:ndljp/pid/3359312</v>
      </c>
    </row>
    <row r="2277" spans="1:8" ht="30" customHeight="1" x14ac:dyDescent="0.15">
      <c r="A2277" s="16" t="s">
        <v>1855</v>
      </c>
      <c r="B2277" s="17" t="s">
        <v>4178</v>
      </c>
      <c r="C2277" s="17" t="s">
        <v>4179</v>
      </c>
      <c r="D2277" s="25" t="s">
        <v>4133</v>
      </c>
      <c r="E2277" s="19" t="s">
        <v>4156</v>
      </c>
      <c r="F2277" s="19" t="s">
        <v>2795</v>
      </c>
      <c r="G2277" s="5" t="str">
        <f>HYPERLINK("http://jsmh.umin.jp/journal/32-2/186-188.pdf")</f>
        <v>http://jsmh.umin.jp/journal/32-2/186-188.pdf</v>
      </c>
      <c r="H2277" s="43" t="str">
        <f t="shared" si="184"/>
        <v>http://dl.ndl.go.jp/info:ndljp/pid/3359312</v>
      </c>
    </row>
    <row r="2278" spans="1:8" ht="30" customHeight="1" x14ac:dyDescent="0.15">
      <c r="A2278" s="16" t="s">
        <v>1855</v>
      </c>
      <c r="B2278" s="17" t="s">
        <v>10158</v>
      </c>
      <c r="C2278" s="17" t="s">
        <v>4180</v>
      </c>
      <c r="D2278" s="25" t="s">
        <v>4133</v>
      </c>
      <c r="E2278" s="19" t="s">
        <v>4156</v>
      </c>
      <c r="F2278" s="19" t="s">
        <v>2797</v>
      </c>
      <c r="G2278" s="5" t="str">
        <f>HYPERLINK("http://jsmh.umin.jp/journal/32-2/188-190.pdf")</f>
        <v>http://jsmh.umin.jp/journal/32-2/188-190.pdf</v>
      </c>
      <c r="H2278" s="43" t="str">
        <f t="shared" si="184"/>
        <v>http://dl.ndl.go.jp/info:ndljp/pid/3359312</v>
      </c>
    </row>
    <row r="2279" spans="1:8" ht="30" customHeight="1" x14ac:dyDescent="0.15">
      <c r="A2279" s="16" t="s">
        <v>1855</v>
      </c>
      <c r="B2279" s="17" t="s">
        <v>4181</v>
      </c>
      <c r="C2279" s="17" t="s">
        <v>2233</v>
      </c>
      <c r="D2279" s="25" t="s">
        <v>4133</v>
      </c>
      <c r="E2279" s="19" t="s">
        <v>4156</v>
      </c>
      <c r="F2279" s="19" t="s">
        <v>2582</v>
      </c>
      <c r="G2279" s="5" t="str">
        <f>HYPERLINK("http://jsmh.umin.jp/journal/32-2/190-192.pdf")</f>
        <v>http://jsmh.umin.jp/journal/32-2/190-192.pdf</v>
      </c>
      <c r="H2279" s="43" t="str">
        <f t="shared" si="184"/>
        <v>http://dl.ndl.go.jp/info:ndljp/pid/3359312</v>
      </c>
    </row>
    <row r="2280" spans="1:8" ht="30" customHeight="1" x14ac:dyDescent="0.15">
      <c r="A2280" s="16" t="s">
        <v>1855</v>
      </c>
      <c r="B2280" s="17" t="s">
        <v>4182</v>
      </c>
      <c r="C2280" s="17" t="s">
        <v>2576</v>
      </c>
      <c r="D2280" s="25" t="s">
        <v>4133</v>
      </c>
      <c r="E2280" s="19" t="s">
        <v>4156</v>
      </c>
      <c r="F2280" s="19" t="s">
        <v>988</v>
      </c>
      <c r="G2280" s="5" t="str">
        <f>HYPERLINK("http://jsmh.umin.jp/journal/32-2/192.pdf")</f>
        <v>http://jsmh.umin.jp/journal/32-2/192.pdf</v>
      </c>
      <c r="H2280" s="43" t="str">
        <f t="shared" si="184"/>
        <v>http://dl.ndl.go.jp/info:ndljp/pid/3359312</v>
      </c>
    </row>
    <row r="2281" spans="1:8" ht="30" customHeight="1" x14ac:dyDescent="0.15">
      <c r="A2281" s="16" t="s">
        <v>1855</v>
      </c>
      <c r="B2281" s="17" t="s">
        <v>4183</v>
      </c>
      <c r="C2281" s="17" t="s">
        <v>3196</v>
      </c>
      <c r="D2281" s="25" t="s">
        <v>4133</v>
      </c>
      <c r="E2281" s="19" t="s">
        <v>4156</v>
      </c>
      <c r="F2281" s="19" t="s">
        <v>3832</v>
      </c>
      <c r="G2281" s="5" t="str">
        <f>HYPERLINK("http://jsmh.umin.jp/journal/32-2/193-195.pdf")</f>
        <v>http://jsmh.umin.jp/journal/32-2/193-195.pdf</v>
      </c>
      <c r="H2281" s="43" t="str">
        <f t="shared" si="184"/>
        <v>http://dl.ndl.go.jp/info:ndljp/pid/3359312</v>
      </c>
    </row>
    <row r="2282" spans="1:8" ht="30" customHeight="1" x14ac:dyDescent="0.15">
      <c r="A2282" s="16" t="s">
        <v>1855</v>
      </c>
      <c r="B2282" s="17" t="s">
        <v>4184</v>
      </c>
      <c r="C2282" s="17" t="s">
        <v>4185</v>
      </c>
      <c r="D2282" s="25" t="s">
        <v>4133</v>
      </c>
      <c r="E2282" s="19" t="s">
        <v>4156</v>
      </c>
      <c r="F2282" s="19" t="s">
        <v>2438</v>
      </c>
      <c r="G2282" s="5" t="str">
        <f>HYPERLINK("http://jsmh.umin.jp/journal/32-2/195-197.pdf")</f>
        <v>http://jsmh.umin.jp/journal/32-2/195-197.pdf</v>
      </c>
      <c r="H2282" s="43" t="str">
        <f t="shared" si="184"/>
        <v>http://dl.ndl.go.jp/info:ndljp/pid/3359312</v>
      </c>
    </row>
    <row r="2283" spans="1:8" ht="30" customHeight="1" x14ac:dyDescent="0.15">
      <c r="A2283" s="16" t="s">
        <v>1855</v>
      </c>
      <c r="B2283" s="17" t="s">
        <v>4186</v>
      </c>
      <c r="C2283" s="17" t="s">
        <v>3862</v>
      </c>
      <c r="D2283" s="25" t="s">
        <v>4133</v>
      </c>
      <c r="E2283" s="19" t="s">
        <v>4156</v>
      </c>
      <c r="F2283" s="19" t="s">
        <v>4187</v>
      </c>
      <c r="G2283" s="5" t="str">
        <f>HYPERLINK("http://jsmh.umin.jp/journal/32-2/197-199.pdf")</f>
        <v>http://jsmh.umin.jp/journal/32-2/197-199.pdf</v>
      </c>
      <c r="H2283" s="43" t="str">
        <f t="shared" si="184"/>
        <v>http://dl.ndl.go.jp/info:ndljp/pid/3359312</v>
      </c>
    </row>
    <row r="2284" spans="1:8" ht="30" customHeight="1" x14ac:dyDescent="0.15">
      <c r="A2284" s="16" t="s">
        <v>1855</v>
      </c>
      <c r="B2284" s="17" t="s">
        <v>4188</v>
      </c>
      <c r="C2284" s="17" t="s">
        <v>963</v>
      </c>
      <c r="D2284" s="25" t="s">
        <v>4133</v>
      </c>
      <c r="E2284" s="19" t="s">
        <v>4156</v>
      </c>
      <c r="F2284" s="19" t="s">
        <v>1743</v>
      </c>
      <c r="G2284" s="5" t="str">
        <f>HYPERLINK("http://jsmh.umin.jp/journal/32-2/200-201.pdf")</f>
        <v>http://jsmh.umin.jp/journal/32-2/200-201.pdf</v>
      </c>
      <c r="H2284" s="43" t="str">
        <f t="shared" si="184"/>
        <v>http://dl.ndl.go.jp/info:ndljp/pid/3359312</v>
      </c>
    </row>
    <row r="2285" spans="1:8" ht="30" customHeight="1" x14ac:dyDescent="0.15">
      <c r="A2285" s="16" t="s">
        <v>1855</v>
      </c>
      <c r="B2285" s="17" t="s">
        <v>4189</v>
      </c>
      <c r="C2285" s="17" t="s">
        <v>2325</v>
      </c>
      <c r="D2285" s="25" t="s">
        <v>4133</v>
      </c>
      <c r="E2285" s="19" t="s">
        <v>4156</v>
      </c>
      <c r="F2285" s="19" t="s">
        <v>3439</v>
      </c>
      <c r="G2285" s="5" t="str">
        <f>HYPERLINK("http://jsmh.umin.jp/journal/32-2/201-203.pdf")</f>
        <v>http://jsmh.umin.jp/journal/32-2/201-203.pdf</v>
      </c>
      <c r="H2285" s="43" t="str">
        <f t="shared" si="184"/>
        <v>http://dl.ndl.go.jp/info:ndljp/pid/3359312</v>
      </c>
    </row>
    <row r="2286" spans="1:8" ht="30" customHeight="1" x14ac:dyDescent="0.15">
      <c r="A2286" s="16" t="s">
        <v>1855</v>
      </c>
      <c r="B2286" s="17" t="s">
        <v>4190</v>
      </c>
      <c r="C2286" s="17" t="s">
        <v>2386</v>
      </c>
      <c r="D2286" s="25" t="s">
        <v>4133</v>
      </c>
      <c r="E2286" s="19" t="s">
        <v>4156</v>
      </c>
      <c r="F2286" s="19" t="s">
        <v>3994</v>
      </c>
      <c r="G2286" s="5" t="str">
        <f>HYPERLINK("http://jsmh.umin.jp/journal/32-2/204-206.pdf")</f>
        <v>http://jsmh.umin.jp/journal/32-2/204-206.pdf</v>
      </c>
      <c r="H2286" s="43" t="str">
        <f t="shared" si="184"/>
        <v>http://dl.ndl.go.jp/info:ndljp/pid/3359312</v>
      </c>
    </row>
    <row r="2287" spans="1:8" ht="30" customHeight="1" x14ac:dyDescent="0.15">
      <c r="A2287" s="16" t="s">
        <v>1855</v>
      </c>
      <c r="B2287" s="17" t="s">
        <v>4191</v>
      </c>
      <c r="C2287" s="17" t="s">
        <v>2828</v>
      </c>
      <c r="D2287" s="25" t="s">
        <v>4133</v>
      </c>
      <c r="E2287" s="19" t="s">
        <v>4156</v>
      </c>
      <c r="F2287" s="19" t="s">
        <v>3271</v>
      </c>
      <c r="G2287" s="5" t="str">
        <f>HYPERLINK("http://jsmh.umin.jp/journal/32-2/206-207.pdf")</f>
        <v>http://jsmh.umin.jp/journal/32-2/206-207.pdf</v>
      </c>
      <c r="H2287" s="43" t="str">
        <f t="shared" si="184"/>
        <v>http://dl.ndl.go.jp/info:ndljp/pid/3359312</v>
      </c>
    </row>
    <row r="2288" spans="1:8" ht="30" customHeight="1" x14ac:dyDescent="0.15">
      <c r="A2288" s="16" t="s">
        <v>1855</v>
      </c>
      <c r="B2288" s="17" t="s">
        <v>4192</v>
      </c>
      <c r="C2288" s="17" t="s">
        <v>2199</v>
      </c>
      <c r="D2288" s="25" t="s">
        <v>4133</v>
      </c>
      <c r="E2288" s="19" t="s">
        <v>4156</v>
      </c>
      <c r="F2288" s="19" t="s">
        <v>4193</v>
      </c>
      <c r="G2288" s="5" t="str">
        <f>HYPERLINK("http://jsmh.umin.jp/journal/32-2/208-209.pdf")</f>
        <v>http://jsmh.umin.jp/journal/32-2/208-209.pdf</v>
      </c>
      <c r="H2288" s="43" t="str">
        <f t="shared" si="184"/>
        <v>http://dl.ndl.go.jp/info:ndljp/pid/3359312</v>
      </c>
    </row>
    <row r="2289" spans="1:8" ht="30" customHeight="1" x14ac:dyDescent="0.15">
      <c r="A2289" s="16" t="s">
        <v>1855</v>
      </c>
      <c r="B2289" s="17" t="s">
        <v>10159</v>
      </c>
      <c r="C2289" s="17" t="s">
        <v>1932</v>
      </c>
      <c r="D2289" s="25" t="s">
        <v>4133</v>
      </c>
      <c r="E2289" s="19" t="s">
        <v>4156</v>
      </c>
      <c r="F2289" s="19" t="s">
        <v>264</v>
      </c>
      <c r="G2289" s="5" t="str">
        <f>HYPERLINK("http://jsmh.umin.jp/journal/32-2/208.pdf")</f>
        <v>http://jsmh.umin.jp/journal/32-2/208.pdf</v>
      </c>
      <c r="H2289" s="43" t="str">
        <f t="shared" si="184"/>
        <v>http://dl.ndl.go.jp/info:ndljp/pid/3359312</v>
      </c>
    </row>
    <row r="2290" spans="1:8" ht="30" customHeight="1" x14ac:dyDescent="0.15">
      <c r="A2290" s="16" t="s">
        <v>1855</v>
      </c>
      <c r="B2290" s="17" t="s">
        <v>4194</v>
      </c>
      <c r="C2290" s="17" t="s">
        <v>3120</v>
      </c>
      <c r="D2290" s="25" t="s">
        <v>4133</v>
      </c>
      <c r="E2290" s="19" t="s">
        <v>4156</v>
      </c>
      <c r="F2290" s="19" t="s">
        <v>2600</v>
      </c>
      <c r="G2290" s="5" t="str">
        <f>HYPERLINK("http://jsmh.umin.jp/journal/32-2/209-211.pdf")</f>
        <v>http://jsmh.umin.jp/journal/32-2/209-211.pdf</v>
      </c>
      <c r="H2290" s="43" t="str">
        <f t="shared" si="184"/>
        <v>http://dl.ndl.go.jp/info:ndljp/pid/3359312</v>
      </c>
    </row>
    <row r="2291" spans="1:8" ht="30" customHeight="1" x14ac:dyDescent="0.15">
      <c r="A2291" s="16" t="s">
        <v>1855</v>
      </c>
      <c r="B2291" s="17" t="s">
        <v>4195</v>
      </c>
      <c r="C2291" s="17" t="s">
        <v>3172</v>
      </c>
      <c r="D2291" s="25" t="s">
        <v>4133</v>
      </c>
      <c r="E2291" s="19" t="s">
        <v>4156</v>
      </c>
      <c r="F2291" s="19" t="s">
        <v>4196</v>
      </c>
      <c r="G2291" s="5" t="str">
        <f>HYPERLINK("http://jsmh.umin.jp/journal/32-2/212.pdf")</f>
        <v>http://jsmh.umin.jp/journal/32-2/212.pdf</v>
      </c>
      <c r="H2291" s="43" t="str">
        <f t="shared" si="184"/>
        <v>http://dl.ndl.go.jp/info:ndljp/pid/3359312</v>
      </c>
    </row>
    <row r="2292" spans="1:8" ht="30" customHeight="1" x14ac:dyDescent="0.15">
      <c r="A2292" s="16" t="s">
        <v>1855</v>
      </c>
      <c r="B2292" s="17" t="s">
        <v>4197</v>
      </c>
      <c r="C2292" s="17" t="s">
        <v>1823</v>
      </c>
      <c r="D2292" s="25" t="s">
        <v>4133</v>
      </c>
      <c r="E2292" s="19" t="s">
        <v>4156</v>
      </c>
      <c r="F2292" s="19" t="s">
        <v>276</v>
      </c>
      <c r="G2292" s="5" t="str">
        <f>HYPERLINK("http://jsmh.umin.jp/journal/32-2/213-214.pdf")</f>
        <v>http://jsmh.umin.jp/journal/32-2/213-214.pdf</v>
      </c>
      <c r="H2292" s="43" t="str">
        <f t="shared" si="184"/>
        <v>http://dl.ndl.go.jp/info:ndljp/pid/3359312</v>
      </c>
    </row>
    <row r="2293" spans="1:8" ht="30" customHeight="1" x14ac:dyDescent="0.15">
      <c r="A2293" s="16" t="s">
        <v>1855</v>
      </c>
      <c r="B2293" s="17" t="s">
        <v>4198</v>
      </c>
      <c r="C2293" s="17" t="s">
        <v>3650</v>
      </c>
      <c r="D2293" s="25" t="s">
        <v>4133</v>
      </c>
      <c r="E2293" s="19" t="s">
        <v>4156</v>
      </c>
      <c r="F2293" s="19" t="s">
        <v>2081</v>
      </c>
      <c r="G2293" s="5" t="str">
        <f>HYPERLINK("http://jsmh.umin.jp/journal/32-2/215-217.pdf")</f>
        <v>http://jsmh.umin.jp/journal/32-2/215-217.pdf</v>
      </c>
      <c r="H2293" s="43" t="str">
        <f t="shared" si="184"/>
        <v>http://dl.ndl.go.jp/info:ndljp/pid/3359312</v>
      </c>
    </row>
    <row r="2294" spans="1:8" ht="30" customHeight="1" x14ac:dyDescent="0.15">
      <c r="A2294" s="16" t="s">
        <v>1855</v>
      </c>
      <c r="B2294" s="17" t="s">
        <v>4199</v>
      </c>
      <c r="C2294" s="17" t="s">
        <v>2465</v>
      </c>
      <c r="D2294" s="25" t="s">
        <v>4133</v>
      </c>
      <c r="E2294" s="19" t="s">
        <v>4156</v>
      </c>
      <c r="F2294" s="19" t="s">
        <v>2083</v>
      </c>
      <c r="G2294" s="5" t="str">
        <f>HYPERLINK("http://jsmh.umin.jp/journal/32-2/217-219.pdf")</f>
        <v>http://jsmh.umin.jp/journal/32-2/217-219.pdf</v>
      </c>
      <c r="H2294" s="43" t="str">
        <f t="shared" si="184"/>
        <v>http://dl.ndl.go.jp/info:ndljp/pid/3359312</v>
      </c>
    </row>
    <row r="2295" spans="1:8" ht="30" customHeight="1" x14ac:dyDescent="0.15">
      <c r="A2295" s="16" t="s">
        <v>1855</v>
      </c>
      <c r="B2295" s="17" t="s">
        <v>4200</v>
      </c>
      <c r="C2295" s="17" t="s">
        <v>66</v>
      </c>
      <c r="D2295" s="25" t="s">
        <v>4133</v>
      </c>
      <c r="E2295" s="19" t="s">
        <v>4156</v>
      </c>
      <c r="F2295" s="19" t="s">
        <v>2607</v>
      </c>
      <c r="G2295" s="5" t="str">
        <f>HYPERLINK("http://jsmh.umin.jp/journal/32-2/219-221.pdf")</f>
        <v>http://jsmh.umin.jp/journal/32-2/219-221.pdf</v>
      </c>
      <c r="H2295" s="43" t="str">
        <f t="shared" si="184"/>
        <v>http://dl.ndl.go.jp/info:ndljp/pid/3359312</v>
      </c>
    </row>
    <row r="2296" spans="1:8" ht="30" customHeight="1" x14ac:dyDescent="0.15">
      <c r="A2296" s="16" t="s">
        <v>1855</v>
      </c>
      <c r="B2296" s="17" t="s">
        <v>4201</v>
      </c>
      <c r="C2296" s="17" t="s">
        <v>2881</v>
      </c>
      <c r="D2296" s="25" t="s">
        <v>4133</v>
      </c>
      <c r="E2296" s="19" t="s">
        <v>4156</v>
      </c>
      <c r="F2296" s="19" t="s">
        <v>1390</v>
      </c>
      <c r="G2296" s="5" t="str">
        <f>HYPERLINK("http://jsmh.umin.jp/journal/32-2/222-223.pdf")</f>
        <v>http://jsmh.umin.jp/journal/32-2/222-223.pdf</v>
      </c>
      <c r="H2296" s="43" t="str">
        <f t="shared" si="184"/>
        <v>http://dl.ndl.go.jp/info:ndljp/pid/3359312</v>
      </c>
    </row>
    <row r="2297" spans="1:8" ht="30" customHeight="1" x14ac:dyDescent="0.15">
      <c r="A2297" s="16" t="s">
        <v>1855</v>
      </c>
      <c r="B2297" s="17" t="s">
        <v>4202</v>
      </c>
      <c r="C2297" s="17" t="s">
        <v>4203</v>
      </c>
      <c r="D2297" s="25" t="s">
        <v>4133</v>
      </c>
      <c r="E2297" s="19" t="s">
        <v>4156</v>
      </c>
      <c r="F2297" s="19" t="s">
        <v>4204</v>
      </c>
      <c r="G2297" s="5" t="str">
        <f>HYPERLINK("http://jsmh.umin.jp/journal/32-2/224-227.pdf")</f>
        <v>http://jsmh.umin.jp/journal/32-2/224-227.pdf</v>
      </c>
      <c r="H2297" s="43" t="str">
        <f t="shared" si="184"/>
        <v>http://dl.ndl.go.jp/info:ndljp/pid/3359312</v>
      </c>
    </row>
    <row r="2298" spans="1:8" ht="30" customHeight="1" x14ac:dyDescent="0.15">
      <c r="A2298" s="16" t="s">
        <v>1855</v>
      </c>
      <c r="B2298" s="17" t="s">
        <v>4205</v>
      </c>
      <c r="C2298" s="17" t="s">
        <v>2222</v>
      </c>
      <c r="D2298" s="25" t="s">
        <v>4133</v>
      </c>
      <c r="E2298" s="19" t="s">
        <v>4156</v>
      </c>
      <c r="F2298" s="19" t="s">
        <v>4206</v>
      </c>
      <c r="G2298" s="26" t="str">
        <f>HYPERLINK("http://jsmh.umin.jp/journal/32-2/228.pdf")</f>
        <v>http://jsmh.umin.jp/journal/32-2/228.pdf</v>
      </c>
      <c r="H2298" s="43" t="str">
        <f t="shared" si="184"/>
        <v>http://dl.ndl.go.jp/info:ndljp/pid/3359312</v>
      </c>
    </row>
    <row r="2299" spans="1:8" ht="30" customHeight="1" x14ac:dyDescent="0.15">
      <c r="A2299" s="16" t="s">
        <v>1855</v>
      </c>
      <c r="B2299" s="17" t="s">
        <v>4207</v>
      </c>
      <c r="C2299" s="17" t="s">
        <v>3905</v>
      </c>
      <c r="D2299" s="25" t="s">
        <v>4133</v>
      </c>
      <c r="E2299" s="19" t="s">
        <v>4156</v>
      </c>
      <c r="F2299" s="19" t="s">
        <v>2096</v>
      </c>
      <c r="G2299" s="5" t="str">
        <f>HYPERLINK("http://jsmh.umin.jp/journal/32-2/229-231.pdf")</f>
        <v>http://jsmh.umin.jp/journal/32-2/229-231.pdf</v>
      </c>
      <c r="H2299" s="43" t="str">
        <f t="shared" si="184"/>
        <v>http://dl.ndl.go.jp/info:ndljp/pid/3359312</v>
      </c>
    </row>
    <row r="2300" spans="1:8" ht="30" customHeight="1" x14ac:dyDescent="0.15">
      <c r="A2300" s="16" t="s">
        <v>1855</v>
      </c>
      <c r="B2300" s="17" t="s">
        <v>4208</v>
      </c>
      <c r="C2300" s="17" t="s">
        <v>2553</v>
      </c>
      <c r="D2300" s="25" t="s">
        <v>4133</v>
      </c>
      <c r="E2300" s="19" t="s">
        <v>4156</v>
      </c>
      <c r="F2300" s="19" t="s">
        <v>3856</v>
      </c>
      <c r="G2300" s="5" t="str">
        <f>HYPERLINK("http://jsmh.umin.jp/journal/32-2/231-233.pdf")</f>
        <v>http://jsmh.umin.jp/journal/32-2/231-233.pdf</v>
      </c>
      <c r="H2300" s="43" t="str">
        <f t="shared" si="184"/>
        <v>http://dl.ndl.go.jp/info:ndljp/pid/3359312</v>
      </c>
    </row>
    <row r="2301" spans="1:8" ht="30" customHeight="1" x14ac:dyDescent="0.15">
      <c r="A2301" s="16" t="s">
        <v>1855</v>
      </c>
      <c r="B2301" s="17" t="s">
        <v>4209</v>
      </c>
      <c r="C2301" s="17" t="s">
        <v>3655</v>
      </c>
      <c r="D2301" s="25" t="s">
        <v>4133</v>
      </c>
      <c r="E2301" s="19" t="s">
        <v>4156</v>
      </c>
      <c r="F2301" s="19" t="s">
        <v>3454</v>
      </c>
      <c r="G2301" s="5" t="str">
        <f>HYPERLINK("http://jsmh.umin.jp/journal/32-2/234-236.pdf")</f>
        <v>http://jsmh.umin.jp/journal/32-2/234-236.pdf</v>
      </c>
      <c r="H2301" s="43" t="str">
        <f t="shared" si="184"/>
        <v>http://dl.ndl.go.jp/info:ndljp/pid/3359312</v>
      </c>
    </row>
    <row r="2302" spans="1:8" ht="30" customHeight="1" x14ac:dyDescent="0.15">
      <c r="A2302" s="16" t="s">
        <v>1855</v>
      </c>
      <c r="B2302" s="17" t="s">
        <v>10160</v>
      </c>
      <c r="C2302" s="17" t="s">
        <v>790</v>
      </c>
      <c r="D2302" s="25" t="s">
        <v>4133</v>
      </c>
      <c r="E2302" s="19" t="s">
        <v>4156</v>
      </c>
      <c r="F2302" s="19" t="s">
        <v>4210</v>
      </c>
      <c r="G2302" s="5" t="str">
        <f>HYPERLINK("http://jsmh.umin.jp/journal/32-2/236-238.pdf")</f>
        <v>http://jsmh.umin.jp/journal/32-2/236-238.pdf</v>
      </c>
      <c r="H2302" s="43" t="str">
        <f t="shared" si="184"/>
        <v>http://dl.ndl.go.jp/info:ndljp/pid/3359312</v>
      </c>
    </row>
    <row r="2303" spans="1:8" ht="30" customHeight="1" x14ac:dyDescent="0.15">
      <c r="A2303" s="16" t="s">
        <v>1855</v>
      </c>
      <c r="B2303" s="17" t="s">
        <v>4211</v>
      </c>
      <c r="C2303" s="17" t="s">
        <v>4039</v>
      </c>
      <c r="D2303" s="25" t="s">
        <v>4133</v>
      </c>
      <c r="E2303" s="19" t="s">
        <v>4156</v>
      </c>
      <c r="F2303" s="19" t="s">
        <v>3863</v>
      </c>
      <c r="G2303" s="5" t="str">
        <f>HYPERLINK("http://jsmh.umin.jp/journal/32-2/238-240.pdf")</f>
        <v>http://jsmh.umin.jp/journal/32-2/238-240.pdf</v>
      </c>
      <c r="H2303" s="43" t="str">
        <f t="shared" si="184"/>
        <v>http://dl.ndl.go.jp/info:ndljp/pid/3359312</v>
      </c>
    </row>
    <row r="2304" spans="1:8" ht="30" customHeight="1" x14ac:dyDescent="0.15">
      <c r="A2304" s="16" t="s">
        <v>1855</v>
      </c>
      <c r="B2304" s="17" t="s">
        <v>4212</v>
      </c>
      <c r="C2304" s="17" t="s">
        <v>4026</v>
      </c>
      <c r="D2304" s="25" t="s">
        <v>4133</v>
      </c>
      <c r="E2304" s="19" t="s">
        <v>4156</v>
      </c>
      <c r="F2304" s="19" t="s">
        <v>3460</v>
      </c>
      <c r="G2304" s="5" t="str">
        <f>HYPERLINK("http://jsmh.umin.jp/journal/32-2/241-243.pdf")</f>
        <v>http://jsmh.umin.jp/journal/32-2/241-243.pdf</v>
      </c>
      <c r="H2304" s="43" t="str">
        <f t="shared" si="184"/>
        <v>http://dl.ndl.go.jp/info:ndljp/pid/3359312</v>
      </c>
    </row>
    <row r="2305" spans="1:8" ht="30" customHeight="1" x14ac:dyDescent="0.15">
      <c r="A2305" s="16" t="s">
        <v>1855</v>
      </c>
      <c r="B2305" s="17" t="s">
        <v>4213</v>
      </c>
      <c r="C2305" s="17" t="s">
        <v>3135</v>
      </c>
      <c r="D2305" s="25" t="s">
        <v>4133</v>
      </c>
      <c r="E2305" s="19" t="s">
        <v>4156</v>
      </c>
      <c r="F2305" s="19" t="s">
        <v>3462</v>
      </c>
      <c r="G2305" s="5" t="str">
        <f>HYPERLINK("http://jsmh.umin.jp/journal/32-2/243-245.pdf")</f>
        <v>http://jsmh.umin.jp/journal/32-2/243-245.pdf</v>
      </c>
      <c r="H2305" s="43" t="str">
        <f t="shared" si="184"/>
        <v>http://dl.ndl.go.jp/info:ndljp/pid/3359312</v>
      </c>
    </row>
    <row r="2306" spans="1:8" ht="30" customHeight="1" x14ac:dyDescent="0.15">
      <c r="A2306" s="16" t="s">
        <v>1855</v>
      </c>
      <c r="B2306" s="17" t="s">
        <v>4214</v>
      </c>
      <c r="C2306" s="17" t="s">
        <v>4215</v>
      </c>
      <c r="D2306" s="25" t="s">
        <v>4133</v>
      </c>
      <c r="E2306" s="19" t="s">
        <v>4156</v>
      </c>
      <c r="F2306" s="19" t="s">
        <v>4030</v>
      </c>
      <c r="G2306" s="5" t="str">
        <f>HYPERLINK("http://jsmh.umin.jp/journal/32-2/246-248.pdf")</f>
        <v>http://jsmh.umin.jp/journal/32-2/246-248.pdf</v>
      </c>
      <c r="H2306" s="43" t="str">
        <f t="shared" si="184"/>
        <v>http://dl.ndl.go.jp/info:ndljp/pid/3359312</v>
      </c>
    </row>
    <row r="2307" spans="1:8" ht="30" customHeight="1" x14ac:dyDescent="0.15">
      <c r="A2307" s="16" t="s">
        <v>1855</v>
      </c>
      <c r="B2307" s="17" t="s">
        <v>4216</v>
      </c>
      <c r="C2307" s="17" t="s">
        <v>4217</v>
      </c>
      <c r="D2307" s="25" t="s">
        <v>4133</v>
      </c>
      <c r="E2307" s="19" t="s">
        <v>4156</v>
      </c>
      <c r="F2307" s="19" t="s">
        <v>3310</v>
      </c>
      <c r="G2307" s="5" t="str">
        <f>HYPERLINK("http://jsmh.umin.jp/journal/32-2/248-249.pdf")</f>
        <v>http://jsmh.umin.jp/journal/32-2/248-249.pdf</v>
      </c>
      <c r="H2307" s="43" t="str">
        <f t="shared" si="184"/>
        <v>http://dl.ndl.go.jp/info:ndljp/pid/3359312</v>
      </c>
    </row>
    <row r="2308" spans="1:8" ht="30" customHeight="1" x14ac:dyDescent="0.15">
      <c r="A2308" s="16" t="s">
        <v>1855</v>
      </c>
      <c r="B2308" s="17" t="s">
        <v>4218</v>
      </c>
      <c r="C2308" s="17" t="s">
        <v>2592</v>
      </c>
      <c r="D2308" s="25" t="s">
        <v>4133</v>
      </c>
      <c r="E2308" s="19" t="s">
        <v>4156</v>
      </c>
      <c r="F2308" s="19" t="s">
        <v>3313</v>
      </c>
      <c r="G2308" s="5" t="str">
        <f>HYPERLINK("http://jsmh.umin.jp/journal/32-2/250-251.pdf")</f>
        <v>http://jsmh.umin.jp/journal/32-2/250-251.pdf</v>
      </c>
      <c r="H2308" s="43" t="str">
        <f t="shared" si="184"/>
        <v>http://dl.ndl.go.jp/info:ndljp/pid/3359312</v>
      </c>
    </row>
    <row r="2309" spans="1:8" ht="30" customHeight="1" x14ac:dyDescent="0.15">
      <c r="A2309" s="16" t="s">
        <v>1855</v>
      </c>
      <c r="B2309" s="17" t="s">
        <v>4219</v>
      </c>
      <c r="C2309" s="17" t="s">
        <v>1972</v>
      </c>
      <c r="D2309" s="25" t="s">
        <v>4133</v>
      </c>
      <c r="E2309" s="19" t="s">
        <v>4156</v>
      </c>
      <c r="F2309" s="19" t="s">
        <v>4220</v>
      </c>
      <c r="G2309" s="5" t="str">
        <f>HYPERLINK("http://jsmh.umin.jp/journal/32-2/252-253.pdf")</f>
        <v>http://jsmh.umin.jp/journal/32-2/252-253.pdf</v>
      </c>
      <c r="H2309" s="43" t="str">
        <f t="shared" si="184"/>
        <v>http://dl.ndl.go.jp/info:ndljp/pid/3359312</v>
      </c>
    </row>
    <row r="2310" spans="1:8" ht="30" customHeight="1" x14ac:dyDescent="0.15">
      <c r="A2310" s="16" t="s">
        <v>17</v>
      </c>
      <c r="B2310" s="17" t="s">
        <v>4221</v>
      </c>
      <c r="C2310" s="17" t="s">
        <v>4222</v>
      </c>
      <c r="D2310" s="25" t="s">
        <v>4133</v>
      </c>
      <c r="E2310" s="19" t="s">
        <v>4223</v>
      </c>
      <c r="F2310" s="19" t="s">
        <v>4224</v>
      </c>
      <c r="G2310" s="5" t="str">
        <f>HYPERLINK("http://jsmh.umin.jp/journal/32-3/259-267.pdf")</f>
        <v>http://jsmh.umin.jp/journal/32-3/259-267.pdf</v>
      </c>
      <c r="H2310" s="42" t="str">
        <f t="shared" ref="H2310:H2329" si="185">HYPERLINK("http://dl.ndl.go.jp/info:ndljp/pid/3359313")</f>
        <v>http://dl.ndl.go.jp/info:ndljp/pid/3359313</v>
      </c>
    </row>
    <row r="2311" spans="1:8" ht="30" customHeight="1" x14ac:dyDescent="0.15">
      <c r="A2311" s="16" t="s">
        <v>17</v>
      </c>
      <c r="B2311" s="17" t="s">
        <v>4225</v>
      </c>
      <c r="C2311" s="17" t="s">
        <v>3839</v>
      </c>
      <c r="D2311" s="25" t="s">
        <v>4133</v>
      </c>
      <c r="E2311" s="19" t="s">
        <v>4223</v>
      </c>
      <c r="F2311" s="19" t="s">
        <v>4226</v>
      </c>
      <c r="G2311" s="5" t="str">
        <f>HYPERLINK("http://jsmh.umin.jp/journal/32-3/268-280.pdf")</f>
        <v>http://jsmh.umin.jp/journal/32-3/268-280.pdf</v>
      </c>
      <c r="H2311" s="43" t="str">
        <f t="shared" si="185"/>
        <v>http://dl.ndl.go.jp/info:ndljp/pid/3359313</v>
      </c>
    </row>
    <row r="2312" spans="1:8" ht="30" customHeight="1" x14ac:dyDescent="0.15">
      <c r="A2312" s="16" t="s">
        <v>17</v>
      </c>
      <c r="B2312" s="17" t="s">
        <v>4227</v>
      </c>
      <c r="C2312" s="17" t="s">
        <v>790</v>
      </c>
      <c r="D2312" s="25" t="s">
        <v>4133</v>
      </c>
      <c r="E2312" s="19" t="s">
        <v>4223</v>
      </c>
      <c r="F2312" s="19" t="s">
        <v>4228</v>
      </c>
      <c r="G2312" s="5" t="str">
        <f>HYPERLINK("http://jsmh.umin.jp/journal/32-3/281-290.pdf")</f>
        <v>http://jsmh.umin.jp/journal/32-3/281-290.pdf</v>
      </c>
      <c r="H2312" s="43" t="str">
        <f t="shared" si="185"/>
        <v>http://dl.ndl.go.jp/info:ndljp/pid/3359313</v>
      </c>
    </row>
    <row r="2313" spans="1:8" ht="30" customHeight="1" x14ac:dyDescent="0.15">
      <c r="A2313" s="16" t="s">
        <v>17</v>
      </c>
      <c r="B2313" s="17" t="s">
        <v>10161</v>
      </c>
      <c r="C2313" s="17" t="s">
        <v>4072</v>
      </c>
      <c r="D2313" s="25" t="s">
        <v>4133</v>
      </c>
      <c r="E2313" s="19" t="s">
        <v>4223</v>
      </c>
      <c r="F2313" s="19" t="s">
        <v>4229</v>
      </c>
      <c r="G2313" s="5" t="str">
        <f>HYPERLINK("http://jsmh.umin.jp/journal/32-3/291-302.pdf")</f>
        <v>http://jsmh.umin.jp/journal/32-3/291-302.pdf</v>
      </c>
      <c r="H2313" s="43" t="str">
        <f t="shared" si="185"/>
        <v>http://dl.ndl.go.jp/info:ndljp/pid/3359313</v>
      </c>
    </row>
    <row r="2314" spans="1:8" ht="30" customHeight="1" x14ac:dyDescent="0.15">
      <c r="A2314" s="16" t="s">
        <v>3387</v>
      </c>
      <c r="B2314" s="17" t="s">
        <v>4230</v>
      </c>
      <c r="C2314" s="17" t="s">
        <v>790</v>
      </c>
      <c r="D2314" s="25" t="s">
        <v>4133</v>
      </c>
      <c r="E2314" s="19" t="s">
        <v>4223</v>
      </c>
      <c r="F2314" s="19" t="s">
        <v>4231</v>
      </c>
      <c r="G2314" s="5" t="str">
        <f>HYPERLINK("http://jsmh.umin.jp/journal/32-3/303-308.pdf")</f>
        <v>http://jsmh.umin.jp/journal/32-3/303-308.pdf</v>
      </c>
      <c r="H2314" s="43" t="str">
        <f t="shared" si="185"/>
        <v>http://dl.ndl.go.jp/info:ndljp/pid/3359313</v>
      </c>
    </row>
    <row r="2315" spans="1:8" ht="30" customHeight="1" x14ac:dyDescent="0.15">
      <c r="A2315" s="16" t="s">
        <v>692</v>
      </c>
      <c r="B2315" s="17" t="s">
        <v>4232</v>
      </c>
      <c r="C2315" s="17" t="s">
        <v>3778</v>
      </c>
      <c r="D2315" s="25" t="s">
        <v>4133</v>
      </c>
      <c r="E2315" s="19" t="s">
        <v>4223</v>
      </c>
      <c r="F2315" s="19" t="s">
        <v>4233</v>
      </c>
      <c r="G2315" s="5" t="str">
        <f>HYPERLINK("http://jsmh.umin.jp/journal/32-3/309-313.pdf")</f>
        <v>http://jsmh.umin.jp/journal/32-3/309-313.pdf</v>
      </c>
      <c r="H2315" s="43" t="str">
        <f t="shared" si="185"/>
        <v>http://dl.ndl.go.jp/info:ndljp/pid/3359313</v>
      </c>
    </row>
    <row r="2316" spans="1:8" ht="30" customHeight="1" x14ac:dyDescent="0.15">
      <c r="A2316" s="16" t="s">
        <v>692</v>
      </c>
      <c r="B2316" s="17" t="s">
        <v>4234</v>
      </c>
      <c r="C2316" s="17" t="s">
        <v>2233</v>
      </c>
      <c r="D2316" s="25" t="s">
        <v>4133</v>
      </c>
      <c r="E2316" s="19" t="s">
        <v>4223</v>
      </c>
      <c r="F2316" s="19" t="s">
        <v>4235</v>
      </c>
      <c r="G2316" s="5" t="str">
        <f>HYPERLINK("http://jsmh.umin.jp/journal/32-3/314-332.pdf")</f>
        <v>http://jsmh.umin.jp/journal/32-3/314-332.pdf</v>
      </c>
      <c r="H2316" s="43" t="str">
        <f t="shared" si="185"/>
        <v>http://dl.ndl.go.jp/info:ndljp/pid/3359313</v>
      </c>
    </row>
    <row r="2317" spans="1:8" ht="30" customHeight="1" x14ac:dyDescent="0.15">
      <c r="A2317" s="16" t="s">
        <v>692</v>
      </c>
      <c r="B2317" s="17" t="s">
        <v>4236</v>
      </c>
      <c r="C2317" s="17" t="s">
        <v>3655</v>
      </c>
      <c r="D2317" s="25" t="s">
        <v>4133</v>
      </c>
      <c r="E2317" s="19" t="s">
        <v>4223</v>
      </c>
      <c r="F2317" s="19" t="s">
        <v>4237</v>
      </c>
      <c r="G2317" s="5" t="str">
        <f>HYPERLINK("http://jsmh.umin.jp/journal/32-3/333-352.pdf")</f>
        <v>http://jsmh.umin.jp/journal/32-3/333-352.pdf</v>
      </c>
      <c r="H2317" s="43" t="str">
        <f t="shared" si="185"/>
        <v>http://dl.ndl.go.jp/info:ndljp/pid/3359313</v>
      </c>
    </row>
    <row r="2318" spans="1:8" ht="30" customHeight="1" x14ac:dyDescent="0.15">
      <c r="A2318" s="16" t="s">
        <v>558</v>
      </c>
      <c r="B2318" s="17" t="s">
        <v>704</v>
      </c>
      <c r="C2318" s="17"/>
      <c r="D2318" s="25" t="s">
        <v>4133</v>
      </c>
      <c r="E2318" s="19" t="s">
        <v>4223</v>
      </c>
      <c r="F2318" s="19" t="s">
        <v>4238</v>
      </c>
      <c r="G2318" s="5" t="str">
        <f>HYPERLINK("http://jsmh.umin.jp/journal/32-3/353.pdf")</f>
        <v>http://jsmh.umin.jp/journal/32-3/353.pdf</v>
      </c>
      <c r="H2318" s="43" t="str">
        <f t="shared" si="185"/>
        <v>http://dl.ndl.go.jp/info:ndljp/pid/3359313</v>
      </c>
    </row>
    <row r="2319" spans="1:8" ht="30" customHeight="1" x14ac:dyDescent="0.15">
      <c r="A2319" s="16" t="s">
        <v>3720</v>
      </c>
      <c r="B2319" s="17" t="s">
        <v>4239</v>
      </c>
      <c r="C2319" s="17" t="s">
        <v>3781</v>
      </c>
      <c r="D2319" s="25" t="s">
        <v>4133</v>
      </c>
      <c r="E2319" s="19" t="s">
        <v>4223</v>
      </c>
      <c r="F2319" s="19" t="s">
        <v>4240</v>
      </c>
      <c r="G2319" s="5" t="str">
        <f>HYPERLINK("http://jsmh.umin.jp/journal/32-3/354-357.pdf")</f>
        <v>http://jsmh.umin.jp/journal/32-3/354-357.pdf</v>
      </c>
      <c r="H2319" s="43" t="str">
        <f t="shared" si="185"/>
        <v>http://dl.ndl.go.jp/info:ndljp/pid/3359313</v>
      </c>
    </row>
    <row r="2320" spans="1:8" ht="30" customHeight="1" x14ac:dyDescent="0.15">
      <c r="A2320" s="16" t="s">
        <v>3720</v>
      </c>
      <c r="B2320" s="17" t="s">
        <v>4241</v>
      </c>
      <c r="C2320" s="17" t="s">
        <v>2937</v>
      </c>
      <c r="D2320" s="25" t="s">
        <v>4133</v>
      </c>
      <c r="E2320" s="19" t="s">
        <v>4223</v>
      </c>
      <c r="F2320" s="19" t="s">
        <v>3173</v>
      </c>
      <c r="G2320" s="5" t="str">
        <f>HYPERLINK("http://jsmh.umin.jp/journal/32-3/358-360.pdf")</f>
        <v>http://jsmh.umin.jp/journal/32-3/358-360.pdf</v>
      </c>
      <c r="H2320" s="43" t="str">
        <f t="shared" si="185"/>
        <v>http://dl.ndl.go.jp/info:ndljp/pid/3359313</v>
      </c>
    </row>
    <row r="2321" spans="1:8" ht="30" customHeight="1" x14ac:dyDescent="0.15">
      <c r="A2321" s="16" t="s">
        <v>3720</v>
      </c>
      <c r="B2321" s="17" t="s">
        <v>10162</v>
      </c>
      <c r="C2321" s="17" t="s">
        <v>4242</v>
      </c>
      <c r="D2321" s="25" t="s">
        <v>4133</v>
      </c>
      <c r="E2321" s="19" t="s">
        <v>4223</v>
      </c>
      <c r="F2321" s="19" t="s">
        <v>4243</v>
      </c>
      <c r="G2321" s="5" t="str">
        <f>HYPERLINK("http://jsmh.umin.jp/journal/32-3/361-362.pdf")</f>
        <v>http://jsmh.umin.jp/journal/32-3/361-362.pdf</v>
      </c>
      <c r="H2321" s="43" t="str">
        <f t="shared" si="185"/>
        <v>http://dl.ndl.go.jp/info:ndljp/pid/3359313</v>
      </c>
    </row>
    <row r="2322" spans="1:8" ht="30" customHeight="1" x14ac:dyDescent="0.15">
      <c r="A2322" s="16" t="s">
        <v>3720</v>
      </c>
      <c r="B2322" s="17" t="s">
        <v>4244</v>
      </c>
      <c r="C2322" s="17" t="s">
        <v>916</v>
      </c>
      <c r="D2322" s="25" t="s">
        <v>4133</v>
      </c>
      <c r="E2322" s="19" t="s">
        <v>4223</v>
      </c>
      <c r="F2322" s="19" t="s">
        <v>4245</v>
      </c>
      <c r="G2322" s="5" t="str">
        <f>HYPERLINK("http://jsmh.umin.jp/journal/32-3/363-364.pdf")</f>
        <v>http://jsmh.umin.jp/journal/32-3/363-364.pdf</v>
      </c>
      <c r="H2322" s="43" t="str">
        <f t="shared" si="185"/>
        <v>http://dl.ndl.go.jp/info:ndljp/pid/3359313</v>
      </c>
    </row>
    <row r="2323" spans="1:8" ht="30" customHeight="1" x14ac:dyDescent="0.15">
      <c r="A2323" s="16" t="s">
        <v>558</v>
      </c>
      <c r="B2323" s="17" t="s">
        <v>4246</v>
      </c>
      <c r="C2323" s="17"/>
      <c r="D2323" s="25" t="s">
        <v>4133</v>
      </c>
      <c r="E2323" s="19" t="s">
        <v>4223</v>
      </c>
      <c r="F2323" s="19" t="s">
        <v>3181</v>
      </c>
      <c r="G2323" s="5" t="str">
        <f>HYPERLINK("http://jsmh.umin.jp/journal/32-3/364-365.pdf")</f>
        <v>http://jsmh.umin.jp/journal/32-3/364-365.pdf</v>
      </c>
      <c r="H2323" s="43" t="str">
        <f t="shared" si="185"/>
        <v>http://dl.ndl.go.jp/info:ndljp/pid/3359313</v>
      </c>
    </row>
    <row r="2324" spans="1:8" ht="30" customHeight="1" x14ac:dyDescent="0.15">
      <c r="A2324" s="16" t="s">
        <v>1102</v>
      </c>
      <c r="B2324" s="17" t="s">
        <v>4247</v>
      </c>
      <c r="C2324" s="17" t="s">
        <v>3839</v>
      </c>
      <c r="D2324" s="25" t="s">
        <v>4133</v>
      </c>
      <c r="E2324" s="19" t="s">
        <v>4223</v>
      </c>
      <c r="F2324" s="19" t="s">
        <v>3184</v>
      </c>
      <c r="G2324" s="5" t="str">
        <f>HYPERLINK("http://jsmh.umin.jp/journal/32-3/365-366.pdf")</f>
        <v>http://jsmh.umin.jp/journal/32-3/365-366.pdf</v>
      </c>
      <c r="H2324" s="43" t="str">
        <f t="shared" si="185"/>
        <v>http://dl.ndl.go.jp/info:ndljp/pid/3359313</v>
      </c>
    </row>
    <row r="2325" spans="1:8" ht="30" customHeight="1" x14ac:dyDescent="0.15">
      <c r="A2325" s="16" t="s">
        <v>3223</v>
      </c>
      <c r="B2325" s="17" t="s">
        <v>4248</v>
      </c>
      <c r="C2325" s="17" t="s">
        <v>10163</v>
      </c>
      <c r="D2325" s="25" t="s">
        <v>4133</v>
      </c>
      <c r="E2325" s="19" t="s">
        <v>4223</v>
      </c>
      <c r="F2325" s="19" t="s">
        <v>4249</v>
      </c>
      <c r="G2325" s="26" t="str">
        <f>HYPERLINK("http://jsmh.umin.jp/journal/32-3/367-370.pdf")</f>
        <v>http://jsmh.umin.jp/journal/32-3/367-370.pdf</v>
      </c>
      <c r="H2325" s="43" t="str">
        <f t="shared" si="185"/>
        <v>http://dl.ndl.go.jp/info:ndljp/pid/3359313</v>
      </c>
    </row>
    <row r="2326" spans="1:8" ht="30" customHeight="1" x14ac:dyDescent="0.15">
      <c r="A2326" s="16" t="s">
        <v>3223</v>
      </c>
      <c r="B2326" s="17" t="s">
        <v>4250</v>
      </c>
      <c r="C2326" s="17" t="s">
        <v>479</v>
      </c>
      <c r="D2326" s="25" t="s">
        <v>4133</v>
      </c>
      <c r="E2326" s="19" t="s">
        <v>4223</v>
      </c>
      <c r="F2326" s="19" t="s">
        <v>4251</v>
      </c>
      <c r="G2326" s="26" t="str">
        <f>HYPERLINK("http://jsmh.umin.jp/journal/32-3/367-370.pdf")</f>
        <v>http://jsmh.umin.jp/journal/32-3/367-370.pdf</v>
      </c>
      <c r="H2326" s="43" t="str">
        <f t="shared" si="185"/>
        <v>http://dl.ndl.go.jp/info:ndljp/pid/3359313</v>
      </c>
    </row>
    <row r="2327" spans="1:8" ht="30" customHeight="1" x14ac:dyDescent="0.15">
      <c r="A2327" s="16" t="s">
        <v>3223</v>
      </c>
      <c r="B2327" s="17" t="s">
        <v>4252</v>
      </c>
      <c r="C2327" s="17" t="s">
        <v>273</v>
      </c>
      <c r="D2327" s="25" t="s">
        <v>4133</v>
      </c>
      <c r="E2327" s="19" t="s">
        <v>4223</v>
      </c>
      <c r="F2327" s="19" t="s">
        <v>4253</v>
      </c>
      <c r="G2327" s="26" t="str">
        <f>HYPERLINK("http://jsmh.umin.jp/journal/32-3/367-370.pdf")</f>
        <v>http://jsmh.umin.jp/journal/32-3/367-370.pdf</v>
      </c>
      <c r="H2327" s="43" t="str">
        <f t="shared" si="185"/>
        <v>http://dl.ndl.go.jp/info:ndljp/pid/3359313</v>
      </c>
    </row>
    <row r="2328" spans="1:8" ht="30" customHeight="1" x14ac:dyDescent="0.15">
      <c r="A2328" s="16" t="s">
        <v>558</v>
      </c>
      <c r="B2328" s="17" t="s">
        <v>4254</v>
      </c>
      <c r="C2328" s="17"/>
      <c r="D2328" s="25" t="s">
        <v>4133</v>
      </c>
      <c r="E2328" s="19" t="s">
        <v>4223</v>
      </c>
      <c r="F2328" s="19" t="s">
        <v>4255</v>
      </c>
      <c r="G2328" s="5" t="str">
        <f>HYPERLINK("http://jsmh.umin.jp/journal/32-3/370.pdf")</f>
        <v>http://jsmh.umin.jp/journal/32-3/370.pdf</v>
      </c>
      <c r="H2328" s="43" t="str">
        <f t="shared" si="185"/>
        <v>http://dl.ndl.go.jp/info:ndljp/pid/3359313</v>
      </c>
    </row>
    <row r="2329" spans="1:8" ht="30" customHeight="1" x14ac:dyDescent="0.15">
      <c r="A2329" s="16" t="s">
        <v>3387</v>
      </c>
      <c r="B2329" s="17" t="s">
        <v>10164</v>
      </c>
      <c r="C2329" s="17" t="s">
        <v>3261</v>
      </c>
      <c r="D2329" s="25" t="s">
        <v>4133</v>
      </c>
      <c r="E2329" s="19" t="s">
        <v>4223</v>
      </c>
      <c r="F2329" s="19" t="s">
        <v>4256</v>
      </c>
      <c r="G2329" s="5" t="str">
        <f>HYPERLINK("http://jsmh.umin.jp/journal/32-3/384-378.pdf")</f>
        <v>http://jsmh.umin.jp/journal/32-3/384-378.pdf</v>
      </c>
      <c r="H2329" s="43" t="str">
        <f t="shared" si="185"/>
        <v>http://dl.ndl.go.jp/info:ndljp/pid/3359313</v>
      </c>
    </row>
    <row r="2330" spans="1:8" ht="30" customHeight="1" x14ac:dyDescent="0.15">
      <c r="A2330" s="16" t="s">
        <v>17</v>
      </c>
      <c r="B2330" s="17" t="s">
        <v>4257</v>
      </c>
      <c r="C2330" s="17" t="s">
        <v>2937</v>
      </c>
      <c r="D2330" s="25" t="s">
        <v>4133</v>
      </c>
      <c r="E2330" s="19" t="s">
        <v>4258</v>
      </c>
      <c r="F2330" s="19" t="s">
        <v>4259</v>
      </c>
      <c r="G2330" s="5" t="str">
        <f>HYPERLINK("http://jsmh.umin.jp/journal/32-4/385-422.pdf")</f>
        <v>http://jsmh.umin.jp/journal/32-4/385-422.pdf</v>
      </c>
      <c r="H2330" s="42" t="str">
        <f>HYPERLINK("http://dl.ndl.go.jp/info:ndljp/pid/3359314")</f>
        <v>http://dl.ndl.go.jp/info:ndljp/pid/3359314</v>
      </c>
    </row>
    <row r="2331" spans="1:8" ht="30" customHeight="1" x14ac:dyDescent="0.15">
      <c r="A2331" s="16" t="s">
        <v>17</v>
      </c>
      <c r="B2331" s="17" t="s">
        <v>4260</v>
      </c>
      <c r="C2331" s="17" t="s">
        <v>4261</v>
      </c>
      <c r="D2331" s="25" t="s">
        <v>4133</v>
      </c>
      <c r="E2331" s="19" t="s">
        <v>4258</v>
      </c>
      <c r="F2331" s="19" t="s">
        <v>4262</v>
      </c>
      <c r="G2331" s="5" t="str">
        <f>HYPERLINK("http://jsmh.umin.jp/journal/32-4/423-468.pdf")</f>
        <v>http://jsmh.umin.jp/journal/32-4/423-468.pdf</v>
      </c>
      <c r="H2331" s="43" t="str">
        <f>HYPERLINK("http://dl.ndl.go.jp/info:ndljp/pid/3359314")</f>
        <v>http://dl.ndl.go.jp/info:ndljp/pid/3359314</v>
      </c>
    </row>
    <row r="2332" spans="1:8" ht="30" customHeight="1" x14ac:dyDescent="0.15">
      <c r="A2332" s="16" t="s">
        <v>3387</v>
      </c>
      <c r="B2332" s="17" t="s">
        <v>4263</v>
      </c>
      <c r="C2332" s="17" t="s">
        <v>790</v>
      </c>
      <c r="D2332" s="25" t="s">
        <v>4133</v>
      </c>
      <c r="E2332" s="19" t="s">
        <v>4258</v>
      </c>
      <c r="F2332" s="19" t="s">
        <v>4264</v>
      </c>
      <c r="G2332" s="5" t="str">
        <f>HYPERLINK("http://jsmh.umin.jp/journal/32-4/469-480.pdf")</f>
        <v>http://jsmh.umin.jp/journal/32-4/469-480.pdf</v>
      </c>
      <c r="H2332" s="43" t="str">
        <f>HYPERLINK("http://dl.ndl.go.jp/info:ndljp/pid/3359314")</f>
        <v>http://dl.ndl.go.jp/info:ndljp/pid/3359314</v>
      </c>
    </row>
    <row r="2333" spans="1:8" ht="30" customHeight="1" x14ac:dyDescent="0.15">
      <c r="A2333" s="16" t="s">
        <v>4265</v>
      </c>
      <c r="B2333" s="17" t="s">
        <v>4266</v>
      </c>
      <c r="C2333" s="17" t="s">
        <v>781</v>
      </c>
      <c r="D2333" s="25" t="s">
        <v>4133</v>
      </c>
      <c r="E2333" s="19" t="s">
        <v>4258</v>
      </c>
      <c r="F2333" s="19" t="s">
        <v>4267</v>
      </c>
      <c r="G2333" s="5" t="str">
        <f>HYPERLINK("http://jsmh.umin.jp/journal/32-4/481-502.pdf")</f>
        <v>http://jsmh.umin.jp/journal/32-4/481-502.pdf</v>
      </c>
      <c r="H2333" s="43" t="str">
        <f>HYPERLINK("http://dl.ndl.go.jp/info:ndljp/pid/3359314")</f>
        <v>http://dl.ndl.go.jp/info:ndljp/pid/3359314</v>
      </c>
    </row>
    <row r="2334" spans="1:8" ht="30" customHeight="1" x14ac:dyDescent="0.15">
      <c r="A2334" s="16" t="s">
        <v>2894</v>
      </c>
      <c r="B2334" s="17" t="s">
        <v>4268</v>
      </c>
      <c r="C2334" s="17"/>
      <c r="D2334" s="25" t="s">
        <v>4133</v>
      </c>
      <c r="E2334" s="19" t="s">
        <v>4258</v>
      </c>
      <c r="F2334" s="19" t="s">
        <v>4269</v>
      </c>
      <c r="G2334" s="5" t="str">
        <f>HYPERLINK("http://jsmh.umin.jp/journal/32-4/503-550.pdf")</f>
        <v>http://jsmh.umin.jp/journal/32-4/503-550.pdf</v>
      </c>
      <c r="H2334" s="43" t="str">
        <f>HYPERLINK("http://dl.ndl.go.jp/info:ndljp/pid/3359314")</f>
        <v>http://dl.ndl.go.jp/info:ndljp/pid/3359314</v>
      </c>
    </row>
    <row r="2335" spans="1:8" ht="30" customHeight="1" x14ac:dyDescent="0.15">
      <c r="A2335" s="16" t="s">
        <v>1855</v>
      </c>
      <c r="B2335" s="17" t="s">
        <v>4270</v>
      </c>
      <c r="C2335" s="17" t="s">
        <v>4271</v>
      </c>
      <c r="D2335" s="18" t="s">
        <v>4272</v>
      </c>
      <c r="E2335" s="19" t="s">
        <v>4273</v>
      </c>
      <c r="F2335" s="19" t="s">
        <v>4274</v>
      </c>
      <c r="G2335" s="26" t="str">
        <f>HYPERLINK("http://jsmh.umin.jp/journal/33-1/1-3.pdf")</f>
        <v>http://jsmh.umin.jp/journal/33-1/1-3.pdf</v>
      </c>
      <c r="H2335" s="44" t="s">
        <v>10656</v>
      </c>
    </row>
    <row r="2336" spans="1:8" ht="30" customHeight="1" x14ac:dyDescent="0.15">
      <c r="A2336" s="16" t="s">
        <v>1855</v>
      </c>
      <c r="B2336" s="17" t="s">
        <v>4275</v>
      </c>
      <c r="C2336" s="17" t="s">
        <v>3998</v>
      </c>
      <c r="D2336" s="25" t="s">
        <v>4272</v>
      </c>
      <c r="E2336" s="19" t="s">
        <v>4273</v>
      </c>
      <c r="F2336" s="19" t="s">
        <v>4276</v>
      </c>
      <c r="G2336" s="26" t="str">
        <f>HYPERLINK("http://jsmh.umin.jp/journal/33-1/4-8.pdf")</f>
        <v>http://jsmh.umin.jp/journal/33-1/4-8.pdf</v>
      </c>
      <c r="H2336" s="43" t="s">
        <v>10656</v>
      </c>
    </row>
    <row r="2337" spans="1:8" ht="30" customHeight="1" x14ac:dyDescent="0.15">
      <c r="A2337" s="16" t="s">
        <v>1855</v>
      </c>
      <c r="B2337" s="17" t="s">
        <v>4277</v>
      </c>
      <c r="C2337" s="17" t="s">
        <v>830</v>
      </c>
      <c r="D2337" s="25" t="s">
        <v>4272</v>
      </c>
      <c r="E2337" s="19" t="s">
        <v>4273</v>
      </c>
      <c r="F2337" s="19" t="s">
        <v>4278</v>
      </c>
      <c r="G2337" s="5" t="str">
        <f>HYPERLINK("http://jsmh.umin.jp/journal/33-1/9-15.pdf")</f>
        <v>http://jsmh.umin.jp/journal/33-1/9-15.pdf</v>
      </c>
      <c r="H2337" s="43" t="s">
        <v>10656</v>
      </c>
    </row>
    <row r="2338" spans="1:8" ht="30" customHeight="1" x14ac:dyDescent="0.15">
      <c r="A2338" s="16" t="s">
        <v>1855</v>
      </c>
      <c r="B2338" s="17" t="s">
        <v>4279</v>
      </c>
      <c r="C2338" s="17" t="s">
        <v>69</v>
      </c>
      <c r="D2338" s="25" t="s">
        <v>4272</v>
      </c>
      <c r="E2338" s="19" t="s">
        <v>4273</v>
      </c>
      <c r="F2338" s="19" t="s">
        <v>361</v>
      </c>
      <c r="G2338" s="5" t="str">
        <f>HYPERLINK("http://jsmh.umin.jp/journal/33-1/16-17.pdf")</f>
        <v>http://jsmh.umin.jp/journal/33-1/16-17.pdf</v>
      </c>
      <c r="H2338" s="43" t="s">
        <v>10656</v>
      </c>
    </row>
    <row r="2339" spans="1:8" ht="30" customHeight="1" x14ac:dyDescent="0.15">
      <c r="A2339" s="16" t="s">
        <v>1855</v>
      </c>
      <c r="B2339" s="17" t="s">
        <v>10165</v>
      </c>
      <c r="C2339" s="17" t="s">
        <v>1299</v>
      </c>
      <c r="D2339" s="25" t="s">
        <v>4272</v>
      </c>
      <c r="E2339" s="19" t="s">
        <v>4273</v>
      </c>
      <c r="F2339" s="19" t="s">
        <v>4280</v>
      </c>
      <c r="G2339" s="5" t="str">
        <f>HYPERLINK("http://jsmh.umin.jp/journal/33-1/18-20.pdf")</f>
        <v>http://jsmh.umin.jp/journal/33-1/18-20.pdf</v>
      </c>
      <c r="H2339" s="43" t="s">
        <v>10656</v>
      </c>
    </row>
    <row r="2340" spans="1:8" ht="30" customHeight="1" x14ac:dyDescent="0.15">
      <c r="A2340" s="16" t="s">
        <v>1855</v>
      </c>
      <c r="B2340" s="17" t="s">
        <v>4281</v>
      </c>
      <c r="C2340" s="17" t="s">
        <v>4035</v>
      </c>
      <c r="D2340" s="25" t="s">
        <v>4272</v>
      </c>
      <c r="E2340" s="19" t="s">
        <v>4273</v>
      </c>
      <c r="F2340" s="19" t="s">
        <v>4282</v>
      </c>
      <c r="G2340" s="5" t="str">
        <f>HYPERLINK("http://jsmh.umin.jp/journal/33-1/20-22.pdf")</f>
        <v>http://jsmh.umin.jp/journal/33-1/20-22.pdf</v>
      </c>
      <c r="H2340" s="43" t="s">
        <v>10656</v>
      </c>
    </row>
    <row r="2341" spans="1:8" ht="30" customHeight="1" x14ac:dyDescent="0.15">
      <c r="A2341" s="16" t="s">
        <v>1855</v>
      </c>
      <c r="B2341" s="17" t="s">
        <v>4283</v>
      </c>
      <c r="C2341" s="17" t="s">
        <v>2881</v>
      </c>
      <c r="D2341" s="25" t="s">
        <v>4272</v>
      </c>
      <c r="E2341" s="19" t="s">
        <v>4273</v>
      </c>
      <c r="F2341" s="19" t="s">
        <v>2744</v>
      </c>
      <c r="G2341" s="5" t="str">
        <f>HYPERLINK("http://jsmh.umin.jp/journal/33-1/23-25.pdf")</f>
        <v>http://jsmh.umin.jp/journal/33-1/23-25.pdf</v>
      </c>
      <c r="H2341" s="43" t="s">
        <v>10656</v>
      </c>
    </row>
    <row r="2342" spans="1:8" ht="30" customHeight="1" x14ac:dyDescent="0.15">
      <c r="A2342" s="16" t="s">
        <v>1855</v>
      </c>
      <c r="B2342" s="17" t="s">
        <v>4284</v>
      </c>
      <c r="C2342" s="17" t="s">
        <v>4039</v>
      </c>
      <c r="D2342" s="25" t="s">
        <v>4272</v>
      </c>
      <c r="E2342" s="19" t="s">
        <v>4273</v>
      </c>
      <c r="F2342" s="19" t="s">
        <v>4285</v>
      </c>
      <c r="G2342" s="5" t="str">
        <f>HYPERLINK("http://jsmh.umin.jp/journal/33-1/25-27.pdf")</f>
        <v>http://jsmh.umin.jp/journal/33-1/25-27.pdf</v>
      </c>
      <c r="H2342" s="43" t="s">
        <v>10656</v>
      </c>
    </row>
    <row r="2343" spans="1:8" ht="30" customHeight="1" x14ac:dyDescent="0.15">
      <c r="A2343" s="16" t="s">
        <v>1855</v>
      </c>
      <c r="B2343" s="17" t="s">
        <v>4286</v>
      </c>
      <c r="C2343" s="17" t="s">
        <v>3196</v>
      </c>
      <c r="D2343" s="25" t="s">
        <v>4272</v>
      </c>
      <c r="E2343" s="19" t="s">
        <v>4273</v>
      </c>
      <c r="F2343" s="19" t="s">
        <v>4287</v>
      </c>
      <c r="G2343" s="5" t="str">
        <f>HYPERLINK("http://jsmh.umin.jp/journal/33-1/28-30.pdf")</f>
        <v>http://jsmh.umin.jp/journal/33-1/28-30.pdf</v>
      </c>
      <c r="H2343" s="43" t="s">
        <v>10656</v>
      </c>
    </row>
    <row r="2344" spans="1:8" ht="30" customHeight="1" x14ac:dyDescent="0.15">
      <c r="A2344" s="16" t="s">
        <v>1855</v>
      </c>
      <c r="B2344" s="17" t="s">
        <v>4288</v>
      </c>
      <c r="C2344" s="17" t="s">
        <v>2233</v>
      </c>
      <c r="D2344" s="25" t="s">
        <v>4272</v>
      </c>
      <c r="E2344" s="19" t="s">
        <v>4273</v>
      </c>
      <c r="F2344" s="19" t="s">
        <v>746</v>
      </c>
      <c r="G2344" s="5" t="str">
        <f>HYPERLINK("http://jsmh.umin.jp/journal/33-1/30-31.pdf")</f>
        <v>http://jsmh.umin.jp/journal/33-1/30-31.pdf</v>
      </c>
      <c r="H2344" s="43" t="s">
        <v>10656</v>
      </c>
    </row>
    <row r="2345" spans="1:8" ht="30" customHeight="1" x14ac:dyDescent="0.15">
      <c r="A2345" s="16" t="s">
        <v>1855</v>
      </c>
      <c r="B2345" s="17" t="s">
        <v>4289</v>
      </c>
      <c r="C2345" s="17" t="s">
        <v>3655</v>
      </c>
      <c r="D2345" s="25" t="s">
        <v>4272</v>
      </c>
      <c r="E2345" s="19" t="s">
        <v>4273</v>
      </c>
      <c r="F2345" s="19" t="s">
        <v>4290</v>
      </c>
      <c r="G2345" s="5" t="str">
        <f>HYPERLINK("http://jsmh.umin.jp/journal/33-1/31-33.pdf")</f>
        <v>http://jsmh.umin.jp/journal/33-1/31-33.pdf</v>
      </c>
      <c r="H2345" s="43" t="s">
        <v>10656</v>
      </c>
    </row>
    <row r="2346" spans="1:8" ht="30" customHeight="1" x14ac:dyDescent="0.15">
      <c r="A2346" s="16" t="s">
        <v>1855</v>
      </c>
      <c r="B2346" s="17" t="s">
        <v>4291</v>
      </c>
      <c r="C2346" s="17" t="s">
        <v>3839</v>
      </c>
      <c r="D2346" s="25" t="s">
        <v>4272</v>
      </c>
      <c r="E2346" s="19" t="s">
        <v>4273</v>
      </c>
      <c r="F2346" s="19" t="s">
        <v>4292</v>
      </c>
      <c r="G2346" s="5" t="str">
        <f>HYPERLINK("http://jsmh.umin.jp/journal/33-1/34-36.pdf")</f>
        <v>http://jsmh.umin.jp/journal/33-1/34-36.pdf</v>
      </c>
      <c r="H2346" s="43" t="s">
        <v>10656</v>
      </c>
    </row>
    <row r="2347" spans="1:8" ht="30" customHeight="1" x14ac:dyDescent="0.15">
      <c r="A2347" s="16" t="s">
        <v>1855</v>
      </c>
      <c r="B2347" s="17" t="s">
        <v>4293</v>
      </c>
      <c r="C2347" s="17" t="s">
        <v>4294</v>
      </c>
      <c r="D2347" s="25" t="s">
        <v>4272</v>
      </c>
      <c r="E2347" s="19" t="s">
        <v>4273</v>
      </c>
      <c r="F2347" s="19" t="s">
        <v>4295</v>
      </c>
      <c r="G2347" s="5" t="str">
        <f>HYPERLINK("http://jsmh.umin.jp/journal/33-1/36-38.pdf")</f>
        <v>http://jsmh.umin.jp/journal/33-1/36-38.pdf</v>
      </c>
      <c r="H2347" s="43" t="s">
        <v>10656</v>
      </c>
    </row>
    <row r="2348" spans="1:8" ht="30" customHeight="1" x14ac:dyDescent="0.15">
      <c r="A2348" s="16" t="s">
        <v>1855</v>
      </c>
      <c r="B2348" s="17" t="s">
        <v>4296</v>
      </c>
      <c r="C2348" s="17" t="s">
        <v>3862</v>
      </c>
      <c r="D2348" s="25" t="s">
        <v>4272</v>
      </c>
      <c r="E2348" s="19" t="s">
        <v>4273</v>
      </c>
      <c r="F2348" s="19" t="s">
        <v>4297</v>
      </c>
      <c r="G2348" s="5" t="str">
        <f>HYPERLINK("http://jsmh.umin.jp/journal/33-1/39-41.pdf")</f>
        <v>http://jsmh.umin.jp/journal/33-1/39-41.pdf</v>
      </c>
      <c r="H2348" s="43" t="s">
        <v>10656</v>
      </c>
    </row>
    <row r="2349" spans="1:8" ht="30" customHeight="1" x14ac:dyDescent="0.15">
      <c r="A2349" s="16" t="s">
        <v>1855</v>
      </c>
      <c r="B2349" s="17" t="s">
        <v>4298</v>
      </c>
      <c r="C2349" s="17" t="s">
        <v>4185</v>
      </c>
      <c r="D2349" s="25" t="s">
        <v>4272</v>
      </c>
      <c r="E2349" s="19" t="s">
        <v>4273</v>
      </c>
      <c r="F2349" s="19" t="s">
        <v>4299</v>
      </c>
      <c r="G2349" s="5" t="str">
        <f>HYPERLINK("http://jsmh.umin.jp/journal/33-1/41-43.pdf")</f>
        <v>http://jsmh.umin.jp/journal/33-1/41-43.pdf</v>
      </c>
      <c r="H2349" s="43" t="s">
        <v>10656</v>
      </c>
    </row>
    <row r="2350" spans="1:8" ht="30" customHeight="1" x14ac:dyDescent="0.15">
      <c r="A2350" s="16" t="s">
        <v>1855</v>
      </c>
      <c r="B2350" s="17" t="s">
        <v>4300</v>
      </c>
      <c r="C2350" s="17" t="s">
        <v>790</v>
      </c>
      <c r="D2350" s="25" t="s">
        <v>4272</v>
      </c>
      <c r="E2350" s="19" t="s">
        <v>4273</v>
      </c>
      <c r="F2350" s="19" t="s">
        <v>334</v>
      </c>
      <c r="G2350" s="5" t="str">
        <f>HYPERLINK("http://jsmh.umin.jp/journal/33-1/43-45.pdf")</f>
        <v>http://jsmh.umin.jp/journal/33-1/43-45.pdf</v>
      </c>
      <c r="H2350" s="43" t="s">
        <v>10656</v>
      </c>
    </row>
    <row r="2351" spans="1:8" ht="30" customHeight="1" x14ac:dyDescent="0.15">
      <c r="A2351" s="16" t="s">
        <v>1855</v>
      </c>
      <c r="B2351" s="17" t="s">
        <v>4301</v>
      </c>
      <c r="C2351" s="17" t="s">
        <v>4302</v>
      </c>
      <c r="D2351" s="25" t="s">
        <v>4272</v>
      </c>
      <c r="E2351" s="19" t="s">
        <v>4273</v>
      </c>
      <c r="F2351" s="19" t="s">
        <v>4303</v>
      </c>
      <c r="G2351" s="5" t="str">
        <f>HYPERLINK("http://jsmh.umin.jp/journal/33-1/45-47.pdf")</f>
        <v>http://jsmh.umin.jp/journal/33-1/45-47.pdf</v>
      </c>
      <c r="H2351" s="43" t="s">
        <v>10656</v>
      </c>
    </row>
    <row r="2352" spans="1:8" ht="30" customHeight="1" x14ac:dyDescent="0.15">
      <c r="A2352" s="16" t="s">
        <v>1855</v>
      </c>
      <c r="B2352" s="17" t="s">
        <v>4304</v>
      </c>
      <c r="C2352" s="17" t="s">
        <v>3135</v>
      </c>
      <c r="D2352" s="25" t="s">
        <v>4272</v>
      </c>
      <c r="E2352" s="19" t="s">
        <v>4273</v>
      </c>
      <c r="F2352" s="19" t="s">
        <v>4305</v>
      </c>
      <c r="G2352" s="5" t="str">
        <f>HYPERLINK("http://jsmh.umin.jp/journal/33-1/48-50.pdf")</f>
        <v>http://jsmh.umin.jp/journal/33-1/48-50.pdf</v>
      </c>
      <c r="H2352" s="43" t="s">
        <v>10656</v>
      </c>
    </row>
    <row r="2353" spans="1:8" ht="30" customHeight="1" x14ac:dyDescent="0.15">
      <c r="A2353" s="16" t="s">
        <v>1855</v>
      </c>
      <c r="B2353" s="17" t="s">
        <v>4306</v>
      </c>
      <c r="C2353" s="17" t="s">
        <v>4029</v>
      </c>
      <c r="D2353" s="25" t="s">
        <v>4272</v>
      </c>
      <c r="E2353" s="19" t="s">
        <v>4273</v>
      </c>
      <c r="F2353" s="19" t="s">
        <v>4307</v>
      </c>
      <c r="G2353" s="5" t="str">
        <f>HYPERLINK("http://jsmh.umin.jp/journal/33-1/50-52.pdf")</f>
        <v>http://jsmh.umin.jp/journal/33-1/50-52.pdf</v>
      </c>
      <c r="H2353" s="43" t="s">
        <v>10656</v>
      </c>
    </row>
    <row r="2354" spans="1:8" ht="30" customHeight="1" x14ac:dyDescent="0.15">
      <c r="A2354" s="16" t="s">
        <v>1855</v>
      </c>
      <c r="B2354" s="17" t="s">
        <v>4308</v>
      </c>
      <c r="C2354" s="17" t="s">
        <v>4309</v>
      </c>
      <c r="D2354" s="25" t="s">
        <v>4272</v>
      </c>
      <c r="E2354" s="19" t="s">
        <v>4273</v>
      </c>
      <c r="F2354" s="19" t="s">
        <v>700</v>
      </c>
      <c r="G2354" s="5" t="str">
        <f>HYPERLINK("http://jsmh.umin.jp/journal/33-1/53-54.pdf")</f>
        <v>http://jsmh.umin.jp/journal/33-1/53-54.pdf</v>
      </c>
      <c r="H2354" s="43" t="s">
        <v>10656</v>
      </c>
    </row>
    <row r="2355" spans="1:8" ht="30" customHeight="1" x14ac:dyDescent="0.15">
      <c r="A2355" s="16" t="s">
        <v>1855</v>
      </c>
      <c r="B2355" s="17" t="s">
        <v>4310</v>
      </c>
      <c r="C2355" s="17" t="s">
        <v>3485</v>
      </c>
      <c r="D2355" s="25" t="s">
        <v>4272</v>
      </c>
      <c r="E2355" s="19" t="s">
        <v>4273</v>
      </c>
      <c r="F2355" s="19" t="s">
        <v>889</v>
      </c>
      <c r="G2355" s="5" t="str">
        <f>HYPERLINK("http://jsmh.umin.jp/journal/33-1/54-55.pdf")</f>
        <v>http://jsmh.umin.jp/journal/33-1/54-55.pdf</v>
      </c>
      <c r="H2355" s="43" t="s">
        <v>10656</v>
      </c>
    </row>
    <row r="2356" spans="1:8" ht="30" customHeight="1" x14ac:dyDescent="0.15">
      <c r="A2356" s="16" t="s">
        <v>1855</v>
      </c>
      <c r="B2356" s="17" t="s">
        <v>4311</v>
      </c>
      <c r="C2356" s="17" t="s">
        <v>3432</v>
      </c>
      <c r="D2356" s="25" t="s">
        <v>4272</v>
      </c>
      <c r="E2356" s="19" t="s">
        <v>4273</v>
      </c>
      <c r="F2356" s="19" t="s">
        <v>4312</v>
      </c>
      <c r="G2356" s="5" t="str">
        <f>HYPERLINK("http://jsmh.umin.jp/journal/33-1/56-58.pdf")</f>
        <v>http://jsmh.umin.jp/journal/33-1/56-58.pdf</v>
      </c>
      <c r="H2356" s="43" t="s">
        <v>10656</v>
      </c>
    </row>
    <row r="2357" spans="1:8" ht="30" customHeight="1" x14ac:dyDescent="0.15">
      <c r="A2357" s="16" t="s">
        <v>1855</v>
      </c>
      <c r="B2357" s="17" t="s">
        <v>4313</v>
      </c>
      <c r="C2357" s="17" t="s">
        <v>2386</v>
      </c>
      <c r="D2357" s="25" t="s">
        <v>4272</v>
      </c>
      <c r="E2357" s="19" t="s">
        <v>4273</v>
      </c>
      <c r="F2357" s="19" t="s">
        <v>4314</v>
      </c>
      <c r="G2357" s="5" t="str">
        <f>HYPERLINK("http://jsmh.umin.jp/journal/33-1/58-60.pdf")</f>
        <v>http://jsmh.umin.jp/journal/33-1/58-60.pdf</v>
      </c>
      <c r="H2357" s="43" t="s">
        <v>10656</v>
      </c>
    </row>
    <row r="2358" spans="1:8" ht="30" customHeight="1" x14ac:dyDescent="0.15">
      <c r="A2358" s="16" t="s">
        <v>1855</v>
      </c>
      <c r="B2358" s="17" t="s">
        <v>4315</v>
      </c>
      <c r="C2358" s="17" t="s">
        <v>2325</v>
      </c>
      <c r="D2358" s="25" t="s">
        <v>4272</v>
      </c>
      <c r="E2358" s="19" t="s">
        <v>4273</v>
      </c>
      <c r="F2358" s="19" t="s">
        <v>563</v>
      </c>
      <c r="G2358" s="5" t="str">
        <f>HYPERLINK("http://jsmh.umin.jp/journal/33-1/61-63.pdf")</f>
        <v>http://jsmh.umin.jp/journal/33-1/61-63.pdf</v>
      </c>
      <c r="H2358" s="43" t="s">
        <v>10656</v>
      </c>
    </row>
    <row r="2359" spans="1:8" ht="30" customHeight="1" x14ac:dyDescent="0.15">
      <c r="A2359" s="16" t="s">
        <v>1855</v>
      </c>
      <c r="B2359" s="17" t="s">
        <v>4316</v>
      </c>
      <c r="C2359" s="17" t="s">
        <v>3644</v>
      </c>
      <c r="D2359" s="25" t="s">
        <v>4272</v>
      </c>
      <c r="E2359" s="19" t="s">
        <v>4273</v>
      </c>
      <c r="F2359" s="19" t="s">
        <v>4317</v>
      </c>
      <c r="G2359" s="5" t="str">
        <f>HYPERLINK("http://jsmh.umin.jp/journal/33-1/63-65.pdf")</f>
        <v>http://jsmh.umin.jp/journal/33-1/63-65.pdf</v>
      </c>
      <c r="H2359" s="43" t="s">
        <v>10656</v>
      </c>
    </row>
    <row r="2360" spans="1:8" ht="30" customHeight="1" x14ac:dyDescent="0.15">
      <c r="A2360" s="16" t="s">
        <v>1855</v>
      </c>
      <c r="B2360" s="17" t="s">
        <v>4318</v>
      </c>
      <c r="C2360" s="17" t="s">
        <v>4179</v>
      </c>
      <c r="D2360" s="25" t="s">
        <v>4272</v>
      </c>
      <c r="E2360" s="19" t="s">
        <v>4273</v>
      </c>
      <c r="F2360" s="19" t="s">
        <v>557</v>
      </c>
      <c r="G2360" s="5" t="str">
        <f>HYPERLINK("http://jsmh.umin.jp/journal/33-1/65-66.pdf")</f>
        <v>http://jsmh.umin.jp/journal/33-1/65-66.pdf</v>
      </c>
      <c r="H2360" s="43" t="s">
        <v>10656</v>
      </c>
    </row>
    <row r="2361" spans="1:8" ht="30" customHeight="1" x14ac:dyDescent="0.15">
      <c r="A2361" s="16" t="s">
        <v>1855</v>
      </c>
      <c r="B2361" s="17" t="s">
        <v>4319</v>
      </c>
      <c r="C2361" s="17" t="s">
        <v>66</v>
      </c>
      <c r="D2361" s="25" t="s">
        <v>4272</v>
      </c>
      <c r="E2361" s="19" t="s">
        <v>4273</v>
      </c>
      <c r="F2361" s="19" t="s">
        <v>1199</v>
      </c>
      <c r="G2361" s="5" t="str">
        <f>HYPERLINK("http://jsmh.umin.jp/journal/33-1/67-69.pdf")</f>
        <v>http://jsmh.umin.jp/journal/33-1/67-69.pdf</v>
      </c>
      <c r="H2361" s="43" t="s">
        <v>10656</v>
      </c>
    </row>
    <row r="2362" spans="1:8" ht="30" customHeight="1" x14ac:dyDescent="0.15">
      <c r="A2362" s="16" t="s">
        <v>1855</v>
      </c>
      <c r="B2362" s="17" t="s">
        <v>4320</v>
      </c>
      <c r="C2362" s="17" t="s">
        <v>841</v>
      </c>
      <c r="D2362" s="25" t="s">
        <v>4272</v>
      </c>
      <c r="E2362" s="19" t="s">
        <v>4273</v>
      </c>
      <c r="F2362" s="19" t="s">
        <v>4321</v>
      </c>
      <c r="G2362" s="5" t="str">
        <f>HYPERLINK("http://jsmh.umin.jp/journal/33-1/69-73.pdf")</f>
        <v>http://jsmh.umin.jp/journal/33-1/69-73.pdf</v>
      </c>
      <c r="H2362" s="43" t="s">
        <v>10656</v>
      </c>
    </row>
    <row r="2363" spans="1:8" ht="30" customHeight="1" x14ac:dyDescent="0.15">
      <c r="A2363" s="16" t="s">
        <v>1855</v>
      </c>
      <c r="B2363" s="17" t="s">
        <v>10166</v>
      </c>
      <c r="C2363" s="17" t="s">
        <v>273</v>
      </c>
      <c r="D2363" s="25" t="s">
        <v>4272</v>
      </c>
      <c r="E2363" s="19" t="s">
        <v>4273</v>
      </c>
      <c r="F2363" s="19" t="s">
        <v>4322</v>
      </c>
      <c r="G2363" s="5" t="str">
        <f>HYPERLINK("http://jsmh.umin.jp/journal/33-1/73-76.pdf")</f>
        <v>http://jsmh.umin.jp/journal/33-1/73-76.pdf</v>
      </c>
      <c r="H2363" s="43" t="s">
        <v>10656</v>
      </c>
    </row>
    <row r="2364" spans="1:8" ht="30" customHeight="1" x14ac:dyDescent="0.15">
      <c r="A2364" s="16" t="s">
        <v>1855</v>
      </c>
      <c r="B2364" s="17" t="s">
        <v>4323</v>
      </c>
      <c r="C2364" s="17" t="s">
        <v>4324</v>
      </c>
      <c r="D2364" s="25" t="s">
        <v>4272</v>
      </c>
      <c r="E2364" s="19" t="s">
        <v>4273</v>
      </c>
      <c r="F2364" s="19" t="s">
        <v>602</v>
      </c>
      <c r="G2364" s="5" t="str">
        <f>HYPERLINK("http://jsmh.umin.jp/journal/33-1/76-77.pdf")</f>
        <v>http://jsmh.umin.jp/journal/33-1/76-77.pdf</v>
      </c>
      <c r="H2364" s="43" t="s">
        <v>10656</v>
      </c>
    </row>
    <row r="2365" spans="1:8" ht="30" customHeight="1" x14ac:dyDescent="0.15">
      <c r="A2365" s="16" t="s">
        <v>1855</v>
      </c>
      <c r="B2365" s="17" t="s">
        <v>4325</v>
      </c>
      <c r="C2365" s="17" t="s">
        <v>627</v>
      </c>
      <c r="D2365" s="25" t="s">
        <v>4272</v>
      </c>
      <c r="E2365" s="19" t="s">
        <v>4273</v>
      </c>
      <c r="F2365" s="19" t="s">
        <v>4326</v>
      </c>
      <c r="G2365" s="5" t="str">
        <f>HYPERLINK("http://jsmh.umin.jp/journal/33-1/77-79.pdf")</f>
        <v>http://jsmh.umin.jp/journal/33-1/77-79.pdf</v>
      </c>
      <c r="H2365" s="43" t="s">
        <v>10656</v>
      </c>
    </row>
    <row r="2366" spans="1:8" ht="30" customHeight="1" x14ac:dyDescent="0.15">
      <c r="A2366" s="16" t="s">
        <v>1855</v>
      </c>
      <c r="B2366" s="17" t="s">
        <v>4327</v>
      </c>
      <c r="C2366" s="17" t="s">
        <v>1659</v>
      </c>
      <c r="D2366" s="25" t="s">
        <v>4272</v>
      </c>
      <c r="E2366" s="19" t="s">
        <v>4273</v>
      </c>
      <c r="F2366" s="19" t="s">
        <v>846</v>
      </c>
      <c r="G2366" s="5" t="str">
        <f>HYPERLINK("http://jsmh.umin.jp/journal/33-1/80-81.pdf")</f>
        <v>http://jsmh.umin.jp/journal/33-1/80-81.pdf</v>
      </c>
      <c r="H2366" s="43" t="s">
        <v>10656</v>
      </c>
    </row>
    <row r="2367" spans="1:8" ht="30" customHeight="1" x14ac:dyDescent="0.15">
      <c r="A2367" s="16" t="s">
        <v>1855</v>
      </c>
      <c r="B2367" s="17" t="s">
        <v>4328</v>
      </c>
      <c r="C2367" s="17" t="s">
        <v>2937</v>
      </c>
      <c r="D2367" s="25" t="s">
        <v>4272</v>
      </c>
      <c r="E2367" s="19" t="s">
        <v>4273</v>
      </c>
      <c r="F2367" s="19" t="s">
        <v>449</v>
      </c>
      <c r="G2367" s="5" t="str">
        <f>HYPERLINK("http://jsmh.umin.jp/journal/33-1/82-83.pdf")</f>
        <v>http://jsmh.umin.jp/journal/33-1/82-83.pdf</v>
      </c>
      <c r="H2367" s="43" t="s">
        <v>10656</v>
      </c>
    </row>
    <row r="2368" spans="1:8" ht="30" customHeight="1" x14ac:dyDescent="0.15">
      <c r="A2368" s="16" t="s">
        <v>1855</v>
      </c>
      <c r="B2368" s="17" t="s">
        <v>4329</v>
      </c>
      <c r="C2368" s="17" t="s">
        <v>2465</v>
      </c>
      <c r="D2368" s="25" t="s">
        <v>4272</v>
      </c>
      <c r="E2368" s="19" t="s">
        <v>4273</v>
      </c>
      <c r="F2368" s="19" t="s">
        <v>454</v>
      </c>
      <c r="G2368" s="5" t="str">
        <f>HYPERLINK("http://jsmh.umin.jp/journal/33-1/84-85.pdf")</f>
        <v>http://jsmh.umin.jp/journal/33-1/84-85.pdf</v>
      </c>
      <c r="H2368" s="43" t="s">
        <v>10656</v>
      </c>
    </row>
    <row r="2369" spans="1:8" ht="30" customHeight="1" x14ac:dyDescent="0.15">
      <c r="A2369" s="16" t="s">
        <v>1855</v>
      </c>
      <c r="B2369" s="17" t="s">
        <v>4330</v>
      </c>
      <c r="C2369" s="17" t="s">
        <v>4331</v>
      </c>
      <c r="D2369" s="25" t="s">
        <v>4272</v>
      </c>
      <c r="E2369" s="19" t="s">
        <v>4273</v>
      </c>
      <c r="F2369" s="19" t="s">
        <v>460</v>
      </c>
      <c r="G2369" s="5" t="str">
        <f>HYPERLINK("http://jsmh.umin.jp/journal/33-1/86-87.pdf")</f>
        <v>http://jsmh.umin.jp/journal/33-1/86-87.pdf</v>
      </c>
      <c r="H2369" s="43" t="s">
        <v>10656</v>
      </c>
    </row>
    <row r="2370" spans="1:8" ht="30" customHeight="1" x14ac:dyDescent="0.15">
      <c r="A2370" s="16" t="s">
        <v>1855</v>
      </c>
      <c r="B2370" s="17" t="s">
        <v>4332</v>
      </c>
      <c r="C2370" s="17" t="s">
        <v>4026</v>
      </c>
      <c r="D2370" s="25" t="s">
        <v>4272</v>
      </c>
      <c r="E2370" s="19" t="s">
        <v>4273</v>
      </c>
      <c r="F2370" s="19" t="s">
        <v>1814</v>
      </c>
      <c r="G2370" s="5" t="str">
        <f>HYPERLINK("http://jsmh.umin.jp/journal/33-1/88-90.pdf")</f>
        <v>http://jsmh.umin.jp/journal/33-1/88-90.pdf</v>
      </c>
      <c r="H2370" s="43" t="s">
        <v>10656</v>
      </c>
    </row>
    <row r="2371" spans="1:8" ht="30" customHeight="1" x14ac:dyDescent="0.15">
      <c r="A2371" s="16" t="s">
        <v>1855</v>
      </c>
      <c r="B2371" s="17" t="s">
        <v>4333</v>
      </c>
      <c r="C2371" s="17" t="s">
        <v>3842</v>
      </c>
      <c r="D2371" s="25" t="s">
        <v>4272</v>
      </c>
      <c r="E2371" s="19" t="s">
        <v>4273</v>
      </c>
      <c r="F2371" s="19" t="s">
        <v>4334</v>
      </c>
      <c r="G2371" s="5" t="str">
        <f>HYPERLINK("http://jsmh.umin.jp/journal/33-1/90-92.pdf")</f>
        <v>http://jsmh.umin.jp/journal/33-1/90-92.pdf</v>
      </c>
      <c r="H2371" s="43" t="s">
        <v>10656</v>
      </c>
    </row>
    <row r="2372" spans="1:8" ht="30" customHeight="1" x14ac:dyDescent="0.15">
      <c r="A2372" s="16" t="s">
        <v>1855</v>
      </c>
      <c r="B2372" s="17" t="s">
        <v>4335</v>
      </c>
      <c r="C2372" s="17" t="s">
        <v>838</v>
      </c>
      <c r="D2372" s="25" t="s">
        <v>4272</v>
      </c>
      <c r="E2372" s="19" t="s">
        <v>4273</v>
      </c>
      <c r="F2372" s="19" t="s">
        <v>4336</v>
      </c>
      <c r="G2372" s="5" t="str">
        <f>HYPERLINK("http://jsmh.umin.jp/journal/33-1/93-95.pdf")</f>
        <v>http://jsmh.umin.jp/journal/33-1/93-95.pdf</v>
      </c>
      <c r="H2372" s="43" t="s">
        <v>10656</v>
      </c>
    </row>
    <row r="2373" spans="1:8" ht="30" customHeight="1" x14ac:dyDescent="0.15">
      <c r="A2373" s="16" t="s">
        <v>1855</v>
      </c>
      <c r="B2373" s="17" t="s">
        <v>4337</v>
      </c>
      <c r="C2373" s="17" t="s">
        <v>4175</v>
      </c>
      <c r="D2373" s="25" t="s">
        <v>4272</v>
      </c>
      <c r="E2373" s="19" t="s">
        <v>4273</v>
      </c>
      <c r="F2373" s="19" t="s">
        <v>2192</v>
      </c>
      <c r="G2373" s="5" t="str">
        <f>HYPERLINK("http://jsmh.umin.jp/journal/33-1/95-97.pdf")</f>
        <v>http://jsmh.umin.jp/journal/33-1/95-97.pdf</v>
      </c>
      <c r="H2373" s="43" t="s">
        <v>10656</v>
      </c>
    </row>
    <row r="2374" spans="1:8" ht="30" customHeight="1" x14ac:dyDescent="0.15">
      <c r="A2374" s="16" t="s">
        <v>1855</v>
      </c>
      <c r="B2374" s="17" t="s">
        <v>4338</v>
      </c>
      <c r="C2374" s="17" t="s">
        <v>444</v>
      </c>
      <c r="D2374" s="25" t="s">
        <v>4272</v>
      </c>
      <c r="E2374" s="19" t="s">
        <v>4273</v>
      </c>
      <c r="F2374" s="19" t="s">
        <v>4339</v>
      </c>
      <c r="G2374" s="5" t="str">
        <f>HYPERLINK("http://jsmh.umin.jp/journal/33-1/98-100.pdf")</f>
        <v>http://jsmh.umin.jp/journal/33-1/98-100.pdf</v>
      </c>
      <c r="H2374" s="43" t="s">
        <v>10656</v>
      </c>
    </row>
    <row r="2375" spans="1:8" ht="30" customHeight="1" x14ac:dyDescent="0.15">
      <c r="A2375" s="16" t="s">
        <v>1855</v>
      </c>
      <c r="B2375" s="17" t="s">
        <v>4340</v>
      </c>
      <c r="C2375" s="17" t="s">
        <v>1994</v>
      </c>
      <c r="D2375" s="25" t="s">
        <v>4272</v>
      </c>
      <c r="E2375" s="19" t="s">
        <v>4273</v>
      </c>
      <c r="F2375" s="19" t="s">
        <v>2381</v>
      </c>
      <c r="G2375" s="5" t="str">
        <f>HYPERLINK("http://jsmh.umin.jp/journal/33-1/101-103.pdf")</f>
        <v>http://jsmh.umin.jp/journal/33-1/101-103.pdf</v>
      </c>
      <c r="H2375" s="43" t="s">
        <v>10656</v>
      </c>
    </row>
    <row r="2376" spans="1:8" ht="30" customHeight="1" x14ac:dyDescent="0.15">
      <c r="A2376" s="16" t="s">
        <v>1855</v>
      </c>
      <c r="B2376" s="17" t="s">
        <v>4341</v>
      </c>
      <c r="C2376" s="17" t="s">
        <v>4342</v>
      </c>
      <c r="D2376" s="25" t="s">
        <v>4272</v>
      </c>
      <c r="E2376" s="19" t="s">
        <v>4273</v>
      </c>
      <c r="F2376" s="19" t="s">
        <v>4343</v>
      </c>
      <c r="G2376" s="5" t="str">
        <f>HYPERLINK("http://jsmh.umin.jp/journal/33-1/103-105.pdf")</f>
        <v>http://jsmh.umin.jp/journal/33-1/103-105.pdf</v>
      </c>
      <c r="H2376" s="43" t="s">
        <v>10656</v>
      </c>
    </row>
    <row r="2377" spans="1:8" ht="30" customHeight="1" x14ac:dyDescent="0.15">
      <c r="A2377" s="16" t="s">
        <v>1855</v>
      </c>
      <c r="B2377" s="17" t="s">
        <v>4344</v>
      </c>
      <c r="C2377" s="17" t="s">
        <v>1823</v>
      </c>
      <c r="D2377" s="25" t="s">
        <v>4272</v>
      </c>
      <c r="E2377" s="19" t="s">
        <v>4273</v>
      </c>
      <c r="F2377" s="19" t="s">
        <v>3601</v>
      </c>
      <c r="G2377" s="5" t="str">
        <f>HYPERLINK("http://jsmh.umin.jp/journal/33-1/105-107.pdf")</f>
        <v>http://jsmh.umin.jp/journal/33-1/105-107.pdf</v>
      </c>
      <c r="H2377" s="43" t="s">
        <v>10656</v>
      </c>
    </row>
    <row r="2378" spans="1:8" ht="30" customHeight="1" x14ac:dyDescent="0.15">
      <c r="A2378" s="16" t="s">
        <v>1855</v>
      </c>
      <c r="B2378" s="17" t="s">
        <v>4345</v>
      </c>
      <c r="C2378" s="17" t="s">
        <v>479</v>
      </c>
      <c r="D2378" s="25" t="s">
        <v>4272</v>
      </c>
      <c r="E2378" s="19" t="s">
        <v>4273</v>
      </c>
      <c r="F2378" s="19" t="s">
        <v>4346</v>
      </c>
      <c r="G2378" s="5" t="str">
        <f>HYPERLINK("http://jsmh.umin.jp/journal/33-1/107-109.pdf")</f>
        <v>http://jsmh.umin.jp/journal/33-1/107-109.pdf</v>
      </c>
      <c r="H2378" s="43" t="s">
        <v>10656</v>
      </c>
    </row>
    <row r="2379" spans="1:8" ht="30" customHeight="1" x14ac:dyDescent="0.15">
      <c r="A2379" s="16" t="s">
        <v>1855</v>
      </c>
      <c r="B2379" s="17" t="s">
        <v>4347</v>
      </c>
      <c r="C2379" s="17" t="s">
        <v>3301</v>
      </c>
      <c r="D2379" s="25" t="s">
        <v>4272</v>
      </c>
      <c r="E2379" s="19" t="s">
        <v>4273</v>
      </c>
      <c r="F2379" s="19" t="s">
        <v>3606</v>
      </c>
      <c r="G2379" s="5" t="str">
        <f>HYPERLINK("http://jsmh.umin.jp/journal/33-1/110-112.pdf")</f>
        <v>http://jsmh.umin.jp/journal/33-1/110-112.pdf</v>
      </c>
      <c r="H2379" s="43" t="s">
        <v>10656</v>
      </c>
    </row>
    <row r="2380" spans="1:8" ht="30" customHeight="1" x14ac:dyDescent="0.15">
      <c r="A2380" s="16" t="s">
        <v>1855</v>
      </c>
      <c r="B2380" s="17" t="s">
        <v>4348</v>
      </c>
      <c r="C2380" s="17" t="s">
        <v>3839</v>
      </c>
      <c r="D2380" s="25" t="s">
        <v>4272</v>
      </c>
      <c r="E2380" s="19" t="s">
        <v>4273</v>
      </c>
      <c r="F2380" s="19" t="s">
        <v>4349</v>
      </c>
      <c r="G2380" s="5" t="str">
        <f>HYPERLINK("http://jsmh.umin.jp/journal/33-1/112-113.pdf")</f>
        <v>http://jsmh.umin.jp/journal/33-1/112-113.pdf</v>
      </c>
      <c r="H2380" s="43" t="s">
        <v>10656</v>
      </c>
    </row>
    <row r="2381" spans="1:8" ht="30" customHeight="1" x14ac:dyDescent="0.15">
      <c r="A2381" s="16" t="s">
        <v>17</v>
      </c>
      <c r="B2381" s="17" t="s">
        <v>4350</v>
      </c>
      <c r="C2381" s="17" t="s">
        <v>4351</v>
      </c>
      <c r="D2381" s="25" t="s">
        <v>4272</v>
      </c>
      <c r="E2381" s="19" t="s">
        <v>4352</v>
      </c>
      <c r="F2381" s="19" t="s">
        <v>4353</v>
      </c>
      <c r="G2381" s="5" t="str">
        <f>HYPERLINK("http://jsmh.umin.jp/journal/33-2/121-171.pdf")</f>
        <v>http://jsmh.umin.jp/journal/33-2/121-171.pdf</v>
      </c>
      <c r="H2381" s="42" t="str">
        <f t="shared" ref="H2381:H2398" si="186">HYPERLINK("http://dl.ndl.go.jp/info:ndljp/pid/3359315")</f>
        <v>http://dl.ndl.go.jp/info:ndljp/pid/3359315</v>
      </c>
    </row>
    <row r="2382" spans="1:8" ht="30" customHeight="1" x14ac:dyDescent="0.15">
      <c r="A2382" s="16" t="s">
        <v>17</v>
      </c>
      <c r="B2382" s="17" t="s">
        <v>4354</v>
      </c>
      <c r="C2382" s="17" t="s">
        <v>3839</v>
      </c>
      <c r="D2382" s="25" t="s">
        <v>4272</v>
      </c>
      <c r="E2382" s="19" t="s">
        <v>4352</v>
      </c>
      <c r="F2382" s="19" t="s">
        <v>4355</v>
      </c>
      <c r="G2382" s="5" t="str">
        <f>HYPERLINK("http://jsmh.umin.jp/journal/33-2/172-185.pdf")</f>
        <v>http://jsmh.umin.jp/journal/33-2/172-185.pdf</v>
      </c>
      <c r="H2382" s="43" t="str">
        <f t="shared" si="186"/>
        <v>http://dl.ndl.go.jp/info:ndljp/pid/3359315</v>
      </c>
    </row>
    <row r="2383" spans="1:8" ht="30" customHeight="1" x14ac:dyDescent="0.15">
      <c r="A2383" s="16" t="s">
        <v>17</v>
      </c>
      <c r="B2383" s="17" t="s">
        <v>4356</v>
      </c>
      <c r="C2383" s="17" t="s">
        <v>1934</v>
      </c>
      <c r="D2383" s="25" t="s">
        <v>4272</v>
      </c>
      <c r="E2383" s="19" t="s">
        <v>4352</v>
      </c>
      <c r="F2383" s="19" t="s">
        <v>4357</v>
      </c>
      <c r="G2383" s="5" t="str">
        <f>HYPERLINK("http://jsmh.umin.jp/journal/33-2/186-194.pdf")</f>
        <v>http://jsmh.umin.jp/journal/33-2/186-194.pdf</v>
      </c>
      <c r="H2383" s="43" t="str">
        <f t="shared" si="186"/>
        <v>http://dl.ndl.go.jp/info:ndljp/pid/3359315</v>
      </c>
    </row>
    <row r="2384" spans="1:8" ht="30" customHeight="1" x14ac:dyDescent="0.15">
      <c r="A2384" s="16" t="s">
        <v>3387</v>
      </c>
      <c r="B2384" s="17" t="s">
        <v>4358</v>
      </c>
      <c r="C2384" s="17" t="s">
        <v>3655</v>
      </c>
      <c r="D2384" s="25" t="s">
        <v>4272</v>
      </c>
      <c r="E2384" s="19" t="s">
        <v>4352</v>
      </c>
      <c r="F2384" s="19" t="s">
        <v>4359</v>
      </c>
      <c r="G2384" s="5" t="str">
        <f>HYPERLINK("http://jsmh.umin.jp/journal/33-2/195-202.pdf")</f>
        <v>http://jsmh.umin.jp/journal/33-2/195-202.pdf</v>
      </c>
      <c r="H2384" s="43" t="str">
        <f t="shared" si="186"/>
        <v>http://dl.ndl.go.jp/info:ndljp/pid/3359315</v>
      </c>
    </row>
    <row r="2385" spans="1:8" ht="30" customHeight="1" x14ac:dyDescent="0.15">
      <c r="A2385" s="16" t="s">
        <v>3387</v>
      </c>
      <c r="B2385" s="17" t="s">
        <v>4360</v>
      </c>
      <c r="C2385" s="17" t="s">
        <v>790</v>
      </c>
      <c r="D2385" s="25" t="s">
        <v>4272</v>
      </c>
      <c r="E2385" s="19" t="s">
        <v>4352</v>
      </c>
      <c r="F2385" s="19" t="s">
        <v>4361</v>
      </c>
      <c r="G2385" s="5" t="str">
        <f>HYPERLINK("http://jsmh.umin.jp/journal/33-2/203-217.pdf")</f>
        <v>http://jsmh.umin.jp/journal/33-2/203-217.pdf</v>
      </c>
      <c r="H2385" s="43" t="str">
        <f t="shared" si="186"/>
        <v>http://dl.ndl.go.jp/info:ndljp/pid/3359315</v>
      </c>
    </row>
    <row r="2386" spans="1:8" ht="30" customHeight="1" x14ac:dyDescent="0.15">
      <c r="A2386" s="16" t="s">
        <v>3387</v>
      </c>
      <c r="B2386" s="17" t="s">
        <v>4362</v>
      </c>
      <c r="C2386" s="17" t="s">
        <v>3059</v>
      </c>
      <c r="D2386" s="25" t="s">
        <v>4272</v>
      </c>
      <c r="E2386" s="19" t="s">
        <v>4352</v>
      </c>
      <c r="F2386" s="19" t="s">
        <v>4363</v>
      </c>
      <c r="G2386" s="5" t="str">
        <f>HYPERLINK("http://jsmh.umin.jp/journal/33-2/218-222.pdf")</f>
        <v>http://jsmh.umin.jp/journal/33-2/218-222.pdf</v>
      </c>
      <c r="H2386" s="43" t="str">
        <f t="shared" si="186"/>
        <v>http://dl.ndl.go.jp/info:ndljp/pid/3359315</v>
      </c>
    </row>
    <row r="2387" spans="1:8" ht="30" customHeight="1" x14ac:dyDescent="0.15">
      <c r="A2387" s="16" t="s">
        <v>3387</v>
      </c>
      <c r="B2387" s="17" t="s">
        <v>4364</v>
      </c>
      <c r="C2387" s="17" t="s">
        <v>627</v>
      </c>
      <c r="D2387" s="25" t="s">
        <v>4272</v>
      </c>
      <c r="E2387" s="19" t="s">
        <v>4352</v>
      </c>
      <c r="F2387" s="19" t="s">
        <v>4365</v>
      </c>
      <c r="G2387" s="5" t="str">
        <f>HYPERLINK("http://jsmh.umin.jp/journal/33-2/223-234.pdf")</f>
        <v>http://jsmh.umin.jp/journal/33-2/223-234.pdf</v>
      </c>
      <c r="H2387" s="43" t="str">
        <f t="shared" si="186"/>
        <v>http://dl.ndl.go.jp/info:ndljp/pid/3359315</v>
      </c>
    </row>
    <row r="2388" spans="1:8" ht="30" customHeight="1" x14ac:dyDescent="0.15">
      <c r="A2388" s="16" t="s">
        <v>558</v>
      </c>
      <c r="B2388" s="17" t="s">
        <v>704</v>
      </c>
      <c r="C2388" s="17"/>
      <c r="D2388" s="25" t="s">
        <v>4272</v>
      </c>
      <c r="E2388" s="19" t="s">
        <v>4352</v>
      </c>
      <c r="F2388" s="19" t="s">
        <v>3295</v>
      </c>
      <c r="G2388" s="5" t="str">
        <f>HYPERLINK("http://jsmh.umin.jp/journal/33-2/235.pdf")</f>
        <v>http://jsmh.umin.jp/journal/33-2/235.pdf</v>
      </c>
      <c r="H2388" s="43" t="str">
        <f t="shared" si="186"/>
        <v>http://dl.ndl.go.jp/info:ndljp/pid/3359315</v>
      </c>
    </row>
    <row r="2389" spans="1:8" ht="30" customHeight="1" x14ac:dyDescent="0.15">
      <c r="A2389" s="16" t="s">
        <v>3720</v>
      </c>
      <c r="B2389" s="17" t="s">
        <v>4366</v>
      </c>
      <c r="C2389" s="17" t="s">
        <v>48</v>
      </c>
      <c r="D2389" s="25" t="s">
        <v>4272</v>
      </c>
      <c r="E2389" s="19" t="s">
        <v>4352</v>
      </c>
      <c r="F2389" s="19" t="s">
        <v>4367</v>
      </c>
      <c r="G2389" s="26" t="str">
        <f>HYPERLINK("http://jsmh.umin.jp/journal/33-2/236.pdf")</f>
        <v>http://jsmh.umin.jp/journal/33-2/236.pdf</v>
      </c>
      <c r="H2389" s="43" t="str">
        <f t="shared" si="186"/>
        <v>http://dl.ndl.go.jp/info:ndljp/pid/3359315</v>
      </c>
    </row>
    <row r="2390" spans="1:8" ht="30" customHeight="1" x14ac:dyDescent="0.15">
      <c r="A2390" s="16" t="s">
        <v>3720</v>
      </c>
      <c r="B2390" s="17" t="s">
        <v>4368</v>
      </c>
      <c r="C2390" s="17" t="s">
        <v>627</v>
      </c>
      <c r="D2390" s="25" t="s">
        <v>4272</v>
      </c>
      <c r="E2390" s="19" t="s">
        <v>4352</v>
      </c>
      <c r="F2390" s="19" t="s">
        <v>4369</v>
      </c>
      <c r="G2390" s="26" t="str">
        <f>HYPERLINK("http://jsmh.umin.jp/journal/33-2/237.pdf")</f>
        <v>http://jsmh.umin.jp/journal/33-2/237.pdf</v>
      </c>
      <c r="H2390" s="43" t="str">
        <f t="shared" si="186"/>
        <v>http://dl.ndl.go.jp/info:ndljp/pid/3359315</v>
      </c>
    </row>
    <row r="2391" spans="1:8" ht="30" customHeight="1" x14ac:dyDescent="0.15">
      <c r="A2391" s="16" t="s">
        <v>3720</v>
      </c>
      <c r="B2391" s="17" t="s">
        <v>4370</v>
      </c>
      <c r="C2391" s="17" t="s">
        <v>4371</v>
      </c>
      <c r="D2391" s="25" t="s">
        <v>4272</v>
      </c>
      <c r="E2391" s="19" t="s">
        <v>4352</v>
      </c>
      <c r="F2391" s="19" t="s">
        <v>145</v>
      </c>
      <c r="G2391" s="5" t="str">
        <f>HYPERLINK("http://jsmh.umin.jp/journal/33-2/238-239.pdf")</f>
        <v>http://jsmh.umin.jp/journal/33-2/238-239.pdf</v>
      </c>
      <c r="H2391" s="43" t="str">
        <f t="shared" si="186"/>
        <v>http://dl.ndl.go.jp/info:ndljp/pid/3359315</v>
      </c>
    </row>
    <row r="2392" spans="1:8" ht="30" customHeight="1" x14ac:dyDescent="0.15">
      <c r="A2392" s="16" t="s">
        <v>3720</v>
      </c>
      <c r="B2392" s="17" t="s">
        <v>4372</v>
      </c>
      <c r="C2392" s="17" t="s">
        <v>4185</v>
      </c>
      <c r="D2392" s="25" t="s">
        <v>4272</v>
      </c>
      <c r="E2392" s="19" t="s">
        <v>4352</v>
      </c>
      <c r="F2392" s="19" t="s">
        <v>148</v>
      </c>
      <c r="G2392" s="5" t="str">
        <f>HYPERLINK("http://jsmh.umin.jp/journal/33-2/239-240.pdf")</f>
        <v>http://jsmh.umin.jp/journal/33-2/239-240.pdf</v>
      </c>
      <c r="H2392" s="43" t="str">
        <f t="shared" si="186"/>
        <v>http://dl.ndl.go.jp/info:ndljp/pid/3359315</v>
      </c>
    </row>
    <row r="2393" spans="1:8" ht="30" customHeight="1" x14ac:dyDescent="0.15">
      <c r="A2393" s="16" t="s">
        <v>3720</v>
      </c>
      <c r="B2393" s="17" t="s">
        <v>4373</v>
      </c>
      <c r="C2393" s="17" t="s">
        <v>3839</v>
      </c>
      <c r="D2393" s="25" t="s">
        <v>4272</v>
      </c>
      <c r="E2393" s="19" t="s">
        <v>4352</v>
      </c>
      <c r="F2393" s="19" t="s">
        <v>4374</v>
      </c>
      <c r="G2393" s="5" t="str">
        <f>HYPERLINK("http://jsmh.umin.jp/journal/33-2/241-242.pdf")</f>
        <v>http://jsmh.umin.jp/journal/33-2/241-242.pdf</v>
      </c>
      <c r="H2393" s="43" t="str">
        <f t="shared" si="186"/>
        <v>http://dl.ndl.go.jp/info:ndljp/pid/3359315</v>
      </c>
    </row>
    <row r="2394" spans="1:8" ht="30" customHeight="1" x14ac:dyDescent="0.15">
      <c r="A2394" s="16" t="s">
        <v>3720</v>
      </c>
      <c r="B2394" s="17" t="s">
        <v>4375</v>
      </c>
      <c r="C2394" s="17" t="s">
        <v>507</v>
      </c>
      <c r="D2394" s="25" t="s">
        <v>4272</v>
      </c>
      <c r="E2394" s="19" t="s">
        <v>4352</v>
      </c>
      <c r="F2394" s="19" t="s">
        <v>3866</v>
      </c>
      <c r="G2394" s="5" t="str">
        <f>HYPERLINK("http://jsmh.umin.jp/journal/33-2/242-244.pdf")</f>
        <v>http://jsmh.umin.jp/journal/33-2/242-244.pdf</v>
      </c>
      <c r="H2394" s="43" t="str">
        <f t="shared" si="186"/>
        <v>http://dl.ndl.go.jp/info:ndljp/pid/3359315</v>
      </c>
    </row>
    <row r="2395" spans="1:8" ht="30" customHeight="1" x14ac:dyDescent="0.15">
      <c r="A2395" s="16" t="s">
        <v>3720</v>
      </c>
      <c r="B2395" s="17" t="s">
        <v>4376</v>
      </c>
      <c r="C2395" s="17" t="s">
        <v>1131</v>
      </c>
      <c r="D2395" s="25" t="s">
        <v>4272</v>
      </c>
      <c r="E2395" s="19" t="s">
        <v>4352</v>
      </c>
      <c r="F2395" s="19" t="s">
        <v>10571</v>
      </c>
      <c r="G2395" s="27" t="str">
        <f>HYPERLINK("http://jsmh.umin.jp/journal/33-2/245.pdf")</f>
        <v>http://jsmh.umin.jp/journal/33-2/245.pdf</v>
      </c>
      <c r="H2395" s="43" t="str">
        <f t="shared" si="186"/>
        <v>http://dl.ndl.go.jp/info:ndljp/pid/3359315</v>
      </c>
    </row>
    <row r="2396" spans="1:8" ht="30" customHeight="1" x14ac:dyDescent="0.15">
      <c r="A2396" s="16" t="s">
        <v>3720</v>
      </c>
      <c r="B2396" s="17" t="s">
        <v>4377</v>
      </c>
      <c r="C2396" s="17" t="s">
        <v>3762</v>
      </c>
      <c r="D2396" s="25" t="s">
        <v>4272</v>
      </c>
      <c r="E2396" s="19" t="s">
        <v>4352</v>
      </c>
      <c r="F2396" s="19" t="s">
        <v>3309</v>
      </c>
      <c r="G2396" s="5" t="str">
        <f>HYPERLINK("http://jsmh.umin.jp/journal/33-2/246-247.pdf")</f>
        <v>http://jsmh.umin.jp/journal/33-2/246-247.pdf</v>
      </c>
      <c r="H2396" s="43" t="str">
        <f t="shared" si="186"/>
        <v>http://dl.ndl.go.jp/info:ndljp/pid/3359315</v>
      </c>
    </row>
    <row r="2397" spans="1:8" ht="30" customHeight="1" x14ac:dyDescent="0.15">
      <c r="A2397" s="16" t="s">
        <v>558</v>
      </c>
      <c r="B2397" s="17" t="s">
        <v>4378</v>
      </c>
      <c r="C2397" s="17"/>
      <c r="D2397" s="25" t="s">
        <v>4272</v>
      </c>
      <c r="E2397" s="19" t="s">
        <v>4352</v>
      </c>
      <c r="F2397" s="19" t="s">
        <v>1548</v>
      </c>
      <c r="G2397" s="5" t="str">
        <f>HYPERLINK("http://jsmh.umin.jp/journal/33-2/247-248.pdf")</f>
        <v>http://jsmh.umin.jp/journal/33-2/247-248.pdf</v>
      </c>
      <c r="H2397" s="43" t="str">
        <f t="shared" si="186"/>
        <v>http://dl.ndl.go.jp/info:ndljp/pid/3359315</v>
      </c>
    </row>
    <row r="2398" spans="1:8" ht="30" customHeight="1" x14ac:dyDescent="0.15">
      <c r="A2398" s="16" t="s">
        <v>558</v>
      </c>
      <c r="B2398" s="17" t="s">
        <v>4379</v>
      </c>
      <c r="C2398" s="17"/>
      <c r="D2398" s="25" t="s">
        <v>4272</v>
      </c>
      <c r="E2398" s="19" t="s">
        <v>4352</v>
      </c>
      <c r="F2398" s="19" t="s">
        <v>4380</v>
      </c>
      <c r="G2398" s="27" t="str">
        <f>HYPERLINK("http://jsmh.umin.jp/journal/33-2/248.pdf")</f>
        <v>http://jsmh.umin.jp/journal/33-2/248.pdf</v>
      </c>
      <c r="H2398" s="43" t="str">
        <f t="shared" si="186"/>
        <v>http://dl.ndl.go.jp/info:ndljp/pid/3359315</v>
      </c>
    </row>
    <row r="2399" spans="1:8" ht="30" customHeight="1" x14ac:dyDescent="0.15">
      <c r="A2399" s="16" t="s">
        <v>2990</v>
      </c>
      <c r="B2399" s="17" t="s">
        <v>4381</v>
      </c>
      <c r="C2399" s="17" t="s">
        <v>3348</v>
      </c>
      <c r="D2399" s="25" t="s">
        <v>4272</v>
      </c>
      <c r="E2399" s="19" t="s">
        <v>4352</v>
      </c>
      <c r="F2399" s="19" t="s">
        <v>1553</v>
      </c>
      <c r="G2399" s="12" t="str">
        <f t="shared" ref="G2399:G2418" si="187">HYPERLINK("http://jsmh.umin.jp/journal/33-2/249-274.pdf")</f>
        <v>http://jsmh.umin.jp/journal/33-2/249-274.pdf</v>
      </c>
      <c r="H2399" s="45" t="s">
        <v>10657</v>
      </c>
    </row>
    <row r="2400" spans="1:8" ht="30" customHeight="1" x14ac:dyDescent="0.15">
      <c r="A2400" s="16" t="s">
        <v>2990</v>
      </c>
      <c r="B2400" s="17" t="s">
        <v>4382</v>
      </c>
      <c r="C2400" s="17" t="s">
        <v>3381</v>
      </c>
      <c r="D2400" s="25" t="s">
        <v>4272</v>
      </c>
      <c r="E2400" s="19" t="s">
        <v>4352</v>
      </c>
      <c r="F2400" s="19" t="s">
        <v>3313</v>
      </c>
      <c r="G2400" s="12" t="str">
        <f t="shared" si="187"/>
        <v>http://jsmh.umin.jp/journal/33-2/249-274.pdf</v>
      </c>
      <c r="H2400" s="45" t="s">
        <v>10657</v>
      </c>
    </row>
    <row r="2401" spans="1:8" ht="30" customHeight="1" x14ac:dyDescent="0.15">
      <c r="A2401" s="16" t="s">
        <v>2990</v>
      </c>
      <c r="B2401" s="17" t="s">
        <v>10167</v>
      </c>
      <c r="C2401" s="17" t="s">
        <v>4383</v>
      </c>
      <c r="D2401" s="25" t="s">
        <v>4272</v>
      </c>
      <c r="E2401" s="19" t="s">
        <v>4352</v>
      </c>
      <c r="F2401" s="19" t="s">
        <v>4220</v>
      </c>
      <c r="G2401" s="12" t="str">
        <f t="shared" si="187"/>
        <v>http://jsmh.umin.jp/journal/33-2/249-274.pdf</v>
      </c>
      <c r="H2401" s="45" t="s">
        <v>10657</v>
      </c>
    </row>
    <row r="2402" spans="1:8" ht="30" customHeight="1" x14ac:dyDescent="0.15">
      <c r="A2402" s="16" t="s">
        <v>2990</v>
      </c>
      <c r="B2402" s="17" t="s">
        <v>4384</v>
      </c>
      <c r="C2402" s="17" t="s">
        <v>4385</v>
      </c>
      <c r="D2402" s="25" t="s">
        <v>4272</v>
      </c>
      <c r="E2402" s="19" t="s">
        <v>4352</v>
      </c>
      <c r="F2402" s="19" t="s">
        <v>4386</v>
      </c>
      <c r="G2402" s="12" t="str">
        <f t="shared" si="187"/>
        <v>http://jsmh.umin.jp/journal/33-2/249-274.pdf</v>
      </c>
      <c r="H2402" s="45" t="s">
        <v>10657</v>
      </c>
    </row>
    <row r="2403" spans="1:8" ht="30" customHeight="1" x14ac:dyDescent="0.15">
      <c r="A2403" s="16" t="s">
        <v>2990</v>
      </c>
      <c r="B2403" s="17" t="s">
        <v>4387</v>
      </c>
      <c r="C2403" s="17" t="s">
        <v>1097</v>
      </c>
      <c r="D2403" s="25" t="s">
        <v>4272</v>
      </c>
      <c r="E2403" s="19" t="s">
        <v>4352</v>
      </c>
      <c r="F2403" s="19" t="s">
        <v>3323</v>
      </c>
      <c r="G2403" s="12" t="str">
        <f t="shared" si="187"/>
        <v>http://jsmh.umin.jp/journal/33-2/249-274.pdf</v>
      </c>
      <c r="H2403" s="45" t="s">
        <v>10657</v>
      </c>
    </row>
    <row r="2404" spans="1:8" ht="30" customHeight="1" x14ac:dyDescent="0.15">
      <c r="A2404" s="16" t="s">
        <v>2990</v>
      </c>
      <c r="B2404" s="17" t="s">
        <v>4388</v>
      </c>
      <c r="C2404" s="17" t="s">
        <v>992</v>
      </c>
      <c r="D2404" s="25" t="s">
        <v>4272</v>
      </c>
      <c r="E2404" s="19" t="s">
        <v>4352</v>
      </c>
      <c r="F2404" s="19" t="s">
        <v>4389</v>
      </c>
      <c r="G2404" s="12" t="str">
        <f t="shared" si="187"/>
        <v>http://jsmh.umin.jp/journal/33-2/249-274.pdf</v>
      </c>
      <c r="H2404" s="45" t="s">
        <v>10657</v>
      </c>
    </row>
    <row r="2405" spans="1:8" ht="30" customHeight="1" x14ac:dyDescent="0.15">
      <c r="A2405" s="16" t="s">
        <v>2990</v>
      </c>
      <c r="B2405" s="17" t="s">
        <v>4390</v>
      </c>
      <c r="C2405" s="17" t="s">
        <v>10168</v>
      </c>
      <c r="D2405" s="25" t="s">
        <v>4272</v>
      </c>
      <c r="E2405" s="19" t="s">
        <v>4352</v>
      </c>
      <c r="F2405" s="19" t="s">
        <v>4391</v>
      </c>
      <c r="G2405" s="12" t="str">
        <f t="shared" si="187"/>
        <v>http://jsmh.umin.jp/journal/33-2/249-274.pdf</v>
      </c>
      <c r="H2405" s="45" t="s">
        <v>10657</v>
      </c>
    </row>
    <row r="2406" spans="1:8" ht="30" customHeight="1" x14ac:dyDescent="0.15">
      <c r="A2406" s="16" t="s">
        <v>2990</v>
      </c>
      <c r="B2406" s="17" t="s">
        <v>4392</v>
      </c>
      <c r="C2406" s="17" t="s">
        <v>4393</v>
      </c>
      <c r="D2406" s="25" t="s">
        <v>4272</v>
      </c>
      <c r="E2406" s="19" t="s">
        <v>4352</v>
      </c>
      <c r="F2406" s="19" t="s">
        <v>1013</v>
      </c>
      <c r="G2406" s="12" t="str">
        <f t="shared" si="187"/>
        <v>http://jsmh.umin.jp/journal/33-2/249-274.pdf</v>
      </c>
      <c r="H2406" s="45" t="s">
        <v>10657</v>
      </c>
    </row>
    <row r="2407" spans="1:8" ht="30" customHeight="1" x14ac:dyDescent="0.15">
      <c r="A2407" s="16" t="s">
        <v>2990</v>
      </c>
      <c r="B2407" s="17" t="s">
        <v>4394</v>
      </c>
      <c r="C2407" s="17" t="s">
        <v>4385</v>
      </c>
      <c r="D2407" s="25" t="s">
        <v>4272</v>
      </c>
      <c r="E2407" s="19" t="s">
        <v>4352</v>
      </c>
      <c r="F2407" s="19" t="s">
        <v>1017</v>
      </c>
      <c r="G2407" s="12" t="str">
        <f t="shared" si="187"/>
        <v>http://jsmh.umin.jp/journal/33-2/249-274.pdf</v>
      </c>
      <c r="H2407" s="45" t="s">
        <v>10657</v>
      </c>
    </row>
    <row r="2408" spans="1:8" ht="30" customHeight="1" x14ac:dyDescent="0.15">
      <c r="A2408" s="16" t="s">
        <v>2990</v>
      </c>
      <c r="B2408" s="17" t="s">
        <v>4395</v>
      </c>
      <c r="C2408" s="17" t="s">
        <v>273</v>
      </c>
      <c r="D2408" s="25" t="s">
        <v>4272</v>
      </c>
      <c r="E2408" s="19" t="s">
        <v>4352</v>
      </c>
      <c r="F2408" s="19" t="s">
        <v>4396</v>
      </c>
      <c r="G2408" s="12" t="str">
        <f t="shared" si="187"/>
        <v>http://jsmh.umin.jp/journal/33-2/249-274.pdf</v>
      </c>
      <c r="H2408" s="45" t="s">
        <v>10657</v>
      </c>
    </row>
    <row r="2409" spans="1:8" ht="30" customHeight="1" x14ac:dyDescent="0.15">
      <c r="A2409" s="16" t="s">
        <v>2990</v>
      </c>
      <c r="B2409" s="17" t="s">
        <v>4397</v>
      </c>
      <c r="C2409" s="17" t="s">
        <v>1932</v>
      </c>
      <c r="D2409" s="25" t="s">
        <v>4272</v>
      </c>
      <c r="E2409" s="19" t="s">
        <v>4352</v>
      </c>
      <c r="F2409" s="19" t="s">
        <v>3478</v>
      </c>
      <c r="G2409" s="12" t="str">
        <f t="shared" si="187"/>
        <v>http://jsmh.umin.jp/journal/33-2/249-274.pdf</v>
      </c>
      <c r="H2409" s="45" t="s">
        <v>10657</v>
      </c>
    </row>
    <row r="2410" spans="1:8" ht="30" customHeight="1" x14ac:dyDescent="0.15">
      <c r="A2410" s="16" t="s">
        <v>2990</v>
      </c>
      <c r="B2410" s="17" t="s">
        <v>4398</v>
      </c>
      <c r="C2410" s="17" t="s">
        <v>48</v>
      </c>
      <c r="D2410" s="25" t="s">
        <v>4272</v>
      </c>
      <c r="E2410" s="19" t="s">
        <v>4352</v>
      </c>
      <c r="F2410" s="19" t="s">
        <v>4399</v>
      </c>
      <c r="G2410" s="12" t="str">
        <f t="shared" si="187"/>
        <v>http://jsmh.umin.jp/journal/33-2/249-274.pdf</v>
      </c>
      <c r="H2410" s="45" t="s">
        <v>10657</v>
      </c>
    </row>
    <row r="2411" spans="1:8" ht="30" customHeight="1" x14ac:dyDescent="0.15">
      <c r="A2411" s="16" t="s">
        <v>2990</v>
      </c>
      <c r="B2411" s="17" t="s">
        <v>4400</v>
      </c>
      <c r="C2411" s="17" t="s">
        <v>444</v>
      </c>
      <c r="D2411" s="25" t="s">
        <v>4272</v>
      </c>
      <c r="E2411" s="19" t="s">
        <v>4352</v>
      </c>
      <c r="F2411" s="19" t="s">
        <v>3075</v>
      </c>
      <c r="G2411" s="12" t="str">
        <f t="shared" si="187"/>
        <v>http://jsmh.umin.jp/journal/33-2/249-274.pdf</v>
      </c>
      <c r="H2411" s="45" t="s">
        <v>10657</v>
      </c>
    </row>
    <row r="2412" spans="1:8" ht="30" customHeight="1" x14ac:dyDescent="0.15">
      <c r="A2412" s="16" t="s">
        <v>2990</v>
      </c>
      <c r="B2412" s="17" t="s">
        <v>4401</v>
      </c>
      <c r="C2412" s="17" t="s">
        <v>2937</v>
      </c>
      <c r="D2412" s="25" t="s">
        <v>4272</v>
      </c>
      <c r="E2412" s="19" t="s">
        <v>4352</v>
      </c>
      <c r="F2412" s="19" t="s">
        <v>1570</v>
      </c>
      <c r="G2412" s="12" t="str">
        <f t="shared" si="187"/>
        <v>http://jsmh.umin.jp/journal/33-2/249-274.pdf</v>
      </c>
      <c r="H2412" s="45" t="s">
        <v>10657</v>
      </c>
    </row>
    <row r="2413" spans="1:8" ht="30" customHeight="1" x14ac:dyDescent="0.15">
      <c r="A2413" s="16" t="s">
        <v>2990</v>
      </c>
      <c r="B2413" s="17" t="s">
        <v>4402</v>
      </c>
      <c r="C2413" s="17" t="s">
        <v>1659</v>
      </c>
      <c r="D2413" s="25" t="s">
        <v>4272</v>
      </c>
      <c r="E2413" s="19" t="s">
        <v>4352</v>
      </c>
      <c r="F2413" s="19" t="s">
        <v>1033</v>
      </c>
      <c r="G2413" s="12" t="str">
        <f t="shared" si="187"/>
        <v>http://jsmh.umin.jp/journal/33-2/249-274.pdf</v>
      </c>
      <c r="H2413" s="45" t="s">
        <v>10657</v>
      </c>
    </row>
    <row r="2414" spans="1:8" ht="30" customHeight="1" x14ac:dyDescent="0.15">
      <c r="A2414" s="16" t="s">
        <v>2990</v>
      </c>
      <c r="B2414" s="17" t="s">
        <v>4403</v>
      </c>
      <c r="C2414" s="17" t="s">
        <v>3024</v>
      </c>
      <c r="D2414" s="25" t="s">
        <v>4272</v>
      </c>
      <c r="E2414" s="19" t="s">
        <v>4352</v>
      </c>
      <c r="F2414" s="19" t="s">
        <v>1035</v>
      </c>
      <c r="G2414" s="12" t="str">
        <f t="shared" si="187"/>
        <v>http://jsmh.umin.jp/journal/33-2/249-274.pdf</v>
      </c>
      <c r="H2414" s="45" t="s">
        <v>10657</v>
      </c>
    </row>
    <row r="2415" spans="1:8" ht="30" customHeight="1" x14ac:dyDescent="0.15">
      <c r="A2415" s="16" t="s">
        <v>2990</v>
      </c>
      <c r="B2415" s="17" t="s">
        <v>4404</v>
      </c>
      <c r="C2415" s="17" t="s">
        <v>2327</v>
      </c>
      <c r="D2415" s="25" t="s">
        <v>4272</v>
      </c>
      <c r="E2415" s="19" t="s">
        <v>4352</v>
      </c>
      <c r="F2415" s="19" t="s">
        <v>3486</v>
      </c>
      <c r="G2415" s="12" t="str">
        <f t="shared" si="187"/>
        <v>http://jsmh.umin.jp/journal/33-2/249-274.pdf</v>
      </c>
      <c r="H2415" s="45" t="s">
        <v>10657</v>
      </c>
    </row>
    <row r="2416" spans="1:8" ht="30" customHeight="1" x14ac:dyDescent="0.15">
      <c r="A2416" s="16" t="s">
        <v>2990</v>
      </c>
      <c r="B2416" s="17" t="s">
        <v>4405</v>
      </c>
      <c r="C2416" s="17" t="s">
        <v>2386</v>
      </c>
      <c r="D2416" s="25" t="s">
        <v>4272</v>
      </c>
      <c r="E2416" s="19" t="s">
        <v>4352</v>
      </c>
      <c r="F2416" s="19" t="s">
        <v>1891</v>
      </c>
      <c r="G2416" s="12" t="str">
        <f t="shared" si="187"/>
        <v>http://jsmh.umin.jp/journal/33-2/249-274.pdf</v>
      </c>
      <c r="H2416" s="45" t="s">
        <v>10657</v>
      </c>
    </row>
    <row r="2417" spans="1:8" ht="30" customHeight="1" x14ac:dyDescent="0.15">
      <c r="A2417" s="16" t="s">
        <v>2990</v>
      </c>
      <c r="B2417" s="17" t="s">
        <v>4406</v>
      </c>
      <c r="C2417" s="17" t="s">
        <v>992</v>
      </c>
      <c r="D2417" s="25" t="s">
        <v>4272</v>
      </c>
      <c r="E2417" s="19" t="s">
        <v>4352</v>
      </c>
      <c r="F2417" s="19" t="s">
        <v>1893</v>
      </c>
      <c r="G2417" s="12" t="str">
        <f t="shared" si="187"/>
        <v>http://jsmh.umin.jp/journal/33-2/249-274.pdf</v>
      </c>
      <c r="H2417" s="45" t="s">
        <v>10657</v>
      </c>
    </row>
    <row r="2418" spans="1:8" ht="30" customHeight="1" x14ac:dyDescent="0.15">
      <c r="A2418" s="16" t="s">
        <v>2990</v>
      </c>
      <c r="B2418" s="17" t="s">
        <v>4407</v>
      </c>
      <c r="C2418" s="17" t="s">
        <v>4039</v>
      </c>
      <c r="D2418" s="25" t="s">
        <v>4272</v>
      </c>
      <c r="E2418" s="19" t="s">
        <v>4352</v>
      </c>
      <c r="F2418" s="19" t="s">
        <v>3338</v>
      </c>
      <c r="G2418" s="12" t="str">
        <f t="shared" si="187"/>
        <v>http://jsmh.umin.jp/journal/33-2/249-274.pdf</v>
      </c>
      <c r="H2418" s="45" t="s">
        <v>10657</v>
      </c>
    </row>
    <row r="2419" spans="1:8" ht="30" customHeight="1" x14ac:dyDescent="0.15">
      <c r="A2419" s="16" t="s">
        <v>17</v>
      </c>
      <c r="B2419" s="17" t="s">
        <v>4408</v>
      </c>
      <c r="C2419" s="17" t="s">
        <v>4271</v>
      </c>
      <c r="D2419" s="25" t="s">
        <v>4272</v>
      </c>
      <c r="E2419" s="19" t="s">
        <v>4409</v>
      </c>
      <c r="F2419" s="19" t="s">
        <v>4410</v>
      </c>
      <c r="G2419" s="5" t="str">
        <f>HYPERLINK("http://jsmh.umin.jp/journal/33-3/281-293.pdf")</f>
        <v>http://jsmh.umin.jp/journal/33-3/281-293.pdf</v>
      </c>
      <c r="H2419" s="42" t="str">
        <f t="shared" ref="H2419:H2449" si="188">HYPERLINK("http://dl.ndl.go.jp/info:ndljp/pid/3359316")</f>
        <v>http://dl.ndl.go.jp/info:ndljp/pid/3359316</v>
      </c>
    </row>
    <row r="2420" spans="1:8" ht="30" customHeight="1" x14ac:dyDescent="0.15">
      <c r="A2420" s="16" t="s">
        <v>17</v>
      </c>
      <c r="B2420" s="17" t="s">
        <v>4411</v>
      </c>
      <c r="C2420" s="17" t="s">
        <v>2465</v>
      </c>
      <c r="D2420" s="25" t="s">
        <v>4272</v>
      </c>
      <c r="E2420" s="19" t="s">
        <v>4409</v>
      </c>
      <c r="F2420" s="19" t="s">
        <v>4412</v>
      </c>
      <c r="G2420" s="5" t="str">
        <f>HYPERLINK("http://jsmh.umin.jp/journal/33-3/294-307.pdf")</f>
        <v>http://jsmh.umin.jp/journal/33-3/294-307.pdf</v>
      </c>
      <c r="H2420" s="43" t="str">
        <f t="shared" si="188"/>
        <v>http://dl.ndl.go.jp/info:ndljp/pid/3359316</v>
      </c>
    </row>
    <row r="2421" spans="1:8" ht="30" customHeight="1" x14ac:dyDescent="0.15">
      <c r="A2421" s="16" t="s">
        <v>17</v>
      </c>
      <c r="B2421" s="17" t="s">
        <v>4413</v>
      </c>
      <c r="C2421" s="17" t="s">
        <v>3839</v>
      </c>
      <c r="D2421" s="25" t="s">
        <v>4272</v>
      </c>
      <c r="E2421" s="19" t="s">
        <v>4409</v>
      </c>
      <c r="F2421" s="19" t="s">
        <v>4414</v>
      </c>
      <c r="G2421" s="5" t="str">
        <f>HYPERLINK("http://jsmh.umin.jp/journal/33-3/308-316.pdf")</f>
        <v>http://jsmh.umin.jp/journal/33-3/308-316.pdf</v>
      </c>
      <c r="H2421" s="43" t="str">
        <f t="shared" si="188"/>
        <v>http://dl.ndl.go.jp/info:ndljp/pid/3359316</v>
      </c>
    </row>
    <row r="2422" spans="1:8" ht="30" customHeight="1" x14ac:dyDescent="0.15">
      <c r="A2422" s="16" t="s">
        <v>3387</v>
      </c>
      <c r="B2422" s="17" t="s">
        <v>4415</v>
      </c>
      <c r="C2422" s="17" t="s">
        <v>3010</v>
      </c>
      <c r="D2422" s="25" t="s">
        <v>4272</v>
      </c>
      <c r="E2422" s="19" t="s">
        <v>4409</v>
      </c>
      <c r="F2422" s="19" t="s">
        <v>3516</v>
      </c>
      <c r="G2422" s="5" t="str">
        <f>HYPERLINK("http://jsmh.umin.jp/journal/33-3/317-327.pdf")</f>
        <v>http://jsmh.umin.jp/journal/33-3/317-327.pdf</v>
      </c>
      <c r="H2422" s="43" t="str">
        <f t="shared" si="188"/>
        <v>http://dl.ndl.go.jp/info:ndljp/pid/3359316</v>
      </c>
    </row>
    <row r="2423" spans="1:8" ht="30" customHeight="1" x14ac:dyDescent="0.15">
      <c r="A2423" s="16" t="s">
        <v>3387</v>
      </c>
      <c r="B2423" s="17" t="s">
        <v>4416</v>
      </c>
      <c r="C2423" s="17" t="s">
        <v>3432</v>
      </c>
      <c r="D2423" s="25" t="s">
        <v>4272</v>
      </c>
      <c r="E2423" s="19" t="s">
        <v>4409</v>
      </c>
      <c r="F2423" s="19" t="s">
        <v>4417</v>
      </c>
      <c r="G2423" s="5" t="str">
        <f>HYPERLINK("http://jsmh.umin.jp/journal/33-3/328-333.pdf")</f>
        <v>http://jsmh.umin.jp/journal/33-3/328-333.pdf</v>
      </c>
      <c r="H2423" s="43" t="str">
        <f t="shared" si="188"/>
        <v>http://dl.ndl.go.jp/info:ndljp/pid/3359316</v>
      </c>
    </row>
    <row r="2424" spans="1:8" ht="30" customHeight="1" x14ac:dyDescent="0.15">
      <c r="A2424" s="16" t="s">
        <v>4265</v>
      </c>
      <c r="B2424" s="17" t="s">
        <v>4418</v>
      </c>
      <c r="C2424" s="17" t="s">
        <v>3977</v>
      </c>
      <c r="D2424" s="25" t="s">
        <v>4272</v>
      </c>
      <c r="E2424" s="19" t="s">
        <v>4409</v>
      </c>
      <c r="F2424" s="19" t="s">
        <v>4419</v>
      </c>
      <c r="G2424" s="5" t="str">
        <f>HYPERLINK("http://jsmh.umin.jp/journal/33-3/334-353.pdf")</f>
        <v>http://jsmh.umin.jp/journal/33-3/334-353.pdf</v>
      </c>
      <c r="H2424" s="43" t="str">
        <f t="shared" si="188"/>
        <v>http://dl.ndl.go.jp/info:ndljp/pid/3359316</v>
      </c>
    </row>
    <row r="2425" spans="1:8" ht="30" customHeight="1" x14ac:dyDescent="0.15">
      <c r="A2425" s="16" t="s">
        <v>4265</v>
      </c>
      <c r="B2425" s="17" t="s">
        <v>4420</v>
      </c>
      <c r="C2425" s="17" t="s">
        <v>3655</v>
      </c>
      <c r="D2425" s="25" t="s">
        <v>4272</v>
      </c>
      <c r="E2425" s="19" t="s">
        <v>4409</v>
      </c>
      <c r="F2425" s="19" t="s">
        <v>4421</v>
      </c>
      <c r="G2425" s="5" t="str">
        <f>HYPERLINK("http://jsmh.umin.jp/journal/33-3/354-366.pdf")</f>
        <v>http://jsmh.umin.jp/journal/33-3/354-366.pdf</v>
      </c>
      <c r="H2425" s="43" t="str">
        <f t="shared" si="188"/>
        <v>http://dl.ndl.go.jp/info:ndljp/pid/3359316</v>
      </c>
    </row>
    <row r="2426" spans="1:8" ht="30" customHeight="1" x14ac:dyDescent="0.15">
      <c r="A2426" s="16" t="s">
        <v>4265</v>
      </c>
      <c r="B2426" s="17" t="s">
        <v>4422</v>
      </c>
      <c r="C2426" s="17" t="s">
        <v>1659</v>
      </c>
      <c r="D2426" s="25" t="s">
        <v>4272</v>
      </c>
      <c r="E2426" s="19" t="s">
        <v>4409</v>
      </c>
      <c r="F2426" s="19" t="s">
        <v>4423</v>
      </c>
      <c r="G2426" s="5" t="str">
        <f>HYPERLINK("http://jsmh.umin.jp/journal/33-3/367-380.pdf")</f>
        <v>http://jsmh.umin.jp/journal/33-3/367-380.pdf</v>
      </c>
      <c r="H2426" s="43" t="str">
        <f t="shared" si="188"/>
        <v>http://dl.ndl.go.jp/info:ndljp/pid/3359316</v>
      </c>
    </row>
    <row r="2427" spans="1:8" ht="30" customHeight="1" x14ac:dyDescent="0.15">
      <c r="A2427" s="16" t="s">
        <v>692</v>
      </c>
      <c r="B2427" s="17" t="s">
        <v>4424</v>
      </c>
      <c r="C2427" s="17" t="s">
        <v>4039</v>
      </c>
      <c r="D2427" s="25" t="s">
        <v>4272</v>
      </c>
      <c r="E2427" s="19" t="s">
        <v>4409</v>
      </c>
      <c r="F2427" s="19" t="s">
        <v>4425</v>
      </c>
      <c r="G2427" s="5" t="str">
        <f>HYPERLINK("http://jsmh.umin.jp/journal/33-3/381-396.pdf")</f>
        <v>http://jsmh.umin.jp/journal/33-3/381-396.pdf</v>
      </c>
      <c r="H2427" s="43" t="str">
        <f t="shared" si="188"/>
        <v>http://dl.ndl.go.jp/info:ndljp/pid/3359316</v>
      </c>
    </row>
    <row r="2428" spans="1:8" ht="30" customHeight="1" x14ac:dyDescent="0.15">
      <c r="A2428" s="16" t="s">
        <v>692</v>
      </c>
      <c r="B2428" s="17" t="s">
        <v>4426</v>
      </c>
      <c r="C2428" s="17" t="s">
        <v>4222</v>
      </c>
      <c r="D2428" s="25" t="s">
        <v>4272</v>
      </c>
      <c r="E2428" s="19" t="s">
        <v>4409</v>
      </c>
      <c r="F2428" s="19" t="s">
        <v>4427</v>
      </c>
      <c r="G2428" s="5" t="str">
        <f>HYPERLINK("http://jsmh.umin.jp/journal/33-3/397-408.pdf")</f>
        <v>http://jsmh.umin.jp/journal/33-3/397-408.pdf</v>
      </c>
      <c r="H2428" s="43" t="str">
        <f t="shared" si="188"/>
        <v>http://dl.ndl.go.jp/info:ndljp/pid/3359316</v>
      </c>
    </row>
    <row r="2429" spans="1:8" ht="30" customHeight="1" x14ac:dyDescent="0.15">
      <c r="A2429" s="16" t="s">
        <v>558</v>
      </c>
      <c r="B2429" s="17" t="s">
        <v>704</v>
      </c>
      <c r="C2429" s="17"/>
      <c r="D2429" s="25" t="s">
        <v>4272</v>
      </c>
      <c r="E2429" s="19" t="s">
        <v>4409</v>
      </c>
      <c r="F2429" s="19" t="s">
        <v>4428</v>
      </c>
      <c r="G2429" s="5" t="str">
        <f>HYPERLINK("http://jsmh.umin.jp/journal/33-3/409.pdf")</f>
        <v>http://jsmh.umin.jp/journal/33-3/409.pdf</v>
      </c>
      <c r="H2429" s="43" t="str">
        <f t="shared" si="188"/>
        <v>http://dl.ndl.go.jp/info:ndljp/pid/3359316</v>
      </c>
    </row>
    <row r="2430" spans="1:8" ht="30" customHeight="1" x14ac:dyDescent="0.15">
      <c r="A2430" s="16" t="s">
        <v>558</v>
      </c>
      <c r="B2430" s="17" t="s">
        <v>4429</v>
      </c>
      <c r="C2430" s="17"/>
      <c r="D2430" s="25" t="s">
        <v>4272</v>
      </c>
      <c r="E2430" s="19" t="s">
        <v>4409</v>
      </c>
      <c r="F2430" s="19" t="s">
        <v>4430</v>
      </c>
      <c r="G2430" s="5" t="str">
        <f>HYPERLINK("http://jsmh.umin.jp/journal/33-3/410.pdf")</f>
        <v>http://jsmh.umin.jp/journal/33-3/410.pdf</v>
      </c>
      <c r="H2430" s="43" t="str">
        <f t="shared" si="188"/>
        <v>http://dl.ndl.go.jp/info:ndljp/pid/3359316</v>
      </c>
    </row>
    <row r="2431" spans="1:8" ht="30" customHeight="1" x14ac:dyDescent="0.15">
      <c r="A2431" s="16" t="s">
        <v>2990</v>
      </c>
      <c r="B2431" s="17" t="s">
        <v>4431</v>
      </c>
      <c r="C2431" s="17" t="s">
        <v>198</v>
      </c>
      <c r="D2431" s="25" t="s">
        <v>4272</v>
      </c>
      <c r="E2431" s="19" t="s">
        <v>4409</v>
      </c>
      <c r="F2431" s="19" t="s">
        <v>4432</v>
      </c>
      <c r="G2431" s="26" t="str">
        <f t="shared" ref="G2431:G2449" si="189">HYPERLINK("http://jsmh.umin.jp/journal/33-3/411-430.pdf")</f>
        <v>http://jsmh.umin.jp/journal/33-3/411-430.pdf</v>
      </c>
      <c r="H2431" s="45" t="str">
        <f t="shared" si="188"/>
        <v>http://dl.ndl.go.jp/info:ndljp/pid/3359316</v>
      </c>
    </row>
    <row r="2432" spans="1:8" ht="30" customHeight="1" x14ac:dyDescent="0.15">
      <c r="A2432" s="16" t="s">
        <v>2990</v>
      </c>
      <c r="B2432" s="17" t="s">
        <v>4433</v>
      </c>
      <c r="C2432" s="17" t="s">
        <v>2485</v>
      </c>
      <c r="D2432" s="25" t="s">
        <v>4272</v>
      </c>
      <c r="E2432" s="19" t="s">
        <v>4409</v>
      </c>
      <c r="F2432" s="19" t="s">
        <v>4434</v>
      </c>
      <c r="G2432" s="26" t="str">
        <f t="shared" si="189"/>
        <v>http://jsmh.umin.jp/journal/33-3/411-430.pdf</v>
      </c>
      <c r="H2432" s="45" t="str">
        <f t="shared" si="188"/>
        <v>http://dl.ndl.go.jp/info:ndljp/pid/3359316</v>
      </c>
    </row>
    <row r="2433" spans="1:8" ht="30" customHeight="1" x14ac:dyDescent="0.15">
      <c r="A2433" s="16" t="s">
        <v>2990</v>
      </c>
      <c r="B2433" s="17" t="s">
        <v>4435</v>
      </c>
      <c r="C2433" s="17" t="s">
        <v>916</v>
      </c>
      <c r="D2433" s="25" t="s">
        <v>4272</v>
      </c>
      <c r="E2433" s="19" t="s">
        <v>4409</v>
      </c>
      <c r="F2433" s="19" t="s">
        <v>4436</v>
      </c>
      <c r="G2433" s="26" t="str">
        <f t="shared" si="189"/>
        <v>http://jsmh.umin.jp/journal/33-3/411-430.pdf</v>
      </c>
      <c r="H2433" s="45" t="str">
        <f t="shared" si="188"/>
        <v>http://dl.ndl.go.jp/info:ndljp/pid/3359316</v>
      </c>
    </row>
    <row r="2434" spans="1:8" ht="30" customHeight="1" x14ac:dyDescent="0.15">
      <c r="A2434" s="16" t="s">
        <v>2990</v>
      </c>
      <c r="B2434" s="17" t="s">
        <v>4437</v>
      </c>
      <c r="C2434" s="17" t="s">
        <v>4438</v>
      </c>
      <c r="D2434" s="25" t="s">
        <v>4272</v>
      </c>
      <c r="E2434" s="19" t="s">
        <v>4409</v>
      </c>
      <c r="F2434" s="19" t="s">
        <v>4439</v>
      </c>
      <c r="G2434" s="26" t="str">
        <f t="shared" si="189"/>
        <v>http://jsmh.umin.jp/journal/33-3/411-430.pdf</v>
      </c>
      <c r="H2434" s="45" t="str">
        <f t="shared" si="188"/>
        <v>http://dl.ndl.go.jp/info:ndljp/pid/3359316</v>
      </c>
    </row>
    <row r="2435" spans="1:8" ht="30" customHeight="1" x14ac:dyDescent="0.15">
      <c r="A2435" s="16" t="s">
        <v>2990</v>
      </c>
      <c r="B2435" s="17" t="s">
        <v>4440</v>
      </c>
      <c r="C2435" s="17" t="s">
        <v>3655</v>
      </c>
      <c r="D2435" s="25" t="s">
        <v>4272</v>
      </c>
      <c r="E2435" s="19" t="s">
        <v>4409</v>
      </c>
      <c r="F2435" s="19" t="s">
        <v>4441</v>
      </c>
      <c r="G2435" s="26" t="str">
        <f t="shared" si="189"/>
        <v>http://jsmh.umin.jp/journal/33-3/411-430.pdf</v>
      </c>
      <c r="H2435" s="45" t="str">
        <f t="shared" si="188"/>
        <v>http://dl.ndl.go.jp/info:ndljp/pid/3359316</v>
      </c>
    </row>
    <row r="2436" spans="1:8" ht="30" customHeight="1" x14ac:dyDescent="0.15">
      <c r="A2436" s="16" t="s">
        <v>2990</v>
      </c>
      <c r="B2436" s="17" t="s">
        <v>4442</v>
      </c>
      <c r="C2436" s="17" t="s">
        <v>925</v>
      </c>
      <c r="D2436" s="25" t="s">
        <v>4272</v>
      </c>
      <c r="E2436" s="19" t="s">
        <v>4409</v>
      </c>
      <c r="F2436" s="19" t="s">
        <v>4443</v>
      </c>
      <c r="G2436" s="26" t="str">
        <f t="shared" si="189"/>
        <v>http://jsmh.umin.jp/journal/33-3/411-430.pdf</v>
      </c>
      <c r="H2436" s="45" t="str">
        <f t="shared" si="188"/>
        <v>http://dl.ndl.go.jp/info:ndljp/pid/3359316</v>
      </c>
    </row>
    <row r="2437" spans="1:8" ht="30" customHeight="1" x14ac:dyDescent="0.15">
      <c r="A2437" s="16" t="s">
        <v>2990</v>
      </c>
      <c r="B2437" s="17" t="s">
        <v>4444</v>
      </c>
      <c r="C2437" s="17" t="s">
        <v>2553</v>
      </c>
      <c r="D2437" s="25" t="s">
        <v>4272</v>
      </c>
      <c r="E2437" s="19" t="s">
        <v>4409</v>
      </c>
      <c r="F2437" s="19" t="s">
        <v>4445</v>
      </c>
      <c r="G2437" s="26" t="str">
        <f t="shared" si="189"/>
        <v>http://jsmh.umin.jp/journal/33-3/411-430.pdf</v>
      </c>
      <c r="H2437" s="45" t="str">
        <f t="shared" si="188"/>
        <v>http://dl.ndl.go.jp/info:ndljp/pid/3359316</v>
      </c>
    </row>
    <row r="2438" spans="1:8" ht="30" customHeight="1" x14ac:dyDescent="0.15">
      <c r="A2438" s="16" t="s">
        <v>2990</v>
      </c>
      <c r="B2438" s="17" t="s">
        <v>4446</v>
      </c>
      <c r="C2438" s="17" t="s">
        <v>841</v>
      </c>
      <c r="D2438" s="25" t="s">
        <v>4272</v>
      </c>
      <c r="E2438" s="19" t="s">
        <v>4409</v>
      </c>
      <c r="F2438" s="19" t="s">
        <v>4447</v>
      </c>
      <c r="G2438" s="26" t="str">
        <f t="shared" si="189"/>
        <v>http://jsmh.umin.jp/journal/33-3/411-430.pdf</v>
      </c>
      <c r="H2438" s="45" t="str">
        <f t="shared" si="188"/>
        <v>http://dl.ndl.go.jp/info:ndljp/pid/3359316</v>
      </c>
    </row>
    <row r="2439" spans="1:8" ht="30" customHeight="1" x14ac:dyDescent="0.15">
      <c r="A2439" s="16" t="s">
        <v>2990</v>
      </c>
      <c r="B2439" s="17" t="s">
        <v>4448</v>
      </c>
      <c r="C2439" s="17" t="s">
        <v>1097</v>
      </c>
      <c r="D2439" s="25" t="s">
        <v>4272</v>
      </c>
      <c r="E2439" s="19" t="s">
        <v>4409</v>
      </c>
      <c r="F2439" s="19" t="s">
        <v>4449</v>
      </c>
      <c r="G2439" s="26" t="str">
        <f t="shared" si="189"/>
        <v>http://jsmh.umin.jp/journal/33-3/411-430.pdf</v>
      </c>
      <c r="H2439" s="45" t="str">
        <f t="shared" si="188"/>
        <v>http://dl.ndl.go.jp/info:ndljp/pid/3359316</v>
      </c>
    </row>
    <row r="2440" spans="1:8" ht="30" customHeight="1" x14ac:dyDescent="0.15">
      <c r="A2440" s="16" t="s">
        <v>2990</v>
      </c>
      <c r="B2440" s="17" t="s">
        <v>4450</v>
      </c>
      <c r="C2440" s="17" t="s">
        <v>4261</v>
      </c>
      <c r="D2440" s="25" t="s">
        <v>4272</v>
      </c>
      <c r="E2440" s="19" t="s">
        <v>4409</v>
      </c>
      <c r="F2440" s="19" t="s">
        <v>4451</v>
      </c>
      <c r="G2440" s="26" t="str">
        <f t="shared" si="189"/>
        <v>http://jsmh.umin.jp/journal/33-3/411-430.pdf</v>
      </c>
      <c r="H2440" s="45" t="str">
        <f t="shared" si="188"/>
        <v>http://dl.ndl.go.jp/info:ndljp/pid/3359316</v>
      </c>
    </row>
    <row r="2441" spans="1:8" ht="30" customHeight="1" x14ac:dyDescent="0.15">
      <c r="A2441" s="16" t="s">
        <v>2990</v>
      </c>
      <c r="B2441" s="17" t="s">
        <v>4452</v>
      </c>
      <c r="C2441" s="17" t="s">
        <v>1876</v>
      </c>
      <c r="D2441" s="25" t="s">
        <v>4272</v>
      </c>
      <c r="E2441" s="19" t="s">
        <v>4409</v>
      </c>
      <c r="F2441" s="19" t="s">
        <v>1988</v>
      </c>
      <c r="G2441" s="26" t="str">
        <f t="shared" si="189"/>
        <v>http://jsmh.umin.jp/journal/33-3/411-430.pdf</v>
      </c>
      <c r="H2441" s="45" t="str">
        <f t="shared" si="188"/>
        <v>http://dl.ndl.go.jp/info:ndljp/pid/3359316</v>
      </c>
    </row>
    <row r="2442" spans="1:8" ht="30" customHeight="1" x14ac:dyDescent="0.15">
      <c r="A2442" s="16" t="s">
        <v>2990</v>
      </c>
      <c r="B2442" s="17" t="s">
        <v>4453</v>
      </c>
      <c r="C2442" s="17" t="s">
        <v>1659</v>
      </c>
      <c r="D2442" s="25" t="s">
        <v>4272</v>
      </c>
      <c r="E2442" s="19" t="s">
        <v>4409</v>
      </c>
      <c r="F2442" s="19" t="s">
        <v>4454</v>
      </c>
      <c r="G2442" s="26" t="str">
        <f t="shared" si="189"/>
        <v>http://jsmh.umin.jp/journal/33-3/411-430.pdf</v>
      </c>
      <c r="H2442" s="45" t="str">
        <f t="shared" si="188"/>
        <v>http://dl.ndl.go.jp/info:ndljp/pid/3359316</v>
      </c>
    </row>
    <row r="2443" spans="1:8" ht="30" customHeight="1" x14ac:dyDescent="0.15">
      <c r="A2443" s="16" t="s">
        <v>2990</v>
      </c>
      <c r="B2443" s="17" t="s">
        <v>4455</v>
      </c>
      <c r="C2443" s="17" t="s">
        <v>1097</v>
      </c>
      <c r="D2443" s="25" t="s">
        <v>4272</v>
      </c>
      <c r="E2443" s="19" t="s">
        <v>4409</v>
      </c>
      <c r="F2443" s="19" t="s">
        <v>1990</v>
      </c>
      <c r="G2443" s="26" t="str">
        <f t="shared" si="189"/>
        <v>http://jsmh.umin.jp/journal/33-3/411-430.pdf</v>
      </c>
      <c r="H2443" s="45" t="str">
        <f t="shared" si="188"/>
        <v>http://dl.ndl.go.jp/info:ndljp/pid/3359316</v>
      </c>
    </row>
    <row r="2444" spans="1:8" ht="30" customHeight="1" x14ac:dyDescent="0.15">
      <c r="A2444" s="16" t="s">
        <v>2990</v>
      </c>
      <c r="B2444" s="17" t="s">
        <v>4456</v>
      </c>
      <c r="C2444" s="17" t="s">
        <v>4457</v>
      </c>
      <c r="D2444" s="25" t="s">
        <v>4272</v>
      </c>
      <c r="E2444" s="19" t="s">
        <v>4409</v>
      </c>
      <c r="F2444" s="19" t="s">
        <v>4458</v>
      </c>
      <c r="G2444" s="26" t="str">
        <f t="shared" si="189"/>
        <v>http://jsmh.umin.jp/journal/33-3/411-430.pdf</v>
      </c>
      <c r="H2444" s="45" t="str">
        <f t="shared" si="188"/>
        <v>http://dl.ndl.go.jp/info:ndljp/pid/3359316</v>
      </c>
    </row>
    <row r="2445" spans="1:8" ht="30" customHeight="1" x14ac:dyDescent="0.15">
      <c r="A2445" s="16" t="s">
        <v>2990</v>
      </c>
      <c r="B2445" s="17" t="s">
        <v>4459</v>
      </c>
      <c r="C2445" s="17" t="s">
        <v>3655</v>
      </c>
      <c r="D2445" s="25" t="s">
        <v>4272</v>
      </c>
      <c r="E2445" s="19" t="s">
        <v>4409</v>
      </c>
      <c r="F2445" s="19" t="s">
        <v>4460</v>
      </c>
      <c r="G2445" s="26" t="str">
        <f t="shared" si="189"/>
        <v>http://jsmh.umin.jp/journal/33-3/411-430.pdf</v>
      </c>
      <c r="H2445" s="45" t="str">
        <f t="shared" si="188"/>
        <v>http://dl.ndl.go.jp/info:ndljp/pid/3359316</v>
      </c>
    </row>
    <row r="2446" spans="1:8" ht="30" customHeight="1" x14ac:dyDescent="0.15">
      <c r="A2446" s="16" t="s">
        <v>2990</v>
      </c>
      <c r="B2446" s="17" t="s">
        <v>4461</v>
      </c>
      <c r="C2446" s="17" t="s">
        <v>1659</v>
      </c>
      <c r="D2446" s="25" t="s">
        <v>4272</v>
      </c>
      <c r="E2446" s="19" t="s">
        <v>4409</v>
      </c>
      <c r="F2446" s="19" t="s">
        <v>4462</v>
      </c>
      <c r="G2446" s="26" t="str">
        <f t="shared" si="189"/>
        <v>http://jsmh.umin.jp/journal/33-3/411-430.pdf</v>
      </c>
      <c r="H2446" s="45" t="str">
        <f t="shared" si="188"/>
        <v>http://dl.ndl.go.jp/info:ndljp/pid/3359316</v>
      </c>
    </row>
    <row r="2447" spans="1:8" ht="30" customHeight="1" x14ac:dyDescent="0.15">
      <c r="A2447" s="16" t="s">
        <v>2990</v>
      </c>
      <c r="B2447" s="17" t="s">
        <v>4463</v>
      </c>
      <c r="C2447" s="17" t="s">
        <v>1659</v>
      </c>
      <c r="D2447" s="25" t="s">
        <v>4272</v>
      </c>
      <c r="E2447" s="19" t="s">
        <v>4409</v>
      </c>
      <c r="F2447" s="19" t="s">
        <v>1999</v>
      </c>
      <c r="G2447" s="26" t="str">
        <f t="shared" si="189"/>
        <v>http://jsmh.umin.jp/journal/33-3/411-430.pdf</v>
      </c>
      <c r="H2447" s="45" t="str">
        <f t="shared" si="188"/>
        <v>http://dl.ndl.go.jp/info:ndljp/pid/3359316</v>
      </c>
    </row>
    <row r="2448" spans="1:8" ht="30" customHeight="1" x14ac:dyDescent="0.15">
      <c r="A2448" s="16" t="s">
        <v>2990</v>
      </c>
      <c r="B2448" s="17" t="s">
        <v>4464</v>
      </c>
      <c r="C2448" s="17" t="s">
        <v>2488</v>
      </c>
      <c r="D2448" s="25" t="s">
        <v>4272</v>
      </c>
      <c r="E2448" s="19" t="s">
        <v>4409</v>
      </c>
      <c r="F2448" s="19" t="s">
        <v>4465</v>
      </c>
      <c r="G2448" s="26" t="str">
        <f t="shared" si="189"/>
        <v>http://jsmh.umin.jp/journal/33-3/411-430.pdf</v>
      </c>
      <c r="H2448" s="45" t="str">
        <f t="shared" si="188"/>
        <v>http://dl.ndl.go.jp/info:ndljp/pid/3359316</v>
      </c>
    </row>
    <row r="2449" spans="1:8" ht="30" customHeight="1" x14ac:dyDescent="0.15">
      <c r="A2449" s="16" t="s">
        <v>2990</v>
      </c>
      <c r="B2449" s="17" t="s">
        <v>4466</v>
      </c>
      <c r="C2449" s="17" t="s">
        <v>1994</v>
      </c>
      <c r="D2449" s="25" t="s">
        <v>4272</v>
      </c>
      <c r="E2449" s="19" t="s">
        <v>4409</v>
      </c>
      <c r="F2449" s="19" t="s">
        <v>4467</v>
      </c>
      <c r="G2449" s="26" t="str">
        <f t="shared" si="189"/>
        <v>http://jsmh.umin.jp/journal/33-3/411-430.pdf</v>
      </c>
      <c r="H2449" s="45" t="str">
        <f t="shared" si="188"/>
        <v>http://dl.ndl.go.jp/info:ndljp/pid/3359316</v>
      </c>
    </row>
    <row r="2450" spans="1:8" ht="30" customHeight="1" x14ac:dyDescent="0.15">
      <c r="A2450" s="16" t="s">
        <v>17</v>
      </c>
      <c r="B2450" s="17" t="s">
        <v>4468</v>
      </c>
      <c r="C2450" s="17" t="s">
        <v>4039</v>
      </c>
      <c r="D2450" s="25" t="s">
        <v>4272</v>
      </c>
      <c r="E2450" s="19" t="s">
        <v>4469</v>
      </c>
      <c r="F2450" s="19" t="s">
        <v>4470</v>
      </c>
      <c r="G2450" s="5" t="str">
        <f>HYPERLINK("http://jsmh.umin.jp/journal/33-4/435-476.pdf")</f>
        <v>http://jsmh.umin.jp/journal/33-4/435-476.pdf</v>
      </c>
      <c r="H2450" s="42" t="str">
        <f t="shared" ref="H2450:H2472" si="190">HYPERLINK("http://dl.ndl.go.jp/info:ndljp/pid/3359317")</f>
        <v>http://dl.ndl.go.jp/info:ndljp/pid/3359317</v>
      </c>
    </row>
    <row r="2451" spans="1:8" ht="30" customHeight="1" x14ac:dyDescent="0.15">
      <c r="A2451" s="16" t="s">
        <v>17</v>
      </c>
      <c r="B2451" s="17" t="s">
        <v>4471</v>
      </c>
      <c r="C2451" s="17" t="s">
        <v>3839</v>
      </c>
      <c r="D2451" s="25" t="s">
        <v>4272</v>
      </c>
      <c r="E2451" s="19" t="s">
        <v>4469</v>
      </c>
      <c r="F2451" s="19" t="s">
        <v>4472</v>
      </c>
      <c r="G2451" s="5" t="str">
        <f>HYPERLINK("http://jsmh.umin.jp/journal/33-4/477-492.pdf")</f>
        <v>http://jsmh.umin.jp/journal/33-4/477-492.pdf</v>
      </c>
      <c r="H2451" s="43" t="str">
        <f t="shared" si="190"/>
        <v>http://dl.ndl.go.jp/info:ndljp/pid/3359317</v>
      </c>
    </row>
    <row r="2452" spans="1:8" ht="30" customHeight="1" x14ac:dyDescent="0.15">
      <c r="A2452" s="16" t="s">
        <v>3387</v>
      </c>
      <c r="B2452" s="17" t="s">
        <v>4473</v>
      </c>
      <c r="C2452" s="17" t="s">
        <v>4331</v>
      </c>
      <c r="D2452" s="25" t="s">
        <v>4272</v>
      </c>
      <c r="E2452" s="19" t="s">
        <v>4469</v>
      </c>
      <c r="F2452" s="19" t="s">
        <v>4474</v>
      </c>
      <c r="G2452" s="5" t="str">
        <f>HYPERLINK("http://jsmh.umin.jp/journal/33-4/493-506.pdf")</f>
        <v>http://jsmh.umin.jp/journal/33-4/493-506.pdf</v>
      </c>
      <c r="H2452" s="43" t="str">
        <f t="shared" si="190"/>
        <v>http://dl.ndl.go.jp/info:ndljp/pid/3359317</v>
      </c>
    </row>
    <row r="2453" spans="1:8" ht="30" customHeight="1" x14ac:dyDescent="0.15">
      <c r="A2453" s="16" t="s">
        <v>4475</v>
      </c>
      <c r="B2453" s="17" t="s">
        <v>1956</v>
      </c>
      <c r="C2453" s="17" t="s">
        <v>76</v>
      </c>
      <c r="D2453" s="25" t="s">
        <v>4272</v>
      </c>
      <c r="E2453" s="19" t="s">
        <v>4469</v>
      </c>
      <c r="F2453" s="19" t="s">
        <v>4476</v>
      </c>
      <c r="G2453" s="5" t="str">
        <f>HYPERLINK("http://jsmh.umin.jp/journal/33-4/507-510.pdf")</f>
        <v>http://jsmh.umin.jp/journal/33-4/507-510.pdf</v>
      </c>
      <c r="H2453" s="43" t="str">
        <f t="shared" si="190"/>
        <v>http://dl.ndl.go.jp/info:ndljp/pid/3359317</v>
      </c>
    </row>
    <row r="2454" spans="1:8" ht="30" customHeight="1" x14ac:dyDescent="0.15">
      <c r="A2454" s="16" t="s">
        <v>4475</v>
      </c>
      <c r="B2454" s="17" t="s">
        <v>1956</v>
      </c>
      <c r="C2454" s="17" t="s">
        <v>66</v>
      </c>
      <c r="D2454" s="25" t="s">
        <v>4272</v>
      </c>
      <c r="E2454" s="19" t="s">
        <v>4469</v>
      </c>
      <c r="F2454" s="19" t="s">
        <v>4477</v>
      </c>
      <c r="G2454" s="5" t="str">
        <f>HYPERLINK("http://jsmh.umin.jp/journal/33-4/511-517.pdf")</f>
        <v>http://jsmh.umin.jp/journal/33-4/511-517.pdf</v>
      </c>
      <c r="H2454" s="43" t="str">
        <f t="shared" si="190"/>
        <v>http://dl.ndl.go.jp/info:ndljp/pid/3359317</v>
      </c>
    </row>
    <row r="2455" spans="1:8" ht="30" customHeight="1" x14ac:dyDescent="0.15">
      <c r="A2455" s="16" t="s">
        <v>4475</v>
      </c>
      <c r="B2455" s="17" t="s">
        <v>1956</v>
      </c>
      <c r="C2455" s="17" t="s">
        <v>2199</v>
      </c>
      <c r="D2455" s="25" t="s">
        <v>4272</v>
      </c>
      <c r="E2455" s="19" t="s">
        <v>4469</v>
      </c>
      <c r="F2455" s="19" t="s">
        <v>4478</v>
      </c>
      <c r="G2455" s="5" t="str">
        <f>HYPERLINK("http://jsmh.umin.jp/journal/33-4/518-525.pdf")</f>
        <v>http://jsmh.umin.jp/journal/33-4/518-525.pdf</v>
      </c>
      <c r="H2455" s="43" t="str">
        <f t="shared" si="190"/>
        <v>http://dl.ndl.go.jp/info:ndljp/pid/3359317</v>
      </c>
    </row>
    <row r="2456" spans="1:8" ht="30" customHeight="1" x14ac:dyDescent="0.15">
      <c r="A2456" s="16" t="s">
        <v>558</v>
      </c>
      <c r="B2456" s="17" t="s">
        <v>4479</v>
      </c>
      <c r="C2456" s="17" t="s">
        <v>1876</v>
      </c>
      <c r="D2456" s="25" t="s">
        <v>4272</v>
      </c>
      <c r="E2456" s="19" t="s">
        <v>4469</v>
      </c>
      <c r="F2456" s="19" t="s">
        <v>4480</v>
      </c>
      <c r="G2456" s="5" t="str">
        <f>HYPERLINK("http://jsmh.umin.jp/journal/33-4/526-527.pdf")</f>
        <v>http://jsmh.umin.jp/journal/33-4/526-527.pdf</v>
      </c>
      <c r="H2456" s="43" t="str">
        <f t="shared" si="190"/>
        <v>http://dl.ndl.go.jp/info:ndljp/pid/3359317</v>
      </c>
    </row>
    <row r="2457" spans="1:8" ht="30" customHeight="1" x14ac:dyDescent="0.15">
      <c r="A2457" s="16" t="s">
        <v>558</v>
      </c>
      <c r="B2457" s="17" t="s">
        <v>4481</v>
      </c>
      <c r="C2457" s="17" t="s">
        <v>4482</v>
      </c>
      <c r="D2457" s="25" t="s">
        <v>4272</v>
      </c>
      <c r="E2457" s="19" t="s">
        <v>4469</v>
      </c>
      <c r="F2457" s="19" t="s">
        <v>4483</v>
      </c>
      <c r="G2457" s="5" t="str">
        <f>HYPERLINK("http://jsmh.umin.jp/journal/33-4/527-528.pdf")</f>
        <v>http://jsmh.umin.jp/journal/33-4/527-528.pdf</v>
      </c>
      <c r="H2457" s="43" t="str">
        <f t="shared" si="190"/>
        <v>http://dl.ndl.go.jp/info:ndljp/pid/3359317</v>
      </c>
    </row>
    <row r="2458" spans="1:8" ht="30" customHeight="1" x14ac:dyDescent="0.15">
      <c r="A2458" s="16" t="s">
        <v>558</v>
      </c>
      <c r="B2458" s="17" t="s">
        <v>4484</v>
      </c>
      <c r="C2458" s="17" t="s">
        <v>4485</v>
      </c>
      <c r="D2458" s="25" t="s">
        <v>4272</v>
      </c>
      <c r="E2458" s="19" t="s">
        <v>4469</v>
      </c>
      <c r="F2458" s="19" t="s">
        <v>4486</v>
      </c>
      <c r="G2458" s="5" t="str">
        <f>HYPERLINK("http://jsmh.umin.jp/journal/33-4/528-529.pdf")</f>
        <v>http://jsmh.umin.jp/journal/33-4/528-529.pdf</v>
      </c>
      <c r="H2458" s="43" t="str">
        <f t="shared" si="190"/>
        <v>http://dl.ndl.go.jp/info:ndljp/pid/3359317</v>
      </c>
    </row>
    <row r="2459" spans="1:8" ht="30" customHeight="1" x14ac:dyDescent="0.15">
      <c r="A2459" s="16" t="s">
        <v>558</v>
      </c>
      <c r="B2459" s="17" t="s">
        <v>4487</v>
      </c>
      <c r="C2459" s="17" t="s">
        <v>479</v>
      </c>
      <c r="D2459" s="25" t="s">
        <v>4272</v>
      </c>
      <c r="E2459" s="19" t="s">
        <v>4469</v>
      </c>
      <c r="F2459" s="19" t="s">
        <v>4488</v>
      </c>
      <c r="G2459" s="5" t="str">
        <f>HYPERLINK("http://jsmh.umin.jp/journal/33-4/529-530.pdf")</f>
        <v>http://jsmh.umin.jp/journal/33-4/529-530.pdf</v>
      </c>
      <c r="H2459" s="43" t="str">
        <f t="shared" si="190"/>
        <v>http://dl.ndl.go.jp/info:ndljp/pid/3359317</v>
      </c>
    </row>
    <row r="2460" spans="1:8" ht="30" customHeight="1" x14ac:dyDescent="0.15">
      <c r="A2460" s="16" t="s">
        <v>558</v>
      </c>
      <c r="B2460" s="17" t="s">
        <v>4489</v>
      </c>
      <c r="C2460" s="17" t="s">
        <v>1457</v>
      </c>
      <c r="D2460" s="25" t="s">
        <v>4272</v>
      </c>
      <c r="E2460" s="19" t="s">
        <v>4469</v>
      </c>
      <c r="F2460" s="19" t="s">
        <v>4490</v>
      </c>
      <c r="G2460" s="5" t="str">
        <f>HYPERLINK("http://jsmh.umin.jp/journal/33-4/530-531.pdf")</f>
        <v>http://jsmh.umin.jp/journal/33-4/530-531.pdf</v>
      </c>
      <c r="H2460" s="43" t="str">
        <f t="shared" si="190"/>
        <v>http://dl.ndl.go.jp/info:ndljp/pid/3359317</v>
      </c>
    </row>
    <row r="2461" spans="1:8" ht="30" customHeight="1" x14ac:dyDescent="0.15">
      <c r="A2461" s="16" t="s">
        <v>558</v>
      </c>
      <c r="B2461" s="17" t="s">
        <v>3590</v>
      </c>
      <c r="C2461" s="17" t="s">
        <v>2233</v>
      </c>
      <c r="D2461" s="25" t="s">
        <v>4272</v>
      </c>
      <c r="E2461" s="19" t="s">
        <v>4469</v>
      </c>
      <c r="F2461" s="19" t="s">
        <v>4491</v>
      </c>
      <c r="G2461" s="5" t="str">
        <f>HYPERLINK("http://jsmh.umin.jp/journal/33-4/531-533.pdf")</f>
        <v>http://jsmh.umin.jp/journal/33-4/531-533.pdf</v>
      </c>
      <c r="H2461" s="43" t="str">
        <f t="shared" si="190"/>
        <v>http://dl.ndl.go.jp/info:ndljp/pid/3359317</v>
      </c>
    </row>
    <row r="2462" spans="1:8" ht="30" customHeight="1" x14ac:dyDescent="0.15">
      <c r="A2462" s="16" t="s">
        <v>3223</v>
      </c>
      <c r="B2462" s="17" t="s">
        <v>4492</v>
      </c>
      <c r="C2462" s="17" t="s">
        <v>1823</v>
      </c>
      <c r="D2462" s="25" t="s">
        <v>4272</v>
      </c>
      <c r="E2462" s="19" t="s">
        <v>4469</v>
      </c>
      <c r="F2462" s="19" t="s">
        <v>4493</v>
      </c>
      <c r="G2462" s="26" t="str">
        <f t="shared" ref="G2462:G2467" si="191">HYPERLINK("http://jsmh.umin.jp/journal/33-4/534-541.pdf")</f>
        <v>http://jsmh.umin.jp/journal/33-4/534-541.pdf</v>
      </c>
      <c r="H2462" s="45" t="str">
        <f t="shared" si="190"/>
        <v>http://dl.ndl.go.jp/info:ndljp/pid/3359317</v>
      </c>
    </row>
    <row r="2463" spans="1:8" ht="30" customHeight="1" x14ac:dyDescent="0.15">
      <c r="A2463" s="16" t="s">
        <v>3223</v>
      </c>
      <c r="B2463" s="17" t="s">
        <v>4494</v>
      </c>
      <c r="C2463" s="17" t="s">
        <v>1823</v>
      </c>
      <c r="D2463" s="25" t="s">
        <v>4272</v>
      </c>
      <c r="E2463" s="19" t="s">
        <v>4469</v>
      </c>
      <c r="F2463" s="19" t="s">
        <v>3567</v>
      </c>
      <c r="G2463" s="26" t="str">
        <f t="shared" si="191"/>
        <v>http://jsmh.umin.jp/journal/33-4/534-541.pdf</v>
      </c>
      <c r="H2463" s="45" t="str">
        <f t="shared" si="190"/>
        <v>http://dl.ndl.go.jp/info:ndljp/pid/3359317</v>
      </c>
    </row>
    <row r="2464" spans="1:8" ht="30" customHeight="1" x14ac:dyDescent="0.15">
      <c r="A2464" s="16" t="s">
        <v>3223</v>
      </c>
      <c r="B2464" s="17" t="s">
        <v>4495</v>
      </c>
      <c r="C2464" s="17" t="s">
        <v>439</v>
      </c>
      <c r="D2464" s="25" t="s">
        <v>4272</v>
      </c>
      <c r="E2464" s="19" t="s">
        <v>4469</v>
      </c>
      <c r="F2464" s="19" t="s">
        <v>4496</v>
      </c>
      <c r="G2464" s="26" t="str">
        <f t="shared" si="191"/>
        <v>http://jsmh.umin.jp/journal/33-4/534-541.pdf</v>
      </c>
      <c r="H2464" s="45" t="str">
        <f t="shared" si="190"/>
        <v>http://dl.ndl.go.jp/info:ndljp/pid/3359317</v>
      </c>
    </row>
    <row r="2465" spans="1:8" ht="30" customHeight="1" x14ac:dyDescent="0.15">
      <c r="A2465" s="16" t="s">
        <v>3223</v>
      </c>
      <c r="B2465" s="17" t="s">
        <v>4497</v>
      </c>
      <c r="C2465" s="17" t="s">
        <v>1972</v>
      </c>
      <c r="D2465" s="25" t="s">
        <v>4272</v>
      </c>
      <c r="E2465" s="19" t="s">
        <v>4469</v>
      </c>
      <c r="F2465" s="19" t="s">
        <v>4498</v>
      </c>
      <c r="G2465" s="26" t="str">
        <f t="shared" si="191"/>
        <v>http://jsmh.umin.jp/journal/33-4/534-541.pdf</v>
      </c>
      <c r="H2465" s="45" t="str">
        <f t="shared" si="190"/>
        <v>http://dl.ndl.go.jp/info:ndljp/pid/3359317</v>
      </c>
    </row>
    <row r="2466" spans="1:8" ht="30" customHeight="1" x14ac:dyDescent="0.15">
      <c r="A2466" s="16" t="s">
        <v>3223</v>
      </c>
      <c r="B2466" s="17" t="s">
        <v>4499</v>
      </c>
      <c r="C2466" s="17" t="s">
        <v>1823</v>
      </c>
      <c r="D2466" s="25" t="s">
        <v>4272</v>
      </c>
      <c r="E2466" s="19" t="s">
        <v>4469</v>
      </c>
      <c r="F2466" s="19" t="s">
        <v>4500</v>
      </c>
      <c r="G2466" s="26" t="str">
        <f t="shared" si="191"/>
        <v>http://jsmh.umin.jp/journal/33-4/534-541.pdf</v>
      </c>
      <c r="H2466" s="45" t="str">
        <f t="shared" si="190"/>
        <v>http://dl.ndl.go.jp/info:ndljp/pid/3359317</v>
      </c>
    </row>
    <row r="2467" spans="1:8" ht="30" customHeight="1" x14ac:dyDescent="0.15">
      <c r="A2467" s="16" t="s">
        <v>3223</v>
      </c>
      <c r="B2467" s="17" t="s">
        <v>4501</v>
      </c>
      <c r="C2467" s="17" t="s">
        <v>4502</v>
      </c>
      <c r="D2467" s="25" t="s">
        <v>4272</v>
      </c>
      <c r="E2467" s="19" t="s">
        <v>4469</v>
      </c>
      <c r="F2467" s="19" t="s">
        <v>4503</v>
      </c>
      <c r="G2467" s="26" t="str">
        <f t="shared" si="191"/>
        <v>http://jsmh.umin.jp/journal/33-4/534-541.pdf</v>
      </c>
      <c r="H2467" s="45" t="str">
        <f t="shared" si="190"/>
        <v>http://dl.ndl.go.jp/info:ndljp/pid/3359317</v>
      </c>
    </row>
    <row r="2468" spans="1:8" ht="30" customHeight="1" x14ac:dyDescent="0.15">
      <c r="A2468" s="16" t="s">
        <v>3720</v>
      </c>
      <c r="B2468" s="17" t="s">
        <v>4504</v>
      </c>
      <c r="C2468" s="17" t="s">
        <v>3655</v>
      </c>
      <c r="D2468" s="25" t="s">
        <v>4272</v>
      </c>
      <c r="E2468" s="19" t="s">
        <v>4469</v>
      </c>
      <c r="F2468" s="19" t="s">
        <v>4505</v>
      </c>
      <c r="G2468" s="5" t="str">
        <f>HYPERLINK("http://jsmh.umin.jp/journal/33-4/542-544.pdf")</f>
        <v>http://jsmh.umin.jp/journal/33-4/542-544.pdf</v>
      </c>
      <c r="H2468" s="43" t="str">
        <f t="shared" si="190"/>
        <v>http://dl.ndl.go.jp/info:ndljp/pid/3359317</v>
      </c>
    </row>
    <row r="2469" spans="1:8" ht="30" customHeight="1" x14ac:dyDescent="0.15">
      <c r="A2469" s="16" t="s">
        <v>558</v>
      </c>
      <c r="B2469" s="17" t="s">
        <v>704</v>
      </c>
      <c r="C2469" s="17"/>
      <c r="D2469" s="25" t="s">
        <v>4272</v>
      </c>
      <c r="E2469" s="19" t="s">
        <v>4469</v>
      </c>
      <c r="F2469" s="19" t="s">
        <v>4506</v>
      </c>
      <c r="G2469" s="5" t="str">
        <f>HYPERLINK("http://jsmh.umin.jp/journal/33-4/542.pdf")</f>
        <v>http://jsmh.umin.jp/journal/33-4/542.pdf</v>
      </c>
      <c r="H2469" s="43" t="str">
        <f t="shared" si="190"/>
        <v>http://dl.ndl.go.jp/info:ndljp/pid/3359317</v>
      </c>
    </row>
    <row r="2470" spans="1:8" ht="30" customHeight="1" x14ac:dyDescent="0.15">
      <c r="A2470" s="16" t="s">
        <v>3720</v>
      </c>
      <c r="B2470" s="17" t="s">
        <v>4507</v>
      </c>
      <c r="C2470" s="17" t="s">
        <v>3839</v>
      </c>
      <c r="D2470" s="25" t="s">
        <v>4272</v>
      </c>
      <c r="E2470" s="19" t="s">
        <v>4469</v>
      </c>
      <c r="F2470" s="19" t="s">
        <v>4508</v>
      </c>
      <c r="G2470" s="5" t="str">
        <f>HYPERLINK("http://jsmh.umin.jp/journal/33-4/544-545.pdf")</f>
        <v>http://jsmh.umin.jp/journal/33-4/544-545.pdf</v>
      </c>
      <c r="H2470" s="43" t="str">
        <f t="shared" si="190"/>
        <v>http://dl.ndl.go.jp/info:ndljp/pid/3359317</v>
      </c>
    </row>
    <row r="2471" spans="1:8" ht="30" customHeight="1" x14ac:dyDescent="0.15">
      <c r="A2471" s="16" t="s">
        <v>558</v>
      </c>
      <c r="B2471" s="17" t="s">
        <v>888</v>
      </c>
      <c r="C2471" s="17"/>
      <c r="D2471" s="25" t="s">
        <v>4272</v>
      </c>
      <c r="E2471" s="19" t="s">
        <v>4469</v>
      </c>
      <c r="F2471" s="19" t="s">
        <v>4509</v>
      </c>
      <c r="G2471" s="5" t="str">
        <f>HYPERLINK("http://jsmh.umin.jp/journal/33-4/545.pdf")</f>
        <v>http://jsmh.umin.jp/journal/33-4/545.pdf</v>
      </c>
      <c r="H2471" s="43" t="str">
        <f t="shared" si="190"/>
        <v>http://dl.ndl.go.jp/info:ndljp/pid/3359317</v>
      </c>
    </row>
    <row r="2472" spans="1:8" ht="30" customHeight="1" x14ac:dyDescent="0.15">
      <c r="A2472" s="16" t="s">
        <v>2894</v>
      </c>
      <c r="B2472" s="17" t="s">
        <v>4510</v>
      </c>
      <c r="C2472" s="17"/>
      <c r="D2472" s="25" t="s">
        <v>4272</v>
      </c>
      <c r="E2472" s="19" t="s">
        <v>4469</v>
      </c>
      <c r="F2472" s="19" t="s">
        <v>4511</v>
      </c>
      <c r="G2472" s="5" t="str">
        <f>HYPERLINK("http://jsmh.umin.jp/journal/33-4/546-587.pdf")</f>
        <v>http://jsmh.umin.jp/journal/33-4/546-587.pdf</v>
      </c>
      <c r="H2472" s="43" t="str">
        <f t="shared" si="190"/>
        <v>http://dl.ndl.go.jp/info:ndljp/pid/3359317</v>
      </c>
    </row>
    <row r="2473" spans="1:8" ht="30" customHeight="1" x14ac:dyDescent="0.15">
      <c r="A2473" s="16" t="s">
        <v>1855</v>
      </c>
      <c r="B2473" s="17" t="s">
        <v>4512</v>
      </c>
      <c r="C2473" s="17" t="s">
        <v>4513</v>
      </c>
      <c r="D2473" s="18" t="s">
        <v>4514</v>
      </c>
      <c r="E2473" s="19" t="s">
        <v>4515</v>
      </c>
      <c r="F2473" s="19" t="s">
        <v>12</v>
      </c>
      <c r="G2473" s="5" t="str">
        <f>HYPERLINK("http://jsmh.umin.jp/journal/34-1/1.pdf")</f>
        <v>http://jsmh.umin.jp/journal/34-1/1.pdf</v>
      </c>
      <c r="H2473" s="42" t="str">
        <f t="shared" ref="H2473:H2504" si="192">HYPERLINK("http://dl.ndl.go.jp/info:ndljp/pid/3359318")</f>
        <v>http://dl.ndl.go.jp/info:ndljp/pid/3359318</v>
      </c>
    </row>
    <row r="2474" spans="1:8" ht="30" customHeight="1" x14ac:dyDescent="0.15">
      <c r="A2474" s="16" t="s">
        <v>1855</v>
      </c>
      <c r="B2474" s="17" t="s">
        <v>4516</v>
      </c>
      <c r="C2474" s="17" t="s">
        <v>4517</v>
      </c>
      <c r="D2474" s="25" t="s">
        <v>4514</v>
      </c>
      <c r="E2474" s="19" t="s">
        <v>4515</v>
      </c>
      <c r="F2474" s="19" t="s">
        <v>14</v>
      </c>
      <c r="G2474" s="5" t="str">
        <f>HYPERLINK("http://jsmh.umin.jp/journal/34-1/2.pdf")</f>
        <v>http://jsmh.umin.jp/journal/34-1/2.pdf</v>
      </c>
      <c r="H2474" s="43" t="str">
        <f t="shared" si="192"/>
        <v>http://dl.ndl.go.jp/info:ndljp/pid/3359318</v>
      </c>
    </row>
    <row r="2475" spans="1:8" ht="30" customHeight="1" x14ac:dyDescent="0.15">
      <c r="A2475" s="16" t="s">
        <v>1855</v>
      </c>
      <c r="B2475" s="17" t="s">
        <v>4518</v>
      </c>
      <c r="C2475" s="17" t="s">
        <v>444</v>
      </c>
      <c r="D2475" s="25" t="s">
        <v>4514</v>
      </c>
      <c r="E2475" s="19" t="s">
        <v>4515</v>
      </c>
      <c r="F2475" s="19" t="s">
        <v>4519</v>
      </c>
      <c r="G2475" s="26" t="str">
        <f>HYPERLINK("http://jsmh.umin.jp/journal/34-1/3-5.pdf")</f>
        <v>http://jsmh.umin.jp/journal/34-1/3-5.pdf</v>
      </c>
      <c r="H2475" s="43" t="str">
        <f t="shared" si="192"/>
        <v>http://dl.ndl.go.jp/info:ndljp/pid/3359318</v>
      </c>
    </row>
    <row r="2476" spans="1:8" ht="30" customHeight="1" x14ac:dyDescent="0.15">
      <c r="A2476" s="16" t="s">
        <v>1855</v>
      </c>
      <c r="B2476" s="17" t="s">
        <v>4520</v>
      </c>
      <c r="C2476" s="17" t="s">
        <v>479</v>
      </c>
      <c r="D2476" s="25" t="s">
        <v>4514</v>
      </c>
      <c r="E2476" s="19" t="s">
        <v>4515</v>
      </c>
      <c r="F2476" s="19" t="s">
        <v>4521</v>
      </c>
      <c r="G2476" s="26" t="str">
        <f>HYPERLINK("http://jsmh.umin.jp/journal/34-1/6-8.pdf")</f>
        <v>http://jsmh.umin.jp/journal/34-1/6-8.pdf</v>
      </c>
      <c r="H2476" s="43" t="str">
        <f t="shared" si="192"/>
        <v>http://dl.ndl.go.jp/info:ndljp/pid/3359318</v>
      </c>
    </row>
    <row r="2477" spans="1:8" ht="30" customHeight="1" x14ac:dyDescent="0.15">
      <c r="A2477" s="16" t="s">
        <v>1855</v>
      </c>
      <c r="B2477" s="17" t="s">
        <v>4522</v>
      </c>
      <c r="C2477" s="17" t="s">
        <v>1764</v>
      </c>
      <c r="D2477" s="25" t="s">
        <v>4514</v>
      </c>
      <c r="E2477" s="19" t="s">
        <v>4515</v>
      </c>
      <c r="F2477" s="19" t="s">
        <v>4523</v>
      </c>
      <c r="G2477" s="5" t="str">
        <f>HYPERLINK("http://jsmh.umin.jp/journal/34-1/9-13.pdf")</f>
        <v>http://jsmh.umin.jp/journal/34-1/9-13.pdf</v>
      </c>
      <c r="H2477" s="43" t="str">
        <f t="shared" si="192"/>
        <v>http://dl.ndl.go.jp/info:ndljp/pid/3359318</v>
      </c>
    </row>
    <row r="2478" spans="1:8" ht="30" customHeight="1" x14ac:dyDescent="0.15">
      <c r="A2478" s="16" t="s">
        <v>1855</v>
      </c>
      <c r="B2478" s="17" t="s">
        <v>4524</v>
      </c>
      <c r="C2478" s="17" t="s">
        <v>2937</v>
      </c>
      <c r="D2478" s="25" t="s">
        <v>4514</v>
      </c>
      <c r="E2478" s="19" t="s">
        <v>4515</v>
      </c>
      <c r="F2478" s="19" t="s">
        <v>4525</v>
      </c>
      <c r="G2478" s="5" t="str">
        <f>HYPERLINK("http://jsmh.umin.jp/journal/34-1/14-16.pdf")</f>
        <v>http://jsmh.umin.jp/journal/34-1/14-16.pdf</v>
      </c>
      <c r="H2478" s="43" t="str">
        <f t="shared" si="192"/>
        <v>http://dl.ndl.go.jp/info:ndljp/pid/3359318</v>
      </c>
    </row>
    <row r="2479" spans="1:8" ht="30" customHeight="1" x14ac:dyDescent="0.15">
      <c r="A2479" s="16" t="s">
        <v>1855</v>
      </c>
      <c r="B2479" s="17" t="s">
        <v>4526</v>
      </c>
      <c r="C2479" s="17" t="s">
        <v>4527</v>
      </c>
      <c r="D2479" s="25" t="s">
        <v>4514</v>
      </c>
      <c r="E2479" s="19" t="s">
        <v>4515</v>
      </c>
      <c r="F2479" s="19" t="s">
        <v>4528</v>
      </c>
      <c r="G2479" s="5" t="str">
        <f>HYPERLINK("http://jsmh.umin.jp/journal/34-1/17-19.pdf")</f>
        <v>http://jsmh.umin.jp/journal/34-1/17-19.pdf</v>
      </c>
      <c r="H2479" s="43" t="str">
        <f t="shared" si="192"/>
        <v>http://dl.ndl.go.jp/info:ndljp/pid/3359318</v>
      </c>
    </row>
    <row r="2480" spans="1:8" ht="30" customHeight="1" x14ac:dyDescent="0.15">
      <c r="A2480" s="16" t="s">
        <v>1855</v>
      </c>
      <c r="B2480" s="17" t="s">
        <v>4529</v>
      </c>
      <c r="C2480" s="17" t="s">
        <v>1468</v>
      </c>
      <c r="D2480" s="25" t="s">
        <v>4514</v>
      </c>
      <c r="E2480" s="19" t="s">
        <v>4515</v>
      </c>
      <c r="F2480" s="19" t="s">
        <v>377</v>
      </c>
      <c r="G2480" s="5" t="str">
        <f>HYPERLINK("http://jsmh.umin.jp/journal/34-1/20-21.pdf")</f>
        <v>http://jsmh.umin.jp/journal/34-1/20-21.pdf</v>
      </c>
      <c r="H2480" s="43" t="str">
        <f t="shared" si="192"/>
        <v>http://dl.ndl.go.jp/info:ndljp/pid/3359318</v>
      </c>
    </row>
    <row r="2481" spans="1:8" ht="30" customHeight="1" x14ac:dyDescent="0.15">
      <c r="A2481" s="16" t="s">
        <v>1855</v>
      </c>
      <c r="B2481" s="17" t="s">
        <v>4530</v>
      </c>
      <c r="C2481" s="17" t="s">
        <v>198</v>
      </c>
      <c r="D2481" s="25" t="s">
        <v>4514</v>
      </c>
      <c r="E2481" s="19" t="s">
        <v>4515</v>
      </c>
      <c r="F2481" s="19" t="s">
        <v>158</v>
      </c>
      <c r="G2481" s="5" t="str">
        <f>HYPERLINK("http://jsmh.umin.jp/journal/34-1/22.pdf")</f>
        <v>http://jsmh.umin.jp/journal/34-1/22.pdf</v>
      </c>
      <c r="H2481" s="43" t="str">
        <f t="shared" si="192"/>
        <v>http://dl.ndl.go.jp/info:ndljp/pid/3359318</v>
      </c>
    </row>
    <row r="2482" spans="1:8" ht="30" customHeight="1" x14ac:dyDescent="0.15">
      <c r="A2482" s="16" t="s">
        <v>1855</v>
      </c>
      <c r="B2482" s="17" t="s">
        <v>4531</v>
      </c>
      <c r="C2482" s="17" t="s">
        <v>3196</v>
      </c>
      <c r="D2482" s="25" t="s">
        <v>4514</v>
      </c>
      <c r="E2482" s="19" t="s">
        <v>4515</v>
      </c>
      <c r="F2482" s="19" t="s">
        <v>2744</v>
      </c>
      <c r="G2482" s="5" t="str">
        <f>HYPERLINK("http://jsmh.umin.jp/journal/34-1/23-25.pdf")</f>
        <v>http://jsmh.umin.jp/journal/34-1/23-25.pdf</v>
      </c>
      <c r="H2482" s="43" t="str">
        <f t="shared" si="192"/>
        <v>http://dl.ndl.go.jp/info:ndljp/pid/3359318</v>
      </c>
    </row>
    <row r="2483" spans="1:8" ht="30" customHeight="1" x14ac:dyDescent="0.15">
      <c r="A2483" s="16" t="s">
        <v>1855</v>
      </c>
      <c r="B2483" s="17" t="s">
        <v>4532</v>
      </c>
      <c r="C2483" s="17" t="s">
        <v>2553</v>
      </c>
      <c r="D2483" s="25" t="s">
        <v>4514</v>
      </c>
      <c r="E2483" s="19" t="s">
        <v>4515</v>
      </c>
      <c r="F2483" s="19" t="s">
        <v>4285</v>
      </c>
      <c r="G2483" s="5" t="str">
        <f>HYPERLINK("http://jsmh.umin.jp/journal/34-1/25-27.pdf")</f>
        <v>http://jsmh.umin.jp/journal/34-1/25-27.pdf</v>
      </c>
      <c r="H2483" s="43" t="str">
        <f t="shared" si="192"/>
        <v>http://dl.ndl.go.jp/info:ndljp/pid/3359318</v>
      </c>
    </row>
    <row r="2484" spans="1:8" ht="30" customHeight="1" x14ac:dyDescent="0.15">
      <c r="A2484" s="16" t="s">
        <v>1855</v>
      </c>
      <c r="B2484" s="17" t="s">
        <v>4533</v>
      </c>
      <c r="C2484" s="17" t="s">
        <v>4039</v>
      </c>
      <c r="D2484" s="25" t="s">
        <v>4514</v>
      </c>
      <c r="E2484" s="19" t="s">
        <v>4515</v>
      </c>
      <c r="F2484" s="19" t="s">
        <v>4287</v>
      </c>
      <c r="G2484" s="5" t="str">
        <f>HYPERLINK("http://jsmh.umin.jp/journal/34-1/28-30.pdf")</f>
        <v>http://jsmh.umin.jp/journal/34-1/28-30.pdf</v>
      </c>
      <c r="H2484" s="43" t="str">
        <f t="shared" si="192"/>
        <v>http://dl.ndl.go.jp/info:ndljp/pid/3359318</v>
      </c>
    </row>
    <row r="2485" spans="1:8" ht="30" customHeight="1" x14ac:dyDescent="0.15">
      <c r="A2485" s="16" t="s">
        <v>1855</v>
      </c>
      <c r="B2485" s="17" t="s">
        <v>4534</v>
      </c>
      <c r="C2485" s="17" t="s">
        <v>69</v>
      </c>
      <c r="D2485" s="25" t="s">
        <v>4514</v>
      </c>
      <c r="E2485" s="19" t="s">
        <v>4515</v>
      </c>
      <c r="F2485" s="19" t="s">
        <v>4535</v>
      </c>
      <c r="G2485" s="5" t="str">
        <f>HYPERLINK("http://jsmh.umin.jp/journal/34-1/30-32.pdf")</f>
        <v>http://jsmh.umin.jp/journal/34-1/30-32.pdf</v>
      </c>
      <c r="H2485" s="43" t="str">
        <f t="shared" si="192"/>
        <v>http://dl.ndl.go.jp/info:ndljp/pid/3359318</v>
      </c>
    </row>
    <row r="2486" spans="1:8" ht="30" customHeight="1" x14ac:dyDescent="0.15">
      <c r="A2486" s="16" t="s">
        <v>1855</v>
      </c>
      <c r="B2486" s="17" t="s">
        <v>4536</v>
      </c>
      <c r="C2486" s="17" t="s">
        <v>66</v>
      </c>
      <c r="D2486" s="25" t="s">
        <v>4514</v>
      </c>
      <c r="E2486" s="19" t="s">
        <v>4515</v>
      </c>
      <c r="F2486" s="19" t="s">
        <v>4537</v>
      </c>
      <c r="G2486" s="5" t="str">
        <f>HYPERLINK("http://jsmh.umin.jp/journal/34-1/33-35.pdf")</f>
        <v>http://jsmh.umin.jp/journal/34-1/33-35.pdf</v>
      </c>
      <c r="H2486" s="43" t="str">
        <f t="shared" si="192"/>
        <v>http://dl.ndl.go.jp/info:ndljp/pid/3359318</v>
      </c>
    </row>
    <row r="2487" spans="1:8" ht="30" customHeight="1" x14ac:dyDescent="0.15">
      <c r="A2487" s="16" t="s">
        <v>1855</v>
      </c>
      <c r="B2487" s="17" t="s">
        <v>4538</v>
      </c>
      <c r="C2487" s="17" t="s">
        <v>4035</v>
      </c>
      <c r="D2487" s="25" t="s">
        <v>4514</v>
      </c>
      <c r="E2487" s="19" t="s">
        <v>4515</v>
      </c>
      <c r="F2487" s="19" t="s">
        <v>411</v>
      </c>
      <c r="G2487" s="5" t="str">
        <f>HYPERLINK("http://jsmh.umin.jp/journal/34-1/35-37.pdf")</f>
        <v>http://jsmh.umin.jp/journal/34-1/35-37.pdf</v>
      </c>
      <c r="H2487" s="43" t="str">
        <f t="shared" si="192"/>
        <v>http://dl.ndl.go.jp/info:ndljp/pid/3359318</v>
      </c>
    </row>
    <row r="2488" spans="1:8" ht="30" customHeight="1" x14ac:dyDescent="0.15">
      <c r="A2488" s="16" t="s">
        <v>1855</v>
      </c>
      <c r="B2488" s="17" t="s">
        <v>4539</v>
      </c>
      <c r="C2488" s="17" t="s">
        <v>2881</v>
      </c>
      <c r="D2488" s="25" t="s">
        <v>4514</v>
      </c>
      <c r="E2488" s="19" t="s">
        <v>4515</v>
      </c>
      <c r="F2488" s="19" t="s">
        <v>4540</v>
      </c>
      <c r="G2488" s="5" t="str">
        <f>HYPERLINK("http://jsmh.umin.jp/journal/34-1/38-40.pdf")</f>
        <v>http://jsmh.umin.jp/journal/34-1/38-40.pdf</v>
      </c>
      <c r="H2488" s="43" t="str">
        <f t="shared" si="192"/>
        <v>http://dl.ndl.go.jp/info:ndljp/pid/3359318</v>
      </c>
    </row>
    <row r="2489" spans="1:8" ht="30" customHeight="1" x14ac:dyDescent="0.15">
      <c r="A2489" s="16" t="s">
        <v>1855</v>
      </c>
      <c r="B2489" s="17" t="s">
        <v>4541</v>
      </c>
      <c r="C2489" s="17" t="s">
        <v>4309</v>
      </c>
      <c r="D2489" s="25" t="s">
        <v>4514</v>
      </c>
      <c r="E2489" s="19" t="s">
        <v>4515</v>
      </c>
      <c r="F2489" s="19" t="s">
        <v>4542</v>
      </c>
      <c r="G2489" s="5" t="str">
        <f>HYPERLINK("http://jsmh.umin.jp/journal/34-1/40-42.pdf")</f>
        <v>http://jsmh.umin.jp/journal/34-1/40-42.pdf</v>
      </c>
      <c r="H2489" s="43" t="str">
        <f t="shared" si="192"/>
        <v>http://dl.ndl.go.jp/info:ndljp/pid/3359318</v>
      </c>
    </row>
    <row r="2490" spans="1:8" ht="30" customHeight="1" x14ac:dyDescent="0.15">
      <c r="A2490" s="16" t="s">
        <v>1855</v>
      </c>
      <c r="B2490" s="17" t="s">
        <v>4543</v>
      </c>
      <c r="C2490" s="17" t="s">
        <v>209</v>
      </c>
      <c r="D2490" s="25" t="s">
        <v>4514</v>
      </c>
      <c r="E2490" s="19" t="s">
        <v>4515</v>
      </c>
      <c r="F2490" s="19" t="s">
        <v>4544</v>
      </c>
      <c r="G2490" s="5" t="str">
        <f>HYPERLINK("http://jsmh.umin.jp/journal/34-1/42-44.pdf")</f>
        <v>http://jsmh.umin.jp/journal/34-1/42-44.pdf</v>
      </c>
      <c r="H2490" s="43" t="str">
        <f t="shared" si="192"/>
        <v>http://dl.ndl.go.jp/info:ndljp/pid/3359318</v>
      </c>
    </row>
    <row r="2491" spans="1:8" ht="30" customHeight="1" x14ac:dyDescent="0.15">
      <c r="A2491" s="16" t="s">
        <v>1855</v>
      </c>
      <c r="B2491" s="17" t="s">
        <v>4545</v>
      </c>
      <c r="C2491" s="17" t="s">
        <v>3655</v>
      </c>
      <c r="D2491" s="25" t="s">
        <v>4514</v>
      </c>
      <c r="E2491" s="19" t="s">
        <v>4515</v>
      </c>
      <c r="F2491" s="19" t="s">
        <v>4303</v>
      </c>
      <c r="G2491" s="5" t="str">
        <f>HYPERLINK("http://jsmh.umin.jp/journal/34-1/45-47.pdf")</f>
        <v>http://jsmh.umin.jp/journal/34-1/45-47.pdf</v>
      </c>
      <c r="H2491" s="43" t="str">
        <f t="shared" si="192"/>
        <v>http://dl.ndl.go.jp/info:ndljp/pid/3359318</v>
      </c>
    </row>
    <row r="2492" spans="1:8" ht="30" customHeight="1" x14ac:dyDescent="0.15">
      <c r="A2492" s="16" t="s">
        <v>1855</v>
      </c>
      <c r="B2492" s="17" t="s">
        <v>4546</v>
      </c>
      <c r="C2492" s="17" t="s">
        <v>10140</v>
      </c>
      <c r="D2492" s="25" t="s">
        <v>4514</v>
      </c>
      <c r="E2492" s="19" t="s">
        <v>4515</v>
      </c>
      <c r="F2492" s="19" t="s">
        <v>875</v>
      </c>
      <c r="G2492" s="5" t="str">
        <f>HYPERLINK("http://jsmh.umin.jp/journal/34-1/47-48.pdf")</f>
        <v>http://jsmh.umin.jp/journal/34-1/47-48.pdf</v>
      </c>
      <c r="H2492" s="43" t="str">
        <f t="shared" si="192"/>
        <v>http://dl.ndl.go.jp/info:ndljp/pid/3359318</v>
      </c>
    </row>
    <row r="2493" spans="1:8" ht="30" customHeight="1" x14ac:dyDescent="0.15">
      <c r="A2493" s="16" t="s">
        <v>1855</v>
      </c>
      <c r="B2493" s="17" t="s">
        <v>4547</v>
      </c>
      <c r="C2493" s="17" t="s">
        <v>4548</v>
      </c>
      <c r="D2493" s="25" t="s">
        <v>4514</v>
      </c>
      <c r="E2493" s="19" t="s">
        <v>4515</v>
      </c>
      <c r="F2493" s="19" t="s">
        <v>4305</v>
      </c>
      <c r="G2493" s="5" t="str">
        <f>HYPERLINK("http://jsmh.umin.jp/journal/34-1/48-50.pdf")</f>
        <v>http://jsmh.umin.jp/journal/34-1/48-50.pdf</v>
      </c>
      <c r="H2493" s="43" t="str">
        <f t="shared" si="192"/>
        <v>http://dl.ndl.go.jp/info:ndljp/pid/3359318</v>
      </c>
    </row>
    <row r="2494" spans="1:8" ht="30" customHeight="1" x14ac:dyDescent="0.15">
      <c r="A2494" s="16" t="s">
        <v>1855</v>
      </c>
      <c r="B2494" s="17" t="s">
        <v>4549</v>
      </c>
      <c r="C2494" s="17" t="s">
        <v>3432</v>
      </c>
      <c r="D2494" s="25" t="s">
        <v>4514</v>
      </c>
      <c r="E2494" s="19" t="s">
        <v>4515</v>
      </c>
      <c r="F2494" s="19" t="s">
        <v>906</v>
      </c>
      <c r="G2494" s="5" t="str">
        <f>HYPERLINK("http://jsmh.umin.jp/journal/34-1/51-53.pdf")</f>
        <v>http://jsmh.umin.jp/journal/34-1/51-53.pdf</v>
      </c>
      <c r="H2494" s="43" t="str">
        <f t="shared" si="192"/>
        <v>http://dl.ndl.go.jp/info:ndljp/pid/3359318</v>
      </c>
    </row>
    <row r="2495" spans="1:8" ht="30" customHeight="1" x14ac:dyDescent="0.15">
      <c r="A2495" s="16" t="s">
        <v>1855</v>
      </c>
      <c r="B2495" s="17" t="s">
        <v>10169</v>
      </c>
      <c r="C2495" s="17" t="s">
        <v>4185</v>
      </c>
      <c r="D2495" s="25" t="s">
        <v>4514</v>
      </c>
      <c r="E2495" s="19" t="s">
        <v>4515</v>
      </c>
      <c r="F2495" s="19" t="s">
        <v>4550</v>
      </c>
      <c r="G2495" s="5" t="str">
        <f>HYPERLINK("http://jsmh.umin.jp/journal/34-1/53-55.pdf")</f>
        <v>http://jsmh.umin.jp/journal/34-1/53-55.pdf</v>
      </c>
      <c r="H2495" s="43" t="str">
        <f t="shared" si="192"/>
        <v>http://dl.ndl.go.jp/info:ndljp/pid/3359318</v>
      </c>
    </row>
    <row r="2496" spans="1:8" ht="30" customHeight="1" x14ac:dyDescent="0.15">
      <c r="A2496" s="16" t="s">
        <v>1855</v>
      </c>
      <c r="B2496" s="17" t="s">
        <v>4551</v>
      </c>
      <c r="C2496" s="17" t="s">
        <v>2773</v>
      </c>
      <c r="D2496" s="25" t="s">
        <v>4514</v>
      </c>
      <c r="E2496" s="19" t="s">
        <v>4515</v>
      </c>
      <c r="F2496" s="19" t="s">
        <v>1180</v>
      </c>
      <c r="G2496" s="5" t="str">
        <f>HYPERLINK("http://jsmh.umin.jp/journal/34-1/56-57.pdf")</f>
        <v>http://jsmh.umin.jp/journal/34-1/56-57.pdf</v>
      </c>
      <c r="H2496" s="43" t="str">
        <f t="shared" si="192"/>
        <v>http://dl.ndl.go.jp/info:ndljp/pid/3359318</v>
      </c>
    </row>
    <row r="2497" spans="1:8" ht="30" customHeight="1" x14ac:dyDescent="0.15">
      <c r="A2497" s="16" t="s">
        <v>1855</v>
      </c>
      <c r="B2497" s="17" t="s">
        <v>4552</v>
      </c>
      <c r="C2497" s="17" t="s">
        <v>2233</v>
      </c>
      <c r="D2497" s="25" t="s">
        <v>4514</v>
      </c>
      <c r="E2497" s="19" t="s">
        <v>4515</v>
      </c>
      <c r="F2497" s="19" t="s">
        <v>714</v>
      </c>
      <c r="G2497" s="5" t="str">
        <f>HYPERLINK("http://jsmh.umin.jp/journal/34-1/58-59.pdf")</f>
        <v>http://jsmh.umin.jp/journal/34-1/58-59.pdf</v>
      </c>
      <c r="H2497" s="43" t="str">
        <f t="shared" si="192"/>
        <v>http://dl.ndl.go.jp/info:ndljp/pid/3359318</v>
      </c>
    </row>
    <row r="2498" spans="1:8" ht="30" customHeight="1" x14ac:dyDescent="0.15">
      <c r="A2498" s="16" t="s">
        <v>1855</v>
      </c>
      <c r="B2498" s="17" t="s">
        <v>4553</v>
      </c>
      <c r="C2498" s="17" t="s">
        <v>273</v>
      </c>
      <c r="D2498" s="25" t="s">
        <v>4514</v>
      </c>
      <c r="E2498" s="19" t="s">
        <v>4515</v>
      </c>
      <c r="F2498" s="19" t="s">
        <v>814</v>
      </c>
      <c r="G2498" s="5" t="str">
        <f>HYPERLINK("http://jsmh.umin.jp/journal/34-1/60-62.pdf")</f>
        <v>http://jsmh.umin.jp/journal/34-1/60-62.pdf</v>
      </c>
      <c r="H2498" s="43" t="str">
        <f t="shared" si="192"/>
        <v>http://dl.ndl.go.jp/info:ndljp/pid/3359318</v>
      </c>
    </row>
    <row r="2499" spans="1:8" ht="30" customHeight="1" x14ac:dyDescent="0.15">
      <c r="A2499" s="16" t="s">
        <v>1855</v>
      </c>
      <c r="B2499" s="17" t="s">
        <v>4554</v>
      </c>
      <c r="C2499" s="17" t="s">
        <v>1338</v>
      </c>
      <c r="D2499" s="25" t="s">
        <v>4514</v>
      </c>
      <c r="E2499" s="19" t="s">
        <v>4515</v>
      </c>
      <c r="F2499" s="19" t="s">
        <v>4317</v>
      </c>
      <c r="G2499" s="5" t="str">
        <f>HYPERLINK("http://jsmh.umin.jp/journal/34-1/63-65.pdf")</f>
        <v>http://jsmh.umin.jp/journal/34-1/63-65.pdf</v>
      </c>
      <c r="H2499" s="43" t="str">
        <f t="shared" si="192"/>
        <v>http://dl.ndl.go.jp/info:ndljp/pid/3359318</v>
      </c>
    </row>
    <row r="2500" spans="1:8" ht="30" customHeight="1" x14ac:dyDescent="0.15">
      <c r="A2500" s="16" t="s">
        <v>1855</v>
      </c>
      <c r="B2500" s="17" t="s">
        <v>4555</v>
      </c>
      <c r="C2500" s="17" t="s">
        <v>4026</v>
      </c>
      <c r="D2500" s="25" t="s">
        <v>4514</v>
      </c>
      <c r="E2500" s="19" t="s">
        <v>4515</v>
      </c>
      <c r="F2500" s="19" t="s">
        <v>4556</v>
      </c>
      <c r="G2500" s="5" t="str">
        <f>HYPERLINK("http://jsmh.umin.jp/journal/34-1/65-67.pdf")</f>
        <v>http://jsmh.umin.jp/journal/34-1/65-67.pdf</v>
      </c>
      <c r="H2500" s="43" t="str">
        <f t="shared" si="192"/>
        <v>http://dl.ndl.go.jp/info:ndljp/pid/3359318</v>
      </c>
    </row>
    <row r="2501" spans="1:8" ht="30" customHeight="1" x14ac:dyDescent="0.15">
      <c r="A2501" s="16" t="s">
        <v>1855</v>
      </c>
      <c r="B2501" s="17" t="s">
        <v>4557</v>
      </c>
      <c r="C2501" s="17" t="s">
        <v>4324</v>
      </c>
      <c r="D2501" s="25" t="s">
        <v>4514</v>
      </c>
      <c r="E2501" s="19" t="s">
        <v>4515</v>
      </c>
      <c r="F2501" s="19" t="s">
        <v>919</v>
      </c>
      <c r="G2501" s="5" t="str">
        <f>HYPERLINK("http://jsmh.umin.jp/journal/34-1/68-70.pdf")</f>
        <v>http://jsmh.umin.jp/journal/34-1/68-70.pdf</v>
      </c>
      <c r="H2501" s="43" t="str">
        <f t="shared" si="192"/>
        <v>http://dl.ndl.go.jp/info:ndljp/pid/3359318</v>
      </c>
    </row>
    <row r="2502" spans="1:8" ht="30" customHeight="1" x14ac:dyDescent="0.15">
      <c r="A2502" s="16" t="s">
        <v>1855</v>
      </c>
      <c r="B2502" s="17" t="s">
        <v>4558</v>
      </c>
      <c r="C2502" s="17" t="s">
        <v>1972</v>
      </c>
      <c r="D2502" s="25" t="s">
        <v>4514</v>
      </c>
      <c r="E2502" s="19" t="s">
        <v>4515</v>
      </c>
      <c r="F2502" s="19" t="s">
        <v>588</v>
      </c>
      <c r="G2502" s="5" t="str">
        <f>HYPERLINK("http://jsmh.umin.jp/journal/34-1/70-71.pdf")</f>
        <v>http://jsmh.umin.jp/journal/34-1/70-71.pdf</v>
      </c>
      <c r="H2502" s="43" t="str">
        <f t="shared" si="192"/>
        <v>http://dl.ndl.go.jp/info:ndljp/pid/3359318</v>
      </c>
    </row>
    <row r="2503" spans="1:8" ht="30" customHeight="1" x14ac:dyDescent="0.15">
      <c r="A2503" s="16" t="s">
        <v>1855</v>
      </c>
      <c r="B2503" s="17" t="s">
        <v>4559</v>
      </c>
      <c r="C2503" s="17" t="s">
        <v>3644</v>
      </c>
      <c r="D2503" s="25" t="s">
        <v>4514</v>
      </c>
      <c r="E2503" s="19" t="s">
        <v>4515</v>
      </c>
      <c r="F2503" s="19" t="s">
        <v>831</v>
      </c>
      <c r="G2503" s="5" t="str">
        <f>HYPERLINK("http://jsmh.umin.jp/journal/34-1/72-73.pdf")</f>
        <v>http://jsmh.umin.jp/journal/34-1/72-73.pdf</v>
      </c>
      <c r="H2503" s="43" t="str">
        <f t="shared" si="192"/>
        <v>http://dl.ndl.go.jp/info:ndljp/pid/3359318</v>
      </c>
    </row>
    <row r="2504" spans="1:8" ht="30" customHeight="1" x14ac:dyDescent="0.15">
      <c r="A2504" s="16" t="s">
        <v>1855</v>
      </c>
      <c r="B2504" s="17" t="s">
        <v>4560</v>
      </c>
      <c r="C2504" s="17" t="s">
        <v>925</v>
      </c>
      <c r="D2504" s="25" t="s">
        <v>4514</v>
      </c>
      <c r="E2504" s="19" t="s">
        <v>4515</v>
      </c>
      <c r="F2504" s="19" t="s">
        <v>4561</v>
      </c>
      <c r="G2504" s="5" t="str">
        <f>HYPERLINK("http://jsmh.umin.jp/journal/34-1/74-76.pdf")</f>
        <v>http://jsmh.umin.jp/journal/34-1/74-76.pdf</v>
      </c>
      <c r="H2504" s="43" t="str">
        <f t="shared" si="192"/>
        <v>http://dl.ndl.go.jp/info:ndljp/pid/3359318</v>
      </c>
    </row>
    <row r="2505" spans="1:8" ht="30" customHeight="1" x14ac:dyDescent="0.15">
      <c r="A2505" s="16" t="s">
        <v>1855</v>
      </c>
      <c r="B2505" s="17" t="s">
        <v>4562</v>
      </c>
      <c r="C2505" s="17" t="s">
        <v>1823</v>
      </c>
      <c r="D2505" s="25" t="s">
        <v>4514</v>
      </c>
      <c r="E2505" s="19" t="s">
        <v>4515</v>
      </c>
      <c r="F2505" s="19" t="s">
        <v>3591</v>
      </c>
      <c r="G2505" s="5" t="str">
        <f>HYPERLINK("http://jsmh.umin.jp/journal/34-1/76-78.pdf")</f>
        <v>http://jsmh.umin.jp/journal/34-1/76-78.pdf</v>
      </c>
      <c r="H2505" s="43" t="str">
        <f t="shared" ref="H2505:H2532" si="193">HYPERLINK("http://dl.ndl.go.jp/info:ndljp/pid/3359318")</f>
        <v>http://dl.ndl.go.jp/info:ndljp/pid/3359318</v>
      </c>
    </row>
    <row r="2506" spans="1:8" ht="30" customHeight="1" x14ac:dyDescent="0.15">
      <c r="A2506" s="16" t="s">
        <v>1855</v>
      </c>
      <c r="B2506" s="17" t="s">
        <v>4563</v>
      </c>
      <c r="C2506" s="17" t="s">
        <v>4342</v>
      </c>
      <c r="D2506" s="25" t="s">
        <v>4514</v>
      </c>
      <c r="E2506" s="19" t="s">
        <v>4515</v>
      </c>
      <c r="F2506" s="19" t="s">
        <v>4564</v>
      </c>
      <c r="G2506" s="5" t="str">
        <f>HYPERLINK("http://jsmh.umin.jp/journal/34-1/79-81.pdf")</f>
        <v>http://jsmh.umin.jp/journal/34-1/79-81.pdf</v>
      </c>
      <c r="H2506" s="43" t="str">
        <f t="shared" si="193"/>
        <v>http://dl.ndl.go.jp/info:ndljp/pid/3359318</v>
      </c>
    </row>
    <row r="2507" spans="1:8" ht="30" customHeight="1" x14ac:dyDescent="0.15">
      <c r="A2507" s="16" t="s">
        <v>1855</v>
      </c>
      <c r="B2507" s="17" t="s">
        <v>4565</v>
      </c>
      <c r="C2507" s="17" t="s">
        <v>4566</v>
      </c>
      <c r="D2507" s="25" t="s">
        <v>4514</v>
      </c>
      <c r="E2507" s="19" t="s">
        <v>4515</v>
      </c>
      <c r="F2507" s="19" t="s">
        <v>4567</v>
      </c>
      <c r="G2507" s="5" t="str">
        <f>HYPERLINK("http://jsmh.umin.jp/journal/34-1/81-83.pdf")</f>
        <v>http://jsmh.umin.jp/journal/34-1/81-83.pdf</v>
      </c>
      <c r="H2507" s="43" t="str">
        <f t="shared" si="193"/>
        <v>http://dl.ndl.go.jp/info:ndljp/pid/3359318</v>
      </c>
    </row>
    <row r="2508" spans="1:8" ht="30" customHeight="1" x14ac:dyDescent="0.15">
      <c r="A2508" s="16" t="s">
        <v>1855</v>
      </c>
      <c r="B2508" s="17" t="s">
        <v>4568</v>
      </c>
      <c r="C2508" s="17" t="s">
        <v>838</v>
      </c>
      <c r="D2508" s="25" t="s">
        <v>4514</v>
      </c>
      <c r="E2508" s="19" t="s">
        <v>4515</v>
      </c>
      <c r="F2508" s="19" t="s">
        <v>933</v>
      </c>
      <c r="G2508" s="5" t="str">
        <f>HYPERLINK("http://jsmh.umin.jp/journal/34-1/84-86.pdf")</f>
        <v>http://jsmh.umin.jp/journal/34-1/84-86.pdf</v>
      </c>
      <c r="H2508" s="43" t="str">
        <f t="shared" si="193"/>
        <v>http://dl.ndl.go.jp/info:ndljp/pid/3359318</v>
      </c>
    </row>
    <row r="2509" spans="1:8" ht="30" customHeight="1" x14ac:dyDescent="0.15">
      <c r="A2509" s="16" t="s">
        <v>1855</v>
      </c>
      <c r="B2509" s="17" t="s">
        <v>4569</v>
      </c>
      <c r="C2509" s="17" t="s">
        <v>790</v>
      </c>
      <c r="D2509" s="25" t="s">
        <v>4514</v>
      </c>
      <c r="E2509" s="19" t="s">
        <v>4515</v>
      </c>
      <c r="F2509" s="19" t="s">
        <v>460</v>
      </c>
      <c r="G2509" s="5" t="str">
        <f>HYPERLINK("http://jsmh.umin.jp/journal/34-1/86-87.pdf")</f>
        <v>http://jsmh.umin.jp/journal/34-1/86-87.pdf</v>
      </c>
      <c r="H2509" s="43" t="str">
        <f t="shared" si="193"/>
        <v>http://dl.ndl.go.jp/info:ndljp/pid/3359318</v>
      </c>
    </row>
    <row r="2510" spans="1:8" ht="30" customHeight="1" x14ac:dyDescent="0.15">
      <c r="A2510" s="16" t="s">
        <v>1855</v>
      </c>
      <c r="B2510" s="17" t="s">
        <v>4570</v>
      </c>
      <c r="C2510" s="17" t="s">
        <v>1070</v>
      </c>
      <c r="D2510" s="25" t="s">
        <v>4514</v>
      </c>
      <c r="E2510" s="19" t="s">
        <v>4515</v>
      </c>
      <c r="F2510" s="19" t="s">
        <v>861</v>
      </c>
      <c r="G2510" s="5" t="str">
        <f>HYPERLINK("http://jsmh.umin.jp/journal/34-1/88-89.pdf")</f>
        <v>http://jsmh.umin.jp/journal/34-1/88-89.pdf</v>
      </c>
      <c r="H2510" s="43" t="str">
        <f t="shared" si="193"/>
        <v>http://dl.ndl.go.jp/info:ndljp/pid/3359318</v>
      </c>
    </row>
    <row r="2511" spans="1:8" ht="30" customHeight="1" x14ac:dyDescent="0.15">
      <c r="A2511" s="16" t="s">
        <v>1855</v>
      </c>
      <c r="B2511" s="17" t="s">
        <v>4571</v>
      </c>
      <c r="C2511" s="17" t="s">
        <v>3642</v>
      </c>
      <c r="D2511" s="25" t="s">
        <v>4514</v>
      </c>
      <c r="E2511" s="19" t="s">
        <v>4515</v>
      </c>
      <c r="F2511" s="19" t="s">
        <v>4572</v>
      </c>
      <c r="G2511" s="5" t="str">
        <f>HYPERLINK("http://jsmh.umin.jp/journal/34-1/89-90.pdf")</f>
        <v>http://jsmh.umin.jp/journal/34-1/89-90.pdf</v>
      </c>
      <c r="H2511" s="43" t="str">
        <f t="shared" si="193"/>
        <v>http://dl.ndl.go.jp/info:ndljp/pid/3359318</v>
      </c>
    </row>
    <row r="2512" spans="1:8" ht="30" customHeight="1" x14ac:dyDescent="0.15">
      <c r="A2512" s="16" t="s">
        <v>1855</v>
      </c>
      <c r="B2512" s="17" t="s">
        <v>4573</v>
      </c>
      <c r="C2512" s="17" t="s">
        <v>3839</v>
      </c>
      <c r="D2512" s="25" t="s">
        <v>4514</v>
      </c>
      <c r="E2512" s="19" t="s">
        <v>4515</v>
      </c>
      <c r="F2512" s="19" t="s">
        <v>4574</v>
      </c>
      <c r="G2512" s="5" t="str">
        <f>HYPERLINK("http://jsmh.umin.jp/journal/34-1/91-93.pdf")</f>
        <v>http://jsmh.umin.jp/journal/34-1/91-93.pdf</v>
      </c>
      <c r="H2512" s="43" t="str">
        <f t="shared" si="193"/>
        <v>http://dl.ndl.go.jp/info:ndljp/pid/3359318</v>
      </c>
    </row>
    <row r="2513" spans="1:8" ht="30" customHeight="1" x14ac:dyDescent="0.15">
      <c r="A2513" s="16" t="s">
        <v>1855</v>
      </c>
      <c r="B2513" s="17" t="s">
        <v>4575</v>
      </c>
      <c r="C2513" s="17" t="s">
        <v>4576</v>
      </c>
      <c r="D2513" s="25" t="s">
        <v>4514</v>
      </c>
      <c r="E2513" s="19" t="s">
        <v>4515</v>
      </c>
      <c r="F2513" s="19" t="s">
        <v>4336</v>
      </c>
      <c r="G2513" s="5" t="str">
        <f>HYPERLINK("http://jsmh.umin.jp/journal/34-1/93-95.pdf")</f>
        <v>http://jsmh.umin.jp/journal/34-1/93-95.pdf</v>
      </c>
      <c r="H2513" s="43" t="str">
        <f t="shared" si="193"/>
        <v>http://dl.ndl.go.jp/info:ndljp/pid/3359318</v>
      </c>
    </row>
    <row r="2514" spans="1:8" ht="30" customHeight="1" x14ac:dyDescent="0.15">
      <c r="A2514" s="16" t="s">
        <v>1855</v>
      </c>
      <c r="B2514" s="17" t="s">
        <v>4577</v>
      </c>
      <c r="C2514" s="17" t="s">
        <v>2667</v>
      </c>
      <c r="D2514" s="25" t="s">
        <v>4514</v>
      </c>
      <c r="E2514" s="19" t="s">
        <v>4515</v>
      </c>
      <c r="F2514" s="19" t="s">
        <v>4578</v>
      </c>
      <c r="G2514" s="5" t="str">
        <f>HYPERLINK("http://jsmh.umin.jp/journal/34-1/96-97.pdf")</f>
        <v>http://jsmh.umin.jp/journal/34-1/96-97.pdf</v>
      </c>
      <c r="H2514" s="43" t="str">
        <f t="shared" si="193"/>
        <v>http://dl.ndl.go.jp/info:ndljp/pid/3359318</v>
      </c>
    </row>
    <row r="2515" spans="1:8" ht="30" customHeight="1" x14ac:dyDescent="0.15">
      <c r="A2515" s="16" t="s">
        <v>1855</v>
      </c>
      <c r="B2515" s="17" t="s">
        <v>4579</v>
      </c>
      <c r="C2515" s="17" t="s">
        <v>2386</v>
      </c>
      <c r="D2515" s="25" t="s">
        <v>4514</v>
      </c>
      <c r="E2515" s="19" t="s">
        <v>4515</v>
      </c>
      <c r="F2515" s="19" t="s">
        <v>4339</v>
      </c>
      <c r="G2515" s="5" t="str">
        <f>HYPERLINK("http://jsmh.umin.jp/journal/34-1/98-100.pdf")</f>
        <v>http://jsmh.umin.jp/journal/34-1/98-100.pdf</v>
      </c>
      <c r="H2515" s="43" t="str">
        <f t="shared" si="193"/>
        <v>http://dl.ndl.go.jp/info:ndljp/pid/3359318</v>
      </c>
    </row>
    <row r="2516" spans="1:8" ht="30" customHeight="1" x14ac:dyDescent="0.15">
      <c r="A2516" s="16" t="s">
        <v>1855</v>
      </c>
      <c r="B2516" s="17" t="s">
        <v>4580</v>
      </c>
      <c r="C2516" s="17" t="s">
        <v>2222</v>
      </c>
      <c r="D2516" s="25" t="s">
        <v>4514</v>
      </c>
      <c r="E2516" s="19" t="s">
        <v>4515</v>
      </c>
      <c r="F2516" s="19" t="s">
        <v>778</v>
      </c>
      <c r="G2516" s="5" t="str">
        <f>HYPERLINK("http://jsmh.umin.jp/journal/34-1/100-101.pdf")</f>
        <v>http://jsmh.umin.jp/journal/34-1/100-101.pdf</v>
      </c>
      <c r="H2516" s="43" t="str">
        <f t="shared" si="193"/>
        <v>http://dl.ndl.go.jp/info:ndljp/pid/3359318</v>
      </c>
    </row>
    <row r="2517" spans="1:8" ht="30" customHeight="1" x14ac:dyDescent="0.15">
      <c r="A2517" s="16" t="s">
        <v>1855</v>
      </c>
      <c r="B2517" s="17" t="s">
        <v>4581</v>
      </c>
      <c r="C2517" s="17" t="s">
        <v>963</v>
      </c>
      <c r="D2517" s="25" t="s">
        <v>4514</v>
      </c>
      <c r="E2517" s="19" t="s">
        <v>4515</v>
      </c>
      <c r="F2517" s="19" t="s">
        <v>4582</v>
      </c>
      <c r="G2517" s="5" t="str">
        <f>HYPERLINK("http://jsmh.umin.jp/journal/34-1/101-102.pdf")</f>
        <v>http://jsmh.umin.jp/journal/34-1/101-102.pdf</v>
      </c>
      <c r="H2517" s="43" t="str">
        <f t="shared" si="193"/>
        <v>http://dl.ndl.go.jp/info:ndljp/pid/3359318</v>
      </c>
    </row>
    <row r="2518" spans="1:8" ht="30" customHeight="1" x14ac:dyDescent="0.15">
      <c r="A2518" s="16" t="s">
        <v>1855</v>
      </c>
      <c r="B2518" s="17" t="s">
        <v>4583</v>
      </c>
      <c r="C2518" s="17" t="s">
        <v>1147</v>
      </c>
      <c r="D2518" s="25" t="s">
        <v>4514</v>
      </c>
      <c r="E2518" s="19" t="s">
        <v>4515</v>
      </c>
      <c r="F2518" s="19" t="s">
        <v>10572</v>
      </c>
      <c r="G2518" s="26" t="str">
        <f>HYPERLINK("http://jsmh.umin.jp/journal/34-1/103.pdf")</f>
        <v>http://jsmh.umin.jp/journal/34-1/103.pdf</v>
      </c>
      <c r="H2518" s="43" t="str">
        <f t="shared" si="193"/>
        <v>http://dl.ndl.go.jp/info:ndljp/pid/3359318</v>
      </c>
    </row>
    <row r="2519" spans="1:8" ht="30" customHeight="1" x14ac:dyDescent="0.15">
      <c r="A2519" s="16" t="s">
        <v>1855</v>
      </c>
      <c r="B2519" s="17" t="s">
        <v>4584</v>
      </c>
      <c r="C2519" s="17" t="s">
        <v>4585</v>
      </c>
      <c r="D2519" s="25" t="s">
        <v>4514</v>
      </c>
      <c r="E2519" s="19" t="s">
        <v>4515</v>
      </c>
      <c r="F2519" s="19" t="s">
        <v>50</v>
      </c>
      <c r="G2519" s="5" t="str">
        <f>HYPERLINK("http://jsmh.umin.jp/journal/34-1/104.pdf")</f>
        <v>http://jsmh.umin.jp/journal/34-1/104.pdf</v>
      </c>
      <c r="H2519" s="43" t="str">
        <f t="shared" si="193"/>
        <v>http://dl.ndl.go.jp/info:ndljp/pid/3359318</v>
      </c>
    </row>
    <row r="2520" spans="1:8" ht="30" customHeight="1" x14ac:dyDescent="0.15">
      <c r="A2520" s="16" t="s">
        <v>1855</v>
      </c>
      <c r="B2520" s="17" t="s">
        <v>4586</v>
      </c>
      <c r="C2520" s="17" t="s">
        <v>905</v>
      </c>
      <c r="D2520" s="25" t="s">
        <v>4514</v>
      </c>
      <c r="E2520" s="19" t="s">
        <v>4515</v>
      </c>
      <c r="F2520" s="19" t="s">
        <v>3601</v>
      </c>
      <c r="G2520" s="5" t="str">
        <f>HYPERLINK("http://jsmh.umin.jp/journal/34-1/105-107.pdf")</f>
        <v>http://jsmh.umin.jp/journal/34-1/105-107.pdf</v>
      </c>
      <c r="H2520" s="43" t="str">
        <f t="shared" si="193"/>
        <v>http://dl.ndl.go.jp/info:ndljp/pid/3359318</v>
      </c>
    </row>
    <row r="2521" spans="1:8" ht="30" customHeight="1" x14ac:dyDescent="0.15">
      <c r="A2521" s="16" t="s">
        <v>1855</v>
      </c>
      <c r="B2521" s="17" t="s">
        <v>4587</v>
      </c>
      <c r="C2521" s="17" t="s">
        <v>2325</v>
      </c>
      <c r="D2521" s="25" t="s">
        <v>4514</v>
      </c>
      <c r="E2521" s="19" t="s">
        <v>4515</v>
      </c>
      <c r="F2521" s="19" t="s">
        <v>4346</v>
      </c>
      <c r="G2521" s="5" t="str">
        <f>HYPERLINK("http://jsmh.umin.jp/journal/34-1/107-109.pdf")</f>
        <v>http://jsmh.umin.jp/journal/34-1/107-109.pdf</v>
      </c>
      <c r="H2521" s="43" t="str">
        <f t="shared" si="193"/>
        <v>http://dl.ndl.go.jp/info:ndljp/pid/3359318</v>
      </c>
    </row>
    <row r="2522" spans="1:8" ht="30" customHeight="1" x14ac:dyDescent="0.15">
      <c r="A2522" s="16" t="s">
        <v>1855</v>
      </c>
      <c r="B2522" s="17" t="s">
        <v>4588</v>
      </c>
      <c r="C2522" s="17" t="s">
        <v>3120</v>
      </c>
      <c r="D2522" s="25" t="s">
        <v>4514</v>
      </c>
      <c r="E2522" s="19" t="s">
        <v>4515</v>
      </c>
      <c r="F2522" s="19" t="s">
        <v>2389</v>
      </c>
      <c r="G2522" s="5" t="str">
        <f>HYPERLINK("http://jsmh.umin.jp/journal/34-1/110-111.pdf")</f>
        <v>http://jsmh.umin.jp/journal/34-1/110-111.pdf</v>
      </c>
      <c r="H2522" s="43" t="str">
        <f t="shared" si="193"/>
        <v>http://dl.ndl.go.jp/info:ndljp/pid/3359318</v>
      </c>
    </row>
    <row r="2523" spans="1:8" ht="30" customHeight="1" x14ac:dyDescent="0.15">
      <c r="A2523" s="16" t="s">
        <v>1855</v>
      </c>
      <c r="B2523" s="17" t="s">
        <v>4589</v>
      </c>
      <c r="C2523" s="17" t="s">
        <v>10156</v>
      </c>
      <c r="D2523" s="25" t="s">
        <v>4514</v>
      </c>
      <c r="E2523" s="19" t="s">
        <v>4515</v>
      </c>
      <c r="F2523" s="19" t="s">
        <v>4349</v>
      </c>
      <c r="G2523" s="5" t="str">
        <f>HYPERLINK("http://jsmh.umin.jp/journal/34-1/112-113.pdf")</f>
        <v>http://jsmh.umin.jp/journal/34-1/112-113.pdf</v>
      </c>
      <c r="H2523" s="43" t="str">
        <f t="shared" si="193"/>
        <v>http://dl.ndl.go.jp/info:ndljp/pid/3359318</v>
      </c>
    </row>
    <row r="2524" spans="1:8" ht="30" customHeight="1" x14ac:dyDescent="0.15">
      <c r="A2524" s="16" t="s">
        <v>1855</v>
      </c>
      <c r="B2524" s="17" t="s">
        <v>4590</v>
      </c>
      <c r="C2524" s="17" t="s">
        <v>3301</v>
      </c>
      <c r="D2524" s="25" t="s">
        <v>4514</v>
      </c>
      <c r="E2524" s="19" t="s">
        <v>4515</v>
      </c>
      <c r="F2524" s="19" t="s">
        <v>4591</v>
      </c>
      <c r="G2524" s="5" t="str">
        <f>HYPERLINK("http://jsmh.umin.jp/journal/34-1/113-116.pdf")</f>
        <v>http://jsmh.umin.jp/journal/34-1/113-116.pdf</v>
      </c>
      <c r="H2524" s="43" t="str">
        <f t="shared" si="193"/>
        <v>http://dl.ndl.go.jp/info:ndljp/pid/3359318</v>
      </c>
    </row>
    <row r="2525" spans="1:8" ht="30" customHeight="1" x14ac:dyDescent="0.15">
      <c r="A2525" s="16" t="s">
        <v>1855</v>
      </c>
      <c r="B2525" s="17" t="s">
        <v>4592</v>
      </c>
      <c r="C2525" s="17" t="s">
        <v>2828</v>
      </c>
      <c r="D2525" s="25" t="s">
        <v>4514</v>
      </c>
      <c r="E2525" s="19" t="s">
        <v>4515</v>
      </c>
      <c r="F2525" s="19" t="s">
        <v>4593</v>
      </c>
      <c r="G2525" s="5" t="str">
        <f>HYPERLINK("http://jsmh.umin.jp/journal/34-1/116-119.pdf")</f>
        <v>http://jsmh.umin.jp/journal/34-1/116-119.pdf</v>
      </c>
      <c r="H2525" s="43" t="str">
        <f t="shared" si="193"/>
        <v>http://dl.ndl.go.jp/info:ndljp/pid/3359318</v>
      </c>
    </row>
    <row r="2526" spans="1:8" ht="30" customHeight="1" x14ac:dyDescent="0.15">
      <c r="A2526" s="16" t="s">
        <v>1855</v>
      </c>
      <c r="B2526" s="17" t="s">
        <v>4594</v>
      </c>
      <c r="C2526" s="17" t="s">
        <v>4595</v>
      </c>
      <c r="D2526" s="25" t="s">
        <v>4514</v>
      </c>
      <c r="E2526" s="19" t="s">
        <v>4515</v>
      </c>
      <c r="F2526" s="19" t="s">
        <v>4596</v>
      </c>
      <c r="G2526" s="5" t="str">
        <f>HYPERLINK("http://jsmh.umin.jp/journal/34-1/120-122.pdf")</f>
        <v>http://jsmh.umin.jp/journal/34-1/120-122.pdf</v>
      </c>
      <c r="H2526" s="43" t="str">
        <f t="shared" si="193"/>
        <v>http://dl.ndl.go.jp/info:ndljp/pid/3359318</v>
      </c>
    </row>
    <row r="2527" spans="1:8" ht="30" customHeight="1" x14ac:dyDescent="0.15">
      <c r="A2527" s="16" t="s">
        <v>1855</v>
      </c>
      <c r="B2527" s="17" t="s">
        <v>4597</v>
      </c>
      <c r="C2527" s="17" t="s">
        <v>1299</v>
      </c>
      <c r="D2527" s="25" t="s">
        <v>4514</v>
      </c>
      <c r="E2527" s="19" t="s">
        <v>4515</v>
      </c>
      <c r="F2527" s="19" t="s">
        <v>4598</v>
      </c>
      <c r="G2527" s="5" t="str">
        <f>HYPERLINK("http://jsmh.umin.jp/journal/34-1/122-123.pdf")</f>
        <v>http://jsmh.umin.jp/journal/34-1/122-123.pdf</v>
      </c>
      <c r="H2527" s="43" t="str">
        <f t="shared" si="193"/>
        <v>http://dl.ndl.go.jp/info:ndljp/pid/3359318</v>
      </c>
    </row>
    <row r="2528" spans="1:8" ht="30" customHeight="1" x14ac:dyDescent="0.15">
      <c r="A2528" s="16" t="s">
        <v>1855</v>
      </c>
      <c r="B2528" s="17" t="s">
        <v>4599</v>
      </c>
      <c r="C2528" s="17" t="s">
        <v>4371</v>
      </c>
      <c r="D2528" s="25" t="s">
        <v>4514</v>
      </c>
      <c r="E2528" s="19" t="s">
        <v>4515</v>
      </c>
      <c r="F2528" s="19" t="s">
        <v>2410</v>
      </c>
      <c r="G2528" s="5" t="str">
        <f>HYPERLINK("http://jsmh.umin.jp/journal/34-1/123-125.pdf")</f>
        <v>http://jsmh.umin.jp/journal/34-1/123-125.pdf</v>
      </c>
      <c r="H2528" s="43" t="str">
        <f t="shared" si="193"/>
        <v>http://dl.ndl.go.jp/info:ndljp/pid/3359318</v>
      </c>
    </row>
    <row r="2529" spans="1:8" ht="30" customHeight="1" x14ac:dyDescent="0.15">
      <c r="A2529" s="16" t="s">
        <v>1855</v>
      </c>
      <c r="B2529" s="17" t="s">
        <v>4600</v>
      </c>
      <c r="C2529" s="17" t="s">
        <v>10170</v>
      </c>
      <c r="D2529" s="25" t="s">
        <v>4514</v>
      </c>
      <c r="E2529" s="19" t="s">
        <v>4515</v>
      </c>
      <c r="F2529" s="19" t="s">
        <v>4601</v>
      </c>
      <c r="G2529" s="5" t="str">
        <f>HYPERLINK("http://jsmh.umin.jp/journal/34-1/125-128.pdf")</f>
        <v>http://jsmh.umin.jp/journal/34-1/125-128.pdf</v>
      </c>
      <c r="H2529" s="43" t="str">
        <f t="shared" si="193"/>
        <v>http://dl.ndl.go.jp/info:ndljp/pid/3359318</v>
      </c>
    </row>
    <row r="2530" spans="1:8" ht="30" customHeight="1" x14ac:dyDescent="0.15">
      <c r="A2530" s="16" t="s">
        <v>558</v>
      </c>
      <c r="B2530" s="17" t="s">
        <v>4602</v>
      </c>
      <c r="C2530" s="17" t="s">
        <v>1823</v>
      </c>
      <c r="D2530" s="25" t="s">
        <v>4514</v>
      </c>
      <c r="E2530" s="19" t="s">
        <v>4515</v>
      </c>
      <c r="F2530" s="19" t="s">
        <v>4603</v>
      </c>
      <c r="G2530" s="26" t="str">
        <f>HYPERLINK("http://jsmh.umin.jp/journal/34-1/129-132.pdf")</f>
        <v>http://jsmh.umin.jp/journal/34-1/129-132.pdf</v>
      </c>
      <c r="H2530" s="43" t="str">
        <f t="shared" si="193"/>
        <v>http://dl.ndl.go.jp/info:ndljp/pid/3359318</v>
      </c>
    </row>
    <row r="2531" spans="1:8" ht="30" customHeight="1" x14ac:dyDescent="0.15">
      <c r="A2531" s="16" t="s">
        <v>558</v>
      </c>
      <c r="B2531" s="17" t="s">
        <v>4604</v>
      </c>
      <c r="C2531" s="17" t="s">
        <v>1659</v>
      </c>
      <c r="D2531" s="25" t="s">
        <v>4514</v>
      </c>
      <c r="E2531" s="19" t="s">
        <v>4515</v>
      </c>
      <c r="F2531" s="19" t="s">
        <v>2530</v>
      </c>
      <c r="G2531" s="26" t="str">
        <f>HYPERLINK("http://jsmh.umin.jp/journal/34-1/129-132.pdf")</f>
        <v>http://jsmh.umin.jp/journal/34-1/129-132.pdf</v>
      </c>
      <c r="H2531" s="43" t="str">
        <f t="shared" si="193"/>
        <v>http://dl.ndl.go.jp/info:ndljp/pid/3359318</v>
      </c>
    </row>
    <row r="2532" spans="1:8" ht="30" customHeight="1" x14ac:dyDescent="0.15">
      <c r="A2532" s="16" t="s">
        <v>558</v>
      </c>
      <c r="B2532" s="17" t="s">
        <v>4605</v>
      </c>
      <c r="C2532" s="17" t="s">
        <v>3381</v>
      </c>
      <c r="D2532" s="25" t="s">
        <v>4514</v>
      </c>
      <c r="E2532" s="19" t="s">
        <v>4515</v>
      </c>
      <c r="F2532" s="19" t="s">
        <v>221</v>
      </c>
      <c r="G2532" s="26" t="str">
        <f>HYPERLINK("http://jsmh.umin.jp/journal/34-1/129-132.pdf")</f>
        <v>http://jsmh.umin.jp/journal/34-1/129-132.pdf</v>
      </c>
      <c r="H2532" s="43" t="str">
        <f t="shared" si="193"/>
        <v>http://dl.ndl.go.jp/info:ndljp/pid/3359318</v>
      </c>
    </row>
    <row r="2533" spans="1:8" ht="30" customHeight="1" x14ac:dyDescent="0.15">
      <c r="A2533" s="16" t="s">
        <v>3939</v>
      </c>
      <c r="B2533" s="17" t="s">
        <v>4606</v>
      </c>
      <c r="C2533" s="17" t="s">
        <v>273</v>
      </c>
      <c r="D2533" s="25" t="s">
        <v>4514</v>
      </c>
      <c r="E2533" s="19" t="s">
        <v>4607</v>
      </c>
      <c r="F2533" s="19" t="s">
        <v>4608</v>
      </c>
      <c r="G2533" s="5" t="str">
        <f>HYPERLINK("http://jsmh.umin.jp/journal/34-2/137-147.pdf")</f>
        <v>http://jsmh.umin.jp/journal/34-2/137-147.pdf</v>
      </c>
      <c r="H2533" s="42" t="str">
        <f t="shared" ref="H2533:H2555" si="194">HYPERLINK("http://dl.ndl.go.jp/info:ndljp/pid/3359319")</f>
        <v>http://dl.ndl.go.jp/info:ndljp/pid/3359319</v>
      </c>
    </row>
    <row r="2534" spans="1:8" ht="30" customHeight="1" x14ac:dyDescent="0.15">
      <c r="A2534" s="16" t="s">
        <v>3939</v>
      </c>
      <c r="B2534" s="17" t="s">
        <v>4609</v>
      </c>
      <c r="C2534" s="17" t="s">
        <v>66</v>
      </c>
      <c r="D2534" s="25" t="s">
        <v>4514</v>
      </c>
      <c r="E2534" s="19" t="s">
        <v>4607</v>
      </c>
      <c r="F2534" s="19" t="s">
        <v>4610</v>
      </c>
      <c r="G2534" s="5" t="str">
        <f>HYPERLINK("http://jsmh.umin.jp/journal/34-2/148-165.pdf")</f>
        <v>http://jsmh.umin.jp/journal/34-2/148-165.pdf</v>
      </c>
      <c r="H2534" s="43" t="str">
        <f t="shared" si="194"/>
        <v>http://dl.ndl.go.jp/info:ndljp/pid/3359319</v>
      </c>
    </row>
    <row r="2535" spans="1:8" ht="30" customHeight="1" x14ac:dyDescent="0.15">
      <c r="A2535" s="16" t="s">
        <v>3939</v>
      </c>
      <c r="B2535" s="17" t="s">
        <v>4611</v>
      </c>
      <c r="C2535" s="17" t="s">
        <v>599</v>
      </c>
      <c r="D2535" s="25" t="s">
        <v>4514</v>
      </c>
      <c r="E2535" s="19" t="s">
        <v>4607</v>
      </c>
      <c r="F2535" s="19" t="s">
        <v>4612</v>
      </c>
      <c r="G2535" s="5" t="str">
        <f>HYPERLINK("http://jsmh.umin.jp/journal/34-2/166-170.pdf")</f>
        <v>http://jsmh.umin.jp/journal/34-2/166-170.pdf</v>
      </c>
      <c r="H2535" s="43" t="str">
        <f t="shared" si="194"/>
        <v>http://dl.ndl.go.jp/info:ndljp/pid/3359319</v>
      </c>
    </row>
    <row r="2536" spans="1:8" ht="30" customHeight="1" x14ac:dyDescent="0.15">
      <c r="A2536" s="16" t="s">
        <v>3939</v>
      </c>
      <c r="B2536" s="17" t="s">
        <v>4613</v>
      </c>
      <c r="C2536" s="17" t="s">
        <v>1764</v>
      </c>
      <c r="D2536" s="25" t="s">
        <v>4514</v>
      </c>
      <c r="E2536" s="19" t="s">
        <v>4607</v>
      </c>
      <c r="F2536" s="19" t="s">
        <v>4614</v>
      </c>
      <c r="G2536" s="5" t="str">
        <f>HYPERLINK("http://jsmh.umin.jp/journal/34-2/171-186.pdf")</f>
        <v>http://jsmh.umin.jp/journal/34-2/171-186.pdf</v>
      </c>
      <c r="H2536" s="43" t="str">
        <f t="shared" si="194"/>
        <v>http://dl.ndl.go.jp/info:ndljp/pid/3359319</v>
      </c>
    </row>
    <row r="2537" spans="1:8" ht="30" customHeight="1" x14ac:dyDescent="0.15">
      <c r="A2537" s="16" t="s">
        <v>3939</v>
      </c>
      <c r="B2537" s="17" t="s">
        <v>4615</v>
      </c>
      <c r="C2537" s="17" t="s">
        <v>2386</v>
      </c>
      <c r="D2537" s="25" t="s">
        <v>4514</v>
      </c>
      <c r="E2537" s="19" t="s">
        <v>4607</v>
      </c>
      <c r="F2537" s="19" t="s">
        <v>4616</v>
      </c>
      <c r="G2537" s="5" t="str">
        <f>HYPERLINK("http://jsmh.umin.jp/journal/34-2/187-201.pdf")</f>
        <v>http://jsmh.umin.jp/journal/34-2/187-201.pdf</v>
      </c>
      <c r="H2537" s="43" t="str">
        <f t="shared" si="194"/>
        <v>http://dl.ndl.go.jp/info:ndljp/pid/3359319</v>
      </c>
    </row>
    <row r="2538" spans="1:8" ht="30" customHeight="1" x14ac:dyDescent="0.15">
      <c r="A2538" s="16" t="s">
        <v>3939</v>
      </c>
      <c r="B2538" s="17" t="s">
        <v>4617</v>
      </c>
      <c r="C2538" s="17" t="s">
        <v>3485</v>
      </c>
      <c r="D2538" s="25" t="s">
        <v>4514</v>
      </c>
      <c r="E2538" s="19" t="s">
        <v>4607</v>
      </c>
      <c r="F2538" s="19" t="s">
        <v>4618</v>
      </c>
      <c r="G2538" s="5" t="str">
        <f>HYPERLINK("http://jsmh.umin.jp/journal/34-2/202-205.pdf")</f>
        <v>http://jsmh.umin.jp/journal/34-2/202-205.pdf</v>
      </c>
      <c r="H2538" s="43" t="str">
        <f t="shared" si="194"/>
        <v>http://dl.ndl.go.jp/info:ndljp/pid/3359319</v>
      </c>
    </row>
    <row r="2539" spans="1:8" ht="30" customHeight="1" x14ac:dyDescent="0.15">
      <c r="A2539" s="16" t="s">
        <v>3939</v>
      </c>
      <c r="B2539" s="17" t="s">
        <v>4619</v>
      </c>
      <c r="C2539" s="17" t="s">
        <v>209</v>
      </c>
      <c r="D2539" s="25" t="s">
        <v>4514</v>
      </c>
      <c r="E2539" s="19" t="s">
        <v>4607</v>
      </c>
      <c r="F2539" s="19" t="s">
        <v>4620</v>
      </c>
      <c r="G2539" s="5" t="str">
        <f>HYPERLINK("http://jsmh.umin.jp/journal/34-2/206-216.pdf")</f>
        <v>http://jsmh.umin.jp/journal/34-2/206-216.pdf</v>
      </c>
      <c r="H2539" s="43" t="str">
        <f t="shared" si="194"/>
        <v>http://dl.ndl.go.jp/info:ndljp/pid/3359319</v>
      </c>
    </row>
    <row r="2540" spans="1:8" ht="30" customHeight="1" x14ac:dyDescent="0.15">
      <c r="A2540" s="16" t="s">
        <v>3939</v>
      </c>
      <c r="B2540" s="17" t="s">
        <v>4621</v>
      </c>
      <c r="C2540" s="17" t="s">
        <v>627</v>
      </c>
      <c r="D2540" s="25" t="s">
        <v>4514</v>
      </c>
      <c r="E2540" s="19" t="s">
        <v>4607</v>
      </c>
      <c r="F2540" s="19" t="s">
        <v>4622</v>
      </c>
      <c r="G2540" s="5" t="str">
        <f>HYPERLINK("http://jsmh.umin.jp/journal/34-2/217-231.pdf")</f>
        <v>http://jsmh.umin.jp/journal/34-2/217-231.pdf</v>
      </c>
      <c r="H2540" s="43" t="str">
        <f t="shared" si="194"/>
        <v>http://dl.ndl.go.jp/info:ndljp/pid/3359319</v>
      </c>
    </row>
    <row r="2541" spans="1:8" ht="30" customHeight="1" x14ac:dyDescent="0.15">
      <c r="A2541" s="16" t="s">
        <v>3939</v>
      </c>
      <c r="B2541" s="17" t="s">
        <v>4623</v>
      </c>
      <c r="C2541" s="17" t="s">
        <v>838</v>
      </c>
      <c r="D2541" s="25" t="s">
        <v>4514</v>
      </c>
      <c r="E2541" s="19" t="s">
        <v>4607</v>
      </c>
      <c r="F2541" s="19" t="s">
        <v>4624</v>
      </c>
      <c r="G2541" s="5" t="str">
        <f>HYPERLINK("http://jsmh.umin.jp/journal/34-2/232-244.pdf")</f>
        <v>http://jsmh.umin.jp/journal/34-2/232-244.pdf</v>
      </c>
      <c r="H2541" s="43" t="str">
        <f t="shared" si="194"/>
        <v>http://dl.ndl.go.jp/info:ndljp/pid/3359319</v>
      </c>
    </row>
    <row r="2542" spans="1:8" ht="30" customHeight="1" x14ac:dyDescent="0.15">
      <c r="A2542" s="16" t="s">
        <v>3939</v>
      </c>
      <c r="B2542" s="17" t="s">
        <v>4625</v>
      </c>
      <c r="C2542" s="17" t="s">
        <v>2233</v>
      </c>
      <c r="D2542" s="25" t="s">
        <v>4514</v>
      </c>
      <c r="E2542" s="19" t="s">
        <v>4607</v>
      </c>
      <c r="F2542" s="19" t="s">
        <v>4626</v>
      </c>
      <c r="G2542" s="5" t="str">
        <f>HYPERLINK("http://jsmh.umin.jp/journal/34-2/245-262.pdf")</f>
        <v>http://jsmh.umin.jp/journal/34-2/245-262.pdf</v>
      </c>
      <c r="H2542" s="43" t="str">
        <f t="shared" si="194"/>
        <v>http://dl.ndl.go.jp/info:ndljp/pid/3359319</v>
      </c>
    </row>
    <row r="2543" spans="1:8" ht="30" customHeight="1" x14ac:dyDescent="0.15">
      <c r="A2543" s="16" t="s">
        <v>3939</v>
      </c>
      <c r="B2543" s="17" t="s">
        <v>4627</v>
      </c>
      <c r="C2543" s="17" t="s">
        <v>1781</v>
      </c>
      <c r="D2543" s="25" t="s">
        <v>4514</v>
      </c>
      <c r="E2543" s="19" t="s">
        <v>4607</v>
      </c>
      <c r="F2543" s="19" t="s">
        <v>4628</v>
      </c>
      <c r="G2543" s="5" t="str">
        <f>HYPERLINK("http://jsmh.umin.jp/journal/34-2/263-277.pdf")</f>
        <v>http://jsmh.umin.jp/journal/34-2/263-277.pdf</v>
      </c>
      <c r="H2543" s="43" t="str">
        <f t="shared" si="194"/>
        <v>http://dl.ndl.go.jp/info:ndljp/pid/3359319</v>
      </c>
    </row>
    <row r="2544" spans="1:8" ht="30" customHeight="1" x14ac:dyDescent="0.15">
      <c r="A2544" s="16" t="s">
        <v>3939</v>
      </c>
      <c r="B2544" s="17" t="s">
        <v>4629</v>
      </c>
      <c r="C2544" s="17" t="s">
        <v>507</v>
      </c>
      <c r="D2544" s="25" t="s">
        <v>4514</v>
      </c>
      <c r="E2544" s="19" t="s">
        <v>4607</v>
      </c>
      <c r="F2544" s="19" t="s">
        <v>4630</v>
      </c>
      <c r="G2544" s="5" t="str">
        <f>HYPERLINK("http://jsmh.umin.jp/journal/34-2/278-293.pdf")</f>
        <v>http://jsmh.umin.jp/journal/34-2/278-293.pdf</v>
      </c>
      <c r="H2544" s="43" t="str">
        <f t="shared" si="194"/>
        <v>http://dl.ndl.go.jp/info:ndljp/pid/3359319</v>
      </c>
    </row>
    <row r="2545" spans="1:8" ht="30" customHeight="1" x14ac:dyDescent="0.15">
      <c r="A2545" s="16" t="s">
        <v>3939</v>
      </c>
      <c r="B2545" s="17" t="s">
        <v>4631</v>
      </c>
      <c r="C2545" s="17" t="s">
        <v>479</v>
      </c>
      <c r="D2545" s="25" t="s">
        <v>4514</v>
      </c>
      <c r="E2545" s="19" t="s">
        <v>4607</v>
      </c>
      <c r="F2545" s="19" t="s">
        <v>4632</v>
      </c>
      <c r="G2545" s="5" t="str">
        <f>HYPERLINK("http://jsmh.umin.jp/journal/34-2/294-303.pdf")</f>
        <v>http://jsmh.umin.jp/journal/34-2/294-303.pdf</v>
      </c>
      <c r="H2545" s="43" t="str">
        <f t="shared" si="194"/>
        <v>http://dl.ndl.go.jp/info:ndljp/pid/3359319</v>
      </c>
    </row>
    <row r="2546" spans="1:8" ht="30" customHeight="1" x14ac:dyDescent="0.15">
      <c r="A2546" s="16" t="s">
        <v>4633</v>
      </c>
      <c r="B2546" s="17" t="s">
        <v>4634</v>
      </c>
      <c r="C2546" s="17" t="s">
        <v>198</v>
      </c>
      <c r="D2546" s="25" t="s">
        <v>4514</v>
      </c>
      <c r="E2546" s="19" t="s">
        <v>4607</v>
      </c>
      <c r="F2546" s="19" t="s">
        <v>1426</v>
      </c>
      <c r="G2546" s="5" t="str">
        <f>HYPERLINK("http://jsmh.umin.jp/journal/34-2/304-305.pdf")</f>
        <v>http://jsmh.umin.jp/journal/34-2/304-305.pdf</v>
      </c>
      <c r="H2546" s="43" t="str">
        <f t="shared" si="194"/>
        <v>http://dl.ndl.go.jp/info:ndljp/pid/3359319</v>
      </c>
    </row>
    <row r="2547" spans="1:8" ht="30" customHeight="1" x14ac:dyDescent="0.15">
      <c r="A2547" s="16" t="s">
        <v>4633</v>
      </c>
      <c r="B2547" s="17" t="s">
        <v>4635</v>
      </c>
      <c r="C2547" s="17" t="s">
        <v>76</v>
      </c>
      <c r="D2547" s="25" t="s">
        <v>4514</v>
      </c>
      <c r="E2547" s="19" t="s">
        <v>4607</v>
      </c>
      <c r="F2547" s="19" t="s">
        <v>3115</v>
      </c>
      <c r="G2547" s="5" t="str">
        <f>HYPERLINK("http://jsmh.umin.jp/journal/34-2/305-307.pdf")</f>
        <v>http://jsmh.umin.jp/journal/34-2/305-307.pdf</v>
      </c>
      <c r="H2547" s="43" t="str">
        <f t="shared" si="194"/>
        <v>http://dl.ndl.go.jp/info:ndljp/pid/3359319</v>
      </c>
    </row>
    <row r="2548" spans="1:8" ht="30" customHeight="1" x14ac:dyDescent="0.15">
      <c r="A2548" s="16" t="s">
        <v>4633</v>
      </c>
      <c r="B2548" s="17" t="s">
        <v>4636</v>
      </c>
      <c r="C2548" s="17" t="s">
        <v>69</v>
      </c>
      <c r="D2548" s="25" t="s">
        <v>4514</v>
      </c>
      <c r="E2548" s="19" t="s">
        <v>4607</v>
      </c>
      <c r="F2548" s="19" t="s">
        <v>4637</v>
      </c>
      <c r="G2548" s="5" t="str">
        <f>HYPERLINK("http://jsmh.umin.jp/journal/34-2/307-309.pdf")</f>
        <v>http://jsmh.umin.jp/journal/34-2/307-309.pdf</v>
      </c>
      <c r="H2548" s="43" t="str">
        <f t="shared" si="194"/>
        <v>http://dl.ndl.go.jp/info:ndljp/pid/3359319</v>
      </c>
    </row>
    <row r="2549" spans="1:8" ht="30" customHeight="1" x14ac:dyDescent="0.15">
      <c r="A2549" s="16" t="s">
        <v>4633</v>
      </c>
      <c r="B2549" s="17" t="s">
        <v>4638</v>
      </c>
      <c r="C2549" s="17" t="s">
        <v>2786</v>
      </c>
      <c r="D2549" s="25" t="s">
        <v>4514</v>
      </c>
      <c r="E2549" s="19" t="s">
        <v>4607</v>
      </c>
      <c r="F2549" s="19" t="s">
        <v>4639</v>
      </c>
      <c r="G2549" s="5" t="str">
        <f>HYPERLINK("http://jsmh.umin.jp/journal/34-2/310-313.pdf")</f>
        <v>http://jsmh.umin.jp/journal/34-2/310-313.pdf</v>
      </c>
      <c r="H2549" s="43" t="str">
        <f t="shared" si="194"/>
        <v>http://dl.ndl.go.jp/info:ndljp/pid/3359319</v>
      </c>
    </row>
    <row r="2550" spans="1:8" ht="30" customHeight="1" x14ac:dyDescent="0.15">
      <c r="A2550" s="16" t="s">
        <v>4633</v>
      </c>
      <c r="B2550" s="17" t="s">
        <v>4640</v>
      </c>
      <c r="C2550" s="17" t="s">
        <v>830</v>
      </c>
      <c r="D2550" s="25" t="s">
        <v>4514</v>
      </c>
      <c r="E2550" s="19" t="s">
        <v>4607</v>
      </c>
      <c r="F2550" s="19" t="s">
        <v>1774</v>
      </c>
      <c r="G2550" s="5" t="str">
        <f>HYPERLINK("http://jsmh.umin.jp/journal/34-2/313-314.pdf")</f>
        <v>http://jsmh.umin.jp/journal/34-2/313-314.pdf</v>
      </c>
      <c r="H2550" s="43" t="str">
        <f t="shared" si="194"/>
        <v>http://dl.ndl.go.jp/info:ndljp/pid/3359319</v>
      </c>
    </row>
    <row r="2551" spans="1:8" ht="30" customHeight="1" x14ac:dyDescent="0.15">
      <c r="A2551" s="16" t="s">
        <v>4633</v>
      </c>
      <c r="B2551" s="17" t="s">
        <v>4641</v>
      </c>
      <c r="C2551" s="17" t="s">
        <v>1070</v>
      </c>
      <c r="D2551" s="25" t="s">
        <v>4514</v>
      </c>
      <c r="E2551" s="19" t="s">
        <v>4607</v>
      </c>
      <c r="F2551" s="19" t="s">
        <v>1779</v>
      </c>
      <c r="G2551" s="5" t="str">
        <f>HYPERLINK("http://jsmh.umin.jp/journal/34-2/314-315.pdf")</f>
        <v>http://jsmh.umin.jp/journal/34-2/314-315.pdf</v>
      </c>
      <c r="H2551" s="43" t="str">
        <f t="shared" si="194"/>
        <v>http://dl.ndl.go.jp/info:ndljp/pid/3359319</v>
      </c>
    </row>
    <row r="2552" spans="1:8" ht="30" customHeight="1" x14ac:dyDescent="0.15">
      <c r="A2552" s="16" t="s">
        <v>2894</v>
      </c>
      <c r="B2552" s="17" t="s">
        <v>4642</v>
      </c>
      <c r="C2552" s="17" t="s">
        <v>479</v>
      </c>
      <c r="D2552" s="25" t="s">
        <v>4514</v>
      </c>
      <c r="E2552" s="19" t="s">
        <v>4607</v>
      </c>
      <c r="F2552" s="19" t="s">
        <v>4643</v>
      </c>
      <c r="G2552" s="5" t="str">
        <f>HYPERLINK("http://jsmh.umin.jp/journal/34-2/316-322.pdf")</f>
        <v>http://jsmh.umin.jp/journal/34-2/316-322.pdf</v>
      </c>
      <c r="H2552" s="43" t="str">
        <f t="shared" si="194"/>
        <v>http://dl.ndl.go.jp/info:ndljp/pid/3359319</v>
      </c>
    </row>
    <row r="2553" spans="1:8" ht="30" customHeight="1" x14ac:dyDescent="0.15">
      <c r="A2553" s="16" t="s">
        <v>4644</v>
      </c>
      <c r="B2553" s="17" t="s">
        <v>1956</v>
      </c>
      <c r="C2553" s="17" t="s">
        <v>188</v>
      </c>
      <c r="D2553" s="25" t="s">
        <v>4514</v>
      </c>
      <c r="E2553" s="19" t="s">
        <v>4607</v>
      </c>
      <c r="F2553" s="19" t="s">
        <v>4645</v>
      </c>
      <c r="G2553" s="5" t="str">
        <f>HYPERLINK("http://jsmh.umin.jp/journal/34-2/323-333.pdf")</f>
        <v>http://jsmh.umin.jp/journal/34-2/323-333.pdf</v>
      </c>
      <c r="H2553" s="43" t="str">
        <f t="shared" si="194"/>
        <v>http://dl.ndl.go.jp/info:ndljp/pid/3359319</v>
      </c>
    </row>
    <row r="2554" spans="1:8" ht="30" customHeight="1" x14ac:dyDescent="0.15">
      <c r="A2554" s="16" t="s">
        <v>4644</v>
      </c>
      <c r="B2554" s="17" t="s">
        <v>1956</v>
      </c>
      <c r="C2554" s="17" t="s">
        <v>794</v>
      </c>
      <c r="D2554" s="25" t="s">
        <v>4514</v>
      </c>
      <c r="E2554" s="19" t="s">
        <v>4607</v>
      </c>
      <c r="F2554" s="19" t="s">
        <v>4646</v>
      </c>
      <c r="G2554" s="5" t="str">
        <f>HYPERLINK("http://jsmh.umin.jp/journal/34-2/334-342.pdf")</f>
        <v>http://jsmh.umin.jp/journal/34-2/334-342.pdf</v>
      </c>
      <c r="H2554" s="43" t="str">
        <f t="shared" si="194"/>
        <v>http://dl.ndl.go.jp/info:ndljp/pid/3359319</v>
      </c>
    </row>
    <row r="2555" spans="1:8" ht="30" customHeight="1" x14ac:dyDescent="0.15">
      <c r="A2555" s="16" t="s">
        <v>3939</v>
      </c>
      <c r="B2555" s="17" t="s">
        <v>4647</v>
      </c>
      <c r="C2555" s="17" t="s">
        <v>1932</v>
      </c>
      <c r="D2555" s="25" t="s">
        <v>4514</v>
      </c>
      <c r="E2555" s="19" t="s">
        <v>4607</v>
      </c>
      <c r="F2555" s="19" t="s">
        <v>10573</v>
      </c>
      <c r="G2555" s="26" t="str">
        <f>HYPERLINK("http://jsmh.umin.jp/journal/34-2/350-356.pdf")</f>
        <v>http://jsmh.umin.jp/journal/34-2/350-356.pdf</v>
      </c>
      <c r="H2555" s="43" t="str">
        <f t="shared" si="194"/>
        <v>http://dl.ndl.go.jp/info:ndljp/pid/3359319</v>
      </c>
    </row>
    <row r="2556" spans="1:8" ht="30" customHeight="1" x14ac:dyDescent="0.15">
      <c r="A2556" s="16" t="s">
        <v>17</v>
      </c>
      <c r="B2556" s="17" t="s">
        <v>4648</v>
      </c>
      <c r="C2556" s="17" t="s">
        <v>4342</v>
      </c>
      <c r="D2556" s="25" t="s">
        <v>4514</v>
      </c>
      <c r="E2556" s="19" t="s">
        <v>4649</v>
      </c>
      <c r="F2556" s="19" t="s">
        <v>4650</v>
      </c>
      <c r="G2556" s="5" t="str">
        <f>HYPERLINK("http://jsmh.umin.jp/journal/34-3/357-385.pdf")</f>
        <v>http://jsmh.umin.jp/journal/34-3/357-385.pdf</v>
      </c>
      <c r="H2556" s="42" t="str">
        <f t="shared" ref="H2556:H2590" si="195">HYPERLINK("http://dl.ndl.go.jp/info:ndljp/pid/3359320")</f>
        <v>http://dl.ndl.go.jp/info:ndljp/pid/3359320</v>
      </c>
    </row>
    <row r="2557" spans="1:8" ht="30" customHeight="1" x14ac:dyDescent="0.15">
      <c r="A2557" s="16" t="s">
        <v>17</v>
      </c>
      <c r="B2557" s="17" t="s">
        <v>4651</v>
      </c>
      <c r="C2557" s="17" t="s">
        <v>4261</v>
      </c>
      <c r="D2557" s="25" t="s">
        <v>4514</v>
      </c>
      <c r="E2557" s="19" t="s">
        <v>4649</v>
      </c>
      <c r="F2557" s="19" t="s">
        <v>4652</v>
      </c>
      <c r="G2557" s="5" t="str">
        <f>HYPERLINK("http://jsmh.umin.jp/journal/34-3/386-413.pdf")</f>
        <v>http://jsmh.umin.jp/journal/34-3/386-413.pdf</v>
      </c>
      <c r="H2557" s="43" t="str">
        <f t="shared" si="195"/>
        <v>http://dl.ndl.go.jp/info:ndljp/pid/3359320</v>
      </c>
    </row>
    <row r="2558" spans="1:8" ht="30" customHeight="1" x14ac:dyDescent="0.15">
      <c r="A2558" s="16" t="s">
        <v>17</v>
      </c>
      <c r="B2558" s="17" t="s">
        <v>4653</v>
      </c>
      <c r="C2558" s="17" t="s">
        <v>3850</v>
      </c>
      <c r="D2558" s="25" t="s">
        <v>4514</v>
      </c>
      <c r="E2558" s="19" t="s">
        <v>4649</v>
      </c>
      <c r="F2558" s="19" t="s">
        <v>4654</v>
      </c>
      <c r="G2558" s="5" t="str">
        <f>HYPERLINK("http://jsmh.umin.jp/journal/34-3/414-430.pdf")</f>
        <v>http://jsmh.umin.jp/journal/34-3/414-430.pdf</v>
      </c>
      <c r="H2558" s="43" t="str">
        <f t="shared" si="195"/>
        <v>http://dl.ndl.go.jp/info:ndljp/pid/3359320</v>
      </c>
    </row>
    <row r="2559" spans="1:8" ht="30" customHeight="1" x14ac:dyDescent="0.15">
      <c r="A2559" s="16" t="s">
        <v>17</v>
      </c>
      <c r="B2559" s="17" t="s">
        <v>4655</v>
      </c>
      <c r="C2559" s="17" t="s">
        <v>3839</v>
      </c>
      <c r="D2559" s="25" t="s">
        <v>4514</v>
      </c>
      <c r="E2559" s="19" t="s">
        <v>4649</v>
      </c>
      <c r="F2559" s="19" t="s">
        <v>4656</v>
      </c>
      <c r="G2559" s="5" t="str">
        <f>HYPERLINK("http://jsmh.umin.jp/journal/34-3/431-444.pdf")</f>
        <v>http://jsmh.umin.jp/journal/34-3/431-444.pdf</v>
      </c>
      <c r="H2559" s="43" t="str">
        <f t="shared" si="195"/>
        <v>http://dl.ndl.go.jp/info:ndljp/pid/3359320</v>
      </c>
    </row>
    <row r="2560" spans="1:8" ht="30" customHeight="1" x14ac:dyDescent="0.15">
      <c r="A2560" s="16" t="s">
        <v>3387</v>
      </c>
      <c r="B2560" s="17" t="s">
        <v>4657</v>
      </c>
      <c r="C2560" s="17" t="s">
        <v>3196</v>
      </c>
      <c r="D2560" s="25" t="s">
        <v>4514</v>
      </c>
      <c r="E2560" s="19" t="s">
        <v>4649</v>
      </c>
      <c r="F2560" s="19" t="s">
        <v>4658</v>
      </c>
      <c r="G2560" s="5" t="str">
        <f>HYPERLINK("http://jsmh.umin.jp/journal/34-3/445-457.pdf")</f>
        <v>http://jsmh.umin.jp/journal/34-3/445-457.pdf</v>
      </c>
      <c r="H2560" s="43" t="str">
        <f t="shared" si="195"/>
        <v>http://dl.ndl.go.jp/info:ndljp/pid/3359320</v>
      </c>
    </row>
    <row r="2561" spans="1:8" ht="30" customHeight="1" x14ac:dyDescent="0.15">
      <c r="A2561" s="16" t="s">
        <v>3387</v>
      </c>
      <c r="B2561" s="17" t="s">
        <v>4659</v>
      </c>
      <c r="C2561" s="17" t="s">
        <v>10156</v>
      </c>
      <c r="D2561" s="25" t="s">
        <v>4514</v>
      </c>
      <c r="E2561" s="19" t="s">
        <v>4649</v>
      </c>
      <c r="F2561" s="19" t="s">
        <v>4660</v>
      </c>
      <c r="G2561" s="5" t="str">
        <f>HYPERLINK("http://jsmh.umin.jp/journal/34-3/458-472.pdf")</f>
        <v>http://jsmh.umin.jp/journal/34-3/458-472.pdf</v>
      </c>
      <c r="H2561" s="43" t="str">
        <f t="shared" si="195"/>
        <v>http://dl.ndl.go.jp/info:ndljp/pid/3359320</v>
      </c>
    </row>
    <row r="2562" spans="1:8" ht="30" customHeight="1" x14ac:dyDescent="0.15">
      <c r="A2562" s="16" t="s">
        <v>4475</v>
      </c>
      <c r="B2562" s="17" t="s">
        <v>1956</v>
      </c>
      <c r="C2562" s="17" t="s">
        <v>507</v>
      </c>
      <c r="D2562" s="25" t="s">
        <v>4514</v>
      </c>
      <c r="E2562" s="19" t="s">
        <v>4649</v>
      </c>
      <c r="F2562" s="19" t="s">
        <v>4661</v>
      </c>
      <c r="G2562" s="5" t="str">
        <f>HYPERLINK("http://jsmh.umin.jp/journal/34-3/473-483.pdf")</f>
        <v>http://jsmh.umin.jp/journal/34-3/473-483.pdf</v>
      </c>
      <c r="H2562" s="43" t="str">
        <f t="shared" si="195"/>
        <v>http://dl.ndl.go.jp/info:ndljp/pid/3359320</v>
      </c>
    </row>
    <row r="2563" spans="1:8" ht="30" customHeight="1" x14ac:dyDescent="0.15">
      <c r="A2563" s="16" t="s">
        <v>4475</v>
      </c>
      <c r="B2563" s="17" t="s">
        <v>1956</v>
      </c>
      <c r="C2563" s="17" t="s">
        <v>116</v>
      </c>
      <c r="D2563" s="25" t="s">
        <v>4514</v>
      </c>
      <c r="E2563" s="19" t="s">
        <v>4649</v>
      </c>
      <c r="F2563" s="19" t="s">
        <v>4662</v>
      </c>
      <c r="G2563" s="5" t="str">
        <f>HYPERLINK("http://jsmh.umin.jp/journal/34-3/484-487.pdf")</f>
        <v>http://jsmh.umin.jp/journal/34-3/484-487.pdf</v>
      </c>
      <c r="H2563" s="43" t="str">
        <f t="shared" si="195"/>
        <v>http://dl.ndl.go.jp/info:ndljp/pid/3359320</v>
      </c>
    </row>
    <row r="2564" spans="1:8" ht="30" customHeight="1" x14ac:dyDescent="0.15">
      <c r="A2564" s="16" t="s">
        <v>4475</v>
      </c>
      <c r="B2564" s="17" t="s">
        <v>1956</v>
      </c>
      <c r="C2564" s="17" t="s">
        <v>209</v>
      </c>
      <c r="D2564" s="25" t="s">
        <v>4514</v>
      </c>
      <c r="E2564" s="19" t="s">
        <v>4649</v>
      </c>
      <c r="F2564" s="19" t="s">
        <v>4663</v>
      </c>
      <c r="G2564" s="5" t="str">
        <f>HYPERLINK("http://jsmh.umin.jp/journal/34-3/488-499.pdf")</f>
        <v>http://jsmh.umin.jp/journal/34-3/488-499.pdf</v>
      </c>
      <c r="H2564" s="43" t="str">
        <f t="shared" si="195"/>
        <v>http://dl.ndl.go.jp/info:ndljp/pid/3359320</v>
      </c>
    </row>
    <row r="2565" spans="1:8" ht="30" customHeight="1" x14ac:dyDescent="0.15">
      <c r="A2565" s="16" t="s">
        <v>4475</v>
      </c>
      <c r="B2565" s="17" t="s">
        <v>1956</v>
      </c>
      <c r="C2565" s="17" t="s">
        <v>198</v>
      </c>
      <c r="D2565" s="25" t="s">
        <v>4514</v>
      </c>
      <c r="E2565" s="19" t="s">
        <v>4649</v>
      </c>
      <c r="F2565" s="19" t="s">
        <v>4664</v>
      </c>
      <c r="G2565" s="5" t="str">
        <f>HYPERLINK("http://jsmh.umin.jp/journal/34-3/500-505.pdf")</f>
        <v>http://jsmh.umin.jp/journal/34-3/500-505.pdf</v>
      </c>
      <c r="H2565" s="43" t="str">
        <f t="shared" si="195"/>
        <v>http://dl.ndl.go.jp/info:ndljp/pid/3359320</v>
      </c>
    </row>
    <row r="2566" spans="1:8" ht="30" customHeight="1" x14ac:dyDescent="0.15">
      <c r="A2566" s="16" t="s">
        <v>4265</v>
      </c>
      <c r="B2566" s="17" t="s">
        <v>4665</v>
      </c>
      <c r="C2566" s="17" t="s">
        <v>916</v>
      </c>
      <c r="D2566" s="25" t="s">
        <v>4514</v>
      </c>
      <c r="E2566" s="19" t="s">
        <v>4649</v>
      </c>
      <c r="F2566" s="19" t="s">
        <v>4666</v>
      </c>
      <c r="G2566" s="5" t="str">
        <f>HYPERLINK("http://jsmh.umin.jp/journal/34-3/506-514.pdf")</f>
        <v>http://jsmh.umin.jp/journal/34-3/506-514.pdf</v>
      </c>
      <c r="H2566" s="43" t="str">
        <f t="shared" si="195"/>
        <v>http://dl.ndl.go.jp/info:ndljp/pid/3359320</v>
      </c>
    </row>
    <row r="2567" spans="1:8" ht="30" customHeight="1" x14ac:dyDescent="0.15">
      <c r="A2567" s="16" t="s">
        <v>692</v>
      </c>
      <c r="B2567" s="17" t="s">
        <v>10171</v>
      </c>
      <c r="C2567" s="17" t="s">
        <v>1659</v>
      </c>
      <c r="D2567" s="25" t="s">
        <v>4514</v>
      </c>
      <c r="E2567" s="19" t="s">
        <v>4649</v>
      </c>
      <c r="F2567" s="19" t="s">
        <v>4667</v>
      </c>
      <c r="G2567" s="5" t="str">
        <f>HYPERLINK("http://jsmh.umin.jp/journal/34-3/515-519.pdf")</f>
        <v>http://jsmh.umin.jp/journal/34-3/515-519.pdf</v>
      </c>
      <c r="H2567" s="43" t="str">
        <f t="shared" si="195"/>
        <v>http://dl.ndl.go.jp/info:ndljp/pid/3359320</v>
      </c>
    </row>
    <row r="2568" spans="1:8" ht="30" customHeight="1" x14ac:dyDescent="0.15">
      <c r="A2568" s="16" t="s">
        <v>558</v>
      </c>
      <c r="B2568" s="17" t="s">
        <v>4668</v>
      </c>
      <c r="C2568" s="17" t="s">
        <v>2989</v>
      </c>
      <c r="D2568" s="25" t="s">
        <v>4514</v>
      </c>
      <c r="E2568" s="19" t="s">
        <v>4649</v>
      </c>
      <c r="F2568" s="19" t="s">
        <v>4669</v>
      </c>
      <c r="G2568" s="5" t="str">
        <f>HYPERLINK("http://jsmh.umin.jp/journal/34-3/520-521.pdf")</f>
        <v>http://jsmh.umin.jp/journal/34-3/520-521.pdf</v>
      </c>
      <c r="H2568" s="43" t="str">
        <f t="shared" si="195"/>
        <v>http://dl.ndl.go.jp/info:ndljp/pid/3359320</v>
      </c>
    </row>
    <row r="2569" spans="1:8" ht="30" customHeight="1" x14ac:dyDescent="0.15">
      <c r="A2569" s="16" t="s">
        <v>558</v>
      </c>
      <c r="B2569" s="17" t="s">
        <v>4670</v>
      </c>
      <c r="C2569" s="17" t="s">
        <v>444</v>
      </c>
      <c r="D2569" s="25" t="s">
        <v>4514</v>
      </c>
      <c r="E2569" s="19" t="s">
        <v>4649</v>
      </c>
      <c r="F2569" s="19" t="s">
        <v>4671</v>
      </c>
      <c r="G2569" s="26" t="str">
        <f>HYPERLINK("http://jsmh.umin.jp/journal/34-3/522-525.pdf")</f>
        <v>http://jsmh.umin.jp/journal/34-3/522-525.pdf</v>
      </c>
      <c r="H2569" s="43" t="str">
        <f t="shared" si="195"/>
        <v>http://dl.ndl.go.jp/info:ndljp/pid/3359320</v>
      </c>
    </row>
    <row r="2570" spans="1:8" ht="30" customHeight="1" x14ac:dyDescent="0.15">
      <c r="A2570" s="16" t="s">
        <v>558</v>
      </c>
      <c r="B2570" s="17" t="s">
        <v>10172</v>
      </c>
      <c r="C2570" s="17" t="s">
        <v>1972</v>
      </c>
      <c r="D2570" s="25" t="s">
        <v>4514</v>
      </c>
      <c r="E2570" s="19" t="s">
        <v>4649</v>
      </c>
      <c r="F2570" s="19" t="s">
        <v>4671</v>
      </c>
      <c r="G2570" s="26" t="str">
        <f>HYPERLINK("http://jsmh.umin.jp/journal/34-3/522-525.pdf")</f>
        <v>http://jsmh.umin.jp/journal/34-3/522-525.pdf</v>
      </c>
      <c r="H2570" s="43" t="str">
        <f t="shared" si="195"/>
        <v>http://dl.ndl.go.jp/info:ndljp/pid/3359320</v>
      </c>
    </row>
    <row r="2571" spans="1:8" ht="30" customHeight="1" x14ac:dyDescent="0.15">
      <c r="A2571" s="16" t="s">
        <v>558</v>
      </c>
      <c r="B2571" s="17" t="s">
        <v>4672</v>
      </c>
      <c r="C2571" s="17" t="s">
        <v>479</v>
      </c>
      <c r="D2571" s="25" t="s">
        <v>4514</v>
      </c>
      <c r="E2571" s="19" t="s">
        <v>4649</v>
      </c>
      <c r="F2571" s="19" t="s">
        <v>4673</v>
      </c>
      <c r="G2571" s="26" t="str">
        <f>HYPERLINK("http://jsmh.umin.jp/journal/34-3/522-525.pdf")</f>
        <v>http://jsmh.umin.jp/journal/34-3/522-525.pdf</v>
      </c>
      <c r="H2571" s="43" t="str">
        <f t="shared" si="195"/>
        <v>http://dl.ndl.go.jp/info:ndljp/pid/3359320</v>
      </c>
    </row>
    <row r="2572" spans="1:8" ht="30" customHeight="1" x14ac:dyDescent="0.15">
      <c r="A2572" s="16" t="s">
        <v>558</v>
      </c>
      <c r="B2572" s="17" t="s">
        <v>4674</v>
      </c>
      <c r="C2572" s="17" t="s">
        <v>2746</v>
      </c>
      <c r="D2572" s="25" t="s">
        <v>4514</v>
      </c>
      <c r="E2572" s="19" t="s">
        <v>4649</v>
      </c>
      <c r="F2572" s="19" t="s">
        <v>4675</v>
      </c>
      <c r="G2572" s="26" t="str">
        <f>HYPERLINK("http://jsmh.umin.jp/journal/34-3/522-525.pdf")</f>
        <v>http://jsmh.umin.jp/journal/34-3/522-525.pdf</v>
      </c>
      <c r="H2572" s="43" t="str">
        <f t="shared" si="195"/>
        <v>http://dl.ndl.go.jp/info:ndljp/pid/3359320</v>
      </c>
    </row>
    <row r="2573" spans="1:8" ht="30" customHeight="1" x14ac:dyDescent="0.15">
      <c r="A2573" s="16" t="s">
        <v>3720</v>
      </c>
      <c r="B2573" s="17" t="s">
        <v>4676</v>
      </c>
      <c r="C2573" s="17" t="s">
        <v>4677</v>
      </c>
      <c r="D2573" s="25" t="s">
        <v>4514</v>
      </c>
      <c r="E2573" s="19" t="s">
        <v>4649</v>
      </c>
      <c r="F2573" s="19" t="s">
        <v>4483</v>
      </c>
      <c r="G2573" s="5" t="str">
        <f>HYPERLINK("http://jsmh.umin.jp/journal/34-3/527-528.pdf")</f>
        <v>http://jsmh.umin.jp/journal/34-3/527-528.pdf</v>
      </c>
      <c r="H2573" s="43" t="str">
        <f t="shared" si="195"/>
        <v>http://dl.ndl.go.jp/info:ndljp/pid/3359320</v>
      </c>
    </row>
    <row r="2574" spans="1:8" ht="30" customHeight="1" x14ac:dyDescent="0.15">
      <c r="A2574" s="16" t="s">
        <v>3720</v>
      </c>
      <c r="B2574" s="17" t="s">
        <v>4678</v>
      </c>
      <c r="C2574" s="17" t="s">
        <v>4679</v>
      </c>
      <c r="D2574" s="25" t="s">
        <v>4514</v>
      </c>
      <c r="E2574" s="19" t="s">
        <v>4649</v>
      </c>
      <c r="F2574" s="19" t="s">
        <v>4680</v>
      </c>
      <c r="G2574" s="5" t="str">
        <f>HYPERLINK("http://jsmh.umin.jp/journal/34-3/528.pdf")</f>
        <v>http://jsmh.umin.jp/journal/34-3/528.pdf</v>
      </c>
      <c r="H2574" s="43" t="str">
        <f t="shared" si="195"/>
        <v>http://dl.ndl.go.jp/info:ndljp/pid/3359320</v>
      </c>
    </row>
    <row r="2575" spans="1:8" ht="30" customHeight="1" x14ac:dyDescent="0.15">
      <c r="A2575" s="16" t="s">
        <v>2990</v>
      </c>
      <c r="B2575" s="17" t="s">
        <v>4681</v>
      </c>
      <c r="C2575" s="17" t="s">
        <v>1659</v>
      </c>
      <c r="D2575" s="25" t="s">
        <v>4514</v>
      </c>
      <c r="E2575" s="19" t="s">
        <v>4649</v>
      </c>
      <c r="F2575" s="19" t="s">
        <v>4682</v>
      </c>
      <c r="G2575" s="26" t="str">
        <f t="shared" ref="G2575:G2590" si="196">HYPERLINK("http://jsmh.umin.jp/journal/34-3/529-547.pdf")</f>
        <v>http://jsmh.umin.jp/journal/34-3/529-547.pdf</v>
      </c>
      <c r="H2575" s="45" t="str">
        <f t="shared" si="195"/>
        <v>http://dl.ndl.go.jp/info:ndljp/pid/3359320</v>
      </c>
    </row>
    <row r="2576" spans="1:8" ht="30" customHeight="1" x14ac:dyDescent="0.15">
      <c r="A2576" s="16" t="s">
        <v>2990</v>
      </c>
      <c r="B2576" s="17" t="s">
        <v>4683</v>
      </c>
      <c r="C2576" s="17" t="s">
        <v>2100</v>
      </c>
      <c r="D2576" s="25" t="s">
        <v>4514</v>
      </c>
      <c r="E2576" s="19" t="s">
        <v>4649</v>
      </c>
      <c r="F2576" s="19" t="s">
        <v>4490</v>
      </c>
      <c r="G2576" s="26" t="str">
        <f t="shared" si="196"/>
        <v>http://jsmh.umin.jp/journal/34-3/529-547.pdf</v>
      </c>
      <c r="H2576" s="45" t="str">
        <f t="shared" si="195"/>
        <v>http://dl.ndl.go.jp/info:ndljp/pid/3359320</v>
      </c>
    </row>
    <row r="2577" spans="1:8" ht="30" customHeight="1" x14ac:dyDescent="0.15">
      <c r="A2577" s="16" t="s">
        <v>2990</v>
      </c>
      <c r="B2577" s="17" t="s">
        <v>4684</v>
      </c>
      <c r="C2577" s="17" t="s">
        <v>4685</v>
      </c>
      <c r="D2577" s="25" t="s">
        <v>4514</v>
      </c>
      <c r="E2577" s="19" t="s">
        <v>4649</v>
      </c>
      <c r="F2577" s="19" t="s">
        <v>4686</v>
      </c>
      <c r="G2577" s="26" t="str">
        <f t="shared" si="196"/>
        <v>http://jsmh.umin.jp/journal/34-3/529-547.pdf</v>
      </c>
      <c r="H2577" s="45" t="str">
        <f t="shared" si="195"/>
        <v>http://dl.ndl.go.jp/info:ndljp/pid/3359320</v>
      </c>
    </row>
    <row r="2578" spans="1:8" ht="30" customHeight="1" x14ac:dyDescent="0.15">
      <c r="A2578" s="16" t="s">
        <v>2990</v>
      </c>
      <c r="B2578" s="17" t="s">
        <v>4687</v>
      </c>
      <c r="C2578" s="17" t="s">
        <v>4222</v>
      </c>
      <c r="D2578" s="25" t="s">
        <v>4514</v>
      </c>
      <c r="E2578" s="19" t="s">
        <v>4649</v>
      </c>
      <c r="F2578" s="19" t="s">
        <v>4688</v>
      </c>
      <c r="G2578" s="26" t="str">
        <f t="shared" si="196"/>
        <v>http://jsmh.umin.jp/journal/34-3/529-547.pdf</v>
      </c>
      <c r="H2578" s="45" t="str">
        <f t="shared" si="195"/>
        <v>http://dl.ndl.go.jp/info:ndljp/pid/3359320</v>
      </c>
    </row>
    <row r="2579" spans="1:8" ht="30" customHeight="1" x14ac:dyDescent="0.15">
      <c r="A2579" s="16" t="s">
        <v>2990</v>
      </c>
      <c r="B2579" s="17" t="s">
        <v>4689</v>
      </c>
      <c r="C2579" s="17" t="s">
        <v>838</v>
      </c>
      <c r="D2579" s="25" t="s">
        <v>4514</v>
      </c>
      <c r="E2579" s="19" t="s">
        <v>4649</v>
      </c>
      <c r="F2579" s="19" t="s">
        <v>4690</v>
      </c>
      <c r="G2579" s="26" t="str">
        <f t="shared" si="196"/>
        <v>http://jsmh.umin.jp/journal/34-3/529-547.pdf</v>
      </c>
      <c r="H2579" s="45" t="str">
        <f t="shared" si="195"/>
        <v>http://dl.ndl.go.jp/info:ndljp/pid/3359320</v>
      </c>
    </row>
    <row r="2580" spans="1:8" ht="30" customHeight="1" x14ac:dyDescent="0.15">
      <c r="A2580" s="16" t="s">
        <v>2990</v>
      </c>
      <c r="B2580" s="17" t="s">
        <v>4691</v>
      </c>
      <c r="C2580" s="17" t="s">
        <v>4106</v>
      </c>
      <c r="D2580" s="25" t="s">
        <v>4514</v>
      </c>
      <c r="E2580" s="19" t="s">
        <v>4649</v>
      </c>
      <c r="F2580" s="19" t="s">
        <v>4493</v>
      </c>
      <c r="G2580" s="26" t="str">
        <f t="shared" si="196"/>
        <v>http://jsmh.umin.jp/journal/34-3/529-547.pdf</v>
      </c>
      <c r="H2580" s="45" t="str">
        <f t="shared" si="195"/>
        <v>http://dl.ndl.go.jp/info:ndljp/pid/3359320</v>
      </c>
    </row>
    <row r="2581" spans="1:8" ht="30" customHeight="1" x14ac:dyDescent="0.15">
      <c r="A2581" s="16" t="s">
        <v>2990</v>
      </c>
      <c r="B2581" s="17" t="s">
        <v>4692</v>
      </c>
      <c r="C2581" s="17" t="s">
        <v>3482</v>
      </c>
      <c r="D2581" s="25" t="s">
        <v>4514</v>
      </c>
      <c r="E2581" s="19" t="s">
        <v>4649</v>
      </c>
      <c r="F2581" s="19" t="s">
        <v>3567</v>
      </c>
      <c r="G2581" s="26" t="str">
        <f t="shared" si="196"/>
        <v>http://jsmh.umin.jp/journal/34-3/529-547.pdf</v>
      </c>
      <c r="H2581" s="45" t="str">
        <f t="shared" si="195"/>
        <v>http://dl.ndl.go.jp/info:ndljp/pid/3359320</v>
      </c>
    </row>
    <row r="2582" spans="1:8" ht="30" customHeight="1" x14ac:dyDescent="0.15">
      <c r="A2582" s="16" t="s">
        <v>2990</v>
      </c>
      <c r="B2582" s="17" t="s">
        <v>4693</v>
      </c>
      <c r="C2582" s="17" t="s">
        <v>2233</v>
      </c>
      <c r="D2582" s="25" t="s">
        <v>4514</v>
      </c>
      <c r="E2582" s="19" t="s">
        <v>4649</v>
      </c>
      <c r="F2582" s="19" t="s">
        <v>4694</v>
      </c>
      <c r="G2582" s="26" t="str">
        <f t="shared" si="196"/>
        <v>http://jsmh.umin.jp/journal/34-3/529-547.pdf</v>
      </c>
      <c r="H2582" s="45" t="str">
        <f t="shared" si="195"/>
        <v>http://dl.ndl.go.jp/info:ndljp/pid/3359320</v>
      </c>
    </row>
    <row r="2583" spans="1:8" ht="30" customHeight="1" x14ac:dyDescent="0.15">
      <c r="A2583" s="16" t="s">
        <v>2990</v>
      </c>
      <c r="B2583" s="17" t="s">
        <v>4695</v>
      </c>
      <c r="C2583" s="17" t="s">
        <v>3196</v>
      </c>
      <c r="D2583" s="25" t="s">
        <v>4514</v>
      </c>
      <c r="E2583" s="19" t="s">
        <v>4649</v>
      </c>
      <c r="F2583" s="19" t="s">
        <v>4498</v>
      </c>
      <c r="G2583" s="26" t="str">
        <f t="shared" si="196"/>
        <v>http://jsmh.umin.jp/journal/34-3/529-547.pdf</v>
      </c>
      <c r="H2583" s="45" t="str">
        <f t="shared" si="195"/>
        <v>http://dl.ndl.go.jp/info:ndljp/pid/3359320</v>
      </c>
    </row>
    <row r="2584" spans="1:8" ht="30" customHeight="1" x14ac:dyDescent="0.15">
      <c r="A2584" s="16" t="s">
        <v>2990</v>
      </c>
      <c r="B2584" s="17" t="s">
        <v>4696</v>
      </c>
      <c r="C2584" s="17" t="s">
        <v>4697</v>
      </c>
      <c r="D2584" s="25" t="s">
        <v>4514</v>
      </c>
      <c r="E2584" s="19" t="s">
        <v>4649</v>
      </c>
      <c r="F2584" s="19" t="s">
        <v>4500</v>
      </c>
      <c r="G2584" s="26" t="str">
        <f t="shared" si="196"/>
        <v>http://jsmh.umin.jp/journal/34-3/529-547.pdf</v>
      </c>
      <c r="H2584" s="45" t="str">
        <f t="shared" si="195"/>
        <v>http://dl.ndl.go.jp/info:ndljp/pid/3359320</v>
      </c>
    </row>
    <row r="2585" spans="1:8" ht="30" customHeight="1" x14ac:dyDescent="0.15">
      <c r="A2585" s="16" t="s">
        <v>2990</v>
      </c>
      <c r="B2585" s="17" t="s">
        <v>4698</v>
      </c>
      <c r="C2585" s="17" t="s">
        <v>10173</v>
      </c>
      <c r="D2585" s="25" t="s">
        <v>4514</v>
      </c>
      <c r="E2585" s="19" t="s">
        <v>4649</v>
      </c>
      <c r="F2585" s="19" t="s">
        <v>4699</v>
      </c>
      <c r="G2585" s="26" t="str">
        <f t="shared" si="196"/>
        <v>http://jsmh.umin.jp/journal/34-3/529-547.pdf</v>
      </c>
      <c r="H2585" s="45" t="str">
        <f t="shared" si="195"/>
        <v>http://dl.ndl.go.jp/info:ndljp/pid/3359320</v>
      </c>
    </row>
    <row r="2586" spans="1:8" ht="30" customHeight="1" x14ac:dyDescent="0.15">
      <c r="A2586" s="16" t="s">
        <v>2990</v>
      </c>
      <c r="B2586" s="17" t="s">
        <v>4700</v>
      </c>
      <c r="C2586" s="17" t="s">
        <v>2465</v>
      </c>
      <c r="D2586" s="25" t="s">
        <v>4514</v>
      </c>
      <c r="E2586" s="19" t="s">
        <v>4649</v>
      </c>
      <c r="F2586" s="19" t="s">
        <v>4701</v>
      </c>
      <c r="G2586" s="26" t="str">
        <f t="shared" si="196"/>
        <v>http://jsmh.umin.jp/journal/34-3/529-547.pdf</v>
      </c>
      <c r="H2586" s="45" t="str">
        <f t="shared" si="195"/>
        <v>http://dl.ndl.go.jp/info:ndljp/pid/3359320</v>
      </c>
    </row>
    <row r="2587" spans="1:8" ht="30" customHeight="1" x14ac:dyDescent="0.15">
      <c r="A2587" s="16" t="s">
        <v>2990</v>
      </c>
      <c r="B2587" s="17" t="s">
        <v>10174</v>
      </c>
      <c r="C2587" s="17" t="s">
        <v>4039</v>
      </c>
      <c r="D2587" s="25" t="s">
        <v>4514</v>
      </c>
      <c r="E2587" s="19" t="s">
        <v>4649</v>
      </c>
      <c r="F2587" s="19" t="s">
        <v>4505</v>
      </c>
      <c r="G2587" s="26" t="str">
        <f t="shared" si="196"/>
        <v>http://jsmh.umin.jp/journal/34-3/529-547.pdf</v>
      </c>
      <c r="H2587" s="45" t="str">
        <f t="shared" si="195"/>
        <v>http://dl.ndl.go.jp/info:ndljp/pid/3359320</v>
      </c>
    </row>
    <row r="2588" spans="1:8" ht="30" customHeight="1" x14ac:dyDescent="0.15">
      <c r="A2588" s="16" t="s">
        <v>2990</v>
      </c>
      <c r="B2588" s="17" t="s">
        <v>4702</v>
      </c>
      <c r="C2588" s="17" t="s">
        <v>4703</v>
      </c>
      <c r="D2588" s="25" t="s">
        <v>4514</v>
      </c>
      <c r="E2588" s="19" t="s">
        <v>4649</v>
      </c>
      <c r="F2588" s="19" t="s">
        <v>4508</v>
      </c>
      <c r="G2588" s="26" t="str">
        <f t="shared" si="196"/>
        <v>http://jsmh.umin.jp/journal/34-3/529-547.pdf</v>
      </c>
      <c r="H2588" s="45" t="str">
        <f t="shared" si="195"/>
        <v>http://dl.ndl.go.jp/info:ndljp/pid/3359320</v>
      </c>
    </row>
    <row r="2589" spans="1:8" ht="30" customHeight="1" x14ac:dyDescent="0.15">
      <c r="A2589" s="16" t="s">
        <v>2990</v>
      </c>
      <c r="B2589" s="17" t="s">
        <v>4704</v>
      </c>
      <c r="C2589" s="17" t="s">
        <v>3998</v>
      </c>
      <c r="D2589" s="25" t="s">
        <v>4514</v>
      </c>
      <c r="E2589" s="19" t="s">
        <v>4649</v>
      </c>
      <c r="F2589" s="19" t="s">
        <v>4705</v>
      </c>
      <c r="G2589" s="26" t="str">
        <f t="shared" si="196"/>
        <v>http://jsmh.umin.jp/journal/34-3/529-547.pdf</v>
      </c>
      <c r="H2589" s="45" t="str">
        <f t="shared" si="195"/>
        <v>http://dl.ndl.go.jp/info:ndljp/pid/3359320</v>
      </c>
    </row>
    <row r="2590" spans="1:8" ht="30" customHeight="1" x14ac:dyDescent="0.15">
      <c r="A2590" s="16" t="s">
        <v>2990</v>
      </c>
      <c r="B2590" s="17" t="s">
        <v>4706</v>
      </c>
      <c r="C2590" s="17" t="s">
        <v>3655</v>
      </c>
      <c r="D2590" s="25" t="s">
        <v>4514</v>
      </c>
      <c r="E2590" s="19" t="s">
        <v>4649</v>
      </c>
      <c r="F2590" s="19" t="s">
        <v>4707</v>
      </c>
      <c r="G2590" s="26" t="str">
        <f t="shared" si="196"/>
        <v>http://jsmh.umin.jp/journal/34-3/529-547.pdf</v>
      </c>
      <c r="H2590" s="45" t="str">
        <f t="shared" si="195"/>
        <v>http://dl.ndl.go.jp/info:ndljp/pid/3359320</v>
      </c>
    </row>
    <row r="2591" spans="1:8" ht="30" customHeight="1" x14ac:dyDescent="0.15">
      <c r="A2591" s="16" t="s">
        <v>17</v>
      </c>
      <c r="B2591" s="17" t="s">
        <v>4708</v>
      </c>
      <c r="C2591" s="17" t="s">
        <v>2465</v>
      </c>
      <c r="D2591" s="25" t="s">
        <v>4514</v>
      </c>
      <c r="E2591" s="19" t="s">
        <v>4709</v>
      </c>
      <c r="F2591" s="19" t="s">
        <v>4710</v>
      </c>
      <c r="G2591" s="5" t="str">
        <f>HYPERLINK("http://jsmh.umin.jp/journal/34-4/553-567.pdf")</f>
        <v>http://jsmh.umin.jp/journal/34-4/553-567.pdf</v>
      </c>
      <c r="H2591" s="42" t="str">
        <f t="shared" ref="H2591:H2614" si="197">HYPERLINK("http://dl.ndl.go.jp/info:ndljp/pid/3359321")</f>
        <v>http://dl.ndl.go.jp/info:ndljp/pid/3359321</v>
      </c>
    </row>
    <row r="2592" spans="1:8" ht="30" customHeight="1" x14ac:dyDescent="0.15">
      <c r="A2592" s="16" t="s">
        <v>17</v>
      </c>
      <c r="B2592" s="17" t="s">
        <v>4711</v>
      </c>
      <c r="C2592" s="17" t="s">
        <v>4342</v>
      </c>
      <c r="D2592" s="25" t="s">
        <v>4514</v>
      </c>
      <c r="E2592" s="19" t="s">
        <v>4709</v>
      </c>
      <c r="F2592" s="19" t="s">
        <v>4712</v>
      </c>
      <c r="G2592" s="5" t="str">
        <f>HYPERLINK("http://jsmh.umin.jp/journal/34-4/568-584.pdf")</f>
        <v>http://jsmh.umin.jp/journal/34-4/568-584.pdf</v>
      </c>
      <c r="H2592" s="43" t="str">
        <f t="shared" si="197"/>
        <v>http://dl.ndl.go.jp/info:ndljp/pid/3359321</v>
      </c>
    </row>
    <row r="2593" spans="1:8" ht="30" customHeight="1" x14ac:dyDescent="0.15">
      <c r="A2593" s="16" t="s">
        <v>17</v>
      </c>
      <c r="B2593" s="17" t="s">
        <v>4713</v>
      </c>
      <c r="C2593" s="17" t="s">
        <v>3010</v>
      </c>
      <c r="D2593" s="25" t="s">
        <v>4514</v>
      </c>
      <c r="E2593" s="19" t="s">
        <v>4709</v>
      </c>
      <c r="F2593" s="19" t="s">
        <v>4714</v>
      </c>
      <c r="G2593" s="5" t="str">
        <f>HYPERLINK("http://jsmh.umin.jp/journal/34-4/585-600.pdf")</f>
        <v>http://jsmh.umin.jp/journal/34-4/585-600.pdf</v>
      </c>
      <c r="H2593" s="43" t="str">
        <f t="shared" si="197"/>
        <v>http://dl.ndl.go.jp/info:ndljp/pid/3359321</v>
      </c>
    </row>
    <row r="2594" spans="1:8" ht="30" customHeight="1" x14ac:dyDescent="0.15">
      <c r="A2594" s="16" t="s">
        <v>4475</v>
      </c>
      <c r="B2594" s="17" t="s">
        <v>1956</v>
      </c>
      <c r="C2594" s="17" t="s">
        <v>1602</v>
      </c>
      <c r="D2594" s="25" t="s">
        <v>4514</v>
      </c>
      <c r="E2594" s="19" t="s">
        <v>4709</v>
      </c>
      <c r="F2594" s="19" t="s">
        <v>4715</v>
      </c>
      <c r="G2594" s="5" t="str">
        <f>HYPERLINK("http://jsmh.umin.jp/journal/34-4/601-606.pdf")</f>
        <v>http://jsmh.umin.jp/journal/34-4/601-606.pdf</v>
      </c>
      <c r="H2594" s="43" t="str">
        <f t="shared" si="197"/>
        <v>http://dl.ndl.go.jp/info:ndljp/pid/3359321</v>
      </c>
    </row>
    <row r="2595" spans="1:8" ht="30" customHeight="1" x14ac:dyDescent="0.15">
      <c r="A2595" s="16" t="s">
        <v>4475</v>
      </c>
      <c r="B2595" s="17" t="s">
        <v>1956</v>
      </c>
      <c r="C2595" s="17" t="s">
        <v>69</v>
      </c>
      <c r="D2595" s="25" t="s">
        <v>4514</v>
      </c>
      <c r="E2595" s="19" t="s">
        <v>4709</v>
      </c>
      <c r="F2595" s="19" t="s">
        <v>4716</v>
      </c>
      <c r="G2595" s="5" t="str">
        <f>HYPERLINK("http://jsmh.umin.jp/journal/34-4/607-614.pdf")</f>
        <v>http://jsmh.umin.jp/journal/34-4/607-614.pdf</v>
      </c>
      <c r="H2595" s="43" t="str">
        <f t="shared" si="197"/>
        <v>http://dl.ndl.go.jp/info:ndljp/pid/3359321</v>
      </c>
    </row>
    <row r="2596" spans="1:8" ht="30" customHeight="1" x14ac:dyDescent="0.15">
      <c r="A2596" s="16" t="s">
        <v>4475</v>
      </c>
      <c r="B2596" s="17" t="s">
        <v>4717</v>
      </c>
      <c r="C2596" s="17" t="s">
        <v>4718</v>
      </c>
      <c r="D2596" s="25" t="s">
        <v>4514</v>
      </c>
      <c r="E2596" s="19" t="s">
        <v>4709</v>
      </c>
      <c r="F2596" s="19" t="s">
        <v>4719</v>
      </c>
      <c r="G2596" s="5" t="str">
        <f>HYPERLINK("http://jsmh.umin.jp/journal/34-4/615-624.pdf")</f>
        <v>http://jsmh.umin.jp/journal/34-4/615-624.pdf</v>
      </c>
      <c r="H2596" s="43" t="str">
        <f t="shared" si="197"/>
        <v>http://dl.ndl.go.jp/info:ndljp/pid/3359321</v>
      </c>
    </row>
    <row r="2597" spans="1:8" ht="30" customHeight="1" x14ac:dyDescent="0.15">
      <c r="A2597" s="16" t="s">
        <v>4475</v>
      </c>
      <c r="B2597" s="17" t="s">
        <v>4720</v>
      </c>
      <c r="C2597" s="17" t="s">
        <v>1338</v>
      </c>
      <c r="D2597" s="25" t="s">
        <v>4514</v>
      </c>
      <c r="E2597" s="19" t="s">
        <v>4709</v>
      </c>
      <c r="F2597" s="19" t="s">
        <v>4721</v>
      </c>
      <c r="G2597" s="5" t="str">
        <f>HYPERLINK("http://jsmh.umin.jp/journal/34-4/625-630.pdf")</f>
        <v>http://jsmh.umin.jp/journal/34-4/625-630.pdf</v>
      </c>
      <c r="H2597" s="43" t="str">
        <f t="shared" si="197"/>
        <v>http://dl.ndl.go.jp/info:ndljp/pid/3359321</v>
      </c>
    </row>
    <row r="2598" spans="1:8" ht="30" customHeight="1" x14ac:dyDescent="0.15">
      <c r="A2598" s="16"/>
      <c r="B2598" s="17" t="s">
        <v>10574</v>
      </c>
      <c r="C2598" s="17"/>
      <c r="D2598" s="25" t="s">
        <v>4514</v>
      </c>
      <c r="E2598" s="19" t="s">
        <v>4709</v>
      </c>
      <c r="F2598" s="19" t="s">
        <v>10575</v>
      </c>
      <c r="G2598" s="26" t="str">
        <f>HYPERLINK("http://jsmh.umin.jp/journal/34-4/631.pdf")</f>
        <v>http://jsmh.umin.jp/journal/34-4/631.pdf</v>
      </c>
      <c r="H2598" s="43" t="str">
        <f t="shared" si="197"/>
        <v>http://dl.ndl.go.jp/info:ndljp/pid/3359321</v>
      </c>
    </row>
    <row r="2599" spans="1:8" ht="30" customHeight="1" x14ac:dyDescent="0.15">
      <c r="A2599" s="16" t="s">
        <v>4633</v>
      </c>
      <c r="B2599" s="17" t="s">
        <v>4722</v>
      </c>
      <c r="C2599" s="17" t="s">
        <v>4103</v>
      </c>
      <c r="D2599" s="25" t="s">
        <v>4514</v>
      </c>
      <c r="E2599" s="19" t="s">
        <v>4709</v>
      </c>
      <c r="F2599" s="19" t="s">
        <v>4723</v>
      </c>
      <c r="G2599" s="5" t="str">
        <f>HYPERLINK("http://jsmh.umin.jp/journal/34-4/632-633.pdf")</f>
        <v>http://jsmh.umin.jp/journal/34-4/632-633.pdf</v>
      </c>
      <c r="H2599" s="43" t="str">
        <f t="shared" si="197"/>
        <v>http://dl.ndl.go.jp/info:ndljp/pid/3359321</v>
      </c>
    </row>
    <row r="2600" spans="1:8" ht="30" customHeight="1" x14ac:dyDescent="0.15">
      <c r="A2600" s="16" t="s">
        <v>558</v>
      </c>
      <c r="B2600" s="17" t="s">
        <v>4724</v>
      </c>
      <c r="C2600" s="17"/>
      <c r="D2600" s="25" t="s">
        <v>4514</v>
      </c>
      <c r="E2600" s="19" t="s">
        <v>4709</v>
      </c>
      <c r="F2600" s="19" t="s">
        <v>4725</v>
      </c>
      <c r="G2600" s="5" t="str">
        <f>HYPERLINK("http://jsmh.umin.jp/journal/34-4/634-635.pdf")</f>
        <v>http://jsmh.umin.jp/journal/34-4/634-635.pdf</v>
      </c>
      <c r="H2600" s="43" t="str">
        <f t="shared" si="197"/>
        <v>http://dl.ndl.go.jp/info:ndljp/pid/3359321</v>
      </c>
    </row>
    <row r="2601" spans="1:8" ht="30" customHeight="1" x14ac:dyDescent="0.15">
      <c r="A2601" s="16" t="s">
        <v>3720</v>
      </c>
      <c r="B2601" s="17" t="s">
        <v>4726</v>
      </c>
      <c r="C2601" s="17" t="s">
        <v>4727</v>
      </c>
      <c r="D2601" s="25" t="s">
        <v>4514</v>
      </c>
      <c r="E2601" s="19" t="s">
        <v>4709</v>
      </c>
      <c r="F2601" s="19" t="s">
        <v>4728</v>
      </c>
      <c r="G2601" s="5" t="str">
        <f>HYPERLINK("http://jsmh.umin.jp/journal/34-4/636-636.pdf")</f>
        <v>http://jsmh.umin.jp/journal/34-4/636-636.pdf</v>
      </c>
      <c r="H2601" s="43" t="str">
        <f t="shared" si="197"/>
        <v>http://dl.ndl.go.jp/info:ndljp/pid/3359321</v>
      </c>
    </row>
    <row r="2602" spans="1:8" ht="30" customHeight="1" x14ac:dyDescent="0.15">
      <c r="A2602" s="16" t="s">
        <v>558</v>
      </c>
      <c r="B2602" s="17" t="s">
        <v>704</v>
      </c>
      <c r="C2602" s="17"/>
      <c r="D2602" s="25" t="s">
        <v>4514</v>
      </c>
      <c r="E2602" s="19" t="s">
        <v>4709</v>
      </c>
      <c r="F2602" s="19" t="s">
        <v>4729</v>
      </c>
      <c r="G2602" s="5" t="str">
        <f>HYPERLINK("http://jsmh.umin.jp/journal/34-4/636.pdf")</f>
        <v>http://jsmh.umin.jp/journal/34-4/636.pdf</v>
      </c>
      <c r="H2602" s="43" t="str">
        <f t="shared" si="197"/>
        <v>http://dl.ndl.go.jp/info:ndljp/pid/3359321</v>
      </c>
    </row>
    <row r="2603" spans="1:8" ht="30" customHeight="1" x14ac:dyDescent="0.15">
      <c r="A2603" s="16" t="s">
        <v>2990</v>
      </c>
      <c r="B2603" s="17" t="s">
        <v>4730</v>
      </c>
      <c r="C2603" s="17" t="s">
        <v>3778</v>
      </c>
      <c r="D2603" s="25" t="s">
        <v>4514</v>
      </c>
      <c r="E2603" s="19" t="s">
        <v>4709</v>
      </c>
      <c r="F2603" s="19" t="s">
        <v>4731</v>
      </c>
      <c r="G2603" s="26" t="str">
        <f t="shared" ref="G2603:G2613" si="198">HYPERLINK("http://jsmh.umin.jp/journal/34-4/637-648.pdf")</f>
        <v>http://jsmh.umin.jp/journal/34-4/637-648.pdf</v>
      </c>
      <c r="H2603" s="45" t="str">
        <f t="shared" si="197"/>
        <v>http://dl.ndl.go.jp/info:ndljp/pid/3359321</v>
      </c>
    </row>
    <row r="2604" spans="1:8" ht="30" customHeight="1" x14ac:dyDescent="0.15">
      <c r="A2604" s="16" t="s">
        <v>2990</v>
      </c>
      <c r="B2604" s="17" t="s">
        <v>4732</v>
      </c>
      <c r="C2604" s="17" t="s">
        <v>4733</v>
      </c>
      <c r="D2604" s="25" t="s">
        <v>4514</v>
      </c>
      <c r="E2604" s="19" t="s">
        <v>4709</v>
      </c>
      <c r="F2604" s="19" t="s">
        <v>4734</v>
      </c>
      <c r="G2604" s="26" t="str">
        <f t="shared" si="198"/>
        <v>http://jsmh.umin.jp/journal/34-4/637-648.pdf</v>
      </c>
      <c r="H2604" s="45" t="str">
        <f t="shared" si="197"/>
        <v>http://dl.ndl.go.jp/info:ndljp/pid/3359321</v>
      </c>
    </row>
    <row r="2605" spans="1:8" ht="30" customHeight="1" x14ac:dyDescent="0.15">
      <c r="A2605" s="16" t="s">
        <v>2990</v>
      </c>
      <c r="B2605" s="17" t="s">
        <v>4735</v>
      </c>
      <c r="C2605" s="17" t="s">
        <v>838</v>
      </c>
      <c r="D2605" s="25" t="s">
        <v>4514</v>
      </c>
      <c r="E2605" s="19" t="s">
        <v>4709</v>
      </c>
      <c r="F2605" s="19" t="s">
        <v>4736</v>
      </c>
      <c r="G2605" s="26" t="str">
        <f t="shared" si="198"/>
        <v>http://jsmh.umin.jp/journal/34-4/637-648.pdf</v>
      </c>
      <c r="H2605" s="45" t="str">
        <f t="shared" si="197"/>
        <v>http://dl.ndl.go.jp/info:ndljp/pid/3359321</v>
      </c>
    </row>
    <row r="2606" spans="1:8" ht="30" customHeight="1" x14ac:dyDescent="0.15">
      <c r="A2606" s="16" t="s">
        <v>2990</v>
      </c>
      <c r="B2606" s="17" t="s">
        <v>4737</v>
      </c>
      <c r="C2606" s="17" t="s">
        <v>838</v>
      </c>
      <c r="D2606" s="25" t="s">
        <v>4514</v>
      </c>
      <c r="E2606" s="19" t="s">
        <v>4709</v>
      </c>
      <c r="F2606" s="19" t="s">
        <v>4738</v>
      </c>
      <c r="G2606" s="26" t="str">
        <f t="shared" si="198"/>
        <v>http://jsmh.umin.jp/journal/34-4/637-648.pdf</v>
      </c>
      <c r="H2606" s="45" t="str">
        <f t="shared" si="197"/>
        <v>http://dl.ndl.go.jp/info:ndljp/pid/3359321</v>
      </c>
    </row>
    <row r="2607" spans="1:8" ht="30" customHeight="1" x14ac:dyDescent="0.15">
      <c r="A2607" s="16" t="s">
        <v>2990</v>
      </c>
      <c r="B2607" s="17" t="s">
        <v>4739</v>
      </c>
      <c r="C2607" s="17" t="s">
        <v>10168</v>
      </c>
      <c r="D2607" s="25" t="s">
        <v>4514</v>
      </c>
      <c r="E2607" s="19" t="s">
        <v>4709</v>
      </c>
      <c r="F2607" s="19" t="s">
        <v>4740</v>
      </c>
      <c r="G2607" s="26" t="str">
        <f t="shared" si="198"/>
        <v>http://jsmh.umin.jp/journal/34-4/637-648.pdf</v>
      </c>
      <c r="H2607" s="45" t="str">
        <f t="shared" si="197"/>
        <v>http://dl.ndl.go.jp/info:ndljp/pid/3359321</v>
      </c>
    </row>
    <row r="2608" spans="1:8" ht="30" customHeight="1" x14ac:dyDescent="0.15">
      <c r="A2608" s="16" t="s">
        <v>2990</v>
      </c>
      <c r="B2608" s="17" t="s">
        <v>4741</v>
      </c>
      <c r="C2608" s="17" t="s">
        <v>273</v>
      </c>
      <c r="D2608" s="25" t="s">
        <v>4514</v>
      </c>
      <c r="E2608" s="19" t="s">
        <v>4709</v>
      </c>
      <c r="F2608" s="19" t="s">
        <v>4742</v>
      </c>
      <c r="G2608" s="26" t="str">
        <f t="shared" si="198"/>
        <v>http://jsmh.umin.jp/journal/34-4/637-648.pdf</v>
      </c>
      <c r="H2608" s="45" t="str">
        <f t="shared" si="197"/>
        <v>http://dl.ndl.go.jp/info:ndljp/pid/3359321</v>
      </c>
    </row>
    <row r="2609" spans="1:8" ht="30" customHeight="1" x14ac:dyDescent="0.15">
      <c r="A2609" s="16" t="s">
        <v>2990</v>
      </c>
      <c r="B2609" s="17" t="s">
        <v>4743</v>
      </c>
      <c r="C2609" s="17" t="s">
        <v>627</v>
      </c>
      <c r="D2609" s="25" t="s">
        <v>4514</v>
      </c>
      <c r="E2609" s="19" t="s">
        <v>4709</v>
      </c>
      <c r="F2609" s="19" t="s">
        <v>4744</v>
      </c>
      <c r="G2609" s="26" t="str">
        <f t="shared" si="198"/>
        <v>http://jsmh.umin.jp/journal/34-4/637-648.pdf</v>
      </c>
      <c r="H2609" s="45" t="str">
        <f t="shared" si="197"/>
        <v>http://dl.ndl.go.jp/info:ndljp/pid/3359321</v>
      </c>
    </row>
    <row r="2610" spans="1:8" ht="30" customHeight="1" x14ac:dyDescent="0.15">
      <c r="A2610" s="16" t="s">
        <v>2990</v>
      </c>
      <c r="B2610" s="17" t="s">
        <v>4745</v>
      </c>
      <c r="C2610" s="17" t="s">
        <v>1338</v>
      </c>
      <c r="D2610" s="25" t="s">
        <v>4514</v>
      </c>
      <c r="E2610" s="19" t="s">
        <v>4709</v>
      </c>
      <c r="F2610" s="19" t="s">
        <v>4746</v>
      </c>
      <c r="G2610" s="26" t="str">
        <f t="shared" si="198"/>
        <v>http://jsmh.umin.jp/journal/34-4/637-648.pdf</v>
      </c>
      <c r="H2610" s="45" t="str">
        <f t="shared" si="197"/>
        <v>http://dl.ndl.go.jp/info:ndljp/pid/3359321</v>
      </c>
    </row>
    <row r="2611" spans="1:8" ht="30" customHeight="1" x14ac:dyDescent="0.15">
      <c r="A2611" s="16" t="s">
        <v>2990</v>
      </c>
      <c r="B2611" s="17" t="s">
        <v>4747</v>
      </c>
      <c r="C2611" s="17" t="s">
        <v>2386</v>
      </c>
      <c r="D2611" s="25" t="s">
        <v>4514</v>
      </c>
      <c r="E2611" s="19" t="s">
        <v>4709</v>
      </c>
      <c r="F2611" s="19" t="s">
        <v>4748</v>
      </c>
      <c r="G2611" s="26" t="str">
        <f t="shared" si="198"/>
        <v>http://jsmh.umin.jp/journal/34-4/637-648.pdf</v>
      </c>
      <c r="H2611" s="45" t="str">
        <f t="shared" si="197"/>
        <v>http://dl.ndl.go.jp/info:ndljp/pid/3359321</v>
      </c>
    </row>
    <row r="2612" spans="1:8" ht="30" customHeight="1" x14ac:dyDescent="0.15">
      <c r="A2612" s="16" t="s">
        <v>2990</v>
      </c>
      <c r="B2612" s="17" t="s">
        <v>4749</v>
      </c>
      <c r="C2612" s="17" t="s">
        <v>3432</v>
      </c>
      <c r="D2612" s="25" t="s">
        <v>4514</v>
      </c>
      <c r="E2612" s="19" t="s">
        <v>4709</v>
      </c>
      <c r="F2612" s="19" t="s">
        <v>4750</v>
      </c>
      <c r="G2612" s="26" t="str">
        <f t="shared" si="198"/>
        <v>http://jsmh.umin.jp/journal/34-4/637-648.pdf</v>
      </c>
      <c r="H2612" s="45" t="str">
        <f t="shared" si="197"/>
        <v>http://dl.ndl.go.jp/info:ndljp/pid/3359321</v>
      </c>
    </row>
    <row r="2613" spans="1:8" ht="30" customHeight="1" x14ac:dyDescent="0.15">
      <c r="A2613" s="16" t="s">
        <v>2990</v>
      </c>
      <c r="B2613" s="17" t="s">
        <v>4751</v>
      </c>
      <c r="C2613" s="17" t="s">
        <v>3781</v>
      </c>
      <c r="D2613" s="25" t="s">
        <v>4514</v>
      </c>
      <c r="E2613" s="19" t="s">
        <v>4709</v>
      </c>
      <c r="F2613" s="19" t="s">
        <v>4752</v>
      </c>
      <c r="G2613" s="26" t="str">
        <f t="shared" si="198"/>
        <v>http://jsmh.umin.jp/journal/34-4/637-648.pdf</v>
      </c>
      <c r="H2613" s="45" t="str">
        <f t="shared" si="197"/>
        <v>http://dl.ndl.go.jp/info:ndljp/pid/3359321</v>
      </c>
    </row>
    <row r="2614" spans="1:8" ht="30" customHeight="1" x14ac:dyDescent="0.15">
      <c r="A2614" s="16" t="s">
        <v>2894</v>
      </c>
      <c r="B2614" s="17" t="s">
        <v>4753</v>
      </c>
      <c r="C2614" s="17"/>
      <c r="D2614" s="25" t="s">
        <v>4514</v>
      </c>
      <c r="E2614" s="19" t="s">
        <v>4709</v>
      </c>
      <c r="F2614" s="19" t="s">
        <v>4754</v>
      </c>
      <c r="G2614" s="5" t="str">
        <f>HYPERLINK("http://jsmh.umin.jp/journal/34-4/649-691.pdf")</f>
        <v>http://jsmh.umin.jp/journal/34-4/649-691.pdf</v>
      </c>
      <c r="H2614" s="43" t="str">
        <f t="shared" si="197"/>
        <v>http://dl.ndl.go.jp/info:ndljp/pid/3359321</v>
      </c>
    </row>
    <row r="2615" spans="1:8" ht="30" customHeight="1" x14ac:dyDescent="0.15">
      <c r="A2615" s="16" t="s">
        <v>17</v>
      </c>
      <c r="B2615" s="17" t="s">
        <v>4755</v>
      </c>
      <c r="C2615" s="17" t="s">
        <v>2937</v>
      </c>
      <c r="D2615" s="18" t="s">
        <v>4756</v>
      </c>
      <c r="E2615" s="19" t="s">
        <v>4757</v>
      </c>
      <c r="F2615" s="19" t="s">
        <v>10576</v>
      </c>
      <c r="G2615" s="26" t="str">
        <f>HYPERLINK("http://jsmh.umin.jp/journal/35-1/1-25.pdf")</f>
        <v>http://jsmh.umin.jp/journal/35-1/1-25.pdf</v>
      </c>
      <c r="H2615" s="42" t="str">
        <f t="shared" ref="H2615:H2637" si="199">HYPERLINK("http://dl.ndl.go.jp/info:ndljp/pid/3359322")</f>
        <v>http://dl.ndl.go.jp/info:ndljp/pid/3359322</v>
      </c>
    </row>
    <row r="2616" spans="1:8" ht="30" customHeight="1" x14ac:dyDescent="0.15">
      <c r="A2616" s="16" t="s">
        <v>17</v>
      </c>
      <c r="B2616" s="17" t="s">
        <v>4758</v>
      </c>
      <c r="C2616" s="17" t="s">
        <v>3842</v>
      </c>
      <c r="D2616" s="25" t="s">
        <v>4756</v>
      </c>
      <c r="E2616" s="19" t="s">
        <v>4757</v>
      </c>
      <c r="F2616" s="19" t="s">
        <v>4759</v>
      </c>
      <c r="G2616" s="5" t="str">
        <f>HYPERLINK("http://jsmh.umin.jp/journal/35-1/26-44.pdf")</f>
        <v>http://jsmh.umin.jp/journal/35-1/26-44.pdf</v>
      </c>
      <c r="H2616" s="43" t="str">
        <f t="shared" si="199"/>
        <v>http://dl.ndl.go.jp/info:ndljp/pid/3359322</v>
      </c>
    </row>
    <row r="2617" spans="1:8" ht="30" customHeight="1" x14ac:dyDescent="0.15">
      <c r="A2617" s="16" t="s">
        <v>3387</v>
      </c>
      <c r="B2617" s="17" t="s">
        <v>4760</v>
      </c>
      <c r="C2617" s="17" t="s">
        <v>1457</v>
      </c>
      <c r="D2617" s="25" t="s">
        <v>4756</v>
      </c>
      <c r="E2617" s="19" t="s">
        <v>4757</v>
      </c>
      <c r="F2617" s="19" t="s">
        <v>4761</v>
      </c>
      <c r="G2617" s="5" t="str">
        <f>HYPERLINK("http://jsmh.umin.jp/journal/35-1/45-58.pdf")</f>
        <v>http://jsmh.umin.jp/journal/35-1/45-58.pdf</v>
      </c>
      <c r="H2617" s="43" t="str">
        <f t="shared" si="199"/>
        <v>http://dl.ndl.go.jp/info:ndljp/pid/3359322</v>
      </c>
    </row>
    <row r="2618" spans="1:8" ht="30" customHeight="1" x14ac:dyDescent="0.15">
      <c r="A2618" s="16" t="s">
        <v>3387</v>
      </c>
      <c r="B2618" s="17" t="s">
        <v>4762</v>
      </c>
      <c r="C2618" s="17" t="s">
        <v>3644</v>
      </c>
      <c r="D2618" s="25" t="s">
        <v>4756</v>
      </c>
      <c r="E2618" s="19" t="s">
        <v>4757</v>
      </c>
      <c r="F2618" s="19" t="s">
        <v>4763</v>
      </c>
      <c r="G2618" s="5" t="str">
        <f>HYPERLINK("http://jsmh.umin.jp/journal/35-1/59-71.pdf")</f>
        <v>http://jsmh.umin.jp/journal/35-1/59-71.pdf</v>
      </c>
      <c r="H2618" s="43" t="str">
        <f t="shared" si="199"/>
        <v>http://dl.ndl.go.jp/info:ndljp/pid/3359322</v>
      </c>
    </row>
    <row r="2619" spans="1:8" ht="30" customHeight="1" x14ac:dyDescent="0.15">
      <c r="A2619" s="16" t="s">
        <v>3387</v>
      </c>
      <c r="B2619" s="17" t="s">
        <v>4764</v>
      </c>
      <c r="C2619" s="17" t="s">
        <v>4727</v>
      </c>
      <c r="D2619" s="25" t="s">
        <v>4756</v>
      </c>
      <c r="E2619" s="19" t="s">
        <v>4757</v>
      </c>
      <c r="F2619" s="19" t="s">
        <v>3951</v>
      </c>
      <c r="G2619" s="5" t="str">
        <f>HYPERLINK("http://jsmh.umin.jp/journal/35-1/72-81.pdf")</f>
        <v>http://jsmh.umin.jp/journal/35-1/72-81.pdf</v>
      </c>
      <c r="H2619" s="43" t="str">
        <f t="shared" si="199"/>
        <v>http://dl.ndl.go.jp/info:ndljp/pid/3359322</v>
      </c>
    </row>
    <row r="2620" spans="1:8" ht="30" customHeight="1" x14ac:dyDescent="0.15">
      <c r="A2620" s="16" t="s">
        <v>4265</v>
      </c>
      <c r="B2620" s="17" t="s">
        <v>4765</v>
      </c>
      <c r="C2620" s="17" t="s">
        <v>3010</v>
      </c>
      <c r="D2620" s="25" t="s">
        <v>4756</v>
      </c>
      <c r="E2620" s="19" t="s">
        <v>4757</v>
      </c>
      <c r="F2620" s="19" t="s">
        <v>4766</v>
      </c>
      <c r="G2620" s="5" t="str">
        <f>HYPERLINK("http://jsmh.umin.jp/journal/35-1/82-84.pdf")</f>
        <v>http://jsmh.umin.jp/journal/35-1/82-84.pdf</v>
      </c>
      <c r="H2620" s="43" t="str">
        <f t="shared" si="199"/>
        <v>http://dl.ndl.go.jp/info:ndljp/pid/3359322</v>
      </c>
    </row>
    <row r="2621" spans="1:8" ht="30" customHeight="1" x14ac:dyDescent="0.15">
      <c r="A2621" s="16" t="s">
        <v>558</v>
      </c>
      <c r="B2621" s="17" t="s">
        <v>4767</v>
      </c>
      <c r="C2621" s="17"/>
      <c r="D2621" s="25" t="s">
        <v>4756</v>
      </c>
      <c r="E2621" s="19" t="s">
        <v>4757</v>
      </c>
      <c r="F2621" s="19" t="s">
        <v>40</v>
      </c>
      <c r="G2621" s="5" t="str">
        <f>HYPERLINK("http://jsmh.umin.jp/journal/35-1/85.pdf")</f>
        <v>http://jsmh.umin.jp/journal/35-1/85.pdf</v>
      </c>
      <c r="H2621" s="43" t="str">
        <f t="shared" si="199"/>
        <v>http://dl.ndl.go.jp/info:ndljp/pid/3359322</v>
      </c>
    </row>
    <row r="2622" spans="1:8" ht="30" customHeight="1" x14ac:dyDescent="0.15">
      <c r="A2622" s="16" t="s">
        <v>558</v>
      </c>
      <c r="B2622" s="17" t="s">
        <v>4768</v>
      </c>
      <c r="C2622" s="17"/>
      <c r="D2622" s="25" t="s">
        <v>4756</v>
      </c>
      <c r="E2622" s="19" t="s">
        <v>4757</v>
      </c>
      <c r="F2622" s="19" t="s">
        <v>460</v>
      </c>
      <c r="G2622" s="5" t="str">
        <f>HYPERLINK("http://jsmh.umin.jp/journal/35-1/86-87.pdf")</f>
        <v>http://jsmh.umin.jp/journal/35-1/86-87.pdf</v>
      </c>
      <c r="H2622" s="43" t="str">
        <f t="shared" si="199"/>
        <v>http://dl.ndl.go.jp/info:ndljp/pid/3359322</v>
      </c>
    </row>
    <row r="2623" spans="1:8" ht="30" customHeight="1" x14ac:dyDescent="0.15">
      <c r="A2623" s="16" t="s">
        <v>558</v>
      </c>
      <c r="B2623" s="17" t="s">
        <v>4769</v>
      </c>
      <c r="C2623" s="17" t="s">
        <v>4770</v>
      </c>
      <c r="D2623" s="25" t="s">
        <v>4756</v>
      </c>
      <c r="E2623" s="19" t="s">
        <v>4757</v>
      </c>
      <c r="F2623" s="19" t="s">
        <v>859</v>
      </c>
      <c r="G2623" s="5" t="str">
        <f>HYPERLINK("http://jsmh.umin.jp/journal/35-1/87-88.pdf")</f>
        <v>http://jsmh.umin.jp/journal/35-1/87-88.pdf</v>
      </c>
      <c r="H2623" s="43" t="str">
        <f t="shared" si="199"/>
        <v>http://dl.ndl.go.jp/info:ndljp/pid/3359322</v>
      </c>
    </row>
    <row r="2624" spans="1:8" ht="30" customHeight="1" x14ac:dyDescent="0.15">
      <c r="A2624" s="16" t="s">
        <v>3720</v>
      </c>
      <c r="B2624" s="17" t="s">
        <v>4771</v>
      </c>
      <c r="C2624" s="17" t="s">
        <v>4772</v>
      </c>
      <c r="D2624" s="25" t="s">
        <v>4756</v>
      </c>
      <c r="E2624" s="19" t="s">
        <v>4757</v>
      </c>
      <c r="F2624" s="19" t="s">
        <v>4572</v>
      </c>
      <c r="G2624" s="5" t="str">
        <f>HYPERLINK("http://jsmh.umin.jp/journal/35-1/89-90.pdf")</f>
        <v>http://jsmh.umin.jp/journal/35-1/89-90.pdf</v>
      </c>
      <c r="H2624" s="43" t="str">
        <f t="shared" si="199"/>
        <v>http://dl.ndl.go.jp/info:ndljp/pid/3359322</v>
      </c>
    </row>
    <row r="2625" spans="1:8" ht="30" customHeight="1" x14ac:dyDescent="0.15">
      <c r="A2625" s="16" t="s">
        <v>558</v>
      </c>
      <c r="B2625" s="17" t="s">
        <v>704</v>
      </c>
      <c r="C2625" s="17"/>
      <c r="D2625" s="25" t="s">
        <v>4756</v>
      </c>
      <c r="E2625" s="19" t="s">
        <v>4757</v>
      </c>
      <c r="F2625" s="19" t="s">
        <v>314</v>
      </c>
      <c r="G2625" s="5" t="str">
        <f>HYPERLINK("http://jsmh.umin.jp/journal/35-1/89.pdf")</f>
        <v>http://jsmh.umin.jp/journal/35-1/89.pdf</v>
      </c>
      <c r="H2625" s="43" t="str">
        <f t="shared" si="199"/>
        <v>http://dl.ndl.go.jp/info:ndljp/pid/3359322</v>
      </c>
    </row>
    <row r="2626" spans="1:8" ht="30" customHeight="1" x14ac:dyDescent="0.15">
      <c r="A2626" s="16" t="s">
        <v>3720</v>
      </c>
      <c r="B2626" s="17" t="s">
        <v>4773</v>
      </c>
      <c r="C2626" s="17" t="s">
        <v>2465</v>
      </c>
      <c r="D2626" s="25" t="s">
        <v>4756</v>
      </c>
      <c r="E2626" s="19" t="s">
        <v>4757</v>
      </c>
      <c r="F2626" s="19" t="s">
        <v>471</v>
      </c>
      <c r="G2626" s="5" t="str">
        <f>HYPERLINK("http://jsmh.umin.jp/journal/35-1/90-91.pdf")</f>
        <v>http://jsmh.umin.jp/journal/35-1/90-91.pdf</v>
      </c>
      <c r="H2626" s="43" t="str">
        <f t="shared" si="199"/>
        <v>http://dl.ndl.go.jp/info:ndljp/pid/3359322</v>
      </c>
    </row>
    <row r="2627" spans="1:8" ht="30" customHeight="1" x14ac:dyDescent="0.15">
      <c r="A2627" s="16" t="s">
        <v>3720</v>
      </c>
      <c r="B2627" s="17" t="s">
        <v>4774</v>
      </c>
      <c r="C2627" s="17" t="s">
        <v>10163</v>
      </c>
      <c r="D2627" s="25" t="s">
        <v>4756</v>
      </c>
      <c r="E2627" s="19" t="s">
        <v>4757</v>
      </c>
      <c r="F2627" s="19" t="s">
        <v>474</v>
      </c>
      <c r="G2627" s="5" t="str">
        <f>HYPERLINK("http://jsmh.umin.jp/journal/35-1/91-92.pdf")</f>
        <v>http://jsmh.umin.jp/journal/35-1/91-92.pdf</v>
      </c>
      <c r="H2627" s="43" t="str">
        <f t="shared" si="199"/>
        <v>http://dl.ndl.go.jp/info:ndljp/pid/3359322</v>
      </c>
    </row>
    <row r="2628" spans="1:8" ht="30" customHeight="1" x14ac:dyDescent="0.15">
      <c r="A2628" s="16" t="s">
        <v>2990</v>
      </c>
      <c r="B2628" s="17" t="s">
        <v>4775</v>
      </c>
      <c r="C2628" s="17" t="s">
        <v>48</v>
      </c>
      <c r="D2628" s="25" t="s">
        <v>4756</v>
      </c>
      <c r="E2628" s="19" t="s">
        <v>4757</v>
      </c>
      <c r="F2628" s="19" t="s">
        <v>2190</v>
      </c>
      <c r="G2628" s="26" t="str">
        <f t="shared" ref="G2628:G2637" si="200">HYPERLINK("http://jsmh.umin.jp/journal/35-1/93-104.pdf")</f>
        <v>http://jsmh.umin.jp/journal/35-1/93-104.pdf</v>
      </c>
      <c r="H2628" s="43" t="str">
        <f t="shared" si="199"/>
        <v>http://dl.ndl.go.jp/info:ndljp/pid/3359322</v>
      </c>
    </row>
    <row r="2629" spans="1:8" ht="30" customHeight="1" x14ac:dyDescent="0.15">
      <c r="A2629" s="16" t="s">
        <v>2990</v>
      </c>
      <c r="B2629" s="17" t="s">
        <v>4776</v>
      </c>
      <c r="C2629" s="17" t="s">
        <v>1097</v>
      </c>
      <c r="D2629" s="25" t="s">
        <v>4756</v>
      </c>
      <c r="E2629" s="19" t="s">
        <v>4757</v>
      </c>
      <c r="F2629" s="19" t="s">
        <v>486</v>
      </c>
      <c r="G2629" s="26" t="str">
        <f t="shared" si="200"/>
        <v>http://jsmh.umin.jp/journal/35-1/93-104.pdf</v>
      </c>
      <c r="H2629" s="43" t="str">
        <f t="shared" si="199"/>
        <v>http://dl.ndl.go.jp/info:ndljp/pid/3359322</v>
      </c>
    </row>
    <row r="2630" spans="1:8" ht="30" customHeight="1" x14ac:dyDescent="0.15">
      <c r="A2630" s="16" t="s">
        <v>2990</v>
      </c>
      <c r="B2630" s="17" t="s">
        <v>4777</v>
      </c>
      <c r="C2630" s="17" t="s">
        <v>1119</v>
      </c>
      <c r="D2630" s="25" t="s">
        <v>4756</v>
      </c>
      <c r="E2630" s="19" t="s">
        <v>4757</v>
      </c>
      <c r="F2630" s="19" t="s">
        <v>4778</v>
      </c>
      <c r="G2630" s="26" t="str">
        <f t="shared" si="200"/>
        <v>http://jsmh.umin.jp/journal/35-1/93-104.pdf</v>
      </c>
      <c r="H2630" s="43" t="str">
        <f t="shared" si="199"/>
        <v>http://dl.ndl.go.jp/info:ndljp/pid/3359322</v>
      </c>
    </row>
    <row r="2631" spans="1:8" ht="30" customHeight="1" x14ac:dyDescent="0.15">
      <c r="A2631" s="16" t="s">
        <v>2990</v>
      </c>
      <c r="B2631" s="17" t="s">
        <v>4779</v>
      </c>
      <c r="C2631" s="17" t="s">
        <v>1659</v>
      </c>
      <c r="D2631" s="25" t="s">
        <v>4756</v>
      </c>
      <c r="E2631" s="19" t="s">
        <v>4757</v>
      </c>
      <c r="F2631" s="19" t="s">
        <v>4578</v>
      </c>
      <c r="G2631" s="26" t="str">
        <f t="shared" si="200"/>
        <v>http://jsmh.umin.jp/journal/35-1/93-104.pdf</v>
      </c>
      <c r="H2631" s="43" t="str">
        <f t="shared" si="199"/>
        <v>http://dl.ndl.go.jp/info:ndljp/pid/3359322</v>
      </c>
    </row>
    <row r="2632" spans="1:8" ht="30" customHeight="1" x14ac:dyDescent="0.15">
      <c r="A2632" s="16" t="s">
        <v>2990</v>
      </c>
      <c r="B2632" s="17" t="s">
        <v>4780</v>
      </c>
      <c r="C2632" s="17" t="s">
        <v>905</v>
      </c>
      <c r="D2632" s="25" t="s">
        <v>4756</v>
      </c>
      <c r="E2632" s="19" t="s">
        <v>4757</v>
      </c>
      <c r="F2632" s="19" t="s">
        <v>3776</v>
      </c>
      <c r="G2632" s="26" t="str">
        <f t="shared" si="200"/>
        <v>http://jsmh.umin.jp/journal/35-1/93-104.pdf</v>
      </c>
      <c r="H2632" s="43" t="str">
        <f t="shared" si="199"/>
        <v>http://dl.ndl.go.jp/info:ndljp/pid/3359322</v>
      </c>
    </row>
    <row r="2633" spans="1:8" ht="30" customHeight="1" x14ac:dyDescent="0.15">
      <c r="A2633" s="16" t="s">
        <v>2990</v>
      </c>
      <c r="B2633" s="17" t="s">
        <v>4781</v>
      </c>
      <c r="C2633" s="17" t="s">
        <v>2528</v>
      </c>
      <c r="D2633" s="25" t="s">
        <v>4756</v>
      </c>
      <c r="E2633" s="19" t="s">
        <v>4757</v>
      </c>
      <c r="F2633" s="19" t="s">
        <v>3779</v>
      </c>
      <c r="G2633" s="26" t="str">
        <f t="shared" si="200"/>
        <v>http://jsmh.umin.jp/journal/35-1/93-104.pdf</v>
      </c>
      <c r="H2633" s="43" t="str">
        <f t="shared" si="199"/>
        <v>http://dl.ndl.go.jp/info:ndljp/pid/3359322</v>
      </c>
    </row>
    <row r="2634" spans="1:8" ht="30" customHeight="1" x14ac:dyDescent="0.15">
      <c r="A2634" s="16" t="s">
        <v>2990</v>
      </c>
      <c r="B2634" s="17" t="s">
        <v>4782</v>
      </c>
      <c r="C2634" s="17" t="s">
        <v>1147</v>
      </c>
      <c r="D2634" s="25" t="s">
        <v>4756</v>
      </c>
      <c r="E2634" s="19" t="s">
        <v>4757</v>
      </c>
      <c r="F2634" s="19" t="s">
        <v>2194</v>
      </c>
      <c r="G2634" s="26" t="str">
        <f t="shared" si="200"/>
        <v>http://jsmh.umin.jp/journal/35-1/93-104.pdf</v>
      </c>
      <c r="H2634" s="43" t="str">
        <f t="shared" si="199"/>
        <v>http://dl.ndl.go.jp/info:ndljp/pid/3359322</v>
      </c>
    </row>
    <row r="2635" spans="1:8" ht="30" customHeight="1" x14ac:dyDescent="0.15">
      <c r="A2635" s="16" t="s">
        <v>2990</v>
      </c>
      <c r="B2635" s="17" t="s">
        <v>4783</v>
      </c>
      <c r="C2635" s="17" t="s">
        <v>790</v>
      </c>
      <c r="D2635" s="25" t="s">
        <v>4756</v>
      </c>
      <c r="E2635" s="19" t="s">
        <v>4757</v>
      </c>
      <c r="F2635" s="19" t="s">
        <v>778</v>
      </c>
      <c r="G2635" s="26" t="str">
        <f t="shared" si="200"/>
        <v>http://jsmh.umin.jp/journal/35-1/93-104.pdf</v>
      </c>
      <c r="H2635" s="43" t="str">
        <f t="shared" si="199"/>
        <v>http://dl.ndl.go.jp/info:ndljp/pid/3359322</v>
      </c>
    </row>
    <row r="2636" spans="1:8" ht="30" customHeight="1" x14ac:dyDescent="0.15">
      <c r="A2636" s="16" t="s">
        <v>2990</v>
      </c>
      <c r="B2636" s="17" t="s">
        <v>4784</v>
      </c>
      <c r="C2636" s="17" t="s">
        <v>4785</v>
      </c>
      <c r="D2636" s="25" t="s">
        <v>4756</v>
      </c>
      <c r="E2636" s="19" t="s">
        <v>4757</v>
      </c>
      <c r="F2636" s="19" t="s">
        <v>4582</v>
      </c>
      <c r="G2636" s="26" t="str">
        <f t="shared" si="200"/>
        <v>http://jsmh.umin.jp/journal/35-1/93-104.pdf</v>
      </c>
      <c r="H2636" s="43" t="str">
        <f t="shared" si="199"/>
        <v>http://dl.ndl.go.jp/info:ndljp/pid/3359322</v>
      </c>
    </row>
    <row r="2637" spans="1:8" ht="30" customHeight="1" x14ac:dyDescent="0.15">
      <c r="A2637" s="16" t="s">
        <v>2990</v>
      </c>
      <c r="B2637" s="17" t="s">
        <v>4786</v>
      </c>
      <c r="C2637" s="17" t="s">
        <v>2465</v>
      </c>
      <c r="D2637" s="25" t="s">
        <v>4756</v>
      </c>
      <c r="E2637" s="19" t="s">
        <v>4757</v>
      </c>
      <c r="F2637" s="19" t="s">
        <v>949</v>
      </c>
      <c r="G2637" s="26" t="str">
        <f t="shared" si="200"/>
        <v>http://jsmh.umin.jp/journal/35-1/93-104.pdf</v>
      </c>
      <c r="H2637" s="43" t="str">
        <f t="shared" si="199"/>
        <v>http://dl.ndl.go.jp/info:ndljp/pid/3359322</v>
      </c>
    </row>
    <row r="2638" spans="1:8" ht="30" customHeight="1" x14ac:dyDescent="0.15">
      <c r="A2638" s="16" t="s">
        <v>1855</v>
      </c>
      <c r="B2638" s="17" t="s">
        <v>4787</v>
      </c>
      <c r="C2638" s="17" t="s">
        <v>4788</v>
      </c>
      <c r="D2638" s="25" t="s">
        <v>4756</v>
      </c>
      <c r="E2638" s="19" t="s">
        <v>4789</v>
      </c>
      <c r="F2638" s="19" t="s">
        <v>4790</v>
      </c>
      <c r="G2638" s="5" t="str">
        <f>HYPERLINK("http://jsmh.umin.jp/journal/35-2/111-114.pdf")</f>
        <v>http://jsmh.umin.jp/journal/35-2/111-114.pdf</v>
      </c>
      <c r="H2638" s="42" t="str">
        <f t="shared" ref="H2638:H2669" si="201">HYPERLINK("http://dl.ndl.go.jp/info:ndljp/pid/3359323")</f>
        <v>http://dl.ndl.go.jp/info:ndljp/pid/3359323</v>
      </c>
    </row>
    <row r="2639" spans="1:8" ht="30" customHeight="1" x14ac:dyDescent="0.15">
      <c r="A2639" s="16" t="s">
        <v>1855</v>
      </c>
      <c r="B2639" s="17" t="s">
        <v>10175</v>
      </c>
      <c r="C2639" s="17" t="s">
        <v>4791</v>
      </c>
      <c r="D2639" s="25" t="s">
        <v>4756</v>
      </c>
      <c r="E2639" s="19" t="s">
        <v>4789</v>
      </c>
      <c r="F2639" s="19" t="s">
        <v>2398</v>
      </c>
      <c r="G2639" s="5" t="str">
        <f>HYPERLINK("http://jsmh.umin.jp/journal/35-2/115-116.pdf")</f>
        <v>http://jsmh.umin.jp/journal/35-2/115-116.pdf</v>
      </c>
      <c r="H2639" s="43" t="str">
        <f t="shared" si="201"/>
        <v>http://dl.ndl.go.jp/info:ndljp/pid/3359323</v>
      </c>
    </row>
    <row r="2640" spans="1:8" ht="30" customHeight="1" x14ac:dyDescent="0.15">
      <c r="A2640" s="16" t="s">
        <v>1855</v>
      </c>
      <c r="B2640" s="17" t="s">
        <v>4792</v>
      </c>
      <c r="C2640" s="17" t="s">
        <v>4527</v>
      </c>
      <c r="D2640" s="25" t="s">
        <v>4756</v>
      </c>
      <c r="E2640" s="19" t="s">
        <v>4789</v>
      </c>
      <c r="F2640" s="19" t="s">
        <v>2203</v>
      </c>
      <c r="G2640" s="5" t="str">
        <f>HYPERLINK("http://jsmh.umin.jp/journal/35-2/117-120.pdf")</f>
        <v>http://jsmh.umin.jp/journal/35-2/117-120.pdf</v>
      </c>
      <c r="H2640" s="43" t="str">
        <f t="shared" si="201"/>
        <v>http://dl.ndl.go.jp/info:ndljp/pid/3359323</v>
      </c>
    </row>
    <row r="2641" spans="1:8" ht="30" customHeight="1" x14ac:dyDescent="0.15">
      <c r="A2641" s="16" t="s">
        <v>1855</v>
      </c>
      <c r="B2641" s="17" t="s">
        <v>4793</v>
      </c>
      <c r="C2641" s="17" t="s">
        <v>10176</v>
      </c>
      <c r="D2641" s="25" t="s">
        <v>4756</v>
      </c>
      <c r="E2641" s="19" t="s">
        <v>4789</v>
      </c>
      <c r="F2641" s="19" t="s">
        <v>2408</v>
      </c>
      <c r="G2641" s="5" t="str">
        <f>HYPERLINK("http://jsmh.umin.jp/journal/35-2/121-122.pdf")</f>
        <v>http://jsmh.umin.jp/journal/35-2/121-122.pdf</v>
      </c>
      <c r="H2641" s="43" t="str">
        <f t="shared" si="201"/>
        <v>http://dl.ndl.go.jp/info:ndljp/pid/3359323</v>
      </c>
    </row>
    <row r="2642" spans="1:8" ht="30" customHeight="1" x14ac:dyDescent="0.15">
      <c r="A2642" s="16" t="s">
        <v>1855</v>
      </c>
      <c r="B2642" s="17" t="s">
        <v>4794</v>
      </c>
      <c r="C2642" s="17" t="s">
        <v>4795</v>
      </c>
      <c r="D2642" s="25" t="s">
        <v>4756</v>
      </c>
      <c r="E2642" s="19" t="s">
        <v>4789</v>
      </c>
      <c r="F2642" s="19" t="s">
        <v>2410</v>
      </c>
      <c r="G2642" s="5" t="str">
        <f>HYPERLINK("http://jsmh.umin.jp/journal/35-2/123-125.pdf")</f>
        <v>http://jsmh.umin.jp/journal/35-2/123-125.pdf</v>
      </c>
      <c r="H2642" s="43" t="str">
        <f t="shared" si="201"/>
        <v>http://dl.ndl.go.jp/info:ndljp/pid/3359323</v>
      </c>
    </row>
    <row r="2643" spans="1:8" ht="30" customHeight="1" x14ac:dyDescent="0.15">
      <c r="A2643" s="16" t="s">
        <v>1855</v>
      </c>
      <c r="B2643" s="17" t="s">
        <v>4796</v>
      </c>
      <c r="C2643" s="17" t="s">
        <v>2881</v>
      </c>
      <c r="D2643" s="25" t="s">
        <v>4756</v>
      </c>
      <c r="E2643" s="19" t="s">
        <v>4789</v>
      </c>
      <c r="F2643" s="19" t="s">
        <v>2414</v>
      </c>
      <c r="G2643" s="5" t="str">
        <f>HYPERLINK("http://jsmh.umin.jp/journal/35-2/126-127.pdf")</f>
        <v>http://jsmh.umin.jp/journal/35-2/126-127.pdf</v>
      </c>
      <c r="H2643" s="43" t="str">
        <f t="shared" si="201"/>
        <v>http://dl.ndl.go.jp/info:ndljp/pid/3359323</v>
      </c>
    </row>
    <row r="2644" spans="1:8" ht="30" customHeight="1" x14ac:dyDescent="0.15">
      <c r="A2644" s="16" t="s">
        <v>1855</v>
      </c>
      <c r="B2644" s="17" t="s">
        <v>4797</v>
      </c>
      <c r="C2644" s="17" t="s">
        <v>2386</v>
      </c>
      <c r="D2644" s="25" t="s">
        <v>4756</v>
      </c>
      <c r="E2644" s="19" t="s">
        <v>4789</v>
      </c>
      <c r="F2644" s="19" t="s">
        <v>3625</v>
      </c>
      <c r="G2644" s="5" t="str">
        <f>HYPERLINK("http://jsmh.umin.jp/journal/35-2/127-129.pdf")</f>
        <v>http://jsmh.umin.jp/journal/35-2/127-129.pdf</v>
      </c>
      <c r="H2644" s="43" t="str">
        <f t="shared" si="201"/>
        <v>http://dl.ndl.go.jp/info:ndljp/pid/3359323</v>
      </c>
    </row>
    <row r="2645" spans="1:8" ht="30" customHeight="1" x14ac:dyDescent="0.15">
      <c r="A2645" s="16" t="s">
        <v>1855</v>
      </c>
      <c r="B2645" s="17" t="s">
        <v>10177</v>
      </c>
      <c r="C2645" s="17" t="s">
        <v>69</v>
      </c>
      <c r="D2645" s="25" t="s">
        <v>4756</v>
      </c>
      <c r="E2645" s="19" t="s">
        <v>4789</v>
      </c>
      <c r="F2645" s="19" t="s">
        <v>2530</v>
      </c>
      <c r="G2645" s="5" t="str">
        <f>HYPERLINK("http://jsmh.umin.jp/journal/35-2/130-132.pdf")</f>
        <v>http://jsmh.umin.jp/journal/35-2/130-132.pdf</v>
      </c>
      <c r="H2645" s="43" t="str">
        <f t="shared" si="201"/>
        <v>http://dl.ndl.go.jp/info:ndljp/pid/3359323</v>
      </c>
    </row>
    <row r="2646" spans="1:8" ht="30" customHeight="1" x14ac:dyDescent="0.15">
      <c r="A2646" s="16" t="s">
        <v>1855</v>
      </c>
      <c r="B2646" s="17" t="s">
        <v>4798</v>
      </c>
      <c r="C2646" s="17" t="s">
        <v>4185</v>
      </c>
      <c r="D2646" s="25" t="s">
        <v>4756</v>
      </c>
      <c r="E2646" s="19" t="s">
        <v>4789</v>
      </c>
      <c r="F2646" s="19" t="s">
        <v>2217</v>
      </c>
      <c r="G2646" s="5" t="str">
        <f>HYPERLINK("http://jsmh.umin.jp/journal/35-2/132-133.pdf")</f>
        <v>http://jsmh.umin.jp/journal/35-2/132-133.pdf</v>
      </c>
      <c r="H2646" s="43" t="str">
        <f t="shared" si="201"/>
        <v>http://dl.ndl.go.jp/info:ndljp/pid/3359323</v>
      </c>
    </row>
    <row r="2647" spans="1:8" ht="30" customHeight="1" x14ac:dyDescent="0.15">
      <c r="A2647" s="16" t="s">
        <v>1855</v>
      </c>
      <c r="B2647" s="17" t="s">
        <v>4799</v>
      </c>
      <c r="C2647" s="17" t="s">
        <v>4039</v>
      </c>
      <c r="D2647" s="25" t="s">
        <v>4756</v>
      </c>
      <c r="E2647" s="19" t="s">
        <v>4789</v>
      </c>
      <c r="F2647" s="19" t="s">
        <v>2425</v>
      </c>
      <c r="G2647" s="5" t="str">
        <f>HYPERLINK("http://jsmh.umin.jp/journal/35-2/134-135.pdf")</f>
        <v>http://jsmh.umin.jp/journal/35-2/134-135.pdf</v>
      </c>
      <c r="H2647" s="43" t="str">
        <f t="shared" si="201"/>
        <v>http://dl.ndl.go.jp/info:ndljp/pid/3359323</v>
      </c>
    </row>
    <row r="2648" spans="1:8" ht="30" customHeight="1" x14ac:dyDescent="0.15">
      <c r="A2648" s="16" t="s">
        <v>1855</v>
      </c>
      <c r="B2648" s="17" t="s">
        <v>4800</v>
      </c>
      <c r="C2648" s="17" t="s">
        <v>3196</v>
      </c>
      <c r="D2648" s="25" t="s">
        <v>4756</v>
      </c>
      <c r="E2648" s="19" t="s">
        <v>4789</v>
      </c>
      <c r="F2648" s="19" t="s">
        <v>2225</v>
      </c>
      <c r="G2648" s="5" t="str">
        <f>HYPERLINK("http://jsmh.umin.jp/journal/35-2/136-137.pdf")</f>
        <v>http://jsmh.umin.jp/journal/35-2/136-137.pdf</v>
      </c>
      <c r="H2648" s="43" t="str">
        <f t="shared" si="201"/>
        <v>http://dl.ndl.go.jp/info:ndljp/pid/3359323</v>
      </c>
    </row>
    <row r="2649" spans="1:8" ht="30" customHeight="1" x14ac:dyDescent="0.15">
      <c r="A2649" s="16" t="s">
        <v>1855</v>
      </c>
      <c r="B2649" s="17" t="s">
        <v>4801</v>
      </c>
      <c r="C2649" s="17" t="s">
        <v>479</v>
      </c>
      <c r="D2649" s="25" t="s">
        <v>4756</v>
      </c>
      <c r="E2649" s="19" t="s">
        <v>4789</v>
      </c>
      <c r="F2649" s="19" t="s">
        <v>2756</v>
      </c>
      <c r="G2649" s="5" t="str">
        <f>HYPERLINK("http://jsmh.umin.jp/journal/35-2/138-140.pdf")</f>
        <v>http://jsmh.umin.jp/journal/35-2/138-140.pdf</v>
      </c>
      <c r="H2649" s="43" t="str">
        <f t="shared" si="201"/>
        <v>http://dl.ndl.go.jp/info:ndljp/pid/3359323</v>
      </c>
    </row>
    <row r="2650" spans="1:8" ht="30" customHeight="1" x14ac:dyDescent="0.15">
      <c r="A2650" s="16" t="s">
        <v>1855</v>
      </c>
      <c r="B2650" s="17" t="s">
        <v>4802</v>
      </c>
      <c r="C2650" s="17" t="s">
        <v>3655</v>
      </c>
      <c r="D2650" s="25" t="s">
        <v>4756</v>
      </c>
      <c r="E2650" s="19" t="s">
        <v>4789</v>
      </c>
      <c r="F2650" s="19" t="s">
        <v>4803</v>
      </c>
      <c r="G2650" s="5" t="str">
        <f>HYPERLINK("http://jsmh.umin.jp/journal/35-2/140-142.pdf")</f>
        <v>http://jsmh.umin.jp/journal/35-2/140-142.pdf</v>
      </c>
      <c r="H2650" s="43" t="str">
        <f t="shared" si="201"/>
        <v>http://dl.ndl.go.jp/info:ndljp/pid/3359323</v>
      </c>
    </row>
    <row r="2651" spans="1:8" ht="30" customHeight="1" x14ac:dyDescent="0.15">
      <c r="A2651" s="16" t="s">
        <v>1855</v>
      </c>
      <c r="B2651" s="17" t="s">
        <v>4804</v>
      </c>
      <c r="C2651" s="17" t="s">
        <v>4805</v>
      </c>
      <c r="D2651" s="25" t="s">
        <v>4756</v>
      </c>
      <c r="E2651" s="19" t="s">
        <v>4789</v>
      </c>
      <c r="F2651" s="19" t="s">
        <v>3638</v>
      </c>
      <c r="G2651" s="5" t="str">
        <f>HYPERLINK("http://jsmh.umin.jp/journal/35-2/143-145.pdf")</f>
        <v>http://jsmh.umin.jp/journal/35-2/143-145.pdf</v>
      </c>
      <c r="H2651" s="43" t="str">
        <f t="shared" si="201"/>
        <v>http://dl.ndl.go.jp/info:ndljp/pid/3359323</v>
      </c>
    </row>
    <row r="2652" spans="1:8" ht="30" customHeight="1" x14ac:dyDescent="0.15">
      <c r="A2652" s="16" t="s">
        <v>1855</v>
      </c>
      <c r="B2652" s="17" t="s">
        <v>4806</v>
      </c>
      <c r="C2652" s="17" t="s">
        <v>2937</v>
      </c>
      <c r="D2652" s="25" t="s">
        <v>4756</v>
      </c>
      <c r="E2652" s="19" t="s">
        <v>4789</v>
      </c>
      <c r="F2652" s="19" t="s">
        <v>4807</v>
      </c>
      <c r="G2652" s="5" t="str">
        <f>HYPERLINK("http://jsmh.umin.jp/journal/35-2/145-147.pdf")</f>
        <v>http://jsmh.umin.jp/journal/35-2/145-147.pdf</v>
      </c>
      <c r="H2652" s="43" t="str">
        <f t="shared" si="201"/>
        <v>http://dl.ndl.go.jp/info:ndljp/pid/3359323</v>
      </c>
    </row>
    <row r="2653" spans="1:8" ht="30" customHeight="1" x14ac:dyDescent="0.15">
      <c r="A2653" s="16" t="s">
        <v>1855</v>
      </c>
      <c r="B2653" s="17" t="s">
        <v>10178</v>
      </c>
      <c r="C2653" s="17" t="s">
        <v>4808</v>
      </c>
      <c r="D2653" s="25" t="s">
        <v>4756</v>
      </c>
      <c r="E2653" s="19" t="s">
        <v>4789</v>
      </c>
      <c r="F2653" s="19" t="s">
        <v>4809</v>
      </c>
      <c r="G2653" s="5" t="str">
        <f>HYPERLINK("http://jsmh.umin.jp/journal/35-2/148-150.pdf")</f>
        <v>http://jsmh.umin.jp/journal/35-2/148-150.pdf</v>
      </c>
      <c r="H2653" s="43" t="str">
        <f t="shared" si="201"/>
        <v>http://dl.ndl.go.jp/info:ndljp/pid/3359323</v>
      </c>
    </row>
    <row r="2654" spans="1:8" ht="30" customHeight="1" x14ac:dyDescent="0.15">
      <c r="A2654" s="16" t="s">
        <v>1855</v>
      </c>
      <c r="B2654" s="17" t="s">
        <v>10179</v>
      </c>
      <c r="C2654" s="17" t="s">
        <v>3839</v>
      </c>
      <c r="D2654" s="25" t="s">
        <v>4756</v>
      </c>
      <c r="E2654" s="19" t="s">
        <v>4789</v>
      </c>
      <c r="F2654" s="19" t="s">
        <v>4810</v>
      </c>
      <c r="G2654" s="5" t="str">
        <f>HYPERLINK("http://jsmh.umin.jp/journal/35-2/150-152.pdf")</f>
        <v>http://jsmh.umin.jp/journal/35-2/150-152.pdf</v>
      </c>
      <c r="H2654" s="43" t="str">
        <f t="shared" si="201"/>
        <v>http://dl.ndl.go.jp/info:ndljp/pid/3359323</v>
      </c>
    </row>
    <row r="2655" spans="1:8" ht="30" customHeight="1" x14ac:dyDescent="0.15">
      <c r="A2655" s="16" t="s">
        <v>1855</v>
      </c>
      <c r="B2655" s="17" t="s">
        <v>4811</v>
      </c>
      <c r="C2655" s="17" t="s">
        <v>4026</v>
      </c>
      <c r="D2655" s="25" t="s">
        <v>4756</v>
      </c>
      <c r="E2655" s="19" t="s">
        <v>4789</v>
      </c>
      <c r="F2655" s="19" t="s">
        <v>3804</v>
      </c>
      <c r="G2655" s="5" t="str">
        <f>HYPERLINK("http://jsmh.umin.jp/journal/35-2/153-155.pdf")</f>
        <v>http://jsmh.umin.jp/journal/35-2/153-155.pdf</v>
      </c>
      <c r="H2655" s="43" t="str">
        <f t="shared" si="201"/>
        <v>http://dl.ndl.go.jp/info:ndljp/pid/3359323</v>
      </c>
    </row>
    <row r="2656" spans="1:8" ht="30" customHeight="1" x14ac:dyDescent="0.15">
      <c r="A2656" s="16" t="s">
        <v>1855</v>
      </c>
      <c r="B2656" s="17" t="s">
        <v>4812</v>
      </c>
      <c r="C2656" s="17" t="s">
        <v>2465</v>
      </c>
      <c r="D2656" s="25" t="s">
        <v>4756</v>
      </c>
      <c r="E2656" s="19" t="s">
        <v>4789</v>
      </c>
      <c r="F2656" s="19" t="s">
        <v>3651</v>
      </c>
      <c r="G2656" s="5" t="str">
        <f>HYPERLINK("http://jsmh.umin.jp/journal/35-2/155-157.pdf")</f>
        <v>http://jsmh.umin.jp/journal/35-2/155-157.pdf</v>
      </c>
      <c r="H2656" s="43" t="str">
        <f t="shared" si="201"/>
        <v>http://dl.ndl.go.jp/info:ndljp/pid/3359323</v>
      </c>
    </row>
    <row r="2657" spans="1:8" ht="30" customHeight="1" x14ac:dyDescent="0.15">
      <c r="A2657" s="16" t="s">
        <v>1855</v>
      </c>
      <c r="B2657" s="17" t="s">
        <v>4813</v>
      </c>
      <c r="C2657" s="17" t="s">
        <v>4595</v>
      </c>
      <c r="D2657" s="25" t="s">
        <v>4756</v>
      </c>
      <c r="E2657" s="19" t="s">
        <v>4789</v>
      </c>
      <c r="F2657" s="19" t="s">
        <v>4814</v>
      </c>
      <c r="G2657" s="5" t="str">
        <f>HYPERLINK("http://jsmh.umin.jp/journal/35-2/158-159.pdf")</f>
        <v>http://jsmh.umin.jp/journal/35-2/158-159.pdf</v>
      </c>
      <c r="H2657" s="43" t="str">
        <f t="shared" si="201"/>
        <v>http://dl.ndl.go.jp/info:ndljp/pid/3359323</v>
      </c>
    </row>
    <row r="2658" spans="1:8" ht="30" customHeight="1" x14ac:dyDescent="0.15">
      <c r="A2658" s="16" t="s">
        <v>1855</v>
      </c>
      <c r="B2658" s="17" t="s">
        <v>10180</v>
      </c>
      <c r="C2658" s="17" t="s">
        <v>4815</v>
      </c>
      <c r="D2658" s="25" t="s">
        <v>4756</v>
      </c>
      <c r="E2658" s="19" t="s">
        <v>4789</v>
      </c>
      <c r="F2658" s="19" t="s">
        <v>4816</v>
      </c>
      <c r="G2658" s="5" t="str">
        <f>HYPERLINK("http://jsmh.umin.jp/journal/35-2/160.pdf")</f>
        <v>http://jsmh.umin.jp/journal/35-2/160.pdf</v>
      </c>
      <c r="H2658" s="43" t="str">
        <f t="shared" si="201"/>
        <v>http://dl.ndl.go.jp/info:ndljp/pid/3359323</v>
      </c>
    </row>
    <row r="2659" spans="1:8" ht="30" customHeight="1" x14ac:dyDescent="0.15">
      <c r="A2659" s="16" t="s">
        <v>1855</v>
      </c>
      <c r="B2659" s="17" t="s">
        <v>4817</v>
      </c>
      <c r="C2659" s="17" t="s">
        <v>4818</v>
      </c>
      <c r="D2659" s="25" t="s">
        <v>4756</v>
      </c>
      <c r="E2659" s="19" t="s">
        <v>4789</v>
      </c>
      <c r="F2659" s="19" t="s">
        <v>2772</v>
      </c>
      <c r="G2659" s="5" t="str">
        <f>HYPERLINK("http://jsmh.umin.jp/journal/35-2/161-162.pdf")</f>
        <v>http://jsmh.umin.jp/journal/35-2/161-162.pdf</v>
      </c>
      <c r="H2659" s="43" t="str">
        <f t="shared" si="201"/>
        <v>http://dl.ndl.go.jp/info:ndljp/pid/3359323</v>
      </c>
    </row>
    <row r="2660" spans="1:8" ht="30" customHeight="1" x14ac:dyDescent="0.15">
      <c r="A2660" s="16" t="s">
        <v>1855</v>
      </c>
      <c r="B2660" s="17" t="s">
        <v>4819</v>
      </c>
      <c r="C2660" s="17" t="s">
        <v>790</v>
      </c>
      <c r="D2660" s="25" t="s">
        <v>4756</v>
      </c>
      <c r="E2660" s="19" t="s">
        <v>4789</v>
      </c>
      <c r="F2660" s="19" t="s">
        <v>2913</v>
      </c>
      <c r="G2660" s="5" t="str">
        <f>HYPERLINK("http://jsmh.umin.jp/journal/35-2/163-164.pdf")</f>
        <v>http://jsmh.umin.jp/journal/35-2/163-164.pdf</v>
      </c>
      <c r="H2660" s="43" t="str">
        <f t="shared" si="201"/>
        <v>http://dl.ndl.go.jp/info:ndljp/pid/3359323</v>
      </c>
    </row>
    <row r="2661" spans="1:8" ht="30" customHeight="1" x14ac:dyDescent="0.15">
      <c r="A2661" s="16" t="s">
        <v>1855</v>
      </c>
      <c r="B2661" s="17" t="s">
        <v>4820</v>
      </c>
      <c r="C2661" s="17" t="s">
        <v>1823</v>
      </c>
      <c r="D2661" s="25" t="s">
        <v>4756</v>
      </c>
      <c r="E2661" s="19" t="s">
        <v>4789</v>
      </c>
      <c r="F2661" s="19" t="s">
        <v>3410</v>
      </c>
      <c r="G2661" s="5" t="str">
        <f>HYPERLINK("http://jsmh.umin.jp/journal/35-2/164-166.pdf")</f>
        <v>http://jsmh.umin.jp/journal/35-2/164-166.pdf</v>
      </c>
      <c r="H2661" s="43" t="str">
        <f t="shared" si="201"/>
        <v>http://dl.ndl.go.jp/info:ndljp/pid/3359323</v>
      </c>
    </row>
    <row r="2662" spans="1:8" ht="30" customHeight="1" x14ac:dyDescent="0.15">
      <c r="A2662" s="16" t="s">
        <v>1855</v>
      </c>
      <c r="B2662" s="17" t="s">
        <v>4821</v>
      </c>
      <c r="C2662" s="17" t="s">
        <v>4822</v>
      </c>
      <c r="D2662" s="25" t="s">
        <v>4756</v>
      </c>
      <c r="E2662" s="19" t="s">
        <v>4789</v>
      </c>
      <c r="F2662" s="19" t="s">
        <v>73</v>
      </c>
      <c r="G2662" s="5" t="str">
        <f>HYPERLINK("http://jsmh.umin.jp/journal/35-2/167.pdf")</f>
        <v>http://jsmh.umin.jp/journal/35-2/167.pdf</v>
      </c>
      <c r="H2662" s="43" t="str">
        <f t="shared" si="201"/>
        <v>http://dl.ndl.go.jp/info:ndljp/pid/3359323</v>
      </c>
    </row>
    <row r="2663" spans="1:8" ht="30" customHeight="1" x14ac:dyDescent="0.15">
      <c r="A2663" s="16" t="s">
        <v>1855</v>
      </c>
      <c r="B2663" s="17" t="s">
        <v>4823</v>
      </c>
      <c r="C2663" s="17" t="s">
        <v>4824</v>
      </c>
      <c r="D2663" s="25" t="s">
        <v>4756</v>
      </c>
      <c r="E2663" s="19" t="s">
        <v>4789</v>
      </c>
      <c r="F2663" s="19" t="s">
        <v>233</v>
      </c>
      <c r="G2663" s="5" t="str">
        <f>HYPERLINK("http://jsmh.umin.jp/journal/35-2/168-170.pdf")</f>
        <v>http://jsmh.umin.jp/journal/35-2/168-170.pdf</v>
      </c>
      <c r="H2663" s="43" t="str">
        <f t="shared" si="201"/>
        <v>http://dl.ndl.go.jp/info:ndljp/pid/3359323</v>
      </c>
    </row>
    <row r="2664" spans="1:8" ht="30" customHeight="1" x14ac:dyDescent="0.15">
      <c r="A2664" s="16" t="s">
        <v>1855</v>
      </c>
      <c r="B2664" s="17" t="s">
        <v>4825</v>
      </c>
      <c r="C2664" s="17" t="s">
        <v>1972</v>
      </c>
      <c r="D2664" s="25" t="s">
        <v>4756</v>
      </c>
      <c r="E2664" s="19" t="s">
        <v>4789</v>
      </c>
      <c r="F2664" s="19" t="s">
        <v>4826</v>
      </c>
      <c r="G2664" s="5" t="str">
        <f>HYPERLINK("http://jsmh.umin.jp/journal/35-2/170-171.pdf")</f>
        <v>http://jsmh.umin.jp/journal/35-2/170-171.pdf</v>
      </c>
      <c r="H2664" s="43" t="str">
        <f t="shared" si="201"/>
        <v>http://dl.ndl.go.jp/info:ndljp/pid/3359323</v>
      </c>
    </row>
    <row r="2665" spans="1:8" ht="30" customHeight="1" x14ac:dyDescent="0.15">
      <c r="A2665" s="16" t="s">
        <v>1855</v>
      </c>
      <c r="B2665" s="17" t="s">
        <v>4827</v>
      </c>
      <c r="C2665" s="17" t="s">
        <v>4548</v>
      </c>
      <c r="D2665" s="25" t="s">
        <v>4756</v>
      </c>
      <c r="E2665" s="19" t="s">
        <v>4789</v>
      </c>
      <c r="F2665" s="19" t="s">
        <v>3418</v>
      </c>
      <c r="G2665" s="5" t="str">
        <f>HYPERLINK("http://jsmh.umin.jp/journal/35-2/171-173.pdf")</f>
        <v>http://jsmh.umin.jp/journal/35-2/171-173.pdf</v>
      </c>
      <c r="H2665" s="43" t="str">
        <f t="shared" si="201"/>
        <v>http://dl.ndl.go.jp/info:ndljp/pid/3359323</v>
      </c>
    </row>
    <row r="2666" spans="1:8" ht="30" customHeight="1" x14ac:dyDescent="0.15">
      <c r="A2666" s="16" t="s">
        <v>1855</v>
      </c>
      <c r="B2666" s="17" t="s">
        <v>10181</v>
      </c>
      <c r="C2666" s="17" t="s">
        <v>66</v>
      </c>
      <c r="D2666" s="25" t="s">
        <v>4756</v>
      </c>
      <c r="E2666" s="19" t="s">
        <v>4789</v>
      </c>
      <c r="F2666" s="19" t="s">
        <v>2782</v>
      </c>
      <c r="G2666" s="5" t="str">
        <f>HYPERLINK("http://jsmh.umin.jp/journal/35-2/174-176.pdf")</f>
        <v>http://jsmh.umin.jp/journal/35-2/174-176.pdf</v>
      </c>
      <c r="H2666" s="43" t="str">
        <f t="shared" si="201"/>
        <v>http://dl.ndl.go.jp/info:ndljp/pid/3359323</v>
      </c>
    </row>
    <row r="2667" spans="1:8" ht="30" customHeight="1" x14ac:dyDescent="0.15">
      <c r="A2667" s="16" t="s">
        <v>1855</v>
      </c>
      <c r="B2667" s="17" t="s">
        <v>4828</v>
      </c>
      <c r="C2667" s="17" t="s">
        <v>2773</v>
      </c>
      <c r="D2667" s="25" t="s">
        <v>4756</v>
      </c>
      <c r="E2667" s="19" t="s">
        <v>4789</v>
      </c>
      <c r="F2667" s="19" t="s">
        <v>3421</v>
      </c>
      <c r="G2667" s="5" t="str">
        <f>HYPERLINK("http://jsmh.umin.jp/journal/35-2/176-178.pdf")</f>
        <v>http://jsmh.umin.jp/journal/35-2/176-178.pdf</v>
      </c>
      <c r="H2667" s="43" t="str">
        <f t="shared" si="201"/>
        <v>http://dl.ndl.go.jp/info:ndljp/pid/3359323</v>
      </c>
    </row>
    <row r="2668" spans="1:8" ht="30" customHeight="1" x14ac:dyDescent="0.15">
      <c r="A2668" s="16" t="s">
        <v>1855</v>
      </c>
      <c r="B2668" s="17" t="s">
        <v>4829</v>
      </c>
      <c r="C2668" s="17" t="s">
        <v>2553</v>
      </c>
      <c r="D2668" s="25" t="s">
        <v>4756</v>
      </c>
      <c r="E2668" s="19" t="s">
        <v>4789</v>
      </c>
      <c r="F2668" s="19" t="s">
        <v>3422</v>
      </c>
      <c r="G2668" s="5" t="str">
        <f>HYPERLINK("http://jsmh.umin.jp/journal/35-2/179-181.pdf")</f>
        <v>http://jsmh.umin.jp/journal/35-2/179-181.pdf</v>
      </c>
      <c r="H2668" s="43" t="str">
        <f t="shared" si="201"/>
        <v>http://dl.ndl.go.jp/info:ndljp/pid/3359323</v>
      </c>
    </row>
    <row r="2669" spans="1:8" ht="30" customHeight="1" x14ac:dyDescent="0.15">
      <c r="A2669" s="16" t="s">
        <v>1855</v>
      </c>
      <c r="B2669" s="17" t="s">
        <v>4830</v>
      </c>
      <c r="C2669" s="17" t="s">
        <v>4029</v>
      </c>
      <c r="D2669" s="25" t="s">
        <v>4756</v>
      </c>
      <c r="E2669" s="19" t="s">
        <v>4789</v>
      </c>
      <c r="F2669" s="19" t="s">
        <v>3982</v>
      </c>
      <c r="G2669" s="5" t="str">
        <f>HYPERLINK("http://jsmh.umin.jp/journal/35-2/181-183.pdf")</f>
        <v>http://jsmh.umin.jp/journal/35-2/181-183.pdf</v>
      </c>
      <c r="H2669" s="43" t="str">
        <f t="shared" si="201"/>
        <v>http://dl.ndl.go.jp/info:ndljp/pid/3359323</v>
      </c>
    </row>
    <row r="2670" spans="1:8" ht="30" customHeight="1" x14ac:dyDescent="0.15">
      <c r="A2670" s="16" t="s">
        <v>1855</v>
      </c>
      <c r="B2670" s="17" t="s">
        <v>4831</v>
      </c>
      <c r="C2670" s="17" t="s">
        <v>2222</v>
      </c>
      <c r="D2670" s="25" t="s">
        <v>4756</v>
      </c>
      <c r="E2670" s="19" t="s">
        <v>4789</v>
      </c>
      <c r="F2670" s="19" t="s">
        <v>2047</v>
      </c>
      <c r="G2670" s="5" t="str">
        <f>HYPERLINK("http://jsmh.umin.jp/journal/35-2/184.pdf")</f>
        <v>http://jsmh.umin.jp/journal/35-2/184.pdf</v>
      </c>
      <c r="H2670" s="43" t="str">
        <f t="shared" ref="H2670:H2687" si="202">HYPERLINK("http://dl.ndl.go.jp/info:ndljp/pid/3359323")</f>
        <v>http://dl.ndl.go.jp/info:ndljp/pid/3359323</v>
      </c>
    </row>
    <row r="2671" spans="1:8" ht="30" customHeight="1" x14ac:dyDescent="0.15">
      <c r="A2671" s="16" t="s">
        <v>1855</v>
      </c>
      <c r="B2671" s="17" t="s">
        <v>4832</v>
      </c>
      <c r="C2671" s="17" t="s">
        <v>4833</v>
      </c>
      <c r="D2671" s="25" t="s">
        <v>4756</v>
      </c>
      <c r="E2671" s="19" t="s">
        <v>4789</v>
      </c>
      <c r="F2671" s="19" t="s">
        <v>3428</v>
      </c>
      <c r="G2671" s="5" t="str">
        <f>HYPERLINK("http://jsmh.umin.jp/journal/35-2/185-187.pdf")</f>
        <v>http://jsmh.umin.jp/journal/35-2/185-187.pdf</v>
      </c>
      <c r="H2671" s="43" t="str">
        <f t="shared" si="202"/>
        <v>http://dl.ndl.go.jp/info:ndljp/pid/3359323</v>
      </c>
    </row>
    <row r="2672" spans="1:8" ht="30" customHeight="1" x14ac:dyDescent="0.15">
      <c r="A2672" s="16" t="s">
        <v>1855</v>
      </c>
      <c r="B2672" s="17" t="s">
        <v>4834</v>
      </c>
      <c r="C2672" s="17" t="s">
        <v>4175</v>
      </c>
      <c r="D2672" s="25" t="s">
        <v>4756</v>
      </c>
      <c r="E2672" s="19" t="s">
        <v>4789</v>
      </c>
      <c r="F2672" s="19" t="s">
        <v>1723</v>
      </c>
      <c r="G2672" s="5" t="str">
        <f>HYPERLINK("http://jsmh.umin.jp/journal/35-2/187-189.pdf")</f>
        <v>http://jsmh.umin.jp/journal/35-2/187-189.pdf</v>
      </c>
      <c r="H2672" s="43" t="str">
        <f t="shared" si="202"/>
        <v>http://dl.ndl.go.jp/info:ndljp/pid/3359323</v>
      </c>
    </row>
    <row r="2673" spans="1:8" ht="30" customHeight="1" x14ac:dyDescent="0.15">
      <c r="A2673" s="16" t="s">
        <v>1855</v>
      </c>
      <c r="B2673" s="17" t="s">
        <v>4835</v>
      </c>
      <c r="C2673" s="17" t="s">
        <v>4585</v>
      </c>
      <c r="D2673" s="25" t="s">
        <v>4756</v>
      </c>
      <c r="E2673" s="19" t="s">
        <v>4789</v>
      </c>
      <c r="F2673" s="19" t="s">
        <v>4836</v>
      </c>
      <c r="G2673" s="5" t="str">
        <f>HYPERLINK("http://jsmh.umin.jp/journal/35-2/189-190.pdf")</f>
        <v>http://jsmh.umin.jp/journal/35-2/189-190.pdf</v>
      </c>
      <c r="H2673" s="43" t="str">
        <f t="shared" si="202"/>
        <v>http://dl.ndl.go.jp/info:ndljp/pid/3359323</v>
      </c>
    </row>
    <row r="2674" spans="1:8" ht="30" customHeight="1" x14ac:dyDescent="0.15">
      <c r="A2674" s="16" t="s">
        <v>1855</v>
      </c>
      <c r="B2674" s="17" t="s">
        <v>4837</v>
      </c>
      <c r="C2674" s="17" t="s">
        <v>963</v>
      </c>
      <c r="D2674" s="25" t="s">
        <v>4756</v>
      </c>
      <c r="E2674" s="19" t="s">
        <v>4789</v>
      </c>
      <c r="F2674" s="19" t="s">
        <v>976</v>
      </c>
      <c r="G2674" s="5" t="str">
        <f>HYPERLINK("http://jsmh.umin.jp/journal/35-2/190-191.pdf")</f>
        <v>http://jsmh.umin.jp/journal/35-2/190-191.pdf</v>
      </c>
      <c r="H2674" s="43" t="str">
        <f t="shared" si="202"/>
        <v>http://dl.ndl.go.jp/info:ndljp/pid/3359323</v>
      </c>
    </row>
    <row r="2675" spans="1:8" ht="30" customHeight="1" x14ac:dyDescent="0.15">
      <c r="A2675" s="16" t="s">
        <v>1855</v>
      </c>
      <c r="B2675" s="17" t="s">
        <v>4838</v>
      </c>
      <c r="C2675" s="17" t="s">
        <v>4839</v>
      </c>
      <c r="D2675" s="25" t="s">
        <v>4756</v>
      </c>
      <c r="E2675" s="19" t="s">
        <v>4789</v>
      </c>
      <c r="F2675" s="19" t="s">
        <v>3433</v>
      </c>
      <c r="G2675" s="5" t="str">
        <f>HYPERLINK("http://jsmh.umin.jp/journal/35-2/192-194.pdf")</f>
        <v>http://jsmh.umin.jp/journal/35-2/192-194.pdf</v>
      </c>
      <c r="H2675" s="43" t="str">
        <f t="shared" si="202"/>
        <v>http://dl.ndl.go.jp/info:ndljp/pid/3359323</v>
      </c>
    </row>
    <row r="2676" spans="1:8" ht="30" customHeight="1" x14ac:dyDescent="0.15">
      <c r="A2676" s="16" t="s">
        <v>1855</v>
      </c>
      <c r="B2676" s="17" t="s">
        <v>4840</v>
      </c>
      <c r="C2676" s="17" t="s">
        <v>2325</v>
      </c>
      <c r="D2676" s="25" t="s">
        <v>4756</v>
      </c>
      <c r="E2676" s="19" t="s">
        <v>4789</v>
      </c>
      <c r="F2676" s="19" t="s">
        <v>4841</v>
      </c>
      <c r="G2676" s="5" t="str">
        <f>HYPERLINK("http://jsmh.umin.jp/journal/35-2/194-196.pdf")</f>
        <v>http://jsmh.umin.jp/journal/35-2/194-196.pdf</v>
      </c>
      <c r="H2676" s="43" t="str">
        <f t="shared" si="202"/>
        <v>http://dl.ndl.go.jp/info:ndljp/pid/3359323</v>
      </c>
    </row>
    <row r="2677" spans="1:8" ht="30" customHeight="1" x14ac:dyDescent="0.15">
      <c r="A2677" s="16" t="s">
        <v>1855</v>
      </c>
      <c r="B2677" s="17" t="s">
        <v>4842</v>
      </c>
      <c r="C2677" s="17" t="s">
        <v>1299</v>
      </c>
      <c r="D2677" s="25" t="s">
        <v>4756</v>
      </c>
      <c r="E2677" s="19" t="s">
        <v>4789</v>
      </c>
      <c r="F2677" s="19" t="s">
        <v>1737</v>
      </c>
      <c r="G2677" s="5" t="str">
        <f>HYPERLINK("http://jsmh.umin.jp/journal/35-2/197-198.pdf")</f>
        <v>http://jsmh.umin.jp/journal/35-2/197-198.pdf</v>
      </c>
      <c r="H2677" s="43" t="str">
        <f t="shared" si="202"/>
        <v>http://dl.ndl.go.jp/info:ndljp/pid/3359323</v>
      </c>
    </row>
    <row r="2678" spans="1:8" ht="30" customHeight="1" x14ac:dyDescent="0.15">
      <c r="A2678" s="16" t="s">
        <v>1855</v>
      </c>
      <c r="B2678" s="17" t="s">
        <v>4843</v>
      </c>
      <c r="C2678" s="17" t="s">
        <v>1070</v>
      </c>
      <c r="D2678" s="25" t="s">
        <v>4756</v>
      </c>
      <c r="E2678" s="19" t="s">
        <v>4789</v>
      </c>
      <c r="F2678" s="19" t="s">
        <v>2803</v>
      </c>
      <c r="G2678" s="5" t="str">
        <f>HYPERLINK("http://jsmh.umin.jp/journal/35-2/198-200.pdf")</f>
        <v>http://jsmh.umin.jp/journal/35-2/198-200.pdf</v>
      </c>
      <c r="H2678" s="43" t="str">
        <f t="shared" si="202"/>
        <v>http://dl.ndl.go.jp/info:ndljp/pid/3359323</v>
      </c>
    </row>
    <row r="2679" spans="1:8" ht="30" customHeight="1" x14ac:dyDescent="0.15">
      <c r="A2679" s="16" t="s">
        <v>1855</v>
      </c>
      <c r="B2679" s="17" t="s">
        <v>4844</v>
      </c>
      <c r="C2679" s="17" t="s">
        <v>925</v>
      </c>
      <c r="D2679" s="25" t="s">
        <v>4756</v>
      </c>
      <c r="E2679" s="19" t="s">
        <v>4789</v>
      </c>
      <c r="F2679" s="19" t="s">
        <v>3682</v>
      </c>
      <c r="G2679" s="5" t="str">
        <f>HYPERLINK("http://jsmh.umin.jp/journal/35-2/200-202.pdf")</f>
        <v>http://jsmh.umin.jp/journal/35-2/200-202.pdf</v>
      </c>
      <c r="H2679" s="43" t="str">
        <f t="shared" si="202"/>
        <v>http://dl.ndl.go.jp/info:ndljp/pid/3359323</v>
      </c>
    </row>
    <row r="2680" spans="1:8" ht="30" customHeight="1" x14ac:dyDescent="0.15">
      <c r="A2680" s="16" t="s">
        <v>1855</v>
      </c>
      <c r="B2680" s="17" t="s">
        <v>4845</v>
      </c>
      <c r="C2680" s="17" t="s">
        <v>2233</v>
      </c>
      <c r="D2680" s="25" t="s">
        <v>4756</v>
      </c>
      <c r="E2680" s="19" t="s">
        <v>4789</v>
      </c>
      <c r="F2680" s="19" t="s">
        <v>84</v>
      </c>
      <c r="G2680" s="5" t="str">
        <f>HYPERLINK("http://jsmh.umin.jp/journal/35-2/203-204.pdf")</f>
        <v>http://jsmh.umin.jp/journal/35-2/203-204.pdf</v>
      </c>
      <c r="H2680" s="43" t="str">
        <f t="shared" si="202"/>
        <v>http://dl.ndl.go.jp/info:ndljp/pid/3359323</v>
      </c>
    </row>
    <row r="2681" spans="1:8" ht="30" customHeight="1" x14ac:dyDescent="0.15">
      <c r="A2681" s="16" t="s">
        <v>1855</v>
      </c>
      <c r="B2681" s="17" t="s">
        <v>4846</v>
      </c>
      <c r="C2681" s="17" t="s">
        <v>1097</v>
      </c>
      <c r="D2681" s="25" t="s">
        <v>4756</v>
      </c>
      <c r="E2681" s="19" t="s">
        <v>4789</v>
      </c>
      <c r="F2681" s="19" t="s">
        <v>2068</v>
      </c>
      <c r="G2681" s="5" t="str">
        <f>HYPERLINK("http://jsmh.umin.jp/journal/35-2/205-206.pdf")</f>
        <v>http://jsmh.umin.jp/journal/35-2/205-206.pdf</v>
      </c>
      <c r="H2681" s="43" t="str">
        <f t="shared" si="202"/>
        <v>http://dl.ndl.go.jp/info:ndljp/pid/3359323</v>
      </c>
    </row>
    <row r="2682" spans="1:8" ht="30" customHeight="1" x14ac:dyDescent="0.15">
      <c r="A2682" s="16" t="s">
        <v>1855</v>
      </c>
      <c r="B2682" s="17" t="s">
        <v>4847</v>
      </c>
      <c r="C2682" s="17" t="s">
        <v>4848</v>
      </c>
      <c r="D2682" s="25" t="s">
        <v>4756</v>
      </c>
      <c r="E2682" s="19" t="s">
        <v>4789</v>
      </c>
      <c r="F2682" s="19" t="s">
        <v>3996</v>
      </c>
      <c r="G2682" s="5" t="str">
        <f>HYPERLINK("http://jsmh.umin.jp/journal/35-2/207-208.pdf")</f>
        <v>http://jsmh.umin.jp/journal/35-2/207-208.pdf</v>
      </c>
      <c r="H2682" s="43" t="str">
        <f t="shared" si="202"/>
        <v>http://dl.ndl.go.jp/info:ndljp/pid/3359323</v>
      </c>
    </row>
    <row r="2683" spans="1:8" ht="30" customHeight="1" x14ac:dyDescent="0.15">
      <c r="A2683" s="16" t="s">
        <v>1855</v>
      </c>
      <c r="B2683" s="17" t="s">
        <v>4849</v>
      </c>
      <c r="C2683" s="17" t="s">
        <v>444</v>
      </c>
      <c r="D2683" s="25" t="s">
        <v>4756</v>
      </c>
      <c r="E2683" s="19" t="s">
        <v>4789</v>
      </c>
      <c r="F2683" s="19" t="s">
        <v>2600</v>
      </c>
      <c r="G2683" s="5" t="str">
        <f>HYPERLINK("http://jsmh.umin.jp/journal/35-2/209-211.pdf")</f>
        <v>http://jsmh.umin.jp/journal/35-2/209-211.pdf</v>
      </c>
      <c r="H2683" s="43" t="str">
        <f t="shared" si="202"/>
        <v>http://dl.ndl.go.jp/info:ndljp/pid/3359323</v>
      </c>
    </row>
    <row r="2684" spans="1:8" ht="30" customHeight="1" x14ac:dyDescent="0.15">
      <c r="A2684" s="16" t="s">
        <v>1855</v>
      </c>
      <c r="B2684" s="17" t="s">
        <v>4850</v>
      </c>
      <c r="C2684" s="17" t="s">
        <v>2828</v>
      </c>
      <c r="D2684" s="25" t="s">
        <v>4756</v>
      </c>
      <c r="E2684" s="19" t="s">
        <v>4789</v>
      </c>
      <c r="F2684" s="19" t="s">
        <v>2951</v>
      </c>
      <c r="G2684" s="5" t="str">
        <f>HYPERLINK("http://jsmh.umin.jp/journal/35-2/211-213.pdf")</f>
        <v>http://jsmh.umin.jp/journal/35-2/211-213.pdf</v>
      </c>
      <c r="H2684" s="43" t="str">
        <f t="shared" si="202"/>
        <v>http://dl.ndl.go.jp/info:ndljp/pid/3359323</v>
      </c>
    </row>
    <row r="2685" spans="1:8" ht="30" customHeight="1" x14ac:dyDescent="0.15">
      <c r="A2685" s="16" t="s">
        <v>1855</v>
      </c>
      <c r="B2685" s="17" t="s">
        <v>4851</v>
      </c>
      <c r="C2685" s="17" t="s">
        <v>3644</v>
      </c>
      <c r="D2685" s="25" t="s">
        <v>4756</v>
      </c>
      <c r="E2685" s="19" t="s">
        <v>4789</v>
      </c>
      <c r="F2685" s="19" t="s">
        <v>3691</v>
      </c>
      <c r="G2685" s="5" t="str">
        <f>HYPERLINK("http://jsmh.umin.jp/journal/35-2/214-216.pdf")</f>
        <v>http://jsmh.umin.jp/journal/35-2/214-216.pdf</v>
      </c>
      <c r="H2685" s="43" t="str">
        <f t="shared" si="202"/>
        <v>http://dl.ndl.go.jp/info:ndljp/pid/3359323</v>
      </c>
    </row>
    <row r="2686" spans="1:8" ht="30" customHeight="1" x14ac:dyDescent="0.15">
      <c r="A2686" s="16" t="s">
        <v>1855</v>
      </c>
      <c r="B2686" s="17" t="s">
        <v>4852</v>
      </c>
      <c r="C2686" s="17" t="s">
        <v>3301</v>
      </c>
      <c r="D2686" s="25" t="s">
        <v>4756</v>
      </c>
      <c r="E2686" s="19" t="s">
        <v>4789</v>
      </c>
      <c r="F2686" s="19" t="s">
        <v>4004</v>
      </c>
      <c r="G2686" s="5" t="str">
        <f>HYPERLINK("http://jsmh.umin.jp/journal/35-2/216-218.pdf")</f>
        <v>http://jsmh.umin.jp/journal/35-2/216-218.pdf</v>
      </c>
      <c r="H2686" s="43" t="str">
        <f t="shared" si="202"/>
        <v>http://dl.ndl.go.jp/info:ndljp/pid/3359323</v>
      </c>
    </row>
    <row r="2687" spans="1:8" ht="30" customHeight="1" x14ac:dyDescent="0.15">
      <c r="A2687" s="16" t="s">
        <v>1855</v>
      </c>
      <c r="B2687" s="17" t="s">
        <v>4853</v>
      </c>
      <c r="C2687" s="17" t="s">
        <v>4302</v>
      </c>
      <c r="D2687" s="25" t="s">
        <v>4756</v>
      </c>
      <c r="E2687" s="19" t="s">
        <v>4789</v>
      </c>
      <c r="F2687" s="19" t="s">
        <v>300</v>
      </c>
      <c r="G2687" s="5" t="str">
        <f>HYPERLINK("http://jsmh.umin.jp/journal/35-2/219-220.pdf")</f>
        <v>http://jsmh.umin.jp/journal/35-2/219-220.pdf</v>
      </c>
      <c r="H2687" s="43" t="str">
        <f t="shared" si="202"/>
        <v>http://dl.ndl.go.jp/info:ndljp/pid/3359323</v>
      </c>
    </row>
    <row r="2688" spans="1:8" ht="30" customHeight="1" x14ac:dyDescent="0.15">
      <c r="A2688" s="16" t="s">
        <v>17</v>
      </c>
      <c r="B2688" s="17" t="s">
        <v>4854</v>
      </c>
      <c r="C2688" s="17" t="s">
        <v>3839</v>
      </c>
      <c r="D2688" s="25" t="s">
        <v>4756</v>
      </c>
      <c r="E2688" s="19" t="s">
        <v>4855</v>
      </c>
      <c r="F2688" s="19" t="s">
        <v>4856</v>
      </c>
      <c r="G2688" s="5" t="str">
        <f>HYPERLINK("http://jsmh.umin.jp/journal/35-3/229-260.pdf")</f>
        <v>http://jsmh.umin.jp/journal/35-3/229-260.pdf</v>
      </c>
      <c r="H2688" s="42" t="str">
        <f t="shared" ref="H2688:H2720" si="203">HYPERLINK("http://dl.ndl.go.jp/info:ndljp/pid/3359324")</f>
        <v>http://dl.ndl.go.jp/info:ndljp/pid/3359324</v>
      </c>
    </row>
    <row r="2689" spans="1:8" ht="30" customHeight="1" x14ac:dyDescent="0.15">
      <c r="A2689" s="16" t="s">
        <v>3387</v>
      </c>
      <c r="B2689" s="17" t="s">
        <v>4857</v>
      </c>
      <c r="C2689" s="17" t="s">
        <v>4858</v>
      </c>
      <c r="D2689" s="25" t="s">
        <v>4756</v>
      </c>
      <c r="E2689" s="19" t="s">
        <v>4855</v>
      </c>
      <c r="F2689" s="19" t="s">
        <v>4859</v>
      </c>
      <c r="G2689" s="5" t="str">
        <f>HYPERLINK("http://jsmh.umin.jp/journal/35-3/261-276.pdf")</f>
        <v>http://jsmh.umin.jp/journal/35-3/261-276.pdf</v>
      </c>
      <c r="H2689" s="43" t="str">
        <f t="shared" si="203"/>
        <v>http://dl.ndl.go.jp/info:ndljp/pid/3359324</v>
      </c>
    </row>
    <row r="2690" spans="1:8" ht="30" customHeight="1" x14ac:dyDescent="0.15">
      <c r="A2690" s="16" t="s">
        <v>4475</v>
      </c>
      <c r="B2690" s="17" t="s">
        <v>4860</v>
      </c>
      <c r="C2690" s="17" t="s">
        <v>4125</v>
      </c>
      <c r="D2690" s="25" t="s">
        <v>4756</v>
      </c>
      <c r="E2690" s="19" t="s">
        <v>4855</v>
      </c>
      <c r="F2690" s="19" t="s">
        <v>4861</v>
      </c>
      <c r="G2690" s="5" t="str">
        <f>HYPERLINK("http://jsmh.umin.jp/journal/35-3/277-286.pdf")</f>
        <v>http://jsmh.umin.jp/journal/35-3/277-286.pdf</v>
      </c>
      <c r="H2690" s="43" t="str">
        <f t="shared" si="203"/>
        <v>http://dl.ndl.go.jp/info:ndljp/pid/3359324</v>
      </c>
    </row>
    <row r="2691" spans="1:8" ht="30" customHeight="1" x14ac:dyDescent="0.15">
      <c r="A2691" s="16" t="s">
        <v>4475</v>
      </c>
      <c r="B2691" s="17" t="s">
        <v>1956</v>
      </c>
      <c r="C2691" s="17" t="s">
        <v>2786</v>
      </c>
      <c r="D2691" s="25" t="s">
        <v>4756</v>
      </c>
      <c r="E2691" s="19" t="s">
        <v>4855</v>
      </c>
      <c r="F2691" s="19" t="s">
        <v>4862</v>
      </c>
      <c r="G2691" s="5" t="str">
        <f>HYPERLINK("http://jsmh.umin.jp/journal/35-3/287-291.pdf")</f>
        <v>http://jsmh.umin.jp/journal/35-3/287-291.pdf</v>
      </c>
      <c r="H2691" s="43" t="str">
        <f t="shared" si="203"/>
        <v>http://dl.ndl.go.jp/info:ndljp/pid/3359324</v>
      </c>
    </row>
    <row r="2692" spans="1:8" ht="30" customHeight="1" x14ac:dyDescent="0.15">
      <c r="A2692" s="16" t="s">
        <v>4265</v>
      </c>
      <c r="B2692" s="17" t="s">
        <v>4863</v>
      </c>
      <c r="C2692" s="17" t="s">
        <v>4864</v>
      </c>
      <c r="D2692" s="25" t="s">
        <v>4756</v>
      </c>
      <c r="E2692" s="19" t="s">
        <v>4855</v>
      </c>
      <c r="F2692" s="19" t="s">
        <v>4865</v>
      </c>
      <c r="G2692" s="5" t="str">
        <f>HYPERLINK("http://jsmh.umin.jp/journal/35-3/292-300.pdf")</f>
        <v>http://jsmh.umin.jp/journal/35-3/292-300.pdf</v>
      </c>
      <c r="H2692" s="43" t="str">
        <f t="shared" si="203"/>
        <v>http://dl.ndl.go.jp/info:ndljp/pid/3359324</v>
      </c>
    </row>
    <row r="2693" spans="1:8" ht="30" customHeight="1" x14ac:dyDescent="0.15">
      <c r="A2693" s="16" t="s">
        <v>692</v>
      </c>
      <c r="B2693" s="17" t="s">
        <v>4866</v>
      </c>
      <c r="C2693" s="17" t="s">
        <v>4867</v>
      </c>
      <c r="D2693" s="25" t="s">
        <v>4756</v>
      </c>
      <c r="E2693" s="19" t="s">
        <v>4855</v>
      </c>
      <c r="F2693" s="19" t="s">
        <v>4868</v>
      </c>
      <c r="G2693" s="5" t="str">
        <f>HYPERLINK("http://jsmh.umin.jp/journal/35-3/301-307.pdf")</f>
        <v>http://jsmh.umin.jp/journal/35-3/301-307.pdf</v>
      </c>
      <c r="H2693" s="43" t="str">
        <f t="shared" si="203"/>
        <v>http://dl.ndl.go.jp/info:ndljp/pid/3359324</v>
      </c>
    </row>
    <row r="2694" spans="1:8" ht="30" customHeight="1" x14ac:dyDescent="0.15">
      <c r="A2694" s="16" t="s">
        <v>692</v>
      </c>
      <c r="B2694" s="17" t="s">
        <v>4869</v>
      </c>
      <c r="C2694" s="17" t="s">
        <v>4870</v>
      </c>
      <c r="D2694" s="25" t="s">
        <v>4756</v>
      </c>
      <c r="E2694" s="19" t="s">
        <v>4855</v>
      </c>
      <c r="F2694" s="19" t="s">
        <v>3878</v>
      </c>
      <c r="G2694" s="5" t="str">
        <f>HYPERLINK("http://jsmh.umin.jp/journal/35-3/308-315.pdf")</f>
        <v>http://jsmh.umin.jp/journal/35-3/308-315.pdf</v>
      </c>
      <c r="H2694" s="43" t="str">
        <f t="shared" si="203"/>
        <v>http://dl.ndl.go.jp/info:ndljp/pid/3359324</v>
      </c>
    </row>
    <row r="2695" spans="1:8" ht="30" customHeight="1" x14ac:dyDescent="0.15">
      <c r="A2695" s="16" t="s">
        <v>3223</v>
      </c>
      <c r="B2695" s="17" t="s">
        <v>4871</v>
      </c>
      <c r="C2695" s="17" t="s">
        <v>830</v>
      </c>
      <c r="D2695" s="25" t="s">
        <v>4756</v>
      </c>
      <c r="E2695" s="19" t="s">
        <v>4855</v>
      </c>
      <c r="F2695" s="19" t="s">
        <v>3123</v>
      </c>
      <c r="G2695" s="5" t="str">
        <f>HYPERLINK("http://jsmh.umin.jp/journal/35-3/316-318.pdf")</f>
        <v>http://jsmh.umin.jp/journal/35-3/316-318.pdf</v>
      </c>
      <c r="H2695" s="43" t="str">
        <f t="shared" si="203"/>
        <v>http://dl.ndl.go.jp/info:ndljp/pid/3359324</v>
      </c>
    </row>
    <row r="2696" spans="1:8" ht="30" customHeight="1" x14ac:dyDescent="0.15">
      <c r="A2696" s="16" t="s">
        <v>3223</v>
      </c>
      <c r="B2696" s="17" t="s">
        <v>4872</v>
      </c>
      <c r="C2696" s="17" t="s">
        <v>841</v>
      </c>
      <c r="D2696" s="25" t="s">
        <v>4756</v>
      </c>
      <c r="E2696" s="19" t="s">
        <v>4855</v>
      </c>
      <c r="F2696" s="19" t="s">
        <v>4873</v>
      </c>
      <c r="G2696" s="5" t="str">
        <f>HYPERLINK("http://jsmh.umin.jp/journal/35-3/318-322.pdf")</f>
        <v>http://jsmh.umin.jp/journal/35-3/318-322.pdf</v>
      </c>
      <c r="H2696" s="43" t="str">
        <f t="shared" si="203"/>
        <v>http://dl.ndl.go.jp/info:ndljp/pid/3359324</v>
      </c>
    </row>
    <row r="2697" spans="1:8" ht="30" customHeight="1" x14ac:dyDescent="0.15">
      <c r="A2697" s="16" t="s">
        <v>3223</v>
      </c>
      <c r="B2697" s="17" t="s">
        <v>4874</v>
      </c>
      <c r="C2697" s="17" t="s">
        <v>66</v>
      </c>
      <c r="D2697" s="25" t="s">
        <v>4756</v>
      </c>
      <c r="E2697" s="19" t="s">
        <v>4855</v>
      </c>
      <c r="F2697" s="19" t="s">
        <v>3129</v>
      </c>
      <c r="G2697" s="5" t="str">
        <f>HYPERLINK("http://jsmh.umin.jp/journal/35-3/322-323.pdf")</f>
        <v>http://jsmh.umin.jp/journal/35-3/322-323.pdf</v>
      </c>
      <c r="H2697" s="43" t="str">
        <f t="shared" si="203"/>
        <v>http://dl.ndl.go.jp/info:ndljp/pid/3359324</v>
      </c>
    </row>
    <row r="2698" spans="1:8" ht="30" customHeight="1" x14ac:dyDescent="0.15">
      <c r="A2698" s="16" t="s">
        <v>558</v>
      </c>
      <c r="B2698" s="17" t="s">
        <v>4875</v>
      </c>
      <c r="C2698" s="17"/>
      <c r="D2698" s="25" t="s">
        <v>4756</v>
      </c>
      <c r="E2698" s="19" t="s">
        <v>4855</v>
      </c>
      <c r="F2698" s="19" t="s">
        <v>1600</v>
      </c>
      <c r="G2698" s="5" t="str">
        <f>HYPERLINK("http://jsmh.umin.jp/journal/35-3/327-328.pdf")</f>
        <v>http://jsmh.umin.jp/journal/35-3/327-328.pdf</v>
      </c>
      <c r="H2698" s="43" t="str">
        <f t="shared" si="203"/>
        <v>http://dl.ndl.go.jp/info:ndljp/pid/3359324</v>
      </c>
    </row>
    <row r="2699" spans="1:8" ht="30" customHeight="1" x14ac:dyDescent="0.15">
      <c r="A2699" s="16" t="s">
        <v>558</v>
      </c>
      <c r="B2699" s="17" t="s">
        <v>704</v>
      </c>
      <c r="C2699" s="17"/>
      <c r="D2699" s="25" t="s">
        <v>4756</v>
      </c>
      <c r="E2699" s="19" t="s">
        <v>4855</v>
      </c>
      <c r="F2699" s="19" t="s">
        <v>3891</v>
      </c>
      <c r="G2699" s="5" t="str">
        <f>HYPERLINK("http://jsmh.umin.jp/journal/35-3/328-329.pdf")</f>
        <v>http://jsmh.umin.jp/journal/35-3/328-329.pdf</v>
      </c>
      <c r="H2699" s="43" t="str">
        <f t="shared" si="203"/>
        <v>http://dl.ndl.go.jp/info:ndljp/pid/3359324</v>
      </c>
    </row>
    <row r="2700" spans="1:8" ht="30" customHeight="1" x14ac:dyDescent="0.15">
      <c r="A2700" s="16" t="s">
        <v>3720</v>
      </c>
      <c r="B2700" s="17" t="s">
        <v>4876</v>
      </c>
      <c r="C2700" s="17" t="s">
        <v>2937</v>
      </c>
      <c r="D2700" s="25" t="s">
        <v>4756</v>
      </c>
      <c r="E2700" s="19" t="s">
        <v>4855</v>
      </c>
      <c r="F2700" s="19" t="s">
        <v>3136</v>
      </c>
      <c r="G2700" s="5" t="str">
        <f>HYPERLINK("http://jsmh.umin.jp/journal/35-3/329-330.pdf")</f>
        <v>http://jsmh.umin.jp/journal/35-3/329-330.pdf</v>
      </c>
      <c r="H2700" s="43" t="str">
        <f t="shared" si="203"/>
        <v>http://dl.ndl.go.jp/info:ndljp/pid/3359324</v>
      </c>
    </row>
    <row r="2701" spans="1:8" ht="30" customHeight="1" x14ac:dyDescent="0.15">
      <c r="A2701" s="16" t="s">
        <v>3720</v>
      </c>
      <c r="B2701" s="17" t="s">
        <v>4877</v>
      </c>
      <c r="C2701" s="17" t="s">
        <v>48</v>
      </c>
      <c r="D2701" s="25" t="s">
        <v>4756</v>
      </c>
      <c r="E2701" s="19" t="s">
        <v>4855</v>
      </c>
      <c r="F2701" s="19" t="s">
        <v>3139</v>
      </c>
      <c r="G2701" s="5" t="str">
        <f>HYPERLINK("http://jsmh.umin.jp/journal/35-3/330-332.pdf")</f>
        <v>http://jsmh.umin.jp/journal/35-3/330-332.pdf</v>
      </c>
      <c r="H2701" s="43" t="str">
        <f t="shared" si="203"/>
        <v>http://dl.ndl.go.jp/info:ndljp/pid/3359324</v>
      </c>
    </row>
    <row r="2702" spans="1:8" ht="30" customHeight="1" x14ac:dyDescent="0.15">
      <c r="A2702" s="16" t="s">
        <v>3720</v>
      </c>
      <c r="B2702" s="17" t="s">
        <v>4878</v>
      </c>
      <c r="C2702" s="17" t="s">
        <v>4733</v>
      </c>
      <c r="D2702" s="25" t="s">
        <v>4756</v>
      </c>
      <c r="E2702" s="19" t="s">
        <v>4855</v>
      </c>
      <c r="F2702" s="19" t="s">
        <v>1607</v>
      </c>
      <c r="G2702" s="5" t="str">
        <f>HYPERLINK("http://jsmh.umin.jp/journal/35-3/330.pdf")</f>
        <v>http://jsmh.umin.jp/journal/35-3/330.pdf</v>
      </c>
      <c r="H2702" s="43" t="str">
        <f t="shared" si="203"/>
        <v>http://dl.ndl.go.jp/info:ndljp/pid/3359324</v>
      </c>
    </row>
    <row r="2703" spans="1:8" ht="30" customHeight="1" x14ac:dyDescent="0.15">
      <c r="A2703" s="16" t="s">
        <v>3720</v>
      </c>
      <c r="B2703" s="17" t="s">
        <v>4879</v>
      </c>
      <c r="C2703" s="17" t="s">
        <v>1457</v>
      </c>
      <c r="D2703" s="25" t="s">
        <v>4756</v>
      </c>
      <c r="E2703" s="19" t="s">
        <v>4855</v>
      </c>
      <c r="F2703" s="19" t="s">
        <v>1613</v>
      </c>
      <c r="G2703" s="5" t="str">
        <f>HYPERLINK("http://jsmh.umin.jp/journal/35-3/332-333.pdf")</f>
        <v>http://jsmh.umin.jp/journal/35-3/332-333.pdf</v>
      </c>
      <c r="H2703" s="43" t="str">
        <f t="shared" si="203"/>
        <v>http://dl.ndl.go.jp/info:ndljp/pid/3359324</v>
      </c>
    </row>
    <row r="2704" spans="1:8" ht="30" customHeight="1" x14ac:dyDescent="0.15">
      <c r="A2704" s="16" t="s">
        <v>2990</v>
      </c>
      <c r="B2704" s="17" t="s">
        <v>4880</v>
      </c>
      <c r="C2704" s="17" t="s">
        <v>4881</v>
      </c>
      <c r="D2704" s="25" t="s">
        <v>4756</v>
      </c>
      <c r="E2704" s="19" t="s">
        <v>4855</v>
      </c>
      <c r="F2704" s="19" t="s">
        <v>1619</v>
      </c>
      <c r="G2704" s="26" t="str">
        <f t="shared" ref="G2704:G2719" si="204">HYPERLINK("http://jsmh.umin.jp/journal/35-3/333-350.pdf")</f>
        <v>http://jsmh.umin.jp/journal/35-3/333-350.pdf</v>
      </c>
      <c r="H2704" s="45" t="str">
        <f t="shared" si="203"/>
        <v>http://dl.ndl.go.jp/info:ndljp/pid/3359324</v>
      </c>
    </row>
    <row r="2705" spans="1:8" ht="30" customHeight="1" x14ac:dyDescent="0.15">
      <c r="A2705" s="16" t="s">
        <v>2990</v>
      </c>
      <c r="B2705" s="17" t="s">
        <v>4882</v>
      </c>
      <c r="C2705" s="17" t="s">
        <v>3655</v>
      </c>
      <c r="D2705" s="25" t="s">
        <v>4756</v>
      </c>
      <c r="E2705" s="19" t="s">
        <v>4855</v>
      </c>
      <c r="F2705" s="19" t="s">
        <v>1625</v>
      </c>
      <c r="G2705" s="26" t="str">
        <f t="shared" si="204"/>
        <v>http://jsmh.umin.jp/journal/35-3/333-350.pdf</v>
      </c>
      <c r="H2705" s="45" t="str">
        <f t="shared" si="203"/>
        <v>http://dl.ndl.go.jp/info:ndljp/pid/3359324</v>
      </c>
    </row>
    <row r="2706" spans="1:8" ht="30" customHeight="1" x14ac:dyDescent="0.15">
      <c r="A2706" s="16" t="s">
        <v>2990</v>
      </c>
      <c r="B2706" s="17" t="s">
        <v>4883</v>
      </c>
      <c r="C2706" s="17" t="s">
        <v>4457</v>
      </c>
      <c r="D2706" s="25" t="s">
        <v>4756</v>
      </c>
      <c r="E2706" s="19" t="s">
        <v>4855</v>
      </c>
      <c r="F2706" s="19" t="s">
        <v>4884</v>
      </c>
      <c r="G2706" s="26" t="str">
        <f t="shared" si="204"/>
        <v>http://jsmh.umin.jp/journal/35-3/333-350.pdf</v>
      </c>
      <c r="H2706" s="45" t="str">
        <f t="shared" si="203"/>
        <v>http://dl.ndl.go.jp/info:ndljp/pid/3359324</v>
      </c>
    </row>
    <row r="2707" spans="1:8" ht="30" customHeight="1" x14ac:dyDescent="0.15">
      <c r="A2707" s="16" t="s">
        <v>2990</v>
      </c>
      <c r="B2707" s="17" t="s">
        <v>4885</v>
      </c>
      <c r="C2707" s="17" t="s">
        <v>4886</v>
      </c>
      <c r="D2707" s="25" t="s">
        <v>4756</v>
      </c>
      <c r="E2707" s="19" t="s">
        <v>4855</v>
      </c>
      <c r="F2707" s="19" t="s">
        <v>4887</v>
      </c>
      <c r="G2707" s="26" t="str">
        <f t="shared" si="204"/>
        <v>http://jsmh.umin.jp/journal/35-3/333-350.pdf</v>
      </c>
      <c r="H2707" s="45" t="str">
        <f t="shared" si="203"/>
        <v>http://dl.ndl.go.jp/info:ndljp/pid/3359324</v>
      </c>
    </row>
    <row r="2708" spans="1:8" ht="30" customHeight="1" x14ac:dyDescent="0.15">
      <c r="A2708" s="16" t="s">
        <v>2990</v>
      </c>
      <c r="B2708" s="17" t="s">
        <v>4888</v>
      </c>
      <c r="C2708" s="17" t="s">
        <v>3650</v>
      </c>
      <c r="D2708" s="25" t="s">
        <v>4756</v>
      </c>
      <c r="E2708" s="19" t="s">
        <v>4855</v>
      </c>
      <c r="F2708" s="19" t="s">
        <v>4889</v>
      </c>
      <c r="G2708" s="26" t="str">
        <f t="shared" si="204"/>
        <v>http://jsmh.umin.jp/journal/35-3/333-350.pdf</v>
      </c>
      <c r="H2708" s="45" t="str">
        <f t="shared" si="203"/>
        <v>http://dl.ndl.go.jp/info:ndljp/pid/3359324</v>
      </c>
    </row>
    <row r="2709" spans="1:8" ht="30" customHeight="1" x14ac:dyDescent="0.15">
      <c r="A2709" s="16" t="s">
        <v>2990</v>
      </c>
      <c r="B2709" s="17" t="s">
        <v>4890</v>
      </c>
      <c r="C2709" s="17" t="s">
        <v>4342</v>
      </c>
      <c r="D2709" s="25" t="s">
        <v>4756</v>
      </c>
      <c r="E2709" s="19" t="s">
        <v>4855</v>
      </c>
      <c r="F2709" s="19" t="s">
        <v>4891</v>
      </c>
      <c r="G2709" s="26" t="str">
        <f t="shared" si="204"/>
        <v>http://jsmh.umin.jp/journal/35-3/333-350.pdf</v>
      </c>
      <c r="H2709" s="45" t="str">
        <f t="shared" si="203"/>
        <v>http://dl.ndl.go.jp/info:ndljp/pid/3359324</v>
      </c>
    </row>
    <row r="2710" spans="1:8" ht="30" customHeight="1" x14ac:dyDescent="0.15">
      <c r="A2710" s="16" t="s">
        <v>2990</v>
      </c>
      <c r="B2710" s="17" t="s">
        <v>10182</v>
      </c>
      <c r="C2710" s="17" t="s">
        <v>4892</v>
      </c>
      <c r="D2710" s="25" t="s">
        <v>4756</v>
      </c>
      <c r="E2710" s="19" t="s">
        <v>4855</v>
      </c>
      <c r="F2710" s="19" t="s">
        <v>4893</v>
      </c>
      <c r="G2710" s="26" t="str">
        <f t="shared" si="204"/>
        <v>http://jsmh.umin.jp/journal/35-3/333-350.pdf</v>
      </c>
      <c r="H2710" s="45" t="str">
        <f t="shared" si="203"/>
        <v>http://dl.ndl.go.jp/info:ndljp/pid/3359324</v>
      </c>
    </row>
    <row r="2711" spans="1:8" ht="30" customHeight="1" x14ac:dyDescent="0.15">
      <c r="A2711" s="16" t="s">
        <v>2990</v>
      </c>
      <c r="B2711" s="17" t="s">
        <v>10183</v>
      </c>
      <c r="C2711" s="17" t="s">
        <v>4894</v>
      </c>
      <c r="D2711" s="25" t="s">
        <v>4756</v>
      </c>
      <c r="E2711" s="19" t="s">
        <v>4855</v>
      </c>
      <c r="F2711" s="19" t="s">
        <v>4895</v>
      </c>
      <c r="G2711" s="26" t="str">
        <f t="shared" si="204"/>
        <v>http://jsmh.umin.jp/journal/35-3/333-350.pdf</v>
      </c>
      <c r="H2711" s="45" t="str">
        <f t="shared" si="203"/>
        <v>http://dl.ndl.go.jp/info:ndljp/pid/3359324</v>
      </c>
    </row>
    <row r="2712" spans="1:8" ht="30" customHeight="1" x14ac:dyDescent="0.15">
      <c r="A2712" s="16" t="s">
        <v>2990</v>
      </c>
      <c r="B2712" s="17" t="s">
        <v>4896</v>
      </c>
      <c r="C2712" s="17" t="s">
        <v>4897</v>
      </c>
      <c r="D2712" s="25" t="s">
        <v>4756</v>
      </c>
      <c r="E2712" s="19" t="s">
        <v>4855</v>
      </c>
      <c r="F2712" s="19" t="s">
        <v>4898</v>
      </c>
      <c r="G2712" s="26" t="str">
        <f t="shared" si="204"/>
        <v>http://jsmh.umin.jp/journal/35-3/333-350.pdf</v>
      </c>
      <c r="H2712" s="45" t="str">
        <f t="shared" si="203"/>
        <v>http://dl.ndl.go.jp/info:ndljp/pid/3359324</v>
      </c>
    </row>
    <row r="2713" spans="1:8" ht="30" customHeight="1" x14ac:dyDescent="0.15">
      <c r="A2713" s="16" t="s">
        <v>2990</v>
      </c>
      <c r="B2713" s="17" t="s">
        <v>4899</v>
      </c>
      <c r="C2713" s="17" t="s">
        <v>3120</v>
      </c>
      <c r="D2713" s="25" t="s">
        <v>4756</v>
      </c>
      <c r="E2713" s="19" t="s">
        <v>4855</v>
      </c>
      <c r="F2713" s="19" t="s">
        <v>4900</v>
      </c>
      <c r="G2713" s="26" t="str">
        <f t="shared" si="204"/>
        <v>http://jsmh.umin.jp/journal/35-3/333-350.pdf</v>
      </c>
      <c r="H2713" s="45" t="str">
        <f t="shared" si="203"/>
        <v>http://dl.ndl.go.jp/info:ndljp/pid/3359324</v>
      </c>
    </row>
    <row r="2714" spans="1:8" ht="30" customHeight="1" x14ac:dyDescent="0.15">
      <c r="A2714" s="16" t="s">
        <v>2990</v>
      </c>
      <c r="B2714" s="17" t="s">
        <v>4901</v>
      </c>
      <c r="C2714" s="17" t="s">
        <v>4902</v>
      </c>
      <c r="D2714" s="25" t="s">
        <v>4756</v>
      </c>
      <c r="E2714" s="19" t="s">
        <v>4855</v>
      </c>
      <c r="F2714" s="19" t="s">
        <v>4903</v>
      </c>
      <c r="G2714" s="26" t="str">
        <f t="shared" si="204"/>
        <v>http://jsmh.umin.jp/journal/35-3/333-350.pdf</v>
      </c>
      <c r="H2714" s="45" t="str">
        <f t="shared" si="203"/>
        <v>http://dl.ndl.go.jp/info:ndljp/pid/3359324</v>
      </c>
    </row>
    <row r="2715" spans="1:8" ht="30" customHeight="1" x14ac:dyDescent="0.15">
      <c r="A2715" s="16" t="s">
        <v>2990</v>
      </c>
      <c r="B2715" s="17" t="s">
        <v>4904</v>
      </c>
      <c r="C2715" s="17" t="s">
        <v>1659</v>
      </c>
      <c r="D2715" s="25" t="s">
        <v>4756</v>
      </c>
      <c r="E2715" s="19" t="s">
        <v>4855</v>
      </c>
      <c r="F2715" s="19" t="s">
        <v>3895</v>
      </c>
      <c r="G2715" s="26" t="str">
        <f t="shared" si="204"/>
        <v>http://jsmh.umin.jp/journal/35-3/333-350.pdf</v>
      </c>
      <c r="H2715" s="45" t="str">
        <f t="shared" si="203"/>
        <v>http://dl.ndl.go.jp/info:ndljp/pid/3359324</v>
      </c>
    </row>
    <row r="2716" spans="1:8" ht="30" customHeight="1" x14ac:dyDescent="0.15">
      <c r="A2716" s="16" t="s">
        <v>2990</v>
      </c>
      <c r="B2716" s="17" t="s">
        <v>10184</v>
      </c>
      <c r="C2716" s="17" t="s">
        <v>1659</v>
      </c>
      <c r="D2716" s="25" t="s">
        <v>4756</v>
      </c>
      <c r="E2716" s="19" t="s">
        <v>4855</v>
      </c>
      <c r="F2716" s="19" t="s">
        <v>3897</v>
      </c>
      <c r="G2716" s="26" t="str">
        <f t="shared" si="204"/>
        <v>http://jsmh.umin.jp/journal/35-3/333-350.pdf</v>
      </c>
      <c r="H2716" s="45" t="str">
        <f t="shared" si="203"/>
        <v>http://dl.ndl.go.jp/info:ndljp/pid/3359324</v>
      </c>
    </row>
    <row r="2717" spans="1:8" ht="30" customHeight="1" x14ac:dyDescent="0.15">
      <c r="A2717" s="16" t="s">
        <v>2990</v>
      </c>
      <c r="B2717" s="17" t="s">
        <v>4905</v>
      </c>
      <c r="C2717" s="17" t="s">
        <v>209</v>
      </c>
      <c r="D2717" s="25" t="s">
        <v>4756</v>
      </c>
      <c r="E2717" s="19" t="s">
        <v>4855</v>
      </c>
      <c r="F2717" s="19" t="s">
        <v>4906</v>
      </c>
      <c r="G2717" s="26" t="str">
        <f t="shared" si="204"/>
        <v>http://jsmh.umin.jp/journal/35-3/333-350.pdf</v>
      </c>
      <c r="H2717" s="45" t="str">
        <f t="shared" si="203"/>
        <v>http://dl.ndl.go.jp/info:ndljp/pid/3359324</v>
      </c>
    </row>
    <row r="2718" spans="1:8" ht="30" customHeight="1" x14ac:dyDescent="0.15">
      <c r="A2718" s="16" t="s">
        <v>2990</v>
      </c>
      <c r="B2718" s="17" t="s">
        <v>10185</v>
      </c>
      <c r="C2718" s="17" t="s">
        <v>3756</v>
      </c>
      <c r="D2718" s="25" t="s">
        <v>4756</v>
      </c>
      <c r="E2718" s="19" t="s">
        <v>4855</v>
      </c>
      <c r="F2718" s="19" t="s">
        <v>4907</v>
      </c>
      <c r="G2718" s="26" t="str">
        <f t="shared" si="204"/>
        <v>http://jsmh.umin.jp/journal/35-3/333-350.pdf</v>
      </c>
      <c r="H2718" s="45" t="str">
        <f t="shared" si="203"/>
        <v>http://dl.ndl.go.jp/info:ndljp/pid/3359324</v>
      </c>
    </row>
    <row r="2719" spans="1:8" ht="30" customHeight="1" x14ac:dyDescent="0.15">
      <c r="A2719" s="16" t="s">
        <v>2990</v>
      </c>
      <c r="B2719" s="17" t="s">
        <v>4908</v>
      </c>
      <c r="C2719" s="17" t="s">
        <v>4909</v>
      </c>
      <c r="D2719" s="25" t="s">
        <v>4756</v>
      </c>
      <c r="E2719" s="19" t="s">
        <v>4855</v>
      </c>
      <c r="F2719" s="19" t="s">
        <v>4910</v>
      </c>
      <c r="G2719" s="26" t="str">
        <f t="shared" si="204"/>
        <v>http://jsmh.umin.jp/journal/35-3/333-350.pdf</v>
      </c>
      <c r="H2719" s="45" t="str">
        <f t="shared" si="203"/>
        <v>http://dl.ndl.go.jp/info:ndljp/pid/3359324</v>
      </c>
    </row>
    <row r="2720" spans="1:8" ht="30" customHeight="1" x14ac:dyDescent="0.15">
      <c r="A2720" s="16" t="s">
        <v>17</v>
      </c>
      <c r="B2720" s="17" t="s">
        <v>4911</v>
      </c>
      <c r="C2720" s="17" t="s">
        <v>4595</v>
      </c>
      <c r="D2720" s="25" t="s">
        <v>4756</v>
      </c>
      <c r="E2720" s="19" t="s">
        <v>4855</v>
      </c>
      <c r="F2720" s="19" t="s">
        <v>4912</v>
      </c>
      <c r="G2720" s="5" t="str">
        <f>HYPERLINK("http://jsmh.umin.jp/journal/35-3/372-358.pdf")</f>
        <v>http://jsmh.umin.jp/journal/35-3/372-358.pdf</v>
      </c>
      <c r="H2720" s="43" t="str">
        <f t="shared" si="203"/>
        <v>http://dl.ndl.go.jp/info:ndljp/pid/3359324</v>
      </c>
    </row>
    <row r="2721" spans="1:8" ht="30" customHeight="1" x14ac:dyDescent="0.15">
      <c r="A2721" s="16" t="s">
        <v>17</v>
      </c>
      <c r="B2721" s="17" t="s">
        <v>4913</v>
      </c>
      <c r="C2721" s="17" t="s">
        <v>4261</v>
      </c>
      <c r="D2721" s="25" t="s">
        <v>4756</v>
      </c>
      <c r="E2721" s="19" t="s">
        <v>4914</v>
      </c>
      <c r="F2721" s="19" t="s">
        <v>4915</v>
      </c>
      <c r="G2721" s="5" t="str">
        <f>HYPERLINK("http://jsmh.umin.jp/journal/35-4/373-407.pdf")</f>
        <v>http://jsmh.umin.jp/journal/35-4/373-407.pdf</v>
      </c>
      <c r="H2721" s="42" t="str">
        <f t="shared" ref="H2721:H2742" si="205">HYPERLINK("http://dl.ndl.go.jp/info:ndljp/pid/3359325")</f>
        <v>http://dl.ndl.go.jp/info:ndljp/pid/3359325</v>
      </c>
    </row>
    <row r="2722" spans="1:8" ht="30" customHeight="1" x14ac:dyDescent="0.15">
      <c r="A2722" s="16" t="s">
        <v>17</v>
      </c>
      <c r="B2722" s="17" t="s">
        <v>4916</v>
      </c>
      <c r="C2722" s="17" t="s">
        <v>4917</v>
      </c>
      <c r="D2722" s="25" t="s">
        <v>4756</v>
      </c>
      <c r="E2722" s="19" t="s">
        <v>4914</v>
      </c>
      <c r="F2722" s="19" t="s">
        <v>4918</v>
      </c>
      <c r="G2722" s="5" t="str">
        <f>HYPERLINK("http://jsmh.umin.jp/journal/35-4/408-429.pdf")</f>
        <v>http://jsmh.umin.jp/journal/35-4/408-429.pdf</v>
      </c>
      <c r="H2722" s="43" t="str">
        <f t="shared" si="205"/>
        <v>http://dl.ndl.go.jp/info:ndljp/pid/3359325</v>
      </c>
    </row>
    <row r="2723" spans="1:8" ht="30" customHeight="1" x14ac:dyDescent="0.15">
      <c r="A2723" s="16" t="s">
        <v>3387</v>
      </c>
      <c r="B2723" s="17" t="s">
        <v>4919</v>
      </c>
      <c r="C2723" s="17" t="s">
        <v>4894</v>
      </c>
      <c r="D2723" s="25" t="s">
        <v>4756</v>
      </c>
      <c r="E2723" s="19" t="s">
        <v>4914</v>
      </c>
      <c r="F2723" s="19" t="s">
        <v>4920</v>
      </c>
      <c r="G2723" s="5" t="str">
        <f>HYPERLINK("http://jsmh.umin.jp/journal/35-4/430-438.pdf")</f>
        <v>http://jsmh.umin.jp/journal/35-4/430-438.pdf</v>
      </c>
      <c r="H2723" s="43" t="str">
        <f t="shared" si="205"/>
        <v>http://dl.ndl.go.jp/info:ndljp/pid/3359325</v>
      </c>
    </row>
    <row r="2724" spans="1:8" ht="30" customHeight="1" x14ac:dyDescent="0.15">
      <c r="A2724" s="16" t="s">
        <v>692</v>
      </c>
      <c r="B2724" s="17" t="s">
        <v>4921</v>
      </c>
      <c r="C2724" s="17" t="s">
        <v>4870</v>
      </c>
      <c r="D2724" s="25" t="s">
        <v>4756</v>
      </c>
      <c r="E2724" s="19" t="s">
        <v>4914</v>
      </c>
      <c r="F2724" s="19" t="s">
        <v>4922</v>
      </c>
      <c r="G2724" s="5" t="str">
        <f>HYPERLINK("http://jsmh.umin.jp/journal/35-4/439-443.pdf")</f>
        <v>http://jsmh.umin.jp/journal/35-4/439-443.pdf</v>
      </c>
      <c r="H2724" s="43" t="str">
        <f t="shared" si="205"/>
        <v>http://dl.ndl.go.jp/info:ndljp/pid/3359325</v>
      </c>
    </row>
    <row r="2725" spans="1:8" ht="30" customHeight="1" x14ac:dyDescent="0.15">
      <c r="A2725" s="16" t="s">
        <v>558</v>
      </c>
      <c r="B2725" s="17" t="s">
        <v>4923</v>
      </c>
      <c r="C2725" s="17" t="s">
        <v>1994</v>
      </c>
      <c r="D2725" s="25" t="s">
        <v>4756</v>
      </c>
      <c r="E2725" s="19" t="s">
        <v>4914</v>
      </c>
      <c r="F2725" s="19" t="s">
        <v>2494</v>
      </c>
      <c r="G2725" s="5" t="str">
        <f>HYPERLINK("http://jsmh.umin.jp/journal/35-4/446-447.pdf")</f>
        <v>http://jsmh.umin.jp/journal/35-4/446-447.pdf</v>
      </c>
      <c r="H2725" s="43" t="str">
        <f t="shared" si="205"/>
        <v>http://dl.ndl.go.jp/info:ndljp/pid/3359325</v>
      </c>
    </row>
    <row r="2726" spans="1:8" ht="30" customHeight="1" x14ac:dyDescent="0.15">
      <c r="A2726" s="16" t="s">
        <v>558</v>
      </c>
      <c r="B2726" s="17" t="s">
        <v>4924</v>
      </c>
      <c r="C2726" s="17" t="s">
        <v>1994</v>
      </c>
      <c r="D2726" s="25" t="s">
        <v>4756</v>
      </c>
      <c r="E2726" s="19" t="s">
        <v>4914</v>
      </c>
      <c r="F2726" s="19" t="s">
        <v>4925</v>
      </c>
      <c r="G2726" s="5" t="str">
        <f>HYPERLINK("http://jsmh.umin.jp/journal/35-4/448-449.pdf")</f>
        <v>http://jsmh.umin.jp/journal/35-4/448-449.pdf</v>
      </c>
      <c r="H2726" s="43" t="str">
        <f t="shared" si="205"/>
        <v>http://dl.ndl.go.jp/info:ndljp/pid/3359325</v>
      </c>
    </row>
    <row r="2727" spans="1:8" ht="30" customHeight="1" x14ac:dyDescent="0.15">
      <c r="A2727" s="16" t="s">
        <v>558</v>
      </c>
      <c r="B2727" s="17" t="s">
        <v>4926</v>
      </c>
      <c r="C2727" s="17"/>
      <c r="D2727" s="25" t="s">
        <v>4756</v>
      </c>
      <c r="E2727" s="19" t="s">
        <v>4914</v>
      </c>
      <c r="F2727" s="19" t="s">
        <v>4927</v>
      </c>
      <c r="G2727" s="5" t="str">
        <f>HYPERLINK("http://jsmh.umin.jp/journal/35-4/449-450.pdf")</f>
        <v>http://jsmh.umin.jp/journal/35-4/449-450.pdf</v>
      </c>
      <c r="H2727" s="43" t="str">
        <f t="shared" si="205"/>
        <v>http://dl.ndl.go.jp/info:ndljp/pid/3359325</v>
      </c>
    </row>
    <row r="2728" spans="1:8" ht="30" customHeight="1" x14ac:dyDescent="0.15">
      <c r="A2728" s="16" t="s">
        <v>558</v>
      </c>
      <c r="B2728" s="17" t="s">
        <v>4928</v>
      </c>
      <c r="C2728" s="17"/>
      <c r="D2728" s="25" t="s">
        <v>4756</v>
      </c>
      <c r="E2728" s="19" t="s">
        <v>4914</v>
      </c>
      <c r="F2728" s="19" t="s">
        <v>4094</v>
      </c>
      <c r="G2728" s="5" t="str">
        <f>HYPERLINK("http://jsmh.umin.jp/journal/35-4/450-451.pdf")</f>
        <v>http://jsmh.umin.jp/journal/35-4/450-451.pdf</v>
      </c>
      <c r="H2728" s="43" t="str">
        <f t="shared" si="205"/>
        <v>http://dl.ndl.go.jp/info:ndljp/pid/3359325</v>
      </c>
    </row>
    <row r="2729" spans="1:8" ht="30" customHeight="1" x14ac:dyDescent="0.15">
      <c r="A2729" s="16" t="s">
        <v>558</v>
      </c>
      <c r="B2729" s="17" t="s">
        <v>4929</v>
      </c>
      <c r="C2729" s="17" t="s">
        <v>963</v>
      </c>
      <c r="D2729" s="25" t="s">
        <v>4756</v>
      </c>
      <c r="E2729" s="19" t="s">
        <v>4914</v>
      </c>
      <c r="F2729" s="19" t="s">
        <v>4930</v>
      </c>
      <c r="G2729" s="5" t="str">
        <f>HYPERLINK("http://jsmh.umin.jp/journal/35-4/451.pdf")</f>
        <v>http://jsmh.umin.jp/journal/35-4/451.pdf</v>
      </c>
      <c r="H2729" s="43" t="str">
        <f t="shared" si="205"/>
        <v>http://dl.ndl.go.jp/info:ndljp/pid/3359325</v>
      </c>
    </row>
    <row r="2730" spans="1:8" ht="30" customHeight="1" x14ac:dyDescent="0.15">
      <c r="A2730" s="16" t="s">
        <v>3720</v>
      </c>
      <c r="B2730" s="17" t="s">
        <v>4931</v>
      </c>
      <c r="C2730" s="17" t="s">
        <v>4867</v>
      </c>
      <c r="D2730" s="25" t="s">
        <v>4756</v>
      </c>
      <c r="E2730" s="19" t="s">
        <v>4914</v>
      </c>
      <c r="F2730" s="19" t="s">
        <v>4932</v>
      </c>
      <c r="G2730" s="5" t="str">
        <f>HYPERLINK("http://jsmh.umin.jp/journal/35-4/452-453.pdf")</f>
        <v>http://jsmh.umin.jp/journal/35-4/452-453.pdf</v>
      </c>
      <c r="H2730" s="43" t="str">
        <f t="shared" si="205"/>
        <v>http://dl.ndl.go.jp/info:ndljp/pid/3359325</v>
      </c>
    </row>
    <row r="2731" spans="1:8" ht="30" customHeight="1" x14ac:dyDescent="0.15">
      <c r="A2731" s="16" t="s">
        <v>558</v>
      </c>
      <c r="B2731" s="17" t="s">
        <v>704</v>
      </c>
      <c r="C2731" s="17"/>
      <c r="D2731" s="25" t="s">
        <v>4756</v>
      </c>
      <c r="E2731" s="19" t="s">
        <v>4914</v>
      </c>
      <c r="F2731" s="19" t="s">
        <v>4098</v>
      </c>
      <c r="G2731" s="5" t="str">
        <f>HYPERLINK("http://jsmh.umin.jp/journal/35-4/452.pdf")</f>
        <v>http://jsmh.umin.jp/journal/35-4/452.pdf</v>
      </c>
      <c r="H2731" s="43" t="str">
        <f t="shared" si="205"/>
        <v>http://dl.ndl.go.jp/info:ndljp/pid/3359325</v>
      </c>
    </row>
    <row r="2732" spans="1:8" ht="30" customHeight="1" x14ac:dyDescent="0.15">
      <c r="A2732" s="16" t="s">
        <v>3720</v>
      </c>
      <c r="B2732" s="17" t="s">
        <v>4933</v>
      </c>
      <c r="C2732" s="17" t="s">
        <v>2325</v>
      </c>
      <c r="D2732" s="25" t="s">
        <v>4756</v>
      </c>
      <c r="E2732" s="19" t="s">
        <v>4914</v>
      </c>
      <c r="F2732" s="19" t="s">
        <v>4100</v>
      </c>
      <c r="G2732" s="5" t="str">
        <f>HYPERLINK("http://jsmh.umin.jp/journal/35-4/453-454.pdf")</f>
        <v>http://jsmh.umin.jp/journal/35-4/453-454.pdf</v>
      </c>
      <c r="H2732" s="43" t="str">
        <f t="shared" si="205"/>
        <v>http://dl.ndl.go.jp/info:ndljp/pid/3359325</v>
      </c>
    </row>
    <row r="2733" spans="1:8" ht="30" customHeight="1" x14ac:dyDescent="0.15">
      <c r="A2733" s="16" t="s">
        <v>2990</v>
      </c>
      <c r="B2733" s="17" t="s">
        <v>4934</v>
      </c>
      <c r="C2733" s="17" t="s">
        <v>3482</v>
      </c>
      <c r="D2733" s="25" t="s">
        <v>4756</v>
      </c>
      <c r="E2733" s="19" t="s">
        <v>4914</v>
      </c>
      <c r="F2733" s="19" t="s">
        <v>4101</v>
      </c>
      <c r="G2733" s="26" t="str">
        <f t="shared" ref="G2733:G2741" si="206">HYPERLINK("http://jsmh.umin.jp/journal/35-4/454-464.pdf")</f>
        <v>http://jsmh.umin.jp/journal/35-4/454-464.pdf</v>
      </c>
      <c r="H2733" s="43" t="str">
        <f t="shared" si="205"/>
        <v>http://dl.ndl.go.jp/info:ndljp/pid/3359325</v>
      </c>
    </row>
    <row r="2734" spans="1:8" ht="30" customHeight="1" x14ac:dyDescent="0.15">
      <c r="A2734" s="16" t="s">
        <v>2990</v>
      </c>
      <c r="B2734" s="17" t="s">
        <v>4935</v>
      </c>
      <c r="C2734" s="17" t="s">
        <v>4936</v>
      </c>
      <c r="D2734" s="25" t="s">
        <v>4756</v>
      </c>
      <c r="E2734" s="19" t="s">
        <v>4914</v>
      </c>
      <c r="F2734" s="19" t="s">
        <v>4104</v>
      </c>
      <c r="G2734" s="26" t="str">
        <f t="shared" si="206"/>
        <v>http://jsmh.umin.jp/journal/35-4/454-464.pdf</v>
      </c>
      <c r="H2734" s="43" t="str">
        <f t="shared" si="205"/>
        <v>http://dl.ndl.go.jp/info:ndljp/pid/3359325</v>
      </c>
    </row>
    <row r="2735" spans="1:8" ht="30" customHeight="1" x14ac:dyDescent="0.15">
      <c r="A2735" s="16" t="s">
        <v>2990</v>
      </c>
      <c r="B2735" s="17" t="s">
        <v>4937</v>
      </c>
      <c r="C2735" s="17" t="s">
        <v>2667</v>
      </c>
      <c r="D2735" s="25" t="s">
        <v>4756</v>
      </c>
      <c r="E2735" s="19" t="s">
        <v>4914</v>
      </c>
      <c r="F2735" s="19" t="s">
        <v>4107</v>
      </c>
      <c r="G2735" s="26" t="str">
        <f t="shared" si="206"/>
        <v>http://jsmh.umin.jp/journal/35-4/454-464.pdf</v>
      </c>
      <c r="H2735" s="43" t="str">
        <f t="shared" si="205"/>
        <v>http://dl.ndl.go.jp/info:ndljp/pid/3359325</v>
      </c>
    </row>
    <row r="2736" spans="1:8" ht="30" customHeight="1" x14ac:dyDescent="0.15">
      <c r="A2736" s="16" t="s">
        <v>2990</v>
      </c>
      <c r="B2736" s="17" t="s">
        <v>4938</v>
      </c>
      <c r="C2736" s="17" t="s">
        <v>1659</v>
      </c>
      <c r="D2736" s="25" t="s">
        <v>4756</v>
      </c>
      <c r="E2736" s="19" t="s">
        <v>4914</v>
      </c>
      <c r="F2736" s="19" t="s">
        <v>4109</v>
      </c>
      <c r="G2736" s="26" t="str">
        <f t="shared" si="206"/>
        <v>http://jsmh.umin.jp/journal/35-4/454-464.pdf</v>
      </c>
      <c r="H2736" s="43" t="str">
        <f t="shared" si="205"/>
        <v>http://dl.ndl.go.jp/info:ndljp/pid/3359325</v>
      </c>
    </row>
    <row r="2737" spans="1:8" ht="30" customHeight="1" x14ac:dyDescent="0.15">
      <c r="A2737" s="16" t="s">
        <v>2990</v>
      </c>
      <c r="B2737" s="17" t="s">
        <v>4939</v>
      </c>
      <c r="C2737" s="17" t="s">
        <v>3644</v>
      </c>
      <c r="D2737" s="25" t="s">
        <v>4756</v>
      </c>
      <c r="E2737" s="19" t="s">
        <v>4914</v>
      </c>
      <c r="F2737" s="19" t="s">
        <v>4940</v>
      </c>
      <c r="G2737" s="26" t="str">
        <f t="shared" si="206"/>
        <v>http://jsmh.umin.jp/journal/35-4/454-464.pdf</v>
      </c>
      <c r="H2737" s="43" t="str">
        <f t="shared" si="205"/>
        <v>http://dl.ndl.go.jp/info:ndljp/pid/3359325</v>
      </c>
    </row>
    <row r="2738" spans="1:8" ht="30" customHeight="1" x14ac:dyDescent="0.15">
      <c r="A2738" s="16" t="s">
        <v>2990</v>
      </c>
      <c r="B2738" s="17" t="s">
        <v>4941</v>
      </c>
      <c r="C2738" s="17" t="s">
        <v>4942</v>
      </c>
      <c r="D2738" s="25" t="s">
        <v>4756</v>
      </c>
      <c r="E2738" s="19" t="s">
        <v>4914</v>
      </c>
      <c r="F2738" s="19" t="s">
        <v>4943</v>
      </c>
      <c r="G2738" s="26" t="str">
        <f t="shared" si="206"/>
        <v>http://jsmh.umin.jp/journal/35-4/454-464.pdf</v>
      </c>
      <c r="H2738" s="43" t="str">
        <f t="shared" si="205"/>
        <v>http://dl.ndl.go.jp/info:ndljp/pid/3359325</v>
      </c>
    </row>
    <row r="2739" spans="1:8" ht="30" customHeight="1" x14ac:dyDescent="0.15">
      <c r="A2739" s="16" t="s">
        <v>2990</v>
      </c>
      <c r="B2739" s="17" t="s">
        <v>4944</v>
      </c>
      <c r="C2739" s="17" t="s">
        <v>3432</v>
      </c>
      <c r="D2739" s="25" t="s">
        <v>4756</v>
      </c>
      <c r="E2739" s="19" t="s">
        <v>4914</v>
      </c>
      <c r="F2739" s="19" t="s">
        <v>4945</v>
      </c>
      <c r="G2739" s="26" t="str">
        <f t="shared" si="206"/>
        <v>http://jsmh.umin.jp/journal/35-4/454-464.pdf</v>
      </c>
      <c r="H2739" s="43" t="str">
        <f t="shared" si="205"/>
        <v>http://dl.ndl.go.jp/info:ndljp/pid/3359325</v>
      </c>
    </row>
    <row r="2740" spans="1:8" ht="30" customHeight="1" x14ac:dyDescent="0.15">
      <c r="A2740" s="16" t="s">
        <v>2990</v>
      </c>
      <c r="B2740" s="17" t="s">
        <v>4946</v>
      </c>
      <c r="C2740" s="17" t="s">
        <v>507</v>
      </c>
      <c r="D2740" s="25" t="s">
        <v>4756</v>
      </c>
      <c r="E2740" s="19" t="s">
        <v>4914</v>
      </c>
      <c r="F2740" s="19" t="s">
        <v>4947</v>
      </c>
      <c r="G2740" s="26" t="str">
        <f t="shared" si="206"/>
        <v>http://jsmh.umin.jp/journal/35-4/454-464.pdf</v>
      </c>
      <c r="H2740" s="43" t="str">
        <f t="shared" si="205"/>
        <v>http://dl.ndl.go.jp/info:ndljp/pid/3359325</v>
      </c>
    </row>
    <row r="2741" spans="1:8" ht="30" customHeight="1" x14ac:dyDescent="0.15">
      <c r="A2741" s="16" t="s">
        <v>2990</v>
      </c>
      <c r="B2741" s="17" t="s">
        <v>4948</v>
      </c>
      <c r="C2741" s="17" t="s">
        <v>916</v>
      </c>
      <c r="D2741" s="25" t="s">
        <v>4756</v>
      </c>
      <c r="E2741" s="19" t="s">
        <v>4914</v>
      </c>
      <c r="F2741" s="19" t="s">
        <v>4949</v>
      </c>
      <c r="G2741" s="26" t="str">
        <f t="shared" si="206"/>
        <v>http://jsmh.umin.jp/journal/35-4/454-464.pdf</v>
      </c>
      <c r="H2741" s="43" t="str">
        <f t="shared" si="205"/>
        <v>http://dl.ndl.go.jp/info:ndljp/pid/3359325</v>
      </c>
    </row>
    <row r="2742" spans="1:8" ht="30" customHeight="1" x14ac:dyDescent="0.15">
      <c r="A2742" s="16" t="s">
        <v>2894</v>
      </c>
      <c r="B2742" s="17" t="s">
        <v>4950</v>
      </c>
      <c r="C2742" s="17"/>
      <c r="D2742" s="25" t="s">
        <v>4756</v>
      </c>
      <c r="E2742" s="19" t="s">
        <v>4914</v>
      </c>
      <c r="F2742" s="19" t="s">
        <v>4951</v>
      </c>
      <c r="G2742" s="5" t="str">
        <f>HYPERLINK("http://jsmh.umin.jp/journal/35-4/465-511.pdf")</f>
        <v>http://jsmh.umin.jp/journal/35-4/465-511.pdf</v>
      </c>
      <c r="H2742" s="43" t="str">
        <f t="shared" si="205"/>
        <v>http://dl.ndl.go.jp/info:ndljp/pid/3359325</v>
      </c>
    </row>
    <row r="2743" spans="1:8" ht="30" customHeight="1" x14ac:dyDescent="0.15">
      <c r="A2743" s="16" t="s">
        <v>1855</v>
      </c>
      <c r="B2743" s="17" t="s">
        <v>4952</v>
      </c>
      <c r="C2743" s="17" t="s">
        <v>4953</v>
      </c>
      <c r="D2743" s="18" t="s">
        <v>4954</v>
      </c>
      <c r="E2743" s="19" t="s">
        <v>4955</v>
      </c>
      <c r="F2743" s="19" t="s">
        <v>4274</v>
      </c>
      <c r="G2743" s="26" t="str">
        <f>HYPERLINK("http://jsmh.umin.jp/journal/36-1/1-3.pdf")</f>
        <v>http://jsmh.umin.jp/journal/36-1/1-3.pdf</v>
      </c>
      <c r="H2743" s="42" t="str">
        <f t="shared" ref="H2743:H2774" si="207">HYPERLINK("http://dl.ndl.go.jp/info:ndljp/pid/3359326")</f>
        <v>http://dl.ndl.go.jp/info:ndljp/pid/3359326</v>
      </c>
    </row>
    <row r="2744" spans="1:8" ht="30" customHeight="1" x14ac:dyDescent="0.15">
      <c r="A2744" s="16" t="s">
        <v>1855</v>
      </c>
      <c r="B2744" s="17" t="s">
        <v>4956</v>
      </c>
      <c r="C2744" s="17" t="s">
        <v>925</v>
      </c>
      <c r="D2744" s="25" t="s">
        <v>4954</v>
      </c>
      <c r="E2744" s="19" t="s">
        <v>4955</v>
      </c>
      <c r="F2744" s="19" t="s">
        <v>4276</v>
      </c>
      <c r="G2744" s="26" t="str">
        <f>HYPERLINK("http://jsmh.umin.jp/journal/36-1/4-8.pdf")</f>
        <v>http://jsmh.umin.jp/journal/36-1/4-8.pdf</v>
      </c>
      <c r="H2744" s="43" t="str">
        <f t="shared" si="207"/>
        <v>http://dl.ndl.go.jp/info:ndljp/pid/3359326</v>
      </c>
    </row>
    <row r="2745" spans="1:8" ht="30" customHeight="1" x14ac:dyDescent="0.15">
      <c r="A2745" s="16" t="s">
        <v>1855</v>
      </c>
      <c r="B2745" s="17" t="s">
        <v>4957</v>
      </c>
      <c r="C2745" s="17" t="s">
        <v>963</v>
      </c>
      <c r="D2745" s="25" t="s">
        <v>4954</v>
      </c>
      <c r="E2745" s="19" t="s">
        <v>4955</v>
      </c>
      <c r="F2745" s="19" t="s">
        <v>491</v>
      </c>
      <c r="G2745" s="5" t="str">
        <f>HYPERLINK("http://jsmh.umin.jp/journal/36-1/9-10.pdf")</f>
        <v>http://jsmh.umin.jp/journal/36-1/9-10.pdf</v>
      </c>
      <c r="H2745" s="43" t="str">
        <f t="shared" si="207"/>
        <v>http://dl.ndl.go.jp/info:ndljp/pid/3359326</v>
      </c>
    </row>
    <row r="2746" spans="1:8" ht="30" customHeight="1" x14ac:dyDescent="0.15">
      <c r="A2746" s="16" t="s">
        <v>1855</v>
      </c>
      <c r="B2746" s="17" t="s">
        <v>4958</v>
      </c>
      <c r="C2746" s="17" t="s">
        <v>3196</v>
      </c>
      <c r="D2746" s="25" t="s">
        <v>4954</v>
      </c>
      <c r="E2746" s="19" t="s">
        <v>4955</v>
      </c>
      <c r="F2746" s="19" t="s">
        <v>4959</v>
      </c>
      <c r="G2746" s="5" t="str">
        <f>HYPERLINK("http://jsmh.umin.jp/journal/36-1/10-12.pdf")</f>
        <v>http://jsmh.umin.jp/journal/36-1/10-12.pdf</v>
      </c>
      <c r="H2746" s="43" t="str">
        <f t="shared" si="207"/>
        <v>http://dl.ndl.go.jp/info:ndljp/pid/3359326</v>
      </c>
    </row>
    <row r="2747" spans="1:8" ht="30" customHeight="1" x14ac:dyDescent="0.15">
      <c r="A2747" s="16" t="s">
        <v>1855</v>
      </c>
      <c r="B2747" s="17" t="s">
        <v>4960</v>
      </c>
      <c r="C2747" s="17" t="s">
        <v>69</v>
      </c>
      <c r="D2747" s="25" t="s">
        <v>4954</v>
      </c>
      <c r="E2747" s="19" t="s">
        <v>4955</v>
      </c>
      <c r="F2747" s="19" t="s">
        <v>4961</v>
      </c>
      <c r="G2747" s="5" t="str">
        <f>HYPERLINK("http://jsmh.umin.jp/journal/36-1/13-15.pdf")</f>
        <v>http://jsmh.umin.jp/journal/36-1/13-15.pdf</v>
      </c>
      <c r="H2747" s="43" t="str">
        <f t="shared" si="207"/>
        <v>http://dl.ndl.go.jp/info:ndljp/pid/3359326</v>
      </c>
    </row>
    <row r="2748" spans="1:8" ht="30" customHeight="1" x14ac:dyDescent="0.15">
      <c r="A2748" s="16" t="s">
        <v>1855</v>
      </c>
      <c r="B2748" s="17" t="s">
        <v>4962</v>
      </c>
      <c r="C2748" s="17" t="s">
        <v>1299</v>
      </c>
      <c r="D2748" s="25" t="s">
        <v>4954</v>
      </c>
      <c r="E2748" s="19" t="s">
        <v>4955</v>
      </c>
      <c r="F2748" s="19" t="s">
        <v>638</v>
      </c>
      <c r="G2748" s="5" t="str">
        <f>HYPERLINK("http://jsmh.umin.jp/journal/36-1/15-16.pdf")</f>
        <v>http://jsmh.umin.jp/journal/36-1/15-16.pdf</v>
      </c>
      <c r="H2748" s="43" t="str">
        <f t="shared" si="207"/>
        <v>http://dl.ndl.go.jp/info:ndljp/pid/3359326</v>
      </c>
    </row>
    <row r="2749" spans="1:8" ht="30" customHeight="1" x14ac:dyDescent="0.15">
      <c r="A2749" s="16" t="s">
        <v>1855</v>
      </c>
      <c r="B2749" s="17" t="s">
        <v>4963</v>
      </c>
      <c r="C2749" s="17" t="s">
        <v>2222</v>
      </c>
      <c r="D2749" s="25" t="s">
        <v>4954</v>
      </c>
      <c r="E2749" s="19" t="s">
        <v>4955</v>
      </c>
      <c r="F2749" s="19" t="s">
        <v>361</v>
      </c>
      <c r="G2749" s="5" t="str">
        <f>HYPERLINK("http://jsmh.umin.jp/journal/36-1/16-17.pdf")</f>
        <v>http://jsmh.umin.jp/journal/36-1/16-17.pdf</v>
      </c>
      <c r="H2749" s="43" t="str">
        <f t="shared" si="207"/>
        <v>http://dl.ndl.go.jp/info:ndljp/pid/3359326</v>
      </c>
    </row>
    <row r="2750" spans="1:8" ht="30" customHeight="1" x14ac:dyDescent="0.15">
      <c r="A2750" s="16" t="s">
        <v>1855</v>
      </c>
      <c r="B2750" s="17" t="s">
        <v>4964</v>
      </c>
      <c r="C2750" s="17" t="s">
        <v>2881</v>
      </c>
      <c r="D2750" s="25" t="s">
        <v>4954</v>
      </c>
      <c r="E2750" s="19" t="s">
        <v>4955</v>
      </c>
      <c r="F2750" s="19" t="s">
        <v>4280</v>
      </c>
      <c r="G2750" s="5" t="str">
        <f>HYPERLINK("http://jsmh.umin.jp/journal/36-1/18-20.pdf")</f>
        <v>http://jsmh.umin.jp/journal/36-1/18-20.pdf</v>
      </c>
      <c r="H2750" s="43" t="str">
        <f t="shared" si="207"/>
        <v>http://dl.ndl.go.jp/info:ndljp/pid/3359326</v>
      </c>
    </row>
    <row r="2751" spans="1:8" ht="30" customHeight="1" x14ac:dyDescent="0.15">
      <c r="A2751" s="16" t="s">
        <v>1855</v>
      </c>
      <c r="B2751" s="17" t="s">
        <v>4965</v>
      </c>
      <c r="C2751" s="17" t="s">
        <v>2773</v>
      </c>
      <c r="D2751" s="25" t="s">
        <v>4954</v>
      </c>
      <c r="E2751" s="19" t="s">
        <v>4955</v>
      </c>
      <c r="F2751" s="19" t="s">
        <v>4966</v>
      </c>
      <c r="G2751" s="5" t="str">
        <f>HYPERLINK("http://jsmh.umin.jp/journal/36-1/21-23.pdf")</f>
        <v>http://jsmh.umin.jp/journal/36-1/21-23.pdf</v>
      </c>
      <c r="H2751" s="43" t="str">
        <f t="shared" si="207"/>
        <v>http://dl.ndl.go.jp/info:ndljp/pid/3359326</v>
      </c>
    </row>
    <row r="2752" spans="1:8" ht="30" customHeight="1" x14ac:dyDescent="0.15">
      <c r="A2752" s="16" t="s">
        <v>1855</v>
      </c>
      <c r="B2752" s="17" t="s">
        <v>4967</v>
      </c>
      <c r="C2752" s="17" t="s">
        <v>4968</v>
      </c>
      <c r="D2752" s="25" t="s">
        <v>4954</v>
      </c>
      <c r="E2752" s="19" t="s">
        <v>4955</v>
      </c>
      <c r="F2752" s="19" t="s">
        <v>2744</v>
      </c>
      <c r="G2752" s="5" t="str">
        <f>HYPERLINK("http://jsmh.umin.jp/journal/36-1/23-25.pdf")</f>
        <v>http://jsmh.umin.jp/journal/36-1/23-25.pdf</v>
      </c>
      <c r="H2752" s="43" t="str">
        <f t="shared" si="207"/>
        <v>http://dl.ndl.go.jp/info:ndljp/pid/3359326</v>
      </c>
    </row>
    <row r="2753" spans="1:8" ht="30" customHeight="1" x14ac:dyDescent="0.15">
      <c r="A2753" s="16" t="s">
        <v>1855</v>
      </c>
      <c r="B2753" s="17" t="s">
        <v>4969</v>
      </c>
      <c r="C2753" s="17" t="s">
        <v>3655</v>
      </c>
      <c r="D2753" s="25" t="s">
        <v>4954</v>
      </c>
      <c r="E2753" s="19" t="s">
        <v>4955</v>
      </c>
      <c r="F2753" s="19" t="s">
        <v>4970</v>
      </c>
      <c r="G2753" s="5" t="str">
        <f>HYPERLINK("http://jsmh.umin.jp/journal/36-1/26-28.pdf")</f>
        <v>http://jsmh.umin.jp/journal/36-1/26-28.pdf</v>
      </c>
      <c r="H2753" s="43" t="str">
        <f t="shared" si="207"/>
        <v>http://dl.ndl.go.jp/info:ndljp/pid/3359326</v>
      </c>
    </row>
    <row r="2754" spans="1:8" ht="30" customHeight="1" x14ac:dyDescent="0.15">
      <c r="A2754" s="16" t="s">
        <v>1855</v>
      </c>
      <c r="B2754" s="17" t="s">
        <v>4971</v>
      </c>
      <c r="C2754" s="17" t="s">
        <v>790</v>
      </c>
      <c r="D2754" s="25" t="s">
        <v>4954</v>
      </c>
      <c r="E2754" s="19" t="s">
        <v>4955</v>
      </c>
      <c r="F2754" s="19" t="s">
        <v>401</v>
      </c>
      <c r="G2754" s="5" t="str">
        <f>HYPERLINK("http://jsmh.umin.jp/journal/36-1/28-29.pdf")</f>
        <v>http://jsmh.umin.jp/journal/36-1/28-29.pdf</v>
      </c>
      <c r="H2754" s="43" t="str">
        <f t="shared" si="207"/>
        <v>http://dl.ndl.go.jp/info:ndljp/pid/3359326</v>
      </c>
    </row>
    <row r="2755" spans="1:8" ht="30" customHeight="1" x14ac:dyDescent="0.15">
      <c r="A2755" s="16" t="s">
        <v>1855</v>
      </c>
      <c r="B2755" s="17" t="s">
        <v>4972</v>
      </c>
      <c r="C2755" s="17" t="s">
        <v>10186</v>
      </c>
      <c r="D2755" s="25" t="s">
        <v>4954</v>
      </c>
      <c r="E2755" s="19" t="s">
        <v>4955</v>
      </c>
      <c r="F2755" s="19" t="s">
        <v>744</v>
      </c>
      <c r="G2755" s="5" t="str">
        <f>HYPERLINK("http://jsmh.umin.jp/journal/36-1/29-30.pdf")</f>
        <v>http://jsmh.umin.jp/journal/36-1/29-30.pdf</v>
      </c>
      <c r="H2755" s="43" t="str">
        <f t="shared" si="207"/>
        <v>http://dl.ndl.go.jp/info:ndljp/pid/3359326</v>
      </c>
    </row>
    <row r="2756" spans="1:8" ht="30" customHeight="1" x14ac:dyDescent="0.15">
      <c r="A2756" s="16" t="s">
        <v>1855</v>
      </c>
      <c r="B2756" s="17" t="s">
        <v>4973</v>
      </c>
      <c r="C2756" s="17" t="s">
        <v>4974</v>
      </c>
      <c r="D2756" s="25" t="s">
        <v>4954</v>
      </c>
      <c r="E2756" s="19" t="s">
        <v>4955</v>
      </c>
      <c r="F2756" s="19" t="s">
        <v>747</v>
      </c>
      <c r="G2756" s="5" t="str">
        <f>HYPERLINK("http://jsmh.umin.jp/journal/36-1/31-32.pdf")</f>
        <v>http://jsmh.umin.jp/journal/36-1/31-32.pdf</v>
      </c>
      <c r="H2756" s="43" t="str">
        <f t="shared" si="207"/>
        <v>http://dl.ndl.go.jp/info:ndljp/pid/3359326</v>
      </c>
    </row>
    <row r="2757" spans="1:8" ht="30" customHeight="1" x14ac:dyDescent="0.15">
      <c r="A2757" s="16" t="s">
        <v>1855</v>
      </c>
      <c r="B2757" s="17" t="s">
        <v>4975</v>
      </c>
      <c r="C2757" s="17" t="s">
        <v>2233</v>
      </c>
      <c r="D2757" s="25" t="s">
        <v>4954</v>
      </c>
      <c r="E2757" s="19" t="s">
        <v>4955</v>
      </c>
      <c r="F2757" s="19" t="s">
        <v>1472</v>
      </c>
      <c r="G2757" s="5" t="str">
        <f>HYPERLINK("http://jsmh.umin.jp/journal/36-1/33-34.pdf")</f>
        <v>http://jsmh.umin.jp/journal/36-1/33-34.pdf</v>
      </c>
      <c r="H2757" s="43" t="str">
        <f t="shared" si="207"/>
        <v>http://dl.ndl.go.jp/info:ndljp/pid/3359326</v>
      </c>
    </row>
    <row r="2758" spans="1:8" ht="30" customHeight="1" x14ac:dyDescent="0.15">
      <c r="A2758" s="16" t="s">
        <v>1855</v>
      </c>
      <c r="B2758" s="17" t="s">
        <v>4976</v>
      </c>
      <c r="C2758" s="17" t="s">
        <v>4039</v>
      </c>
      <c r="D2758" s="25" t="s">
        <v>4954</v>
      </c>
      <c r="E2758" s="19" t="s">
        <v>4955</v>
      </c>
      <c r="F2758" s="19" t="s">
        <v>4292</v>
      </c>
      <c r="G2758" s="5" t="str">
        <f>HYPERLINK("http://jsmh.umin.jp/journal/36-1/34-36.pdf")</f>
        <v>http://jsmh.umin.jp/journal/36-1/34-36.pdf</v>
      </c>
      <c r="H2758" s="43" t="str">
        <f t="shared" si="207"/>
        <v>http://dl.ndl.go.jp/info:ndljp/pid/3359326</v>
      </c>
    </row>
    <row r="2759" spans="1:8" ht="30" customHeight="1" x14ac:dyDescent="0.15">
      <c r="A2759" s="16" t="s">
        <v>1855</v>
      </c>
      <c r="B2759" s="17" t="s">
        <v>4977</v>
      </c>
      <c r="C2759" s="17" t="s">
        <v>4185</v>
      </c>
      <c r="D2759" s="25" t="s">
        <v>4954</v>
      </c>
      <c r="E2759" s="19" t="s">
        <v>4955</v>
      </c>
      <c r="F2759" s="19" t="s">
        <v>763</v>
      </c>
      <c r="G2759" s="5" t="str">
        <f>HYPERLINK("http://jsmh.umin.jp/journal/36-1/37-38.pdf")</f>
        <v>http://jsmh.umin.jp/journal/36-1/37-38.pdf</v>
      </c>
      <c r="H2759" s="43" t="str">
        <f t="shared" si="207"/>
        <v>http://dl.ndl.go.jp/info:ndljp/pid/3359326</v>
      </c>
    </row>
    <row r="2760" spans="1:8" ht="30" customHeight="1" x14ac:dyDescent="0.15">
      <c r="A2760" s="16" t="s">
        <v>1855</v>
      </c>
      <c r="B2760" s="17" t="s">
        <v>4978</v>
      </c>
      <c r="C2760" s="17" t="s">
        <v>2828</v>
      </c>
      <c r="D2760" s="25" t="s">
        <v>4954</v>
      </c>
      <c r="E2760" s="19" t="s">
        <v>4955</v>
      </c>
      <c r="F2760" s="19" t="s">
        <v>4297</v>
      </c>
      <c r="G2760" s="5" t="str">
        <f>HYPERLINK("http://jsmh.umin.jp/journal/36-1/39-41.pdf")</f>
        <v>http://jsmh.umin.jp/journal/36-1/39-41.pdf</v>
      </c>
      <c r="H2760" s="43" t="str">
        <f t="shared" si="207"/>
        <v>http://dl.ndl.go.jp/info:ndljp/pid/3359326</v>
      </c>
    </row>
    <row r="2761" spans="1:8" ht="30" customHeight="1" x14ac:dyDescent="0.15">
      <c r="A2761" s="16" t="s">
        <v>1855</v>
      </c>
      <c r="B2761" s="17" t="s">
        <v>4979</v>
      </c>
      <c r="C2761" s="17" t="s">
        <v>2386</v>
      </c>
      <c r="D2761" s="25" t="s">
        <v>4954</v>
      </c>
      <c r="E2761" s="19" t="s">
        <v>4955</v>
      </c>
      <c r="F2761" s="19" t="s">
        <v>4299</v>
      </c>
      <c r="G2761" s="5" t="str">
        <f>HYPERLINK("http://jsmh.umin.jp/journal/36-1/41-43.pdf")</f>
        <v>http://jsmh.umin.jp/journal/36-1/41-43.pdf</v>
      </c>
      <c r="H2761" s="43" t="str">
        <f t="shared" si="207"/>
        <v>http://dl.ndl.go.jp/info:ndljp/pid/3359326</v>
      </c>
    </row>
    <row r="2762" spans="1:8" ht="30" customHeight="1" x14ac:dyDescent="0.15">
      <c r="A2762" s="16" t="s">
        <v>1855</v>
      </c>
      <c r="B2762" s="17" t="s">
        <v>4980</v>
      </c>
      <c r="C2762" s="17" t="s">
        <v>444</v>
      </c>
      <c r="D2762" s="25" t="s">
        <v>4954</v>
      </c>
      <c r="E2762" s="19" t="s">
        <v>4955</v>
      </c>
      <c r="F2762" s="19" t="s">
        <v>4981</v>
      </c>
      <c r="G2762" s="5" t="str">
        <f>HYPERLINK("http://jsmh.umin.jp/journal/36-1/44-46.pdf")</f>
        <v>http://jsmh.umin.jp/journal/36-1/44-46.pdf</v>
      </c>
      <c r="H2762" s="43" t="str">
        <f t="shared" si="207"/>
        <v>http://dl.ndl.go.jp/info:ndljp/pid/3359326</v>
      </c>
    </row>
    <row r="2763" spans="1:8" ht="30" customHeight="1" x14ac:dyDescent="0.15">
      <c r="A2763" s="16" t="s">
        <v>1855</v>
      </c>
      <c r="B2763" s="17" t="s">
        <v>4982</v>
      </c>
      <c r="C2763" s="17" t="s">
        <v>2786</v>
      </c>
      <c r="D2763" s="25" t="s">
        <v>4954</v>
      </c>
      <c r="E2763" s="19" t="s">
        <v>4955</v>
      </c>
      <c r="F2763" s="19" t="s">
        <v>4983</v>
      </c>
      <c r="G2763" s="5" t="str">
        <f>HYPERLINK("http://jsmh.umin.jp/journal/36-1/44.pdf")</f>
        <v>http://jsmh.umin.jp/journal/36-1/44.pdf</v>
      </c>
      <c r="H2763" s="43" t="str">
        <f t="shared" si="207"/>
        <v>http://dl.ndl.go.jp/info:ndljp/pid/3359326</v>
      </c>
    </row>
    <row r="2764" spans="1:8" ht="30" customHeight="1" x14ac:dyDescent="0.15">
      <c r="A2764" s="16" t="s">
        <v>1855</v>
      </c>
      <c r="B2764" s="17" t="s">
        <v>4984</v>
      </c>
      <c r="C2764" s="17" t="s">
        <v>4006</v>
      </c>
      <c r="D2764" s="25" t="s">
        <v>4954</v>
      </c>
      <c r="E2764" s="19" t="s">
        <v>4955</v>
      </c>
      <c r="F2764" s="19" t="s">
        <v>875</v>
      </c>
      <c r="G2764" s="5" t="str">
        <f>HYPERLINK("http://jsmh.umin.jp/journal/36-1/47-48.pdf")</f>
        <v>http://jsmh.umin.jp/journal/36-1/47-48.pdf</v>
      </c>
      <c r="H2764" s="43" t="str">
        <f t="shared" si="207"/>
        <v>http://dl.ndl.go.jp/info:ndljp/pid/3359326</v>
      </c>
    </row>
    <row r="2765" spans="1:8" ht="30" customHeight="1" x14ac:dyDescent="0.15">
      <c r="A2765" s="16" t="s">
        <v>1855</v>
      </c>
      <c r="B2765" s="17" t="s">
        <v>4985</v>
      </c>
      <c r="C2765" s="17" t="s">
        <v>4986</v>
      </c>
      <c r="D2765" s="25" t="s">
        <v>4954</v>
      </c>
      <c r="E2765" s="19" t="s">
        <v>4955</v>
      </c>
      <c r="F2765" s="19" t="s">
        <v>1099</v>
      </c>
      <c r="G2765" s="5" t="str">
        <f>HYPERLINK("http://jsmh.umin.jp/journal/36-1/49-50.pdf")</f>
        <v>http://jsmh.umin.jp/journal/36-1/49-50.pdf</v>
      </c>
      <c r="H2765" s="43" t="str">
        <f t="shared" si="207"/>
        <v>http://dl.ndl.go.jp/info:ndljp/pid/3359326</v>
      </c>
    </row>
    <row r="2766" spans="1:8" ht="30" customHeight="1" x14ac:dyDescent="0.15">
      <c r="A2766" s="16" t="s">
        <v>1855</v>
      </c>
      <c r="B2766" s="17" t="s">
        <v>4987</v>
      </c>
      <c r="C2766" s="17" t="s">
        <v>4988</v>
      </c>
      <c r="D2766" s="25" t="s">
        <v>4954</v>
      </c>
      <c r="E2766" s="19" t="s">
        <v>4955</v>
      </c>
      <c r="F2766" s="19" t="s">
        <v>4307</v>
      </c>
      <c r="G2766" s="5" t="str">
        <f>HYPERLINK("http://jsmh.umin.jp/journal/36-1/50-52.pdf")</f>
        <v>http://jsmh.umin.jp/journal/36-1/50-52.pdf</v>
      </c>
      <c r="H2766" s="43" t="str">
        <f t="shared" si="207"/>
        <v>http://dl.ndl.go.jp/info:ndljp/pid/3359326</v>
      </c>
    </row>
    <row r="2767" spans="1:8" ht="30" customHeight="1" x14ac:dyDescent="0.15">
      <c r="A2767" s="16" t="s">
        <v>1855</v>
      </c>
      <c r="B2767" s="17" t="s">
        <v>4989</v>
      </c>
      <c r="C2767" s="17" t="s">
        <v>4023</v>
      </c>
      <c r="D2767" s="25" t="s">
        <v>4954</v>
      </c>
      <c r="E2767" s="19" t="s">
        <v>4955</v>
      </c>
      <c r="F2767" s="19" t="s">
        <v>4550</v>
      </c>
      <c r="G2767" s="5" t="str">
        <f>HYPERLINK("http://jsmh.umin.jp/journal/36-1/53-55.pdf")</f>
        <v>http://jsmh.umin.jp/journal/36-1/53-55.pdf</v>
      </c>
      <c r="H2767" s="43" t="str">
        <f t="shared" si="207"/>
        <v>http://dl.ndl.go.jp/info:ndljp/pid/3359326</v>
      </c>
    </row>
    <row r="2768" spans="1:8" ht="30" customHeight="1" x14ac:dyDescent="0.15">
      <c r="A2768" s="16" t="s">
        <v>1855</v>
      </c>
      <c r="B2768" s="17" t="s">
        <v>4990</v>
      </c>
      <c r="C2768" s="17" t="s">
        <v>507</v>
      </c>
      <c r="D2768" s="25" t="s">
        <v>4954</v>
      </c>
      <c r="E2768" s="19" t="s">
        <v>4955</v>
      </c>
      <c r="F2768" s="19" t="s">
        <v>712</v>
      </c>
      <c r="G2768" s="5" t="str">
        <f>HYPERLINK("http://jsmh.umin.jp/journal/36-1/55-57.pdf")</f>
        <v>http://jsmh.umin.jp/journal/36-1/55-57.pdf</v>
      </c>
      <c r="H2768" s="43" t="str">
        <f t="shared" si="207"/>
        <v>http://dl.ndl.go.jp/info:ndljp/pid/3359326</v>
      </c>
    </row>
    <row r="2769" spans="1:8" ht="30" customHeight="1" x14ac:dyDescent="0.15">
      <c r="A2769" s="16" t="s">
        <v>1855</v>
      </c>
      <c r="B2769" s="17" t="s">
        <v>4991</v>
      </c>
      <c r="C2769" s="17" t="s">
        <v>2937</v>
      </c>
      <c r="D2769" s="25" t="s">
        <v>4954</v>
      </c>
      <c r="E2769" s="19" t="s">
        <v>4955</v>
      </c>
      <c r="F2769" s="19" t="s">
        <v>4314</v>
      </c>
      <c r="G2769" s="5" t="str">
        <f>HYPERLINK("http://jsmh.umin.jp/journal/36-1/58-60.pdf")</f>
        <v>http://jsmh.umin.jp/journal/36-1/58-60.pdf</v>
      </c>
      <c r="H2769" s="43" t="str">
        <f t="shared" si="207"/>
        <v>http://dl.ndl.go.jp/info:ndljp/pid/3359326</v>
      </c>
    </row>
    <row r="2770" spans="1:8" ht="30" customHeight="1" x14ac:dyDescent="0.15">
      <c r="A2770" s="16" t="s">
        <v>1855</v>
      </c>
      <c r="B2770" s="17" t="s">
        <v>4992</v>
      </c>
      <c r="C2770" s="17" t="s">
        <v>4026</v>
      </c>
      <c r="D2770" s="25" t="s">
        <v>4954</v>
      </c>
      <c r="E2770" s="19" t="s">
        <v>4955</v>
      </c>
      <c r="F2770" s="19" t="s">
        <v>814</v>
      </c>
      <c r="G2770" s="5" t="str">
        <f>HYPERLINK("http://jsmh.umin.jp/journal/36-1/60-62.pdf")</f>
        <v>http://jsmh.umin.jp/journal/36-1/60-62.pdf</v>
      </c>
      <c r="H2770" s="43" t="str">
        <f t="shared" si="207"/>
        <v>http://dl.ndl.go.jp/info:ndljp/pid/3359326</v>
      </c>
    </row>
    <row r="2771" spans="1:8" ht="30" customHeight="1" x14ac:dyDescent="0.15">
      <c r="A2771" s="16" t="s">
        <v>1855</v>
      </c>
      <c r="B2771" s="17" t="s">
        <v>4993</v>
      </c>
      <c r="C2771" s="17" t="s">
        <v>66</v>
      </c>
      <c r="D2771" s="25" t="s">
        <v>4954</v>
      </c>
      <c r="E2771" s="19" t="s">
        <v>4955</v>
      </c>
      <c r="F2771" s="19" t="s">
        <v>4317</v>
      </c>
      <c r="G2771" s="5" t="str">
        <f>HYPERLINK("http://jsmh.umin.jp/journal/36-1/63-65.pdf")</f>
        <v>http://jsmh.umin.jp/journal/36-1/63-65.pdf</v>
      </c>
      <c r="H2771" s="43" t="str">
        <f t="shared" si="207"/>
        <v>http://dl.ndl.go.jp/info:ndljp/pid/3359326</v>
      </c>
    </row>
    <row r="2772" spans="1:8" ht="30" customHeight="1" x14ac:dyDescent="0.15">
      <c r="A2772" s="16" t="s">
        <v>1855</v>
      </c>
      <c r="B2772" s="17" t="s">
        <v>4994</v>
      </c>
      <c r="C2772" s="17" t="s">
        <v>3839</v>
      </c>
      <c r="D2772" s="25" t="s">
        <v>4954</v>
      </c>
      <c r="E2772" s="19" t="s">
        <v>4955</v>
      </c>
      <c r="F2772" s="19" t="s">
        <v>4556</v>
      </c>
      <c r="G2772" s="5" t="str">
        <f>HYPERLINK("http://jsmh.umin.jp/journal/36-1/65-67.pdf")</f>
        <v>http://jsmh.umin.jp/journal/36-1/65-67.pdf</v>
      </c>
      <c r="H2772" s="43" t="str">
        <f t="shared" si="207"/>
        <v>http://dl.ndl.go.jp/info:ndljp/pid/3359326</v>
      </c>
    </row>
    <row r="2773" spans="1:8" ht="30" customHeight="1" x14ac:dyDescent="0.15">
      <c r="A2773" s="16" t="s">
        <v>1855</v>
      </c>
      <c r="B2773" s="17" t="s">
        <v>4995</v>
      </c>
      <c r="C2773" s="17" t="s">
        <v>1097</v>
      </c>
      <c r="D2773" s="25" t="s">
        <v>4954</v>
      </c>
      <c r="E2773" s="19" t="s">
        <v>4955</v>
      </c>
      <c r="F2773" s="19" t="s">
        <v>1199</v>
      </c>
      <c r="G2773" s="5" t="str">
        <f>HYPERLINK("http://jsmh.umin.jp/journal/36-1/67-69.pdf")</f>
        <v>http://jsmh.umin.jp/journal/36-1/67-69.pdf</v>
      </c>
      <c r="H2773" s="43" t="str">
        <f t="shared" si="207"/>
        <v>http://dl.ndl.go.jp/info:ndljp/pid/3359326</v>
      </c>
    </row>
    <row r="2774" spans="1:8" ht="30" customHeight="1" x14ac:dyDescent="0.15">
      <c r="A2774" s="16" t="s">
        <v>1855</v>
      </c>
      <c r="B2774" s="17" t="s">
        <v>4996</v>
      </c>
      <c r="C2774" s="17" t="s">
        <v>479</v>
      </c>
      <c r="D2774" s="25" t="s">
        <v>4954</v>
      </c>
      <c r="E2774" s="19" t="s">
        <v>4955</v>
      </c>
      <c r="F2774" s="19" t="s">
        <v>3586</v>
      </c>
      <c r="G2774" s="5" t="str">
        <f>HYPERLINK("http://jsmh.umin.jp/journal/36-1/70-72.pdf")</f>
        <v>http://jsmh.umin.jp/journal/36-1/70-72.pdf</v>
      </c>
      <c r="H2774" s="43" t="str">
        <f t="shared" si="207"/>
        <v>http://dl.ndl.go.jp/info:ndljp/pid/3359326</v>
      </c>
    </row>
    <row r="2775" spans="1:8" ht="30" customHeight="1" x14ac:dyDescent="0.15">
      <c r="A2775" s="16" t="s">
        <v>1855</v>
      </c>
      <c r="B2775" s="17" t="s">
        <v>4997</v>
      </c>
      <c r="C2775" s="17" t="s">
        <v>4839</v>
      </c>
      <c r="D2775" s="25" t="s">
        <v>4954</v>
      </c>
      <c r="E2775" s="19" t="s">
        <v>4955</v>
      </c>
      <c r="F2775" s="19" t="s">
        <v>4998</v>
      </c>
      <c r="G2775" s="5" t="str">
        <f>HYPERLINK("http://jsmh.umin.jp/journal/36-1/72-74.pdf")</f>
        <v>http://jsmh.umin.jp/journal/36-1/72-74.pdf</v>
      </c>
      <c r="H2775" s="43" t="str">
        <f t="shared" ref="H2775:H2793" si="208">HYPERLINK("http://dl.ndl.go.jp/info:ndljp/pid/3359326")</f>
        <v>http://dl.ndl.go.jp/info:ndljp/pid/3359326</v>
      </c>
    </row>
    <row r="2776" spans="1:8" ht="30" customHeight="1" x14ac:dyDescent="0.15">
      <c r="A2776" s="16" t="s">
        <v>1855</v>
      </c>
      <c r="B2776" s="17" t="s">
        <v>4999</v>
      </c>
      <c r="C2776" s="17" t="s">
        <v>4795</v>
      </c>
      <c r="D2776" s="25" t="s">
        <v>4954</v>
      </c>
      <c r="E2776" s="19" t="s">
        <v>4955</v>
      </c>
      <c r="F2776" s="19" t="s">
        <v>836</v>
      </c>
      <c r="G2776" s="5" t="str">
        <f>HYPERLINK("http://jsmh.umin.jp/journal/36-1/75.pdf")</f>
        <v>http://jsmh.umin.jp/journal/36-1/75.pdf</v>
      </c>
      <c r="H2776" s="43" t="str">
        <f t="shared" si="208"/>
        <v>http://dl.ndl.go.jp/info:ndljp/pid/3359326</v>
      </c>
    </row>
    <row r="2777" spans="1:8" ht="30" customHeight="1" x14ac:dyDescent="0.15">
      <c r="A2777" s="16" t="s">
        <v>1855</v>
      </c>
      <c r="B2777" s="17" t="s">
        <v>5000</v>
      </c>
      <c r="C2777" s="17" t="s">
        <v>4175</v>
      </c>
      <c r="D2777" s="25" t="s">
        <v>4954</v>
      </c>
      <c r="E2777" s="19" t="s">
        <v>4955</v>
      </c>
      <c r="F2777" s="19" t="s">
        <v>602</v>
      </c>
      <c r="G2777" s="5" t="str">
        <f>HYPERLINK("http://jsmh.umin.jp/journal/36-1/76-77.pdf")</f>
        <v>http://jsmh.umin.jp/journal/36-1/76-77.pdf</v>
      </c>
      <c r="H2777" s="43" t="str">
        <f t="shared" si="208"/>
        <v>http://dl.ndl.go.jp/info:ndljp/pid/3359326</v>
      </c>
    </row>
    <row r="2778" spans="1:8" ht="30" customHeight="1" x14ac:dyDescent="0.15">
      <c r="A2778" s="16" t="s">
        <v>1855</v>
      </c>
      <c r="B2778" s="17" t="s">
        <v>5001</v>
      </c>
      <c r="C2778" s="17" t="s">
        <v>5002</v>
      </c>
      <c r="D2778" s="25" t="s">
        <v>4954</v>
      </c>
      <c r="E2778" s="19" t="s">
        <v>4955</v>
      </c>
      <c r="F2778" s="19" t="s">
        <v>842</v>
      </c>
      <c r="G2778" s="5" t="str">
        <f>HYPERLINK("http://jsmh.umin.jp/journal/36-1/78-79.pdf")</f>
        <v>http://jsmh.umin.jp/journal/36-1/78-79.pdf</v>
      </c>
      <c r="H2778" s="43" t="str">
        <f t="shared" si="208"/>
        <v>http://dl.ndl.go.jp/info:ndljp/pid/3359326</v>
      </c>
    </row>
    <row r="2779" spans="1:8" ht="30" customHeight="1" x14ac:dyDescent="0.15">
      <c r="A2779" s="16" t="s">
        <v>1855</v>
      </c>
      <c r="B2779" s="17" t="s">
        <v>5003</v>
      </c>
      <c r="C2779" s="17" t="s">
        <v>2325</v>
      </c>
      <c r="D2779" s="25" t="s">
        <v>4954</v>
      </c>
      <c r="E2779" s="19" t="s">
        <v>4955</v>
      </c>
      <c r="F2779" s="19" t="s">
        <v>929</v>
      </c>
      <c r="G2779" s="5" t="str">
        <f>HYPERLINK("http://jsmh.umin.jp/journal/36-1/80-82.pdf")</f>
        <v>http://jsmh.umin.jp/journal/36-1/80-82.pdf</v>
      </c>
      <c r="H2779" s="43" t="str">
        <f t="shared" si="208"/>
        <v>http://dl.ndl.go.jp/info:ndljp/pid/3359326</v>
      </c>
    </row>
    <row r="2780" spans="1:8" ht="30" customHeight="1" x14ac:dyDescent="0.15">
      <c r="A2780" s="16" t="s">
        <v>1855</v>
      </c>
      <c r="B2780" s="17" t="s">
        <v>10187</v>
      </c>
      <c r="C2780" s="17" t="s">
        <v>273</v>
      </c>
      <c r="D2780" s="25" t="s">
        <v>4954</v>
      </c>
      <c r="E2780" s="19" t="s">
        <v>4955</v>
      </c>
      <c r="F2780" s="19" t="s">
        <v>449</v>
      </c>
      <c r="G2780" s="5" t="str">
        <f>HYPERLINK("http://jsmh.umin.jp/journal/36-1/82-83.pdf")</f>
        <v>http://jsmh.umin.jp/journal/36-1/82-83.pdf</v>
      </c>
      <c r="H2780" s="43" t="str">
        <f t="shared" si="208"/>
        <v>http://dl.ndl.go.jp/info:ndljp/pid/3359326</v>
      </c>
    </row>
    <row r="2781" spans="1:8" ht="30" customHeight="1" x14ac:dyDescent="0.15">
      <c r="A2781" s="16" t="s">
        <v>1855</v>
      </c>
      <c r="B2781" s="17" t="s">
        <v>5004</v>
      </c>
      <c r="C2781" s="17" t="s">
        <v>1932</v>
      </c>
      <c r="D2781" s="25" t="s">
        <v>4954</v>
      </c>
      <c r="E2781" s="19" t="s">
        <v>4955</v>
      </c>
      <c r="F2781" s="19" t="s">
        <v>454</v>
      </c>
      <c r="G2781" s="5" t="str">
        <f>HYPERLINK("http://jsmh.umin.jp/journal/36-1/84-85.pdf")</f>
        <v>http://jsmh.umin.jp/journal/36-1/84-85.pdf</v>
      </c>
      <c r="H2781" s="43" t="str">
        <f t="shared" si="208"/>
        <v>http://dl.ndl.go.jp/info:ndljp/pid/3359326</v>
      </c>
    </row>
    <row r="2782" spans="1:8" ht="30" customHeight="1" x14ac:dyDescent="0.15">
      <c r="A2782" s="16" t="s">
        <v>1855</v>
      </c>
      <c r="B2782" s="17" t="s">
        <v>5005</v>
      </c>
      <c r="C2782" s="17" t="s">
        <v>4848</v>
      </c>
      <c r="D2782" s="25" t="s">
        <v>4954</v>
      </c>
      <c r="E2782" s="19" t="s">
        <v>4955</v>
      </c>
      <c r="F2782" s="19" t="s">
        <v>3043</v>
      </c>
      <c r="G2782" s="5" t="str">
        <f>HYPERLINK("http://jsmh.umin.jp/journal/36-1/85-87.pdf")</f>
        <v>http://jsmh.umin.jp/journal/36-1/85-87.pdf</v>
      </c>
      <c r="H2782" s="43" t="str">
        <f t="shared" si="208"/>
        <v>http://dl.ndl.go.jp/info:ndljp/pid/3359326</v>
      </c>
    </row>
    <row r="2783" spans="1:8" ht="30" customHeight="1" x14ac:dyDescent="0.15">
      <c r="A2783" s="16" t="s">
        <v>1855</v>
      </c>
      <c r="B2783" s="17" t="s">
        <v>5006</v>
      </c>
      <c r="C2783" s="17" t="s">
        <v>2465</v>
      </c>
      <c r="D2783" s="25" t="s">
        <v>4954</v>
      </c>
      <c r="E2783" s="19" t="s">
        <v>4955</v>
      </c>
      <c r="F2783" s="19" t="s">
        <v>1814</v>
      </c>
      <c r="G2783" s="5" t="str">
        <f>HYPERLINK("http://jsmh.umin.jp/journal/36-1/88-90.pdf")</f>
        <v>http://jsmh.umin.jp/journal/36-1/88-90.pdf</v>
      </c>
      <c r="H2783" s="43" t="str">
        <f t="shared" si="208"/>
        <v>http://dl.ndl.go.jp/info:ndljp/pid/3359326</v>
      </c>
    </row>
    <row r="2784" spans="1:8" ht="30" customHeight="1" x14ac:dyDescent="0.15">
      <c r="A2784" s="16" t="s">
        <v>1855</v>
      </c>
      <c r="B2784" s="17" t="s">
        <v>5007</v>
      </c>
      <c r="C2784" s="17" t="s">
        <v>672</v>
      </c>
      <c r="D2784" s="25" t="s">
        <v>4954</v>
      </c>
      <c r="E2784" s="19" t="s">
        <v>4955</v>
      </c>
      <c r="F2784" s="19" t="s">
        <v>471</v>
      </c>
      <c r="G2784" s="5" t="str">
        <f>HYPERLINK("http://jsmh.umin.jp/journal/36-1/90-91.pdf")</f>
        <v>http://jsmh.umin.jp/journal/36-1/90-91.pdf</v>
      </c>
      <c r="H2784" s="43" t="str">
        <f t="shared" si="208"/>
        <v>http://dl.ndl.go.jp/info:ndljp/pid/3359326</v>
      </c>
    </row>
    <row r="2785" spans="1:8" ht="30" customHeight="1" x14ac:dyDescent="0.15">
      <c r="A2785" s="16" t="s">
        <v>1855</v>
      </c>
      <c r="B2785" s="17" t="s">
        <v>5008</v>
      </c>
      <c r="C2785" s="17" t="s">
        <v>5009</v>
      </c>
      <c r="D2785" s="25" t="s">
        <v>4954</v>
      </c>
      <c r="E2785" s="19" t="s">
        <v>4955</v>
      </c>
      <c r="F2785" s="19" t="s">
        <v>2188</v>
      </c>
      <c r="G2785" s="5" t="str">
        <f>HYPERLINK("http://jsmh.umin.jp/journal/36-1/92-93.pdf")</f>
        <v>http://jsmh.umin.jp/journal/36-1/92-93.pdf</v>
      </c>
      <c r="H2785" s="43" t="str">
        <f t="shared" si="208"/>
        <v>http://dl.ndl.go.jp/info:ndljp/pid/3359326</v>
      </c>
    </row>
    <row r="2786" spans="1:8" ht="30" customHeight="1" x14ac:dyDescent="0.15">
      <c r="A2786" s="16" t="s">
        <v>1855</v>
      </c>
      <c r="B2786" s="17" t="s">
        <v>5010</v>
      </c>
      <c r="C2786" s="17" t="s">
        <v>1972</v>
      </c>
      <c r="D2786" s="25" t="s">
        <v>4954</v>
      </c>
      <c r="E2786" s="19" t="s">
        <v>4955</v>
      </c>
      <c r="F2786" s="19" t="s">
        <v>5011</v>
      </c>
      <c r="G2786" s="5" t="str">
        <f>HYPERLINK("http://jsmh.umin.jp/journal/36-1/94-95.pdf")</f>
        <v>http://jsmh.umin.jp/journal/36-1/94-95.pdf</v>
      </c>
      <c r="H2786" s="43" t="str">
        <f t="shared" si="208"/>
        <v>http://dl.ndl.go.jp/info:ndljp/pid/3359326</v>
      </c>
    </row>
    <row r="2787" spans="1:8" ht="30" customHeight="1" x14ac:dyDescent="0.15">
      <c r="A2787" s="16" t="s">
        <v>1855</v>
      </c>
      <c r="B2787" s="17" t="s">
        <v>5012</v>
      </c>
      <c r="C2787" s="17" t="s">
        <v>5013</v>
      </c>
      <c r="D2787" s="25" t="s">
        <v>4954</v>
      </c>
      <c r="E2787" s="19" t="s">
        <v>4955</v>
      </c>
      <c r="F2787" s="19" t="s">
        <v>180</v>
      </c>
      <c r="G2787" s="5" t="str">
        <f>HYPERLINK("http://jsmh.umin.jp/journal/36-1/96-98.pdf")</f>
        <v>http://jsmh.umin.jp/journal/36-1/96-98.pdf</v>
      </c>
      <c r="H2787" s="43" t="str">
        <f t="shared" si="208"/>
        <v>http://dl.ndl.go.jp/info:ndljp/pid/3359326</v>
      </c>
    </row>
    <row r="2788" spans="1:8" ht="30" customHeight="1" x14ac:dyDescent="0.15">
      <c r="A2788" s="16" t="s">
        <v>1855</v>
      </c>
      <c r="B2788" s="17" t="s">
        <v>5014</v>
      </c>
      <c r="C2788" s="17" t="s">
        <v>5015</v>
      </c>
      <c r="D2788" s="25" t="s">
        <v>4954</v>
      </c>
      <c r="E2788" s="19" t="s">
        <v>4955</v>
      </c>
      <c r="F2788" s="19" t="s">
        <v>4339</v>
      </c>
      <c r="G2788" s="5" t="str">
        <f>HYPERLINK("http://jsmh.umin.jp/journal/36-1/98-100.pdf")</f>
        <v>http://jsmh.umin.jp/journal/36-1/98-100.pdf</v>
      </c>
      <c r="H2788" s="43" t="str">
        <f t="shared" si="208"/>
        <v>http://dl.ndl.go.jp/info:ndljp/pid/3359326</v>
      </c>
    </row>
    <row r="2789" spans="1:8" ht="30" customHeight="1" x14ac:dyDescent="0.15">
      <c r="A2789" s="16" t="s">
        <v>1855</v>
      </c>
      <c r="B2789" s="17" t="s">
        <v>5016</v>
      </c>
      <c r="C2789" s="17" t="s">
        <v>3644</v>
      </c>
      <c r="D2789" s="25" t="s">
        <v>4954</v>
      </c>
      <c r="E2789" s="19" t="s">
        <v>4955</v>
      </c>
      <c r="F2789" s="19" t="s">
        <v>4582</v>
      </c>
      <c r="G2789" s="5" t="str">
        <f>HYPERLINK("http://jsmh.umin.jp/journal/36-1/101-102.pdf")</f>
        <v>http://jsmh.umin.jp/journal/36-1/101-102.pdf</v>
      </c>
      <c r="H2789" s="43" t="str">
        <f t="shared" si="208"/>
        <v>http://dl.ndl.go.jp/info:ndljp/pid/3359326</v>
      </c>
    </row>
    <row r="2790" spans="1:8" ht="30" customHeight="1" x14ac:dyDescent="0.15">
      <c r="A2790" s="16" t="s">
        <v>1855</v>
      </c>
      <c r="B2790" s="17" t="s">
        <v>5017</v>
      </c>
      <c r="C2790" s="17" t="s">
        <v>5018</v>
      </c>
      <c r="D2790" s="25" t="s">
        <v>4954</v>
      </c>
      <c r="E2790" s="19" t="s">
        <v>4955</v>
      </c>
      <c r="F2790" s="19" t="s">
        <v>949</v>
      </c>
      <c r="G2790" s="5" t="str">
        <f>HYPERLINK("http://jsmh.umin.jp/journal/36-1/103-104.pdf")</f>
        <v>http://jsmh.umin.jp/journal/36-1/103-104.pdf</v>
      </c>
      <c r="H2790" s="43" t="str">
        <f t="shared" si="208"/>
        <v>http://dl.ndl.go.jp/info:ndljp/pid/3359326</v>
      </c>
    </row>
    <row r="2791" spans="1:8" ht="30" customHeight="1" x14ac:dyDescent="0.15">
      <c r="A2791" s="16" t="s">
        <v>1855</v>
      </c>
      <c r="B2791" s="17" t="s">
        <v>5019</v>
      </c>
      <c r="C2791" s="17" t="s">
        <v>5020</v>
      </c>
      <c r="D2791" s="25" t="s">
        <v>4954</v>
      </c>
      <c r="E2791" s="19" t="s">
        <v>4955</v>
      </c>
      <c r="F2791" s="19" t="s">
        <v>5021</v>
      </c>
      <c r="G2791" s="5" t="str">
        <f>HYPERLINK("http://jsmh.umin.jp/journal/36-1/104-106.pdf")</f>
        <v>http://jsmh.umin.jp/journal/36-1/104-106.pdf</v>
      </c>
      <c r="H2791" s="43" t="str">
        <f t="shared" si="208"/>
        <v>http://dl.ndl.go.jp/info:ndljp/pid/3359326</v>
      </c>
    </row>
    <row r="2792" spans="1:8" ht="30" customHeight="1" x14ac:dyDescent="0.15">
      <c r="A2792" s="16" t="s">
        <v>1855</v>
      </c>
      <c r="B2792" s="17" t="s">
        <v>5022</v>
      </c>
      <c r="C2792" s="17" t="s">
        <v>10156</v>
      </c>
      <c r="D2792" s="25" t="s">
        <v>4954</v>
      </c>
      <c r="E2792" s="19" t="s">
        <v>4955</v>
      </c>
      <c r="F2792" s="19" t="s">
        <v>5023</v>
      </c>
      <c r="G2792" s="5" t="str">
        <f>HYPERLINK("http://jsmh.umin.jp/journal/36-1/106-108.pdf")</f>
        <v>http://jsmh.umin.jp/journal/36-1/106-108.pdf</v>
      </c>
      <c r="H2792" s="43" t="str">
        <f t="shared" si="208"/>
        <v>http://dl.ndl.go.jp/info:ndljp/pid/3359326</v>
      </c>
    </row>
    <row r="2793" spans="1:8" ht="30" customHeight="1" x14ac:dyDescent="0.15">
      <c r="A2793" s="16" t="s">
        <v>1855</v>
      </c>
      <c r="B2793" s="17" t="s">
        <v>5024</v>
      </c>
      <c r="C2793" s="17" t="s">
        <v>4585</v>
      </c>
      <c r="D2793" s="25" t="s">
        <v>4954</v>
      </c>
      <c r="E2793" s="19" t="s">
        <v>4955</v>
      </c>
      <c r="F2793" s="19" t="s">
        <v>5025</v>
      </c>
      <c r="G2793" s="5" t="str">
        <f>HYPERLINK("http://jsmh.umin.jp/journal/36-1/108.pdf")</f>
        <v>http://jsmh.umin.jp/journal/36-1/108.pdf</v>
      </c>
      <c r="H2793" s="43" t="str">
        <f t="shared" si="208"/>
        <v>http://dl.ndl.go.jp/info:ndljp/pid/3359326</v>
      </c>
    </row>
    <row r="2794" spans="1:8" ht="30" customHeight="1" x14ac:dyDescent="0.15">
      <c r="A2794" s="16" t="s">
        <v>1</v>
      </c>
      <c r="B2794" s="17" t="s">
        <v>5026</v>
      </c>
      <c r="C2794" s="17" t="s">
        <v>48</v>
      </c>
      <c r="D2794" s="25" t="s">
        <v>4954</v>
      </c>
      <c r="E2794" s="19" t="s">
        <v>5027</v>
      </c>
      <c r="F2794" s="19" t="s">
        <v>5028</v>
      </c>
      <c r="G2794" s="5" t="str">
        <f>HYPERLINK("http://jsmh.umin.jp/journal/36-2/115-131.pdf")</f>
        <v>http://jsmh.umin.jp/journal/36-2/115-131.pdf</v>
      </c>
      <c r="H2794" s="42" t="str">
        <f t="shared" ref="H2794:H2825" si="209">HYPERLINK("http://dl.ndl.go.jp/info:ndljp/pid/3359327")</f>
        <v>http://dl.ndl.go.jp/info:ndljp/pid/3359327</v>
      </c>
    </row>
    <row r="2795" spans="1:8" ht="30" customHeight="1" x14ac:dyDescent="0.15">
      <c r="A2795" s="16" t="s">
        <v>3387</v>
      </c>
      <c r="B2795" s="17" t="s">
        <v>5029</v>
      </c>
      <c r="C2795" s="17" t="s">
        <v>5030</v>
      </c>
      <c r="D2795" s="25" t="s">
        <v>4954</v>
      </c>
      <c r="E2795" s="19" t="s">
        <v>5027</v>
      </c>
      <c r="F2795" s="19" t="s">
        <v>5031</v>
      </c>
      <c r="G2795" s="5" t="str">
        <f>HYPERLINK("http://jsmh.umin.jp/journal/36-2/132-138.pdf")</f>
        <v>http://jsmh.umin.jp/journal/36-2/132-138.pdf</v>
      </c>
      <c r="H2795" s="43" t="str">
        <f t="shared" si="209"/>
        <v>http://dl.ndl.go.jp/info:ndljp/pid/3359327</v>
      </c>
    </row>
    <row r="2796" spans="1:8" ht="30" customHeight="1" x14ac:dyDescent="0.15">
      <c r="A2796" s="16" t="s">
        <v>4475</v>
      </c>
      <c r="B2796" s="17" t="s">
        <v>1956</v>
      </c>
      <c r="C2796" s="17" t="s">
        <v>1097</v>
      </c>
      <c r="D2796" s="25" t="s">
        <v>4954</v>
      </c>
      <c r="E2796" s="19" t="s">
        <v>5027</v>
      </c>
      <c r="F2796" s="19" t="s">
        <v>5032</v>
      </c>
      <c r="G2796" s="5" t="str">
        <f>HYPERLINK("http://jsmh.umin.jp/journal/36-2/139-146.pdf")</f>
        <v>http://jsmh.umin.jp/journal/36-2/139-146.pdf</v>
      </c>
      <c r="H2796" s="43" t="str">
        <f t="shared" si="209"/>
        <v>http://dl.ndl.go.jp/info:ndljp/pid/3359327</v>
      </c>
    </row>
    <row r="2797" spans="1:8" ht="30" customHeight="1" x14ac:dyDescent="0.15">
      <c r="A2797" s="16" t="s">
        <v>5033</v>
      </c>
      <c r="B2797" s="17" t="s">
        <v>5034</v>
      </c>
      <c r="C2797" s="17" t="s">
        <v>5035</v>
      </c>
      <c r="D2797" s="25" t="s">
        <v>4954</v>
      </c>
      <c r="E2797" s="19" t="s">
        <v>5027</v>
      </c>
      <c r="F2797" s="19" t="s">
        <v>5036</v>
      </c>
      <c r="G2797" s="5" t="str">
        <f>HYPERLINK("http://jsmh.umin.jp/journal/36-2/147-152.pdf")</f>
        <v>http://jsmh.umin.jp/journal/36-2/147-152.pdf</v>
      </c>
      <c r="H2797" s="43" t="str">
        <f t="shared" si="209"/>
        <v>http://dl.ndl.go.jp/info:ndljp/pid/3359327</v>
      </c>
    </row>
    <row r="2798" spans="1:8" ht="30" customHeight="1" x14ac:dyDescent="0.15">
      <c r="A2798" s="16" t="s">
        <v>4265</v>
      </c>
      <c r="B2798" s="17" t="s">
        <v>5037</v>
      </c>
      <c r="C2798" s="17" t="s">
        <v>5038</v>
      </c>
      <c r="D2798" s="25" t="s">
        <v>4954</v>
      </c>
      <c r="E2798" s="19" t="s">
        <v>5027</v>
      </c>
      <c r="F2798" s="19" t="s">
        <v>5039</v>
      </c>
      <c r="G2798" s="5" t="str">
        <f>HYPERLINK("http://jsmh.umin.jp/journal/36-2/153-158.pdf")</f>
        <v>http://jsmh.umin.jp/journal/36-2/153-158.pdf</v>
      </c>
      <c r="H2798" s="43" t="str">
        <f t="shared" si="209"/>
        <v>http://dl.ndl.go.jp/info:ndljp/pid/3359327</v>
      </c>
    </row>
    <row r="2799" spans="1:8" ht="30" customHeight="1" x14ac:dyDescent="0.15">
      <c r="A2799" s="16" t="s">
        <v>692</v>
      </c>
      <c r="B2799" s="17" t="s">
        <v>5040</v>
      </c>
      <c r="C2799" s="17" t="s">
        <v>4867</v>
      </c>
      <c r="D2799" s="25" t="s">
        <v>4954</v>
      </c>
      <c r="E2799" s="19" t="s">
        <v>5027</v>
      </c>
      <c r="F2799" s="19" t="s">
        <v>5041</v>
      </c>
      <c r="G2799" s="5" t="str">
        <f>HYPERLINK("http://jsmh.umin.jp/journal/36-2/159-162.pdf")</f>
        <v>http://jsmh.umin.jp/journal/36-2/159-162.pdf</v>
      </c>
      <c r="H2799" s="43" t="str">
        <f t="shared" si="209"/>
        <v>http://dl.ndl.go.jp/info:ndljp/pid/3359327</v>
      </c>
    </row>
    <row r="2800" spans="1:8" ht="30" customHeight="1" x14ac:dyDescent="0.15">
      <c r="A2800" s="16" t="s">
        <v>692</v>
      </c>
      <c r="B2800" s="17" t="s">
        <v>5042</v>
      </c>
      <c r="C2800" s="17" t="s">
        <v>4870</v>
      </c>
      <c r="D2800" s="25" t="s">
        <v>4954</v>
      </c>
      <c r="E2800" s="19" t="s">
        <v>5027</v>
      </c>
      <c r="F2800" s="19" t="s">
        <v>5043</v>
      </c>
      <c r="G2800" s="5" t="str">
        <f>HYPERLINK("http://jsmh.umin.jp/journal/36-2/163-168.pdf")</f>
        <v>http://jsmh.umin.jp/journal/36-2/163-168.pdf</v>
      </c>
      <c r="H2800" s="43" t="str">
        <f t="shared" si="209"/>
        <v>http://dl.ndl.go.jp/info:ndljp/pid/3359327</v>
      </c>
    </row>
    <row r="2801" spans="1:8" ht="30" customHeight="1" x14ac:dyDescent="0.15">
      <c r="A2801" s="16" t="s">
        <v>558</v>
      </c>
      <c r="B2801" s="17" t="s">
        <v>5044</v>
      </c>
      <c r="C2801" s="17"/>
      <c r="D2801" s="25" t="s">
        <v>4954</v>
      </c>
      <c r="E2801" s="19" t="s">
        <v>5027</v>
      </c>
      <c r="F2801" s="19" t="s">
        <v>3416</v>
      </c>
      <c r="G2801" s="5" t="str">
        <f>HYPERLINK("http://jsmh.umin.jp/journal/36-2/169-170.pdf")</f>
        <v>http://jsmh.umin.jp/journal/36-2/169-170.pdf</v>
      </c>
      <c r="H2801" s="43" t="str">
        <f t="shared" si="209"/>
        <v>http://dl.ndl.go.jp/info:ndljp/pid/3359327</v>
      </c>
    </row>
    <row r="2802" spans="1:8" ht="30" customHeight="1" x14ac:dyDescent="0.15">
      <c r="A2802" s="16" t="s">
        <v>558</v>
      </c>
      <c r="B2802" s="17" t="s">
        <v>704</v>
      </c>
      <c r="C2802" s="17"/>
      <c r="D2802" s="25" t="s">
        <v>4954</v>
      </c>
      <c r="E2802" s="19" t="s">
        <v>5027</v>
      </c>
      <c r="F2802" s="19" t="s">
        <v>2557</v>
      </c>
      <c r="G2802" s="5" t="str">
        <f>HYPERLINK("http://jsmh.umin.jp/journal/36-2/170.pdf")</f>
        <v>http://jsmh.umin.jp/journal/36-2/170.pdf</v>
      </c>
      <c r="H2802" s="43" t="str">
        <f t="shared" si="209"/>
        <v>http://dl.ndl.go.jp/info:ndljp/pid/3359327</v>
      </c>
    </row>
    <row r="2803" spans="1:8" ht="30" customHeight="1" x14ac:dyDescent="0.15">
      <c r="A2803" s="16" t="s">
        <v>3720</v>
      </c>
      <c r="B2803" s="17" t="s">
        <v>5045</v>
      </c>
      <c r="C2803" s="17" t="s">
        <v>1097</v>
      </c>
      <c r="D2803" s="25" t="s">
        <v>4954</v>
      </c>
      <c r="E2803" s="19" t="s">
        <v>5027</v>
      </c>
      <c r="F2803" s="19" t="s">
        <v>5046</v>
      </c>
      <c r="G2803" s="5" t="str">
        <f>HYPERLINK("http://jsmh.umin.jp/journal/36-2/171.pdf")</f>
        <v>http://jsmh.umin.jp/journal/36-2/171.pdf</v>
      </c>
      <c r="H2803" s="43" t="str">
        <f t="shared" si="209"/>
        <v>http://dl.ndl.go.jp/info:ndljp/pid/3359327</v>
      </c>
    </row>
    <row r="2804" spans="1:8" ht="30" customHeight="1" x14ac:dyDescent="0.15">
      <c r="A2804" s="16" t="s">
        <v>3720</v>
      </c>
      <c r="B2804" s="17" t="s">
        <v>5047</v>
      </c>
      <c r="C2804" s="17" t="s">
        <v>3756</v>
      </c>
      <c r="D2804" s="25" t="s">
        <v>4954</v>
      </c>
      <c r="E2804" s="19" t="s">
        <v>5027</v>
      </c>
      <c r="F2804" s="19" t="s">
        <v>5048</v>
      </c>
      <c r="G2804" s="5" t="str">
        <f>HYPERLINK("http://jsmh.umin.jp/journal/36-2/172.pdf")</f>
        <v>http://jsmh.umin.jp/journal/36-2/172.pdf</v>
      </c>
      <c r="H2804" s="43" t="str">
        <f t="shared" si="209"/>
        <v>http://dl.ndl.go.jp/info:ndljp/pid/3359327</v>
      </c>
    </row>
    <row r="2805" spans="1:8" ht="30" customHeight="1" x14ac:dyDescent="0.15">
      <c r="A2805" s="16" t="s">
        <v>2990</v>
      </c>
      <c r="B2805" s="17" t="s">
        <v>5049</v>
      </c>
      <c r="C2805" s="17" t="s">
        <v>3010</v>
      </c>
      <c r="D2805" s="25" t="s">
        <v>4954</v>
      </c>
      <c r="E2805" s="19" t="s">
        <v>5027</v>
      </c>
      <c r="F2805" s="19" t="s">
        <v>5050</v>
      </c>
      <c r="G2805" s="26" t="str">
        <f t="shared" ref="G2805:G2825" si="210">HYPERLINK("http://jsmh.umin.jp/journal/36-2/173-195.pdf")</f>
        <v>http://jsmh.umin.jp/journal/36-2/173-195.pdf</v>
      </c>
      <c r="H2805" s="45" t="str">
        <f t="shared" si="209"/>
        <v>http://dl.ndl.go.jp/info:ndljp/pid/3359327</v>
      </c>
    </row>
    <row r="2806" spans="1:8" ht="30" customHeight="1" x14ac:dyDescent="0.15">
      <c r="A2806" s="16" t="s">
        <v>2990</v>
      </c>
      <c r="B2806" s="17" t="s">
        <v>5051</v>
      </c>
      <c r="C2806" s="17" t="s">
        <v>5052</v>
      </c>
      <c r="D2806" s="25" t="s">
        <v>4954</v>
      </c>
      <c r="E2806" s="19" t="s">
        <v>5027</v>
      </c>
      <c r="F2806" s="19" t="s">
        <v>5053</v>
      </c>
      <c r="G2806" s="26" t="str">
        <f t="shared" si="210"/>
        <v>http://jsmh.umin.jp/journal/36-2/173-195.pdf</v>
      </c>
      <c r="H2806" s="45" t="str">
        <f t="shared" si="209"/>
        <v>http://dl.ndl.go.jp/info:ndljp/pid/3359327</v>
      </c>
    </row>
    <row r="2807" spans="1:8" ht="30" customHeight="1" x14ac:dyDescent="0.15">
      <c r="A2807" s="16" t="s">
        <v>2990</v>
      </c>
      <c r="B2807" s="17" t="s">
        <v>5054</v>
      </c>
      <c r="C2807" s="17" t="s">
        <v>4385</v>
      </c>
      <c r="D2807" s="25" t="s">
        <v>4954</v>
      </c>
      <c r="E2807" s="19" t="s">
        <v>5027</v>
      </c>
      <c r="F2807" s="19" t="s">
        <v>4170</v>
      </c>
      <c r="G2807" s="26" t="str">
        <f t="shared" si="210"/>
        <v>http://jsmh.umin.jp/journal/36-2/173-195.pdf</v>
      </c>
      <c r="H2807" s="45" t="str">
        <f t="shared" si="209"/>
        <v>http://dl.ndl.go.jp/info:ndljp/pid/3359327</v>
      </c>
    </row>
    <row r="2808" spans="1:8" ht="30" customHeight="1" x14ac:dyDescent="0.15">
      <c r="A2808" s="16" t="s">
        <v>2990</v>
      </c>
      <c r="B2808" s="17" t="s">
        <v>5055</v>
      </c>
      <c r="C2808" s="17" t="s">
        <v>925</v>
      </c>
      <c r="D2808" s="25" t="s">
        <v>4954</v>
      </c>
      <c r="E2808" s="19" t="s">
        <v>5027</v>
      </c>
      <c r="F2808" s="19" t="s">
        <v>74</v>
      </c>
      <c r="G2808" s="26" t="str">
        <f t="shared" si="210"/>
        <v>http://jsmh.umin.jp/journal/36-2/173-195.pdf</v>
      </c>
      <c r="H2808" s="45" t="str">
        <f t="shared" si="209"/>
        <v>http://dl.ndl.go.jp/info:ndljp/pid/3359327</v>
      </c>
    </row>
    <row r="2809" spans="1:8" ht="30" customHeight="1" x14ac:dyDescent="0.15">
      <c r="A2809" s="16" t="s">
        <v>2990</v>
      </c>
      <c r="B2809" s="17" t="s">
        <v>5056</v>
      </c>
      <c r="C2809" s="17" t="s">
        <v>3839</v>
      </c>
      <c r="D2809" s="25" t="s">
        <v>4954</v>
      </c>
      <c r="E2809" s="19" t="s">
        <v>5027</v>
      </c>
      <c r="F2809" s="19" t="s">
        <v>1707</v>
      </c>
      <c r="G2809" s="26" t="str">
        <f t="shared" si="210"/>
        <v>http://jsmh.umin.jp/journal/36-2/173-195.pdf</v>
      </c>
      <c r="H2809" s="45" t="str">
        <f t="shared" si="209"/>
        <v>http://dl.ndl.go.jp/info:ndljp/pid/3359327</v>
      </c>
    </row>
    <row r="2810" spans="1:8" ht="30" customHeight="1" x14ac:dyDescent="0.15">
      <c r="A2810" s="16" t="s">
        <v>2990</v>
      </c>
      <c r="B2810" s="17" t="s">
        <v>5057</v>
      </c>
      <c r="C2810" s="17" t="s">
        <v>5058</v>
      </c>
      <c r="D2810" s="25" t="s">
        <v>4954</v>
      </c>
      <c r="E2810" s="19" t="s">
        <v>5027</v>
      </c>
      <c r="F2810" s="19" t="s">
        <v>3667</v>
      </c>
      <c r="G2810" s="26" t="str">
        <f t="shared" si="210"/>
        <v>http://jsmh.umin.jp/journal/36-2/173-195.pdf</v>
      </c>
      <c r="H2810" s="45" t="str">
        <f t="shared" si="209"/>
        <v>http://dl.ndl.go.jp/info:ndljp/pid/3359327</v>
      </c>
    </row>
    <row r="2811" spans="1:8" ht="30" customHeight="1" x14ac:dyDescent="0.15">
      <c r="A2811" s="16" t="s">
        <v>2990</v>
      </c>
      <c r="B2811" s="17" t="s">
        <v>5059</v>
      </c>
      <c r="C2811" s="17" t="s">
        <v>2485</v>
      </c>
      <c r="D2811" s="25" t="s">
        <v>4954</v>
      </c>
      <c r="E2811" s="19" t="s">
        <v>5027</v>
      </c>
      <c r="F2811" s="19" t="s">
        <v>2566</v>
      </c>
      <c r="G2811" s="26" t="str">
        <f t="shared" si="210"/>
        <v>http://jsmh.umin.jp/journal/36-2/173-195.pdf</v>
      </c>
      <c r="H2811" s="45" t="str">
        <f t="shared" si="209"/>
        <v>http://dl.ndl.go.jp/info:ndljp/pid/3359327</v>
      </c>
    </row>
    <row r="2812" spans="1:8" ht="30" customHeight="1" x14ac:dyDescent="0.15">
      <c r="A2812" s="16" t="s">
        <v>2990</v>
      </c>
      <c r="B2812" s="17" t="s">
        <v>5060</v>
      </c>
      <c r="C2812" s="17" t="s">
        <v>2233</v>
      </c>
      <c r="D2812" s="25" t="s">
        <v>4954</v>
      </c>
      <c r="E2812" s="19" t="s">
        <v>5027</v>
      </c>
      <c r="F2812" s="19" t="s">
        <v>1713</v>
      </c>
      <c r="G2812" s="26" t="str">
        <f t="shared" si="210"/>
        <v>http://jsmh.umin.jp/journal/36-2/173-195.pdf</v>
      </c>
      <c r="H2812" s="45" t="str">
        <f t="shared" si="209"/>
        <v>http://dl.ndl.go.jp/info:ndljp/pid/3359327</v>
      </c>
    </row>
    <row r="2813" spans="1:8" ht="30" customHeight="1" x14ac:dyDescent="0.15">
      <c r="A2813" s="16" t="s">
        <v>2990</v>
      </c>
      <c r="B2813" s="17" t="s">
        <v>5061</v>
      </c>
      <c r="C2813" s="17" t="s">
        <v>2327</v>
      </c>
      <c r="D2813" s="25" t="s">
        <v>4954</v>
      </c>
      <c r="E2813" s="19" t="s">
        <v>5027</v>
      </c>
      <c r="F2813" s="19" t="s">
        <v>2928</v>
      </c>
      <c r="G2813" s="26" t="str">
        <f t="shared" si="210"/>
        <v>http://jsmh.umin.jp/journal/36-2/173-195.pdf</v>
      </c>
      <c r="H2813" s="45" t="str">
        <f t="shared" si="209"/>
        <v>http://dl.ndl.go.jp/info:ndljp/pid/3359327</v>
      </c>
    </row>
    <row r="2814" spans="1:8" ht="30" customHeight="1" x14ac:dyDescent="0.15">
      <c r="A2814" s="16" t="s">
        <v>2990</v>
      </c>
      <c r="B2814" s="17" t="s">
        <v>5062</v>
      </c>
      <c r="C2814" s="17" t="s">
        <v>1929</v>
      </c>
      <c r="D2814" s="25" t="s">
        <v>4954</v>
      </c>
      <c r="E2814" s="19" t="s">
        <v>5027</v>
      </c>
      <c r="F2814" s="19" t="s">
        <v>1715</v>
      </c>
      <c r="G2814" s="26" t="str">
        <f t="shared" si="210"/>
        <v>http://jsmh.umin.jp/journal/36-2/173-195.pdf</v>
      </c>
      <c r="H2814" s="45" t="str">
        <f t="shared" si="209"/>
        <v>http://dl.ndl.go.jp/info:ndljp/pid/3359327</v>
      </c>
    </row>
    <row r="2815" spans="1:8" ht="30" customHeight="1" x14ac:dyDescent="0.15">
      <c r="A2815" s="16" t="s">
        <v>2990</v>
      </c>
      <c r="B2815" s="17" t="s">
        <v>5063</v>
      </c>
      <c r="C2815" s="17" t="s">
        <v>48</v>
      </c>
      <c r="D2815" s="25" t="s">
        <v>4954</v>
      </c>
      <c r="E2815" s="19" t="s">
        <v>5027</v>
      </c>
      <c r="F2815" s="19" t="s">
        <v>5064</v>
      </c>
      <c r="G2815" s="26" t="str">
        <f t="shared" si="210"/>
        <v>http://jsmh.umin.jp/journal/36-2/173-195.pdf</v>
      </c>
      <c r="H2815" s="45" t="str">
        <f t="shared" si="209"/>
        <v>http://dl.ndl.go.jp/info:ndljp/pid/3359327</v>
      </c>
    </row>
    <row r="2816" spans="1:8" ht="30" customHeight="1" x14ac:dyDescent="0.15">
      <c r="A2816" s="16" t="s">
        <v>2990</v>
      </c>
      <c r="B2816" s="17" t="s">
        <v>5065</v>
      </c>
      <c r="C2816" s="17" t="s">
        <v>1932</v>
      </c>
      <c r="D2816" s="25" t="s">
        <v>4954</v>
      </c>
      <c r="E2816" s="19" t="s">
        <v>5027</v>
      </c>
      <c r="F2816" s="19" t="s">
        <v>3984</v>
      </c>
      <c r="G2816" s="26" t="str">
        <f t="shared" si="210"/>
        <v>http://jsmh.umin.jp/journal/36-2/173-195.pdf</v>
      </c>
      <c r="H2816" s="45" t="str">
        <f t="shared" si="209"/>
        <v>http://dl.ndl.go.jp/info:ndljp/pid/3359327</v>
      </c>
    </row>
    <row r="2817" spans="1:8" ht="30" customHeight="1" x14ac:dyDescent="0.15">
      <c r="A2817" s="16" t="s">
        <v>2990</v>
      </c>
      <c r="B2817" s="17" t="s">
        <v>5066</v>
      </c>
      <c r="C2817" s="17" t="s">
        <v>1659</v>
      </c>
      <c r="D2817" s="25" t="s">
        <v>4954</v>
      </c>
      <c r="E2817" s="19" t="s">
        <v>5027</v>
      </c>
      <c r="F2817" s="19" t="s">
        <v>2574</v>
      </c>
      <c r="G2817" s="26" t="str">
        <f t="shared" si="210"/>
        <v>http://jsmh.umin.jp/journal/36-2/173-195.pdf</v>
      </c>
      <c r="H2817" s="45" t="str">
        <f t="shared" si="209"/>
        <v>http://dl.ndl.go.jp/info:ndljp/pid/3359327</v>
      </c>
    </row>
    <row r="2818" spans="1:8" ht="30" customHeight="1" x14ac:dyDescent="0.15">
      <c r="A2818" s="16" t="s">
        <v>2990</v>
      </c>
      <c r="B2818" s="17" t="s">
        <v>5067</v>
      </c>
      <c r="C2818" s="17" t="s">
        <v>916</v>
      </c>
      <c r="D2818" s="25" t="s">
        <v>4954</v>
      </c>
      <c r="E2818" s="19" t="s">
        <v>5027</v>
      </c>
      <c r="F2818" s="19" t="s">
        <v>1721</v>
      </c>
      <c r="G2818" s="26" t="str">
        <f t="shared" si="210"/>
        <v>http://jsmh.umin.jp/journal/36-2/173-195.pdf</v>
      </c>
      <c r="H2818" s="45" t="str">
        <f t="shared" si="209"/>
        <v>http://dl.ndl.go.jp/info:ndljp/pid/3359327</v>
      </c>
    </row>
    <row r="2819" spans="1:8" ht="30" customHeight="1" x14ac:dyDescent="0.15">
      <c r="A2819" s="16" t="s">
        <v>2990</v>
      </c>
      <c r="B2819" s="17" t="s">
        <v>5068</v>
      </c>
      <c r="C2819" s="17" t="s">
        <v>5069</v>
      </c>
      <c r="D2819" s="25" t="s">
        <v>4954</v>
      </c>
      <c r="E2819" s="19" t="s">
        <v>5027</v>
      </c>
      <c r="F2819" s="19" t="s">
        <v>2577</v>
      </c>
      <c r="G2819" s="26" t="str">
        <f t="shared" si="210"/>
        <v>http://jsmh.umin.jp/journal/36-2/173-195.pdf</v>
      </c>
      <c r="H2819" s="45" t="str">
        <f t="shared" si="209"/>
        <v>http://dl.ndl.go.jp/info:ndljp/pid/3359327</v>
      </c>
    </row>
    <row r="2820" spans="1:8" ht="30" customHeight="1" x14ac:dyDescent="0.15">
      <c r="A2820" s="16" t="s">
        <v>2990</v>
      </c>
      <c r="B2820" s="17" t="s">
        <v>5070</v>
      </c>
      <c r="C2820" s="17" t="s">
        <v>1764</v>
      </c>
      <c r="D2820" s="25" t="s">
        <v>4954</v>
      </c>
      <c r="E2820" s="19" t="s">
        <v>5027</v>
      </c>
      <c r="F2820" s="19" t="s">
        <v>2580</v>
      </c>
      <c r="G2820" s="26" t="str">
        <f t="shared" si="210"/>
        <v>http://jsmh.umin.jp/journal/36-2/173-195.pdf</v>
      </c>
      <c r="H2820" s="45" t="str">
        <f t="shared" si="209"/>
        <v>http://dl.ndl.go.jp/info:ndljp/pid/3359327</v>
      </c>
    </row>
    <row r="2821" spans="1:8" ht="30" customHeight="1" x14ac:dyDescent="0.15">
      <c r="A2821" s="16" t="s">
        <v>2990</v>
      </c>
      <c r="B2821" s="17" t="s">
        <v>5071</v>
      </c>
      <c r="C2821" s="17" t="s">
        <v>1659</v>
      </c>
      <c r="D2821" s="25" t="s">
        <v>4954</v>
      </c>
      <c r="E2821" s="19" t="s">
        <v>5027</v>
      </c>
      <c r="F2821" s="19" t="s">
        <v>4836</v>
      </c>
      <c r="G2821" s="26" t="str">
        <f t="shared" si="210"/>
        <v>http://jsmh.umin.jp/journal/36-2/173-195.pdf</v>
      </c>
      <c r="H2821" s="45" t="str">
        <f t="shared" si="209"/>
        <v>http://dl.ndl.go.jp/info:ndljp/pid/3359327</v>
      </c>
    </row>
    <row r="2822" spans="1:8" ht="30" customHeight="1" x14ac:dyDescent="0.15">
      <c r="A2822" s="16" t="s">
        <v>2990</v>
      </c>
      <c r="B2822" s="17" t="s">
        <v>5072</v>
      </c>
      <c r="C2822" s="17" t="s">
        <v>5073</v>
      </c>
      <c r="D2822" s="25" t="s">
        <v>4954</v>
      </c>
      <c r="E2822" s="19" t="s">
        <v>5027</v>
      </c>
      <c r="F2822" s="19" t="s">
        <v>976</v>
      </c>
      <c r="G2822" s="26" t="str">
        <f t="shared" si="210"/>
        <v>http://jsmh.umin.jp/journal/36-2/173-195.pdf</v>
      </c>
      <c r="H2822" s="45" t="str">
        <f t="shared" si="209"/>
        <v>http://dl.ndl.go.jp/info:ndljp/pid/3359327</v>
      </c>
    </row>
    <row r="2823" spans="1:8" ht="30" customHeight="1" x14ac:dyDescent="0.15">
      <c r="A2823" s="16" t="s">
        <v>2990</v>
      </c>
      <c r="B2823" s="17" t="s">
        <v>5074</v>
      </c>
      <c r="C2823" s="17" t="s">
        <v>5075</v>
      </c>
      <c r="D2823" s="25" t="s">
        <v>4954</v>
      </c>
      <c r="E2823" s="19" t="s">
        <v>5027</v>
      </c>
      <c r="F2823" s="19" t="s">
        <v>981</v>
      </c>
      <c r="G2823" s="26" t="str">
        <f t="shared" si="210"/>
        <v>http://jsmh.umin.jp/journal/36-2/173-195.pdf</v>
      </c>
      <c r="H2823" s="45" t="str">
        <f t="shared" si="209"/>
        <v>http://dl.ndl.go.jp/info:ndljp/pid/3359327</v>
      </c>
    </row>
    <row r="2824" spans="1:8" ht="30" customHeight="1" x14ac:dyDescent="0.15">
      <c r="A2824" s="16" t="s">
        <v>2990</v>
      </c>
      <c r="B2824" s="17" t="s">
        <v>5076</v>
      </c>
      <c r="C2824" s="17" t="s">
        <v>1764</v>
      </c>
      <c r="D2824" s="25" t="s">
        <v>4954</v>
      </c>
      <c r="E2824" s="19" t="s">
        <v>5027</v>
      </c>
      <c r="F2824" s="19" t="s">
        <v>5077</v>
      </c>
      <c r="G2824" s="26" t="str">
        <f t="shared" si="210"/>
        <v>http://jsmh.umin.jp/journal/36-2/173-195.pdf</v>
      </c>
      <c r="H2824" s="45" t="str">
        <f t="shared" si="209"/>
        <v>http://dl.ndl.go.jp/info:ndljp/pid/3359327</v>
      </c>
    </row>
    <row r="2825" spans="1:8" ht="30" customHeight="1" x14ac:dyDescent="0.15">
      <c r="A2825" s="16" t="s">
        <v>2990</v>
      </c>
      <c r="B2825" s="17" t="s">
        <v>5078</v>
      </c>
      <c r="C2825" s="17" t="s">
        <v>2485</v>
      </c>
      <c r="D2825" s="25" t="s">
        <v>4954</v>
      </c>
      <c r="E2825" s="19" t="s">
        <v>5027</v>
      </c>
      <c r="F2825" s="19" t="s">
        <v>993</v>
      </c>
      <c r="G2825" s="26" t="str">
        <f t="shared" si="210"/>
        <v>http://jsmh.umin.jp/journal/36-2/173-195.pdf</v>
      </c>
      <c r="H2825" s="45" t="str">
        <f t="shared" si="209"/>
        <v>http://dl.ndl.go.jp/info:ndljp/pid/3359327</v>
      </c>
    </row>
    <row r="2826" spans="1:8" ht="30" customHeight="1" x14ac:dyDescent="0.15">
      <c r="A2826" s="16" t="s">
        <v>17</v>
      </c>
      <c r="B2826" s="17" t="s">
        <v>5079</v>
      </c>
      <c r="C2826" s="17" t="s">
        <v>5080</v>
      </c>
      <c r="D2826" s="25" t="s">
        <v>4954</v>
      </c>
      <c r="E2826" s="19" t="s">
        <v>5081</v>
      </c>
      <c r="F2826" s="19" t="s">
        <v>5082</v>
      </c>
      <c r="G2826" s="5" t="str">
        <f>HYPERLINK("http://jsmh.umin.jp/journal/36-3/201-210.pdf")</f>
        <v>http://jsmh.umin.jp/journal/36-3/201-210.pdf</v>
      </c>
      <c r="H2826" s="42" t="str">
        <f t="shared" ref="H2826:H2863" si="211">HYPERLINK("http://dl.ndl.go.jp/info:ndljp/pid/3359328")</f>
        <v>http://dl.ndl.go.jp/info:ndljp/pid/3359328</v>
      </c>
    </row>
    <row r="2827" spans="1:8" ht="30" customHeight="1" x14ac:dyDescent="0.15">
      <c r="A2827" s="16" t="s">
        <v>17</v>
      </c>
      <c r="B2827" s="17" t="s">
        <v>5083</v>
      </c>
      <c r="C2827" s="17" t="s">
        <v>5084</v>
      </c>
      <c r="D2827" s="25" t="s">
        <v>4954</v>
      </c>
      <c r="E2827" s="19" t="s">
        <v>5081</v>
      </c>
      <c r="F2827" s="19" t="s">
        <v>5085</v>
      </c>
      <c r="G2827" s="5" t="str">
        <f>HYPERLINK("http://jsmh.umin.jp/journal/36-3/211-228.pdf")</f>
        <v>http://jsmh.umin.jp/journal/36-3/211-228.pdf</v>
      </c>
      <c r="H2827" s="43" t="str">
        <f t="shared" si="211"/>
        <v>http://dl.ndl.go.jp/info:ndljp/pid/3359328</v>
      </c>
    </row>
    <row r="2828" spans="1:8" ht="30" customHeight="1" x14ac:dyDescent="0.15">
      <c r="A2828" s="16" t="s">
        <v>3387</v>
      </c>
      <c r="B2828" s="17" t="s">
        <v>5086</v>
      </c>
      <c r="C2828" s="17" t="s">
        <v>3010</v>
      </c>
      <c r="D2828" s="25" t="s">
        <v>4954</v>
      </c>
      <c r="E2828" s="19" t="s">
        <v>5081</v>
      </c>
      <c r="F2828" s="19" t="s">
        <v>5087</v>
      </c>
      <c r="G2828" s="5" t="str">
        <f>HYPERLINK("http://jsmh.umin.jp/journal/36-3/229-247.pdf")</f>
        <v>http://jsmh.umin.jp/journal/36-3/229-247.pdf</v>
      </c>
      <c r="H2828" s="43" t="str">
        <f t="shared" si="211"/>
        <v>http://dl.ndl.go.jp/info:ndljp/pid/3359328</v>
      </c>
    </row>
    <row r="2829" spans="1:8" ht="30" customHeight="1" x14ac:dyDescent="0.15">
      <c r="A2829" s="16" t="s">
        <v>4475</v>
      </c>
      <c r="B2829" s="17" t="s">
        <v>5088</v>
      </c>
      <c r="C2829" s="17" t="s">
        <v>439</v>
      </c>
      <c r="D2829" s="25" t="s">
        <v>4954</v>
      </c>
      <c r="E2829" s="19" t="s">
        <v>5081</v>
      </c>
      <c r="F2829" s="19" t="s">
        <v>5089</v>
      </c>
      <c r="G2829" s="5" t="str">
        <f>HYPERLINK("http://jsmh.umin.jp/journal/36-3/248-253.pdf")</f>
        <v>http://jsmh.umin.jp/journal/36-3/248-253.pdf</v>
      </c>
      <c r="H2829" s="43" t="str">
        <f t="shared" si="211"/>
        <v>http://dl.ndl.go.jp/info:ndljp/pid/3359328</v>
      </c>
    </row>
    <row r="2830" spans="1:8" ht="30" customHeight="1" x14ac:dyDescent="0.15">
      <c r="A2830" s="16" t="s">
        <v>4475</v>
      </c>
      <c r="B2830" s="17" t="s">
        <v>1956</v>
      </c>
      <c r="C2830" s="17" t="s">
        <v>4733</v>
      </c>
      <c r="D2830" s="25" t="s">
        <v>4954</v>
      </c>
      <c r="E2830" s="19" t="s">
        <v>5081</v>
      </c>
      <c r="F2830" s="19" t="s">
        <v>5090</v>
      </c>
      <c r="G2830" s="5" t="str">
        <f>HYPERLINK("http://jsmh.umin.jp/journal/36-3/254-263.pdf")</f>
        <v>http://jsmh.umin.jp/journal/36-3/254-263.pdf</v>
      </c>
      <c r="H2830" s="43" t="str">
        <f t="shared" si="211"/>
        <v>http://dl.ndl.go.jp/info:ndljp/pid/3359328</v>
      </c>
    </row>
    <row r="2831" spans="1:8" ht="30" customHeight="1" x14ac:dyDescent="0.15">
      <c r="A2831" s="16" t="s">
        <v>4475</v>
      </c>
      <c r="B2831" s="17" t="s">
        <v>1956</v>
      </c>
      <c r="C2831" s="17" t="s">
        <v>48</v>
      </c>
      <c r="D2831" s="25" t="s">
        <v>4954</v>
      </c>
      <c r="E2831" s="19" t="s">
        <v>5081</v>
      </c>
      <c r="F2831" s="19" t="s">
        <v>5091</v>
      </c>
      <c r="G2831" s="5" t="str">
        <f>HYPERLINK("http://jsmh.umin.jp/journal/36-3/264-270.pdf")</f>
        <v>http://jsmh.umin.jp/journal/36-3/264-270.pdf</v>
      </c>
      <c r="H2831" s="43" t="str">
        <f t="shared" si="211"/>
        <v>http://dl.ndl.go.jp/info:ndljp/pid/3359328</v>
      </c>
    </row>
    <row r="2832" spans="1:8" ht="30" customHeight="1" x14ac:dyDescent="0.15">
      <c r="A2832" s="16" t="s">
        <v>692</v>
      </c>
      <c r="B2832" s="17" t="s">
        <v>5092</v>
      </c>
      <c r="C2832" s="17" t="s">
        <v>3839</v>
      </c>
      <c r="D2832" s="25" t="s">
        <v>4954</v>
      </c>
      <c r="E2832" s="19" t="s">
        <v>5081</v>
      </c>
      <c r="F2832" s="19" t="s">
        <v>5093</v>
      </c>
      <c r="G2832" s="5" t="str">
        <f>HYPERLINK("http://jsmh.umin.jp/journal/36-3/271-294.pdf")</f>
        <v>http://jsmh.umin.jp/journal/36-3/271-294.pdf</v>
      </c>
      <c r="H2832" s="43" t="str">
        <f t="shared" si="211"/>
        <v>http://dl.ndl.go.jp/info:ndljp/pid/3359328</v>
      </c>
    </row>
    <row r="2833" spans="1:8" ht="30" customHeight="1" x14ac:dyDescent="0.15">
      <c r="A2833" s="16" t="s">
        <v>692</v>
      </c>
      <c r="B2833" s="17" t="s">
        <v>5094</v>
      </c>
      <c r="C2833" s="17" t="s">
        <v>4867</v>
      </c>
      <c r="D2833" s="25" t="s">
        <v>4954</v>
      </c>
      <c r="E2833" s="19" t="s">
        <v>5081</v>
      </c>
      <c r="F2833" s="19" t="s">
        <v>5095</v>
      </c>
      <c r="G2833" s="5" t="str">
        <f>HYPERLINK("http://jsmh.umin.jp/journal/36-3/295-304.pdf")</f>
        <v>http://jsmh.umin.jp/journal/36-3/295-304.pdf</v>
      </c>
      <c r="H2833" s="43" t="str">
        <f t="shared" si="211"/>
        <v>http://dl.ndl.go.jp/info:ndljp/pid/3359328</v>
      </c>
    </row>
    <row r="2834" spans="1:8" ht="30" customHeight="1" x14ac:dyDescent="0.15">
      <c r="A2834" s="16" t="s">
        <v>692</v>
      </c>
      <c r="B2834" s="17" t="s">
        <v>5096</v>
      </c>
      <c r="C2834" s="17" t="s">
        <v>4870</v>
      </c>
      <c r="D2834" s="25" t="s">
        <v>4954</v>
      </c>
      <c r="E2834" s="19" t="s">
        <v>5081</v>
      </c>
      <c r="F2834" s="19" t="s">
        <v>5097</v>
      </c>
      <c r="G2834" s="5" t="str">
        <f>HYPERLINK("http://jsmh.umin.jp/journal/36-3/305-310.pdf")</f>
        <v>http://jsmh.umin.jp/journal/36-3/305-310.pdf</v>
      </c>
      <c r="H2834" s="43" t="str">
        <f t="shared" si="211"/>
        <v>http://dl.ndl.go.jp/info:ndljp/pid/3359328</v>
      </c>
    </row>
    <row r="2835" spans="1:8" ht="30" customHeight="1" x14ac:dyDescent="0.15">
      <c r="A2835" s="16" t="s">
        <v>558</v>
      </c>
      <c r="B2835" s="17" t="s">
        <v>5098</v>
      </c>
      <c r="C2835" s="17"/>
      <c r="D2835" s="25" t="s">
        <v>4954</v>
      </c>
      <c r="E2835" s="19" t="s">
        <v>5081</v>
      </c>
      <c r="F2835" s="19" t="s">
        <v>1784</v>
      </c>
      <c r="G2835" s="5" t="str">
        <f>HYPERLINK("http://jsmh.umin.jp/journal/36-3/315-316.pdf")</f>
        <v>http://jsmh.umin.jp/journal/36-3/315-316.pdf</v>
      </c>
      <c r="H2835" s="43" t="str">
        <f t="shared" si="211"/>
        <v>http://dl.ndl.go.jp/info:ndljp/pid/3359328</v>
      </c>
    </row>
    <row r="2836" spans="1:8" ht="30" customHeight="1" x14ac:dyDescent="0.15">
      <c r="A2836" s="16" t="s">
        <v>558</v>
      </c>
      <c r="B2836" s="17" t="s">
        <v>5099</v>
      </c>
      <c r="C2836" s="17"/>
      <c r="D2836" s="25" t="s">
        <v>4954</v>
      </c>
      <c r="E2836" s="19" t="s">
        <v>5081</v>
      </c>
      <c r="F2836" s="19" t="s">
        <v>1786</v>
      </c>
      <c r="G2836" s="5" t="str">
        <f>HYPERLINK("http://jsmh.umin.jp/journal/36-3/316-317.pdf")</f>
        <v>http://jsmh.umin.jp/journal/36-3/316-317.pdf</v>
      </c>
      <c r="H2836" s="43" t="str">
        <f t="shared" si="211"/>
        <v>http://dl.ndl.go.jp/info:ndljp/pid/3359328</v>
      </c>
    </row>
    <row r="2837" spans="1:8" ht="30" customHeight="1" x14ac:dyDescent="0.15">
      <c r="A2837" s="16" t="s">
        <v>3720</v>
      </c>
      <c r="B2837" s="17" t="s">
        <v>5100</v>
      </c>
      <c r="C2837" s="17" t="s">
        <v>3196</v>
      </c>
      <c r="D2837" s="25" t="s">
        <v>4954</v>
      </c>
      <c r="E2837" s="19" t="s">
        <v>5081</v>
      </c>
      <c r="F2837" s="19" t="s">
        <v>5101</v>
      </c>
      <c r="G2837" s="5" t="str">
        <f>HYPERLINK("http://jsmh.umin.jp/journal/36-3/317-318.pdf")</f>
        <v>http://jsmh.umin.jp/journal/36-3/317-318.pdf</v>
      </c>
      <c r="H2837" s="43" t="str">
        <f t="shared" si="211"/>
        <v>http://dl.ndl.go.jp/info:ndljp/pid/3359328</v>
      </c>
    </row>
    <row r="2838" spans="1:8" ht="30" customHeight="1" x14ac:dyDescent="0.15">
      <c r="A2838" s="16" t="s">
        <v>3720</v>
      </c>
      <c r="B2838" s="17" t="s">
        <v>5102</v>
      </c>
      <c r="C2838" s="17" t="s">
        <v>4988</v>
      </c>
      <c r="D2838" s="25" t="s">
        <v>4954</v>
      </c>
      <c r="E2838" s="19" t="s">
        <v>5081</v>
      </c>
      <c r="F2838" s="19" t="s">
        <v>5103</v>
      </c>
      <c r="G2838" s="5" t="str">
        <f>HYPERLINK("http://jsmh.umin.jp/journal/36-3/318-319.pdf")</f>
        <v>http://jsmh.umin.jp/journal/36-3/318-319.pdf</v>
      </c>
      <c r="H2838" s="43" t="str">
        <f t="shared" si="211"/>
        <v>http://dl.ndl.go.jp/info:ndljp/pid/3359328</v>
      </c>
    </row>
    <row r="2839" spans="1:8" ht="30" customHeight="1" x14ac:dyDescent="0.15">
      <c r="A2839" s="16" t="s">
        <v>3720</v>
      </c>
      <c r="B2839" s="17" t="s">
        <v>5104</v>
      </c>
      <c r="C2839" s="17" t="s">
        <v>5020</v>
      </c>
      <c r="D2839" s="25" t="s">
        <v>4954</v>
      </c>
      <c r="E2839" s="19" t="s">
        <v>5081</v>
      </c>
      <c r="F2839" s="19" t="s">
        <v>1434</v>
      </c>
      <c r="G2839" s="5" t="str">
        <f>HYPERLINK("http://jsmh.umin.jp/journal/36-3/319-320.pdf")</f>
        <v>http://jsmh.umin.jp/journal/36-3/319-320.pdf</v>
      </c>
      <c r="H2839" s="43" t="str">
        <f t="shared" si="211"/>
        <v>http://dl.ndl.go.jp/info:ndljp/pid/3359328</v>
      </c>
    </row>
    <row r="2840" spans="1:8" ht="30" customHeight="1" x14ac:dyDescent="0.15">
      <c r="A2840" s="16" t="s">
        <v>2990</v>
      </c>
      <c r="B2840" s="17" t="s">
        <v>5105</v>
      </c>
      <c r="C2840" s="17" t="s">
        <v>5106</v>
      </c>
      <c r="D2840" s="25" t="s">
        <v>4954</v>
      </c>
      <c r="E2840" s="19" t="s">
        <v>5081</v>
      </c>
      <c r="F2840" s="19" t="s">
        <v>5107</v>
      </c>
      <c r="G2840" s="26" t="str">
        <f t="shared" ref="G2840:G2862" si="212">HYPERLINK("http://jsmh.umin.jp/journal/36-3/321-346.pdf")</f>
        <v>http://jsmh.umin.jp/journal/36-3/321-346.pdf</v>
      </c>
      <c r="H2840" s="43" t="str">
        <f t="shared" si="211"/>
        <v>http://dl.ndl.go.jp/info:ndljp/pid/3359328</v>
      </c>
    </row>
    <row r="2841" spans="1:8" ht="30" customHeight="1" x14ac:dyDescent="0.15">
      <c r="A2841" s="16" t="s">
        <v>2990</v>
      </c>
      <c r="B2841" s="17" t="s">
        <v>5108</v>
      </c>
      <c r="C2841" s="17" t="s">
        <v>3482</v>
      </c>
      <c r="D2841" s="25" t="s">
        <v>4954</v>
      </c>
      <c r="E2841" s="19" t="s">
        <v>5081</v>
      </c>
      <c r="F2841" s="19" t="s">
        <v>3884</v>
      </c>
      <c r="G2841" s="26" t="str">
        <f t="shared" si="212"/>
        <v>http://jsmh.umin.jp/journal/36-3/321-346.pdf</v>
      </c>
      <c r="H2841" s="43" t="str">
        <f t="shared" si="211"/>
        <v>http://dl.ndl.go.jp/info:ndljp/pid/3359328</v>
      </c>
    </row>
    <row r="2842" spans="1:8" ht="30" customHeight="1" x14ac:dyDescent="0.15">
      <c r="A2842" s="16" t="s">
        <v>2990</v>
      </c>
      <c r="B2842" s="17" t="s">
        <v>5109</v>
      </c>
      <c r="C2842" s="17" t="s">
        <v>1803</v>
      </c>
      <c r="D2842" s="25" t="s">
        <v>4954</v>
      </c>
      <c r="E2842" s="19" t="s">
        <v>5081</v>
      </c>
      <c r="F2842" s="19" t="s">
        <v>3885</v>
      </c>
      <c r="G2842" s="26" t="str">
        <f t="shared" si="212"/>
        <v>http://jsmh.umin.jp/journal/36-3/321-346.pdf</v>
      </c>
      <c r="H2842" s="43" t="str">
        <f t="shared" si="211"/>
        <v>http://dl.ndl.go.jp/info:ndljp/pid/3359328</v>
      </c>
    </row>
    <row r="2843" spans="1:8" ht="30" customHeight="1" x14ac:dyDescent="0.15">
      <c r="A2843" s="16" t="s">
        <v>2990</v>
      </c>
      <c r="B2843" s="17" t="s">
        <v>5110</v>
      </c>
      <c r="C2843" s="17" t="s">
        <v>5111</v>
      </c>
      <c r="D2843" s="25" t="s">
        <v>4954</v>
      </c>
      <c r="E2843" s="19" t="s">
        <v>5081</v>
      </c>
      <c r="F2843" s="19" t="s">
        <v>5112</v>
      </c>
      <c r="G2843" s="26" t="str">
        <f t="shared" si="212"/>
        <v>http://jsmh.umin.jp/journal/36-3/321-346.pdf</v>
      </c>
      <c r="H2843" s="43" t="str">
        <f t="shared" si="211"/>
        <v>http://dl.ndl.go.jp/info:ndljp/pid/3359328</v>
      </c>
    </row>
    <row r="2844" spans="1:8" ht="30" customHeight="1" x14ac:dyDescent="0.15">
      <c r="A2844" s="16" t="s">
        <v>2990</v>
      </c>
      <c r="B2844" s="17" t="s">
        <v>5113</v>
      </c>
      <c r="C2844" s="17" t="s">
        <v>66</v>
      </c>
      <c r="D2844" s="25" t="s">
        <v>4954</v>
      </c>
      <c r="E2844" s="19" t="s">
        <v>5081</v>
      </c>
      <c r="F2844" s="19" t="s">
        <v>3887</v>
      </c>
      <c r="G2844" s="26" t="str">
        <f t="shared" si="212"/>
        <v>http://jsmh.umin.jp/journal/36-3/321-346.pdf</v>
      </c>
      <c r="H2844" s="43" t="str">
        <f t="shared" si="211"/>
        <v>http://dl.ndl.go.jp/info:ndljp/pid/3359328</v>
      </c>
    </row>
    <row r="2845" spans="1:8" ht="30" customHeight="1" x14ac:dyDescent="0.15">
      <c r="A2845" s="16" t="s">
        <v>2990</v>
      </c>
      <c r="B2845" s="17" t="s">
        <v>5114</v>
      </c>
      <c r="C2845" s="17" t="s">
        <v>10188</v>
      </c>
      <c r="D2845" s="25" t="s">
        <v>4954</v>
      </c>
      <c r="E2845" s="19" t="s">
        <v>5081</v>
      </c>
      <c r="F2845" s="19" t="s">
        <v>1600</v>
      </c>
      <c r="G2845" s="26" t="str">
        <f t="shared" si="212"/>
        <v>http://jsmh.umin.jp/journal/36-3/321-346.pdf</v>
      </c>
      <c r="H2845" s="43" t="str">
        <f t="shared" si="211"/>
        <v>http://dl.ndl.go.jp/info:ndljp/pid/3359328</v>
      </c>
    </row>
    <row r="2846" spans="1:8" ht="30" customHeight="1" x14ac:dyDescent="0.15">
      <c r="A2846" s="16" t="s">
        <v>2990</v>
      </c>
      <c r="B2846" s="17" t="s">
        <v>5115</v>
      </c>
      <c r="C2846" s="17" t="s">
        <v>1659</v>
      </c>
      <c r="D2846" s="25" t="s">
        <v>4954</v>
      </c>
      <c r="E2846" s="19" t="s">
        <v>5081</v>
      </c>
      <c r="F2846" s="19" t="s">
        <v>3891</v>
      </c>
      <c r="G2846" s="26" t="str">
        <f t="shared" si="212"/>
        <v>http://jsmh.umin.jp/journal/36-3/321-346.pdf</v>
      </c>
      <c r="H2846" s="43" t="str">
        <f t="shared" si="211"/>
        <v>http://dl.ndl.go.jp/info:ndljp/pid/3359328</v>
      </c>
    </row>
    <row r="2847" spans="1:8" ht="30" customHeight="1" x14ac:dyDescent="0.15">
      <c r="A2847" s="16" t="s">
        <v>2990</v>
      </c>
      <c r="B2847" s="17" t="s">
        <v>5116</v>
      </c>
      <c r="C2847" s="17" t="s">
        <v>5117</v>
      </c>
      <c r="D2847" s="25" t="s">
        <v>4954</v>
      </c>
      <c r="E2847" s="19" t="s">
        <v>5081</v>
      </c>
      <c r="F2847" s="19" t="s">
        <v>3136</v>
      </c>
      <c r="G2847" s="26" t="str">
        <f t="shared" si="212"/>
        <v>http://jsmh.umin.jp/journal/36-3/321-346.pdf</v>
      </c>
      <c r="H2847" s="43" t="str">
        <f t="shared" si="211"/>
        <v>http://dl.ndl.go.jp/info:ndljp/pid/3359328</v>
      </c>
    </row>
    <row r="2848" spans="1:8" ht="30" customHeight="1" x14ac:dyDescent="0.15">
      <c r="A2848" s="16" t="s">
        <v>2990</v>
      </c>
      <c r="B2848" s="17" t="s">
        <v>5118</v>
      </c>
      <c r="C2848" s="17" t="s">
        <v>5119</v>
      </c>
      <c r="D2848" s="25" t="s">
        <v>4954</v>
      </c>
      <c r="E2848" s="19" t="s">
        <v>5081</v>
      </c>
      <c r="F2848" s="19" t="s">
        <v>2987</v>
      </c>
      <c r="G2848" s="26" t="str">
        <f t="shared" si="212"/>
        <v>http://jsmh.umin.jp/journal/36-3/321-346.pdf</v>
      </c>
      <c r="H2848" s="43" t="str">
        <f t="shared" si="211"/>
        <v>http://dl.ndl.go.jp/info:ndljp/pid/3359328</v>
      </c>
    </row>
    <row r="2849" spans="1:8" ht="30" customHeight="1" x14ac:dyDescent="0.15">
      <c r="A2849" s="16" t="s">
        <v>2990</v>
      </c>
      <c r="B2849" s="17" t="s">
        <v>5120</v>
      </c>
      <c r="C2849" s="17" t="s">
        <v>4106</v>
      </c>
      <c r="D2849" s="25" t="s">
        <v>4954</v>
      </c>
      <c r="E2849" s="19" t="s">
        <v>5081</v>
      </c>
      <c r="F2849" s="19" t="s">
        <v>1609</v>
      </c>
      <c r="G2849" s="26" t="str">
        <f t="shared" si="212"/>
        <v>http://jsmh.umin.jp/journal/36-3/321-346.pdf</v>
      </c>
      <c r="H2849" s="43" t="str">
        <f t="shared" si="211"/>
        <v>http://dl.ndl.go.jp/info:ndljp/pid/3359328</v>
      </c>
    </row>
    <row r="2850" spans="1:8" ht="30" customHeight="1" x14ac:dyDescent="0.15">
      <c r="A2850" s="16" t="s">
        <v>2990</v>
      </c>
      <c r="B2850" s="17" t="s">
        <v>10189</v>
      </c>
      <c r="C2850" s="17" t="s">
        <v>4936</v>
      </c>
      <c r="D2850" s="25" t="s">
        <v>4954</v>
      </c>
      <c r="E2850" s="19" t="s">
        <v>5081</v>
      </c>
      <c r="F2850" s="19" t="s">
        <v>1613</v>
      </c>
      <c r="G2850" s="26" t="str">
        <f t="shared" si="212"/>
        <v>http://jsmh.umin.jp/journal/36-3/321-346.pdf</v>
      </c>
      <c r="H2850" s="43" t="str">
        <f t="shared" si="211"/>
        <v>http://dl.ndl.go.jp/info:ndljp/pid/3359328</v>
      </c>
    </row>
    <row r="2851" spans="1:8" ht="30" customHeight="1" x14ac:dyDescent="0.15">
      <c r="A2851" s="16" t="s">
        <v>2990</v>
      </c>
      <c r="B2851" s="17" t="s">
        <v>5121</v>
      </c>
      <c r="C2851" s="17" t="s">
        <v>1659</v>
      </c>
      <c r="D2851" s="25" t="s">
        <v>4954</v>
      </c>
      <c r="E2851" s="19" t="s">
        <v>5081</v>
      </c>
      <c r="F2851" s="19" t="s">
        <v>1619</v>
      </c>
      <c r="G2851" s="26" t="str">
        <f t="shared" si="212"/>
        <v>http://jsmh.umin.jp/journal/36-3/321-346.pdf</v>
      </c>
      <c r="H2851" s="43" t="str">
        <f t="shared" si="211"/>
        <v>http://dl.ndl.go.jp/info:ndljp/pid/3359328</v>
      </c>
    </row>
    <row r="2852" spans="1:8" ht="30" customHeight="1" x14ac:dyDescent="0.15">
      <c r="A2852" s="16" t="s">
        <v>2990</v>
      </c>
      <c r="B2852" s="17" t="s">
        <v>10190</v>
      </c>
      <c r="C2852" s="17" t="s">
        <v>3196</v>
      </c>
      <c r="D2852" s="25" t="s">
        <v>4954</v>
      </c>
      <c r="E2852" s="19" t="s">
        <v>5081</v>
      </c>
      <c r="F2852" s="19" t="s">
        <v>1625</v>
      </c>
      <c r="G2852" s="26" t="str">
        <f t="shared" si="212"/>
        <v>http://jsmh.umin.jp/journal/36-3/321-346.pdf</v>
      </c>
      <c r="H2852" s="43" t="str">
        <f t="shared" si="211"/>
        <v>http://dl.ndl.go.jp/info:ndljp/pid/3359328</v>
      </c>
    </row>
    <row r="2853" spans="1:8" ht="30" customHeight="1" x14ac:dyDescent="0.15">
      <c r="A2853" s="16" t="s">
        <v>2990</v>
      </c>
      <c r="B2853" s="17" t="s">
        <v>5122</v>
      </c>
      <c r="C2853" s="17" t="s">
        <v>3622</v>
      </c>
      <c r="D2853" s="25" t="s">
        <v>4954</v>
      </c>
      <c r="E2853" s="19" t="s">
        <v>5081</v>
      </c>
      <c r="F2853" s="19" t="s">
        <v>1629</v>
      </c>
      <c r="G2853" s="26" t="str">
        <f t="shared" si="212"/>
        <v>http://jsmh.umin.jp/journal/36-3/321-346.pdf</v>
      </c>
      <c r="H2853" s="43" t="str">
        <f t="shared" si="211"/>
        <v>http://dl.ndl.go.jp/info:ndljp/pid/3359328</v>
      </c>
    </row>
    <row r="2854" spans="1:8" ht="30" customHeight="1" x14ac:dyDescent="0.15">
      <c r="A2854" s="16" t="s">
        <v>2990</v>
      </c>
      <c r="B2854" s="17" t="s">
        <v>5123</v>
      </c>
      <c r="C2854" s="17" t="s">
        <v>5124</v>
      </c>
      <c r="D2854" s="25" t="s">
        <v>4954</v>
      </c>
      <c r="E2854" s="19" t="s">
        <v>5081</v>
      </c>
      <c r="F2854" s="19" t="s">
        <v>5125</v>
      </c>
      <c r="G2854" s="26" t="str">
        <f t="shared" si="212"/>
        <v>http://jsmh.umin.jp/journal/36-3/321-346.pdf</v>
      </c>
      <c r="H2854" s="43" t="str">
        <f t="shared" si="211"/>
        <v>http://dl.ndl.go.jp/info:ndljp/pid/3359328</v>
      </c>
    </row>
    <row r="2855" spans="1:8" ht="30" customHeight="1" x14ac:dyDescent="0.15">
      <c r="A2855" s="16" t="s">
        <v>2990</v>
      </c>
      <c r="B2855" s="17" t="s">
        <v>5126</v>
      </c>
      <c r="C2855" s="17" t="s">
        <v>5018</v>
      </c>
      <c r="D2855" s="25" t="s">
        <v>4954</v>
      </c>
      <c r="E2855" s="19" t="s">
        <v>5081</v>
      </c>
      <c r="F2855" s="19" t="s">
        <v>4891</v>
      </c>
      <c r="G2855" s="26" t="str">
        <f t="shared" si="212"/>
        <v>http://jsmh.umin.jp/journal/36-3/321-346.pdf</v>
      </c>
      <c r="H2855" s="43" t="str">
        <f t="shared" si="211"/>
        <v>http://dl.ndl.go.jp/info:ndljp/pid/3359328</v>
      </c>
    </row>
    <row r="2856" spans="1:8" ht="30" customHeight="1" x14ac:dyDescent="0.15">
      <c r="A2856" s="16" t="s">
        <v>2990</v>
      </c>
      <c r="B2856" s="17" t="s">
        <v>5127</v>
      </c>
      <c r="C2856" s="17" t="s">
        <v>2465</v>
      </c>
      <c r="D2856" s="25" t="s">
        <v>4954</v>
      </c>
      <c r="E2856" s="19" t="s">
        <v>5081</v>
      </c>
      <c r="F2856" s="19" t="s">
        <v>5128</v>
      </c>
      <c r="G2856" s="26" t="str">
        <f t="shared" si="212"/>
        <v>http://jsmh.umin.jp/journal/36-3/321-346.pdf</v>
      </c>
      <c r="H2856" s="43" t="str">
        <f t="shared" si="211"/>
        <v>http://dl.ndl.go.jp/info:ndljp/pid/3359328</v>
      </c>
    </row>
    <row r="2857" spans="1:8" ht="30" customHeight="1" x14ac:dyDescent="0.15">
      <c r="A2857" s="16" t="s">
        <v>2990</v>
      </c>
      <c r="B2857" s="17" t="s">
        <v>5129</v>
      </c>
      <c r="C2857" s="17" t="s">
        <v>854</v>
      </c>
      <c r="D2857" s="25" t="s">
        <v>4954</v>
      </c>
      <c r="E2857" s="19" t="s">
        <v>5081</v>
      </c>
      <c r="F2857" s="19" t="s">
        <v>5130</v>
      </c>
      <c r="G2857" s="26" t="str">
        <f t="shared" si="212"/>
        <v>http://jsmh.umin.jp/journal/36-3/321-346.pdf</v>
      </c>
      <c r="H2857" s="43" t="str">
        <f t="shared" si="211"/>
        <v>http://dl.ndl.go.jp/info:ndljp/pid/3359328</v>
      </c>
    </row>
    <row r="2858" spans="1:8" ht="30" customHeight="1" x14ac:dyDescent="0.15">
      <c r="A2858" s="16" t="s">
        <v>2990</v>
      </c>
      <c r="B2858" s="17" t="s">
        <v>5131</v>
      </c>
      <c r="C2858" s="17" t="s">
        <v>3381</v>
      </c>
      <c r="D2858" s="25" t="s">
        <v>4954</v>
      </c>
      <c r="E2858" s="19" t="s">
        <v>5081</v>
      </c>
      <c r="F2858" s="19" t="s">
        <v>4898</v>
      </c>
      <c r="G2858" s="26" t="str">
        <f t="shared" si="212"/>
        <v>http://jsmh.umin.jp/journal/36-3/321-346.pdf</v>
      </c>
      <c r="H2858" s="43" t="str">
        <f t="shared" si="211"/>
        <v>http://dl.ndl.go.jp/info:ndljp/pid/3359328</v>
      </c>
    </row>
    <row r="2859" spans="1:8" ht="30" customHeight="1" x14ac:dyDescent="0.15">
      <c r="A2859" s="16" t="s">
        <v>2990</v>
      </c>
      <c r="B2859" s="17" t="s">
        <v>5132</v>
      </c>
      <c r="C2859" s="17" t="s">
        <v>2881</v>
      </c>
      <c r="D2859" s="25" t="s">
        <v>4954</v>
      </c>
      <c r="E2859" s="19" t="s">
        <v>5081</v>
      </c>
      <c r="F2859" s="19" t="s">
        <v>4900</v>
      </c>
      <c r="G2859" s="26" t="str">
        <f t="shared" si="212"/>
        <v>http://jsmh.umin.jp/journal/36-3/321-346.pdf</v>
      </c>
      <c r="H2859" s="43" t="str">
        <f t="shared" si="211"/>
        <v>http://dl.ndl.go.jp/info:ndljp/pid/3359328</v>
      </c>
    </row>
    <row r="2860" spans="1:8" ht="30" customHeight="1" x14ac:dyDescent="0.15">
      <c r="A2860" s="16" t="s">
        <v>2990</v>
      </c>
      <c r="B2860" s="17" t="s">
        <v>5133</v>
      </c>
      <c r="C2860" s="17" t="s">
        <v>1781</v>
      </c>
      <c r="D2860" s="25" t="s">
        <v>4954</v>
      </c>
      <c r="E2860" s="19" t="s">
        <v>5081</v>
      </c>
      <c r="F2860" s="19" t="s">
        <v>3152</v>
      </c>
      <c r="G2860" s="26" t="str">
        <f t="shared" si="212"/>
        <v>http://jsmh.umin.jp/journal/36-3/321-346.pdf</v>
      </c>
      <c r="H2860" s="43" t="str">
        <f t="shared" si="211"/>
        <v>http://dl.ndl.go.jp/info:ndljp/pid/3359328</v>
      </c>
    </row>
    <row r="2861" spans="1:8" ht="30" customHeight="1" x14ac:dyDescent="0.15">
      <c r="A2861" s="16" t="s">
        <v>2990</v>
      </c>
      <c r="B2861" s="17" t="s">
        <v>5134</v>
      </c>
      <c r="C2861" s="17" t="s">
        <v>4848</v>
      </c>
      <c r="D2861" s="25" t="s">
        <v>4954</v>
      </c>
      <c r="E2861" s="19" t="s">
        <v>5081</v>
      </c>
      <c r="F2861" s="19" t="s">
        <v>5135</v>
      </c>
      <c r="G2861" s="26" t="str">
        <f t="shared" si="212"/>
        <v>http://jsmh.umin.jp/journal/36-3/321-346.pdf</v>
      </c>
      <c r="H2861" s="43" t="str">
        <f t="shared" si="211"/>
        <v>http://dl.ndl.go.jp/info:ndljp/pid/3359328</v>
      </c>
    </row>
    <row r="2862" spans="1:8" ht="30" customHeight="1" x14ac:dyDescent="0.15">
      <c r="A2862" s="16" t="s">
        <v>2990</v>
      </c>
      <c r="B2862" s="17" t="s">
        <v>5136</v>
      </c>
      <c r="C2862" s="17" t="s">
        <v>3781</v>
      </c>
      <c r="D2862" s="25" t="s">
        <v>4954</v>
      </c>
      <c r="E2862" s="19" t="s">
        <v>5081</v>
      </c>
      <c r="F2862" s="19" t="s">
        <v>5137</v>
      </c>
      <c r="G2862" s="26" t="str">
        <f t="shared" si="212"/>
        <v>http://jsmh.umin.jp/journal/36-3/321-346.pdf</v>
      </c>
      <c r="H2862" s="43" t="str">
        <f t="shared" si="211"/>
        <v>http://dl.ndl.go.jp/info:ndljp/pid/3359328</v>
      </c>
    </row>
    <row r="2863" spans="1:8" ht="30" customHeight="1" x14ac:dyDescent="0.15">
      <c r="A2863" s="16" t="s">
        <v>17</v>
      </c>
      <c r="B2863" s="17" t="s">
        <v>10191</v>
      </c>
      <c r="C2863" s="17" t="s">
        <v>10192</v>
      </c>
      <c r="D2863" s="25" t="s">
        <v>4954</v>
      </c>
      <c r="E2863" s="19" t="s">
        <v>5081</v>
      </c>
      <c r="F2863" s="19" t="s">
        <v>5138</v>
      </c>
      <c r="G2863" s="5" t="str">
        <f>HYPERLINK("http://jsmh.umin.jp/journal/36-3/364-355.pdf")</f>
        <v>http://jsmh.umin.jp/journal/36-3/364-355.pdf</v>
      </c>
      <c r="H2863" s="43" t="str">
        <f t="shared" si="211"/>
        <v>http://dl.ndl.go.jp/info:ndljp/pid/3359328</v>
      </c>
    </row>
    <row r="2864" spans="1:8" ht="30" customHeight="1" x14ac:dyDescent="0.15">
      <c r="A2864" s="16" t="s">
        <v>17</v>
      </c>
      <c r="B2864" s="17" t="s">
        <v>5139</v>
      </c>
      <c r="C2864" s="17" t="s">
        <v>48</v>
      </c>
      <c r="D2864" s="25" t="s">
        <v>4954</v>
      </c>
      <c r="E2864" s="19" t="s">
        <v>5140</v>
      </c>
      <c r="F2864" s="19" t="s">
        <v>5141</v>
      </c>
      <c r="G2864" s="5" t="str">
        <f>HYPERLINK("http://jsmh.umin.jp/journal/36-4/365-378.pdf")</f>
        <v>http://jsmh.umin.jp/journal/36-4/365-378.pdf</v>
      </c>
      <c r="H2864" s="42" t="str">
        <f t="shared" ref="H2864:H2888" si="213">HYPERLINK("http://dl.ndl.go.jp/info:ndljp/pid/3359329")</f>
        <v>http://dl.ndl.go.jp/info:ndljp/pid/3359329</v>
      </c>
    </row>
    <row r="2865" spans="1:8" ht="30" customHeight="1" x14ac:dyDescent="0.15">
      <c r="A2865" s="16" t="s">
        <v>3387</v>
      </c>
      <c r="B2865" s="17" t="s">
        <v>5142</v>
      </c>
      <c r="C2865" s="17" t="s">
        <v>5143</v>
      </c>
      <c r="D2865" s="25" t="s">
        <v>4954</v>
      </c>
      <c r="E2865" s="19" t="s">
        <v>5140</v>
      </c>
      <c r="F2865" s="19" t="s">
        <v>5144</v>
      </c>
      <c r="G2865" s="5" t="str">
        <f>HYPERLINK("http://jsmh.umin.jp/journal/36-4/379-400.pdf")</f>
        <v>http://jsmh.umin.jp/journal/36-4/379-400.pdf</v>
      </c>
      <c r="H2865" s="43" t="str">
        <f t="shared" si="213"/>
        <v>http://dl.ndl.go.jp/info:ndljp/pid/3359329</v>
      </c>
    </row>
    <row r="2866" spans="1:8" ht="30" customHeight="1" x14ac:dyDescent="0.15">
      <c r="A2866" s="16" t="s">
        <v>3387</v>
      </c>
      <c r="B2866" s="17" t="s">
        <v>5145</v>
      </c>
      <c r="C2866" s="17" t="s">
        <v>2937</v>
      </c>
      <c r="D2866" s="25" t="s">
        <v>4954</v>
      </c>
      <c r="E2866" s="19" t="s">
        <v>5140</v>
      </c>
      <c r="F2866" s="19" t="s">
        <v>5146</v>
      </c>
      <c r="G2866" s="5" t="str">
        <f>HYPERLINK("http://jsmh.umin.jp/journal/36-4/401-411.pdf")</f>
        <v>http://jsmh.umin.jp/journal/36-4/401-411.pdf</v>
      </c>
      <c r="H2866" s="43" t="str">
        <f t="shared" si="213"/>
        <v>http://dl.ndl.go.jp/info:ndljp/pid/3359329</v>
      </c>
    </row>
    <row r="2867" spans="1:8" ht="30" customHeight="1" x14ac:dyDescent="0.15">
      <c r="A2867" s="16" t="s">
        <v>5147</v>
      </c>
      <c r="B2867" s="17" t="s">
        <v>5148</v>
      </c>
      <c r="C2867" s="17" t="s">
        <v>2465</v>
      </c>
      <c r="D2867" s="25" t="s">
        <v>4954</v>
      </c>
      <c r="E2867" s="19" t="s">
        <v>5140</v>
      </c>
      <c r="F2867" s="19" t="s">
        <v>5149</v>
      </c>
      <c r="G2867" s="5" t="str">
        <f>HYPERLINK("http://jsmh.umin.jp/journal/36-4/413-433.pdf")</f>
        <v>http://jsmh.umin.jp/journal/36-4/413-433.pdf</v>
      </c>
      <c r="H2867" s="43" t="str">
        <f t="shared" si="213"/>
        <v>http://dl.ndl.go.jp/info:ndljp/pid/3359329</v>
      </c>
    </row>
    <row r="2868" spans="1:8" ht="30" customHeight="1" x14ac:dyDescent="0.15">
      <c r="A2868" s="16" t="s">
        <v>4475</v>
      </c>
      <c r="B2868" s="17" t="s">
        <v>1956</v>
      </c>
      <c r="C2868" s="17" t="s">
        <v>1457</v>
      </c>
      <c r="D2868" s="25" t="s">
        <v>4954</v>
      </c>
      <c r="E2868" s="19" t="s">
        <v>5140</v>
      </c>
      <c r="F2868" s="19" t="s">
        <v>5150</v>
      </c>
      <c r="G2868" s="5" t="str">
        <f>HYPERLINK("http://jsmh.umin.jp/journal/36-4/435-442.pdf")</f>
        <v>http://jsmh.umin.jp/journal/36-4/435-442.pdf</v>
      </c>
      <c r="H2868" s="43" t="str">
        <f t="shared" si="213"/>
        <v>http://dl.ndl.go.jp/info:ndljp/pid/3359329</v>
      </c>
    </row>
    <row r="2869" spans="1:8" ht="30" customHeight="1" x14ac:dyDescent="0.15">
      <c r="A2869" s="16" t="s">
        <v>4475</v>
      </c>
      <c r="B2869" s="17" t="s">
        <v>5151</v>
      </c>
      <c r="C2869" s="17" t="s">
        <v>1972</v>
      </c>
      <c r="D2869" s="25" t="s">
        <v>4954</v>
      </c>
      <c r="E2869" s="19" t="s">
        <v>5140</v>
      </c>
      <c r="F2869" s="19" t="s">
        <v>5152</v>
      </c>
      <c r="G2869" s="5" t="str">
        <f>HYPERLINK("http://jsmh.umin.jp/journal/36-4/443-448.pdf")</f>
        <v>http://jsmh.umin.jp/journal/36-4/443-448.pdf</v>
      </c>
      <c r="H2869" s="43" t="str">
        <f t="shared" si="213"/>
        <v>http://dl.ndl.go.jp/info:ndljp/pid/3359329</v>
      </c>
    </row>
    <row r="2870" spans="1:8" ht="30" customHeight="1" x14ac:dyDescent="0.15">
      <c r="A2870" s="16" t="s">
        <v>692</v>
      </c>
      <c r="B2870" s="17" t="s">
        <v>5153</v>
      </c>
      <c r="C2870" s="17" t="s">
        <v>4867</v>
      </c>
      <c r="D2870" s="25" t="s">
        <v>4954</v>
      </c>
      <c r="E2870" s="19" t="s">
        <v>5140</v>
      </c>
      <c r="F2870" s="19" t="s">
        <v>5154</v>
      </c>
      <c r="G2870" s="5" t="str">
        <f>HYPERLINK("http://jsmh.umin.jp/journal/36-4/449-457.pdf")</f>
        <v>http://jsmh.umin.jp/journal/36-4/449-457.pdf</v>
      </c>
      <c r="H2870" s="43" t="str">
        <f t="shared" si="213"/>
        <v>http://dl.ndl.go.jp/info:ndljp/pid/3359329</v>
      </c>
    </row>
    <row r="2871" spans="1:8" ht="30" customHeight="1" x14ac:dyDescent="0.15">
      <c r="A2871" s="16" t="s">
        <v>692</v>
      </c>
      <c r="B2871" s="17" t="s">
        <v>5155</v>
      </c>
      <c r="C2871" s="17" t="s">
        <v>10193</v>
      </c>
      <c r="D2871" s="25" t="s">
        <v>4954</v>
      </c>
      <c r="E2871" s="19" t="s">
        <v>5140</v>
      </c>
      <c r="F2871" s="19" t="s">
        <v>5156</v>
      </c>
      <c r="G2871" s="5" t="str">
        <f>HYPERLINK("http://jsmh.umin.jp/journal/36-4/459-494.pdf")</f>
        <v>http://jsmh.umin.jp/journal/36-4/459-494.pdf</v>
      </c>
      <c r="H2871" s="43" t="str">
        <f t="shared" si="213"/>
        <v>http://dl.ndl.go.jp/info:ndljp/pid/3359329</v>
      </c>
    </row>
    <row r="2872" spans="1:8" ht="30" customHeight="1" x14ac:dyDescent="0.15">
      <c r="A2872" s="16" t="s">
        <v>558</v>
      </c>
      <c r="B2872" s="17" t="s">
        <v>5157</v>
      </c>
      <c r="C2872" s="17" t="s">
        <v>2325</v>
      </c>
      <c r="D2872" s="25" t="s">
        <v>4954</v>
      </c>
      <c r="E2872" s="19" t="s">
        <v>5140</v>
      </c>
      <c r="F2872" s="19" t="s">
        <v>5158</v>
      </c>
      <c r="G2872" s="5" t="str">
        <f>HYPERLINK("http://jsmh.umin.jp/journal/36-4/499-500.pdf")</f>
        <v>http://jsmh.umin.jp/journal/36-4/499-500.pdf</v>
      </c>
      <c r="H2872" s="43" t="str">
        <f t="shared" si="213"/>
        <v>http://dl.ndl.go.jp/info:ndljp/pid/3359329</v>
      </c>
    </row>
    <row r="2873" spans="1:8" ht="30" customHeight="1" x14ac:dyDescent="0.15">
      <c r="A2873" s="16" t="s">
        <v>558</v>
      </c>
      <c r="B2873" s="17" t="s">
        <v>704</v>
      </c>
      <c r="C2873" s="17"/>
      <c r="D2873" s="25" t="s">
        <v>4954</v>
      </c>
      <c r="E2873" s="19" t="s">
        <v>5140</v>
      </c>
      <c r="F2873" s="19" t="s">
        <v>2718</v>
      </c>
      <c r="G2873" s="5" t="str">
        <f>HYPERLINK("http://jsmh.umin.jp/journal/36-4/500-501.pdf")</f>
        <v>http://jsmh.umin.jp/journal/36-4/500-501.pdf</v>
      </c>
      <c r="H2873" s="43" t="str">
        <f t="shared" si="213"/>
        <v>http://dl.ndl.go.jp/info:ndljp/pid/3359329</v>
      </c>
    </row>
    <row r="2874" spans="1:8" ht="30" customHeight="1" x14ac:dyDescent="0.15">
      <c r="A2874" s="16" t="s">
        <v>2990</v>
      </c>
      <c r="B2874" s="17" t="s">
        <v>5159</v>
      </c>
      <c r="C2874" s="17" t="s">
        <v>3120</v>
      </c>
      <c r="D2874" s="25" t="s">
        <v>4954</v>
      </c>
      <c r="E2874" s="19" t="s">
        <v>5140</v>
      </c>
      <c r="F2874" s="19" t="s">
        <v>5160</v>
      </c>
      <c r="G2874" s="5" t="str">
        <f>HYPERLINK("http://jsmh.umin.jp/journal/36-4/501-502.pdf")</f>
        <v>http://jsmh.umin.jp/journal/36-4/501-502.pdf</v>
      </c>
      <c r="H2874" s="43" t="str">
        <f t="shared" si="213"/>
        <v>http://dl.ndl.go.jp/info:ndljp/pid/3359329</v>
      </c>
    </row>
    <row r="2875" spans="1:8" ht="30" customHeight="1" x14ac:dyDescent="0.15">
      <c r="A2875" s="16" t="s">
        <v>3720</v>
      </c>
      <c r="B2875" s="17" t="s">
        <v>5161</v>
      </c>
      <c r="C2875" s="17" t="s">
        <v>3839</v>
      </c>
      <c r="D2875" s="25" t="s">
        <v>4954</v>
      </c>
      <c r="E2875" s="19" t="s">
        <v>5140</v>
      </c>
      <c r="F2875" s="19" t="s">
        <v>2720</v>
      </c>
      <c r="G2875" s="5" t="str">
        <f>HYPERLINK("http://jsmh.umin.jp/journal/36-4/501.pdf")</f>
        <v>http://jsmh.umin.jp/journal/36-4/501.pdf</v>
      </c>
      <c r="H2875" s="43" t="str">
        <f t="shared" si="213"/>
        <v>http://dl.ndl.go.jp/info:ndljp/pid/3359329</v>
      </c>
    </row>
    <row r="2876" spans="1:8" ht="30" customHeight="1" x14ac:dyDescent="0.15">
      <c r="A2876" s="16" t="s">
        <v>2990</v>
      </c>
      <c r="B2876" s="17" t="s">
        <v>5162</v>
      </c>
      <c r="C2876" s="17" t="s">
        <v>48</v>
      </c>
      <c r="D2876" s="25" t="s">
        <v>4954</v>
      </c>
      <c r="E2876" s="19" t="s">
        <v>5140</v>
      </c>
      <c r="F2876" s="19" t="s">
        <v>10579</v>
      </c>
      <c r="G2876" s="26" t="str">
        <f t="shared" ref="G2876:G2888" si="214">HYPERLINK("http://jsmh.umin.jp/journal/36-4/501-517.pdf")</f>
        <v>http://jsmh.umin.jp/journal/36-4/501-517.pdf</v>
      </c>
      <c r="H2876" s="45" t="str">
        <f t="shared" si="213"/>
        <v>http://dl.ndl.go.jp/info:ndljp/pid/3359329</v>
      </c>
    </row>
    <row r="2877" spans="1:8" ht="30" customHeight="1" x14ac:dyDescent="0.15">
      <c r="A2877" s="16" t="s">
        <v>2990</v>
      </c>
      <c r="B2877" s="17" t="s">
        <v>5164</v>
      </c>
      <c r="C2877" s="17" t="s">
        <v>5165</v>
      </c>
      <c r="D2877" s="25" t="s">
        <v>4954</v>
      </c>
      <c r="E2877" s="19" t="s">
        <v>5140</v>
      </c>
      <c r="F2877" s="19" t="s">
        <v>5166</v>
      </c>
      <c r="G2877" s="26" t="str">
        <f t="shared" si="214"/>
        <v>http://jsmh.umin.jp/journal/36-4/501-517.pdf</v>
      </c>
      <c r="H2877" s="45" t="str">
        <f t="shared" si="213"/>
        <v>http://dl.ndl.go.jp/info:ndljp/pid/3359329</v>
      </c>
    </row>
    <row r="2878" spans="1:8" ht="30" customHeight="1" x14ac:dyDescent="0.15">
      <c r="A2878" s="16" t="s">
        <v>2990</v>
      </c>
      <c r="B2878" s="17" t="s">
        <v>5167</v>
      </c>
      <c r="C2878" s="17" t="s">
        <v>4125</v>
      </c>
      <c r="D2878" s="25" t="s">
        <v>4954</v>
      </c>
      <c r="E2878" s="19" t="s">
        <v>5140</v>
      </c>
      <c r="F2878" s="19" t="s">
        <v>5168</v>
      </c>
      <c r="G2878" s="26" t="str">
        <f t="shared" si="214"/>
        <v>http://jsmh.umin.jp/journal/36-4/501-517.pdf</v>
      </c>
      <c r="H2878" s="45" t="str">
        <f t="shared" si="213"/>
        <v>http://dl.ndl.go.jp/info:ndljp/pid/3359329</v>
      </c>
    </row>
    <row r="2879" spans="1:8" ht="30" customHeight="1" x14ac:dyDescent="0.15">
      <c r="A2879" s="16" t="s">
        <v>2990</v>
      </c>
      <c r="B2879" s="17" t="s">
        <v>5169</v>
      </c>
      <c r="C2879" s="17" t="s">
        <v>273</v>
      </c>
      <c r="D2879" s="25" t="s">
        <v>4954</v>
      </c>
      <c r="E2879" s="19" t="s">
        <v>5140</v>
      </c>
      <c r="F2879" s="19" t="s">
        <v>5170</v>
      </c>
      <c r="G2879" s="26" t="str">
        <f t="shared" si="214"/>
        <v>http://jsmh.umin.jp/journal/36-4/501-517.pdf</v>
      </c>
      <c r="H2879" s="45" t="str">
        <f t="shared" si="213"/>
        <v>http://dl.ndl.go.jp/info:ndljp/pid/3359329</v>
      </c>
    </row>
    <row r="2880" spans="1:8" ht="30" customHeight="1" x14ac:dyDescent="0.15">
      <c r="A2880" s="16" t="s">
        <v>2990</v>
      </c>
      <c r="B2880" s="17" t="s">
        <v>5171</v>
      </c>
      <c r="C2880" s="17" t="s">
        <v>1659</v>
      </c>
      <c r="D2880" s="25" t="s">
        <v>4954</v>
      </c>
      <c r="E2880" s="19" t="s">
        <v>5140</v>
      </c>
      <c r="F2880" s="19" t="s">
        <v>5172</v>
      </c>
      <c r="G2880" s="26" t="str">
        <f t="shared" si="214"/>
        <v>http://jsmh.umin.jp/journal/36-4/501-517.pdf</v>
      </c>
      <c r="H2880" s="45" t="str">
        <f t="shared" si="213"/>
        <v>http://dl.ndl.go.jp/info:ndljp/pid/3359329</v>
      </c>
    </row>
    <row r="2881" spans="1:8" ht="30" customHeight="1" x14ac:dyDescent="0.15">
      <c r="A2881" s="16" t="s">
        <v>2990</v>
      </c>
      <c r="B2881" s="17" t="s">
        <v>10194</v>
      </c>
      <c r="C2881" s="17" t="s">
        <v>1097</v>
      </c>
      <c r="D2881" s="25" t="s">
        <v>4954</v>
      </c>
      <c r="E2881" s="19" t="s">
        <v>5140</v>
      </c>
      <c r="F2881" s="19" t="s">
        <v>5173</v>
      </c>
      <c r="G2881" s="26" t="str">
        <f t="shared" si="214"/>
        <v>http://jsmh.umin.jp/journal/36-4/501-517.pdf</v>
      </c>
      <c r="H2881" s="45" t="str">
        <f t="shared" si="213"/>
        <v>http://dl.ndl.go.jp/info:ndljp/pid/3359329</v>
      </c>
    </row>
    <row r="2882" spans="1:8" ht="30" customHeight="1" x14ac:dyDescent="0.15">
      <c r="A2882" s="16" t="s">
        <v>2990</v>
      </c>
      <c r="B2882" s="17" t="s">
        <v>5174</v>
      </c>
      <c r="C2882" s="17" t="s">
        <v>4385</v>
      </c>
      <c r="D2882" s="25" t="s">
        <v>4954</v>
      </c>
      <c r="E2882" s="19" t="s">
        <v>5140</v>
      </c>
      <c r="F2882" s="19" t="s">
        <v>5175</v>
      </c>
      <c r="G2882" s="26" t="str">
        <f t="shared" si="214"/>
        <v>http://jsmh.umin.jp/journal/36-4/501-517.pdf</v>
      </c>
      <c r="H2882" s="45" t="str">
        <f t="shared" si="213"/>
        <v>http://dl.ndl.go.jp/info:ndljp/pid/3359329</v>
      </c>
    </row>
    <row r="2883" spans="1:8" ht="30" customHeight="1" x14ac:dyDescent="0.15">
      <c r="A2883" s="16" t="s">
        <v>2990</v>
      </c>
      <c r="B2883" s="17" t="s">
        <v>5176</v>
      </c>
      <c r="C2883" s="17" t="s">
        <v>5177</v>
      </c>
      <c r="D2883" s="25" t="s">
        <v>4954</v>
      </c>
      <c r="E2883" s="19" t="s">
        <v>5140</v>
      </c>
      <c r="F2883" s="19" t="s">
        <v>5178</v>
      </c>
      <c r="G2883" s="26" t="str">
        <f t="shared" si="214"/>
        <v>http://jsmh.umin.jp/journal/36-4/501-517.pdf</v>
      </c>
      <c r="H2883" s="45" t="str">
        <f t="shared" si="213"/>
        <v>http://dl.ndl.go.jp/info:ndljp/pid/3359329</v>
      </c>
    </row>
    <row r="2884" spans="1:8" ht="30" customHeight="1" x14ac:dyDescent="0.15">
      <c r="A2884" s="16" t="s">
        <v>2990</v>
      </c>
      <c r="B2884" s="17" t="s">
        <v>5179</v>
      </c>
      <c r="C2884" s="17" t="s">
        <v>5180</v>
      </c>
      <c r="D2884" s="25" t="s">
        <v>4954</v>
      </c>
      <c r="E2884" s="19" t="s">
        <v>5140</v>
      </c>
      <c r="F2884" s="19" t="s">
        <v>3749</v>
      </c>
      <c r="G2884" s="26" t="str">
        <f t="shared" si="214"/>
        <v>http://jsmh.umin.jp/journal/36-4/501-517.pdf</v>
      </c>
      <c r="H2884" s="45" t="str">
        <f t="shared" si="213"/>
        <v>http://dl.ndl.go.jp/info:ndljp/pid/3359329</v>
      </c>
    </row>
    <row r="2885" spans="1:8" ht="30" customHeight="1" x14ac:dyDescent="0.15">
      <c r="A2885" s="16" t="s">
        <v>2990</v>
      </c>
      <c r="B2885" s="17" t="s">
        <v>5181</v>
      </c>
      <c r="C2885" s="17" t="s">
        <v>3781</v>
      </c>
      <c r="D2885" s="25" t="s">
        <v>4954</v>
      </c>
      <c r="E2885" s="19" t="s">
        <v>5140</v>
      </c>
      <c r="F2885" s="19" t="s">
        <v>5182</v>
      </c>
      <c r="G2885" s="26" t="str">
        <f t="shared" si="214"/>
        <v>http://jsmh.umin.jp/journal/36-4/501-517.pdf</v>
      </c>
      <c r="H2885" s="45" t="str">
        <f t="shared" si="213"/>
        <v>http://dl.ndl.go.jp/info:ndljp/pid/3359329</v>
      </c>
    </row>
    <row r="2886" spans="1:8" ht="30" customHeight="1" x14ac:dyDescent="0.15">
      <c r="A2886" s="16" t="s">
        <v>2990</v>
      </c>
      <c r="B2886" s="17" t="s">
        <v>10195</v>
      </c>
      <c r="C2886" s="17" t="s">
        <v>4035</v>
      </c>
      <c r="D2886" s="25" t="s">
        <v>4954</v>
      </c>
      <c r="E2886" s="19" t="s">
        <v>5140</v>
      </c>
      <c r="F2886" s="19" t="s">
        <v>3754</v>
      </c>
      <c r="G2886" s="26" t="str">
        <f t="shared" si="214"/>
        <v>http://jsmh.umin.jp/journal/36-4/501-517.pdf</v>
      </c>
      <c r="H2886" s="45" t="str">
        <f t="shared" si="213"/>
        <v>http://dl.ndl.go.jp/info:ndljp/pid/3359329</v>
      </c>
    </row>
    <row r="2887" spans="1:8" ht="30" customHeight="1" x14ac:dyDescent="0.15">
      <c r="A2887" s="16" t="s">
        <v>2990</v>
      </c>
      <c r="B2887" s="17" t="s">
        <v>5183</v>
      </c>
      <c r="C2887" s="17" t="s">
        <v>1659</v>
      </c>
      <c r="D2887" s="25" t="s">
        <v>4954</v>
      </c>
      <c r="E2887" s="19" t="s">
        <v>5140</v>
      </c>
      <c r="F2887" s="19" t="s">
        <v>5184</v>
      </c>
      <c r="G2887" s="26" t="str">
        <f t="shared" si="214"/>
        <v>http://jsmh.umin.jp/journal/36-4/501-517.pdf</v>
      </c>
      <c r="H2887" s="45" t="str">
        <f t="shared" si="213"/>
        <v>http://dl.ndl.go.jp/info:ndljp/pid/3359329</v>
      </c>
    </row>
    <row r="2888" spans="1:8" ht="30" customHeight="1" x14ac:dyDescent="0.15">
      <c r="A2888" s="16" t="s">
        <v>2990</v>
      </c>
      <c r="B2888" s="17" t="s">
        <v>5185</v>
      </c>
      <c r="C2888" s="17" t="s">
        <v>916</v>
      </c>
      <c r="D2888" s="25" t="s">
        <v>4954</v>
      </c>
      <c r="E2888" s="19" t="s">
        <v>5140</v>
      </c>
      <c r="F2888" s="19" t="s">
        <v>5186</v>
      </c>
      <c r="G2888" s="26" t="str">
        <f t="shared" si="214"/>
        <v>http://jsmh.umin.jp/journal/36-4/501-517.pdf</v>
      </c>
      <c r="H2888" s="45" t="str">
        <f t="shared" si="213"/>
        <v>http://dl.ndl.go.jp/info:ndljp/pid/3359329</v>
      </c>
    </row>
    <row r="2889" spans="1:8" ht="30" customHeight="1" x14ac:dyDescent="0.15">
      <c r="A2889" s="16" t="s">
        <v>558</v>
      </c>
      <c r="B2889" s="17" t="s">
        <v>5187</v>
      </c>
      <c r="C2889" s="17" t="s">
        <v>2465</v>
      </c>
      <c r="D2889" s="18" t="s">
        <v>5188</v>
      </c>
      <c r="E2889" s="19" t="s">
        <v>5189</v>
      </c>
      <c r="F2889" s="19" t="s">
        <v>12</v>
      </c>
      <c r="G2889" s="5" t="str">
        <f>HYPERLINK("http://jsmh.umin.jp/journal/37-1/1.pdf")</f>
        <v>http://jsmh.umin.jp/journal/37-1/1.pdf</v>
      </c>
      <c r="H2889" s="42" t="str">
        <f t="shared" ref="H2889:H2917" si="215">HYPERLINK("http://dl.ndl.go.jp/info:ndljp/pid/3359330")</f>
        <v>http://dl.ndl.go.jp/info:ndljp/pid/3359330</v>
      </c>
    </row>
    <row r="2890" spans="1:8" ht="30" customHeight="1" x14ac:dyDescent="0.15">
      <c r="A2890" s="16" t="s">
        <v>3223</v>
      </c>
      <c r="B2890" s="17" t="s">
        <v>5190</v>
      </c>
      <c r="C2890" s="17" t="s">
        <v>198</v>
      </c>
      <c r="D2890" s="25" t="s">
        <v>5188</v>
      </c>
      <c r="E2890" s="19" t="s">
        <v>5189</v>
      </c>
      <c r="F2890" s="19" t="s">
        <v>14</v>
      </c>
      <c r="G2890" s="5" t="str">
        <f>HYPERLINK("http://jsmh.umin.jp/journal/37-1/2.pdf")</f>
        <v>http://jsmh.umin.jp/journal/37-1/2.pdf</v>
      </c>
      <c r="H2890" s="43" t="str">
        <f t="shared" si="215"/>
        <v>http://dl.ndl.go.jp/info:ndljp/pid/3359330</v>
      </c>
    </row>
    <row r="2891" spans="1:8" ht="30" customHeight="1" x14ac:dyDescent="0.15">
      <c r="A2891" s="16" t="s">
        <v>1</v>
      </c>
      <c r="B2891" s="17" t="s">
        <v>5191</v>
      </c>
      <c r="C2891" s="17" t="s">
        <v>1972</v>
      </c>
      <c r="D2891" s="25" t="s">
        <v>5188</v>
      </c>
      <c r="E2891" s="19" t="s">
        <v>5189</v>
      </c>
      <c r="F2891" s="19" t="s">
        <v>5192</v>
      </c>
      <c r="G2891" s="5" t="str">
        <f>HYPERLINK("http://jsmh.umin.jp/journal/37-1/3-15.pdf")</f>
        <v>http://jsmh.umin.jp/journal/37-1/3-15.pdf</v>
      </c>
      <c r="H2891" s="43" t="str">
        <f t="shared" si="215"/>
        <v>http://dl.ndl.go.jp/info:ndljp/pid/3359330</v>
      </c>
    </row>
    <row r="2892" spans="1:8" ht="30" customHeight="1" x14ac:dyDescent="0.15">
      <c r="A2892" s="16" t="s">
        <v>5193</v>
      </c>
      <c r="B2892" s="17" t="s">
        <v>5194</v>
      </c>
      <c r="C2892" s="17" t="s">
        <v>2937</v>
      </c>
      <c r="D2892" s="25" t="s">
        <v>5188</v>
      </c>
      <c r="E2892" s="19" t="s">
        <v>5189</v>
      </c>
      <c r="F2892" s="19" t="s">
        <v>3030</v>
      </c>
      <c r="G2892" s="5" t="str">
        <f>HYPERLINK("http://jsmh.umin.jp/journal/37-1/17-32.pdf")</f>
        <v>http://jsmh.umin.jp/journal/37-1/17-32.pdf</v>
      </c>
      <c r="H2892" s="43" t="str">
        <f t="shared" si="215"/>
        <v>http://dl.ndl.go.jp/info:ndljp/pid/3359330</v>
      </c>
    </row>
    <row r="2893" spans="1:8" ht="30" customHeight="1" x14ac:dyDescent="0.15">
      <c r="A2893" s="16" t="s">
        <v>1</v>
      </c>
      <c r="B2893" s="17" t="s">
        <v>5195</v>
      </c>
      <c r="C2893" s="17" t="s">
        <v>479</v>
      </c>
      <c r="D2893" s="25" t="s">
        <v>5188</v>
      </c>
      <c r="E2893" s="19" t="s">
        <v>5189</v>
      </c>
      <c r="F2893" s="19" t="s">
        <v>5196</v>
      </c>
      <c r="G2893" s="5" t="str">
        <f>HYPERLINK("http://jsmh.umin.jp/journal/37-1/33-46.pdf")</f>
        <v>http://jsmh.umin.jp/journal/37-1/33-46.pdf</v>
      </c>
      <c r="H2893" s="43" t="str">
        <f t="shared" si="215"/>
        <v>http://dl.ndl.go.jp/info:ndljp/pid/3359330</v>
      </c>
    </row>
    <row r="2894" spans="1:8" ht="30" customHeight="1" x14ac:dyDescent="0.15">
      <c r="A2894" s="16" t="s">
        <v>1</v>
      </c>
      <c r="B2894" s="17" t="s">
        <v>5197</v>
      </c>
      <c r="C2894" s="17" t="s">
        <v>1602</v>
      </c>
      <c r="D2894" s="25" t="s">
        <v>5188</v>
      </c>
      <c r="E2894" s="19" t="s">
        <v>5189</v>
      </c>
      <c r="F2894" s="19" t="s">
        <v>5198</v>
      </c>
      <c r="G2894" s="5" t="str">
        <f>HYPERLINK("http://jsmh.umin.jp/journal/37-1/47-56.pdf")</f>
        <v>http://jsmh.umin.jp/journal/37-1/47-56.pdf</v>
      </c>
      <c r="H2894" s="43" t="str">
        <f t="shared" si="215"/>
        <v>http://dl.ndl.go.jp/info:ndljp/pid/3359330</v>
      </c>
    </row>
    <row r="2895" spans="1:8" ht="30" customHeight="1" x14ac:dyDescent="0.15">
      <c r="A2895" s="16" t="s">
        <v>5193</v>
      </c>
      <c r="B2895" s="17" t="s">
        <v>5199</v>
      </c>
      <c r="C2895" s="17" t="s">
        <v>273</v>
      </c>
      <c r="D2895" s="25" t="s">
        <v>5188</v>
      </c>
      <c r="E2895" s="19" t="s">
        <v>5189</v>
      </c>
      <c r="F2895" s="19" t="s">
        <v>1182</v>
      </c>
      <c r="G2895" s="5" t="str">
        <f>HYPERLINK("http://jsmh.umin.jp/journal/37-1/57-58.pdf")</f>
        <v>http://jsmh.umin.jp/journal/37-1/57-58.pdf</v>
      </c>
      <c r="H2895" s="43" t="str">
        <f t="shared" si="215"/>
        <v>http://dl.ndl.go.jp/info:ndljp/pid/3359330</v>
      </c>
    </row>
    <row r="2896" spans="1:8" ht="30" customHeight="1" x14ac:dyDescent="0.15">
      <c r="A2896" s="16" t="s">
        <v>3223</v>
      </c>
      <c r="B2896" s="17" t="s">
        <v>5200</v>
      </c>
      <c r="C2896" s="17" t="s">
        <v>188</v>
      </c>
      <c r="D2896" s="25" t="s">
        <v>5188</v>
      </c>
      <c r="E2896" s="19" t="s">
        <v>5189</v>
      </c>
      <c r="F2896" s="19" t="s">
        <v>422</v>
      </c>
      <c r="G2896" s="5" t="str">
        <f>HYPERLINK("http://jsmh.umin.jp/journal/37-1/59.pdf")</f>
        <v>http://jsmh.umin.jp/journal/37-1/59.pdf</v>
      </c>
      <c r="H2896" s="43" t="str">
        <f t="shared" si="215"/>
        <v>http://dl.ndl.go.jp/info:ndljp/pid/3359330</v>
      </c>
    </row>
    <row r="2897" spans="1:8" ht="30" customHeight="1" x14ac:dyDescent="0.15">
      <c r="A2897" s="16" t="s">
        <v>3223</v>
      </c>
      <c r="B2897" s="17" t="s">
        <v>5201</v>
      </c>
      <c r="C2897" s="17" t="s">
        <v>69</v>
      </c>
      <c r="D2897" s="25" t="s">
        <v>5188</v>
      </c>
      <c r="E2897" s="19" t="s">
        <v>5189</v>
      </c>
      <c r="F2897" s="19" t="s">
        <v>913</v>
      </c>
      <c r="G2897" s="5" t="str">
        <f>HYPERLINK("http://jsmh.umin.jp/journal/37-1/60-61.pdf")</f>
        <v>http://jsmh.umin.jp/journal/37-1/60-61.pdf</v>
      </c>
      <c r="H2897" s="43" t="str">
        <f t="shared" si="215"/>
        <v>http://dl.ndl.go.jp/info:ndljp/pid/3359330</v>
      </c>
    </row>
    <row r="2898" spans="1:8" ht="30" customHeight="1" x14ac:dyDescent="0.15">
      <c r="A2898" s="16" t="s">
        <v>3223</v>
      </c>
      <c r="B2898" s="17" t="s">
        <v>5202</v>
      </c>
      <c r="C2898" s="17" t="s">
        <v>76</v>
      </c>
      <c r="D2898" s="25" t="s">
        <v>5188</v>
      </c>
      <c r="E2898" s="19" t="s">
        <v>5189</v>
      </c>
      <c r="F2898" s="19" t="s">
        <v>1192</v>
      </c>
      <c r="G2898" s="5" t="str">
        <f>HYPERLINK("http://jsmh.umin.jp/journal/37-1/62-63.pdf")</f>
        <v>http://jsmh.umin.jp/journal/37-1/62-63.pdf</v>
      </c>
      <c r="H2898" s="43" t="str">
        <f t="shared" si="215"/>
        <v>http://dl.ndl.go.jp/info:ndljp/pid/3359330</v>
      </c>
    </row>
    <row r="2899" spans="1:8" ht="30" customHeight="1" x14ac:dyDescent="0.15">
      <c r="A2899" s="16" t="s">
        <v>3223</v>
      </c>
      <c r="B2899" s="17" t="s">
        <v>5203</v>
      </c>
      <c r="C2899" s="17" t="s">
        <v>1699</v>
      </c>
      <c r="D2899" s="25" t="s">
        <v>5188</v>
      </c>
      <c r="E2899" s="19" t="s">
        <v>5189</v>
      </c>
      <c r="F2899" s="19" t="s">
        <v>567</v>
      </c>
      <c r="G2899" s="5" t="str">
        <f>HYPERLINK("http://jsmh.umin.jp/journal/37-1/64.pdf")</f>
        <v>http://jsmh.umin.jp/journal/37-1/64.pdf</v>
      </c>
      <c r="H2899" s="43" t="str">
        <f t="shared" si="215"/>
        <v>http://dl.ndl.go.jp/info:ndljp/pid/3359330</v>
      </c>
    </row>
    <row r="2900" spans="1:8" ht="30" customHeight="1" x14ac:dyDescent="0.15">
      <c r="A2900" s="16" t="s">
        <v>5204</v>
      </c>
      <c r="B2900" s="17" t="s">
        <v>5205</v>
      </c>
      <c r="C2900" s="17" t="s">
        <v>1070</v>
      </c>
      <c r="D2900" s="25" t="s">
        <v>5188</v>
      </c>
      <c r="E2900" s="19" t="s">
        <v>5189</v>
      </c>
      <c r="F2900" s="19" t="s">
        <v>557</v>
      </c>
      <c r="G2900" s="5" t="str">
        <f>HYPERLINK("http://jsmh.umin.jp/journal/37-1/65-66.pdf")</f>
        <v>http://jsmh.umin.jp/journal/37-1/65-66.pdf</v>
      </c>
      <c r="H2900" s="43" t="str">
        <f t="shared" si="215"/>
        <v>http://dl.ndl.go.jp/info:ndljp/pid/3359330</v>
      </c>
    </row>
    <row r="2901" spans="1:8" ht="30" customHeight="1" x14ac:dyDescent="0.15">
      <c r="A2901" s="16" t="s">
        <v>5206</v>
      </c>
      <c r="B2901" s="17" t="s">
        <v>5207</v>
      </c>
      <c r="C2901" s="17" t="s">
        <v>1070</v>
      </c>
      <c r="D2901" s="25" t="s">
        <v>5188</v>
      </c>
      <c r="E2901" s="19" t="s">
        <v>5189</v>
      </c>
      <c r="F2901" s="19" t="s">
        <v>576</v>
      </c>
      <c r="G2901" s="5" t="str">
        <f>HYPERLINK("http://jsmh.umin.jp/journal/37-1/67.pdf")</f>
        <v>http://jsmh.umin.jp/journal/37-1/67.pdf</v>
      </c>
      <c r="H2901" s="43" t="str">
        <f t="shared" si="215"/>
        <v>http://dl.ndl.go.jp/info:ndljp/pid/3359330</v>
      </c>
    </row>
    <row r="2902" spans="1:8" ht="30" customHeight="1" x14ac:dyDescent="0.15">
      <c r="A2902" s="16" t="s">
        <v>5208</v>
      </c>
      <c r="B2902" s="17" t="s">
        <v>5209</v>
      </c>
      <c r="C2902" s="17" t="s">
        <v>5210</v>
      </c>
      <c r="D2902" s="25" t="s">
        <v>5188</v>
      </c>
      <c r="E2902" s="19" t="s">
        <v>5189</v>
      </c>
      <c r="F2902" s="19" t="s">
        <v>5211</v>
      </c>
      <c r="G2902" s="5" t="str">
        <f>HYPERLINK("http://jsmh.umin.jp/journal/37-1/68-73.pdf")</f>
        <v>http://jsmh.umin.jp/journal/37-1/68-73.pdf</v>
      </c>
      <c r="H2902" s="43" t="str">
        <f t="shared" si="215"/>
        <v>http://dl.ndl.go.jp/info:ndljp/pid/3359330</v>
      </c>
    </row>
    <row r="2903" spans="1:8" ht="30" customHeight="1" x14ac:dyDescent="0.15">
      <c r="A2903" s="16" t="s">
        <v>5212</v>
      </c>
      <c r="B2903" s="17" t="s">
        <v>5213</v>
      </c>
      <c r="C2903" s="17" t="s">
        <v>5214</v>
      </c>
      <c r="D2903" s="25" t="s">
        <v>5188</v>
      </c>
      <c r="E2903" s="19" t="s">
        <v>5189</v>
      </c>
      <c r="F2903" s="19" t="s">
        <v>5215</v>
      </c>
      <c r="G2903" s="5" t="str">
        <f>HYPERLINK("http://jsmh.umin.jp/journal/37-1/74-78.pdf")</f>
        <v>http://jsmh.umin.jp/journal/37-1/74-78.pdf</v>
      </c>
      <c r="H2903" s="43" t="str">
        <f t="shared" si="215"/>
        <v>http://dl.ndl.go.jp/info:ndljp/pid/3359330</v>
      </c>
    </row>
    <row r="2904" spans="1:8" ht="30" customHeight="1" x14ac:dyDescent="0.15">
      <c r="A2904" s="16" t="s">
        <v>27</v>
      </c>
      <c r="B2904" s="17" t="s">
        <v>5216</v>
      </c>
      <c r="C2904" s="17" t="s">
        <v>507</v>
      </c>
      <c r="D2904" s="25" t="s">
        <v>5188</v>
      </c>
      <c r="E2904" s="19" t="s">
        <v>5189</v>
      </c>
      <c r="F2904" s="19" t="s">
        <v>5217</v>
      </c>
      <c r="G2904" s="5" t="str">
        <f>HYPERLINK("http://jsmh.umin.jp/journal/37-1/79-84.pdf")</f>
        <v>http://jsmh.umin.jp/journal/37-1/79-84.pdf</v>
      </c>
      <c r="H2904" s="43" t="str">
        <f t="shared" si="215"/>
        <v>http://dl.ndl.go.jp/info:ndljp/pid/3359330</v>
      </c>
    </row>
    <row r="2905" spans="1:8" ht="30" customHeight="1" x14ac:dyDescent="0.15">
      <c r="A2905" s="16" t="s">
        <v>3223</v>
      </c>
      <c r="B2905" s="17" t="s">
        <v>5218</v>
      </c>
      <c r="C2905" s="17" t="s">
        <v>444</v>
      </c>
      <c r="D2905" s="25" t="s">
        <v>5188</v>
      </c>
      <c r="E2905" s="19" t="s">
        <v>5189</v>
      </c>
      <c r="F2905" s="19" t="s">
        <v>5219</v>
      </c>
      <c r="G2905" s="5" t="str">
        <f>HYPERLINK("http://jsmh.umin.jp/journal/37-1/85-88.pdf")</f>
        <v>http://jsmh.umin.jp/journal/37-1/85-88.pdf</v>
      </c>
      <c r="H2905" s="43" t="str">
        <f t="shared" si="215"/>
        <v>http://dl.ndl.go.jp/info:ndljp/pid/3359330</v>
      </c>
    </row>
    <row r="2906" spans="1:8" ht="30" customHeight="1" x14ac:dyDescent="0.15">
      <c r="A2906" s="16" t="s">
        <v>558</v>
      </c>
      <c r="B2906" s="17" t="s">
        <v>5220</v>
      </c>
      <c r="C2906" s="17" t="s">
        <v>5221</v>
      </c>
      <c r="D2906" s="25" t="s">
        <v>5188</v>
      </c>
      <c r="E2906" s="19" t="s">
        <v>5189</v>
      </c>
      <c r="F2906" s="19" t="s">
        <v>474</v>
      </c>
      <c r="G2906" s="5" t="str">
        <f>HYPERLINK("http://jsmh.umin.jp/journal/37-1/91-92.pdf")</f>
        <v>http://jsmh.umin.jp/journal/37-1/91-92.pdf</v>
      </c>
      <c r="H2906" s="43" t="str">
        <f t="shared" si="215"/>
        <v>http://dl.ndl.go.jp/info:ndljp/pid/3359330</v>
      </c>
    </row>
    <row r="2907" spans="1:8" ht="30" customHeight="1" x14ac:dyDescent="0.15">
      <c r="A2907" s="16" t="s">
        <v>558</v>
      </c>
      <c r="B2907" s="17" t="s">
        <v>5222</v>
      </c>
      <c r="C2907" s="17" t="s">
        <v>1659</v>
      </c>
      <c r="D2907" s="25" t="s">
        <v>5188</v>
      </c>
      <c r="E2907" s="19" t="s">
        <v>5189</v>
      </c>
      <c r="F2907" s="19" t="s">
        <v>2188</v>
      </c>
      <c r="G2907" s="5" t="str">
        <f>HYPERLINK("http://jsmh.umin.jp/journal/37-1/92-93.pdf")</f>
        <v>http://jsmh.umin.jp/journal/37-1/92-93.pdf</v>
      </c>
      <c r="H2907" s="43" t="str">
        <f t="shared" si="215"/>
        <v>http://dl.ndl.go.jp/info:ndljp/pid/3359330</v>
      </c>
    </row>
    <row r="2908" spans="1:8" ht="30" customHeight="1" x14ac:dyDescent="0.15">
      <c r="A2908" s="16" t="s">
        <v>558</v>
      </c>
      <c r="B2908" s="17" t="s">
        <v>5223</v>
      </c>
      <c r="C2908" s="17" t="s">
        <v>5224</v>
      </c>
      <c r="D2908" s="25" t="s">
        <v>5188</v>
      </c>
      <c r="E2908" s="19" t="s">
        <v>5189</v>
      </c>
      <c r="F2908" s="19" t="s">
        <v>5011</v>
      </c>
      <c r="G2908" s="5" t="str">
        <f>HYPERLINK("http://jsmh.umin.jp/journal/37-1/94-95.pdf")</f>
        <v>http://jsmh.umin.jp/journal/37-1/94-95.pdf</v>
      </c>
      <c r="H2908" s="43" t="str">
        <f t="shared" si="215"/>
        <v>http://dl.ndl.go.jp/info:ndljp/pid/3359330</v>
      </c>
    </row>
    <row r="2909" spans="1:8" ht="30" customHeight="1" x14ac:dyDescent="0.15">
      <c r="A2909" s="16" t="s">
        <v>558</v>
      </c>
      <c r="B2909" s="17" t="s">
        <v>5225</v>
      </c>
      <c r="C2909" s="17" t="s">
        <v>4785</v>
      </c>
      <c r="D2909" s="25" t="s">
        <v>5188</v>
      </c>
      <c r="E2909" s="19" t="s">
        <v>5189</v>
      </c>
      <c r="F2909" s="19" t="s">
        <v>2192</v>
      </c>
      <c r="G2909" s="5" t="str">
        <f>HYPERLINK("http://jsmh.umin.jp/journal/37-1/95-97.pdf")</f>
        <v>http://jsmh.umin.jp/journal/37-1/95-97.pdf</v>
      </c>
      <c r="H2909" s="43" t="str">
        <f t="shared" si="215"/>
        <v>http://dl.ndl.go.jp/info:ndljp/pid/3359330</v>
      </c>
    </row>
    <row r="2910" spans="1:8" ht="30" customHeight="1" x14ac:dyDescent="0.15">
      <c r="A2910" s="16" t="s">
        <v>558</v>
      </c>
      <c r="B2910" s="17" t="s">
        <v>5226</v>
      </c>
      <c r="C2910" s="17" t="s">
        <v>4039</v>
      </c>
      <c r="D2910" s="25" t="s">
        <v>5188</v>
      </c>
      <c r="E2910" s="19" t="s">
        <v>5189</v>
      </c>
      <c r="F2910" s="19" t="s">
        <v>3776</v>
      </c>
      <c r="G2910" s="5" t="str">
        <f>HYPERLINK("http://jsmh.umin.jp/journal/37-1/97-98.pdf")</f>
        <v>http://jsmh.umin.jp/journal/37-1/97-98.pdf</v>
      </c>
      <c r="H2910" s="43" t="str">
        <f t="shared" si="215"/>
        <v>http://dl.ndl.go.jp/info:ndljp/pid/3359330</v>
      </c>
    </row>
    <row r="2911" spans="1:8" ht="30" customHeight="1" x14ac:dyDescent="0.15">
      <c r="A2911" s="16" t="s">
        <v>558</v>
      </c>
      <c r="B2911" s="17" t="s">
        <v>5227</v>
      </c>
      <c r="C2911" s="17" t="s">
        <v>2233</v>
      </c>
      <c r="D2911" s="25" t="s">
        <v>5188</v>
      </c>
      <c r="E2911" s="19" t="s">
        <v>5189</v>
      </c>
      <c r="F2911" s="19" t="s">
        <v>4339</v>
      </c>
      <c r="G2911" s="5" t="str">
        <f>HYPERLINK("http://jsmh.umin.jp/journal/37-1/98-100.pdf")</f>
        <v>http://jsmh.umin.jp/journal/37-1/98-100.pdf</v>
      </c>
      <c r="H2911" s="43" t="str">
        <f t="shared" si="215"/>
        <v>http://dl.ndl.go.jp/info:ndljp/pid/3359330</v>
      </c>
    </row>
    <row r="2912" spans="1:8" ht="30" customHeight="1" x14ac:dyDescent="0.15">
      <c r="A2912" s="16" t="s">
        <v>558</v>
      </c>
      <c r="B2912" s="17" t="s">
        <v>5228</v>
      </c>
      <c r="C2912" s="17" t="s">
        <v>1097</v>
      </c>
      <c r="D2912" s="25" t="s">
        <v>5188</v>
      </c>
      <c r="E2912" s="19" t="s">
        <v>5189</v>
      </c>
      <c r="F2912" s="19" t="s">
        <v>2381</v>
      </c>
      <c r="G2912" s="5" t="str">
        <f>HYPERLINK("http://jsmh.umin.jp/journal/37-1/101-103.pdf")</f>
        <v>http://jsmh.umin.jp/journal/37-1/101-103.pdf</v>
      </c>
      <c r="H2912" s="43" t="str">
        <f t="shared" si="215"/>
        <v>http://dl.ndl.go.jp/info:ndljp/pid/3359330</v>
      </c>
    </row>
    <row r="2913" spans="1:8" ht="30" customHeight="1" x14ac:dyDescent="0.15">
      <c r="A2913" s="16" t="s">
        <v>558</v>
      </c>
      <c r="B2913" s="17" t="s">
        <v>5229</v>
      </c>
      <c r="C2913" s="17" t="s">
        <v>841</v>
      </c>
      <c r="D2913" s="25" t="s">
        <v>5188</v>
      </c>
      <c r="E2913" s="19" t="s">
        <v>5189</v>
      </c>
      <c r="F2913" s="19" t="s">
        <v>949</v>
      </c>
      <c r="G2913" s="5" t="str">
        <f>HYPERLINK("http://jsmh.umin.jp/journal/37-1/103-104.pdf")</f>
        <v>http://jsmh.umin.jp/journal/37-1/103-104.pdf</v>
      </c>
      <c r="H2913" s="43" t="str">
        <f t="shared" si="215"/>
        <v>http://dl.ndl.go.jp/info:ndljp/pid/3359330</v>
      </c>
    </row>
    <row r="2914" spans="1:8" ht="30" customHeight="1" x14ac:dyDescent="0.15">
      <c r="A2914" s="16" t="s">
        <v>558</v>
      </c>
      <c r="B2914" s="17" t="s">
        <v>5230</v>
      </c>
      <c r="C2914" s="17" t="s">
        <v>3655</v>
      </c>
      <c r="D2914" s="25" t="s">
        <v>5188</v>
      </c>
      <c r="E2914" s="19" t="s">
        <v>5189</v>
      </c>
      <c r="F2914" s="19" t="s">
        <v>186</v>
      </c>
      <c r="G2914" s="5" t="str">
        <f>HYPERLINK("http://jsmh.umin.jp/journal/37-1/104-105.pdf")</f>
        <v>http://jsmh.umin.jp/journal/37-1/104-105.pdf</v>
      </c>
      <c r="H2914" s="43" t="str">
        <f t="shared" si="215"/>
        <v>http://dl.ndl.go.jp/info:ndljp/pid/3359330</v>
      </c>
    </row>
    <row r="2915" spans="1:8" ht="30" customHeight="1" x14ac:dyDescent="0.15">
      <c r="A2915" s="16" t="s">
        <v>558</v>
      </c>
      <c r="B2915" s="17" t="s">
        <v>5231</v>
      </c>
      <c r="C2915" s="17" t="s">
        <v>479</v>
      </c>
      <c r="D2915" s="25" t="s">
        <v>5188</v>
      </c>
      <c r="E2915" s="19" t="s">
        <v>5189</v>
      </c>
      <c r="F2915" s="19" t="s">
        <v>189</v>
      </c>
      <c r="G2915" s="5" t="str">
        <f>HYPERLINK("http://jsmh.umin.jp/journal/37-1/106-107.pdf")</f>
        <v>http://jsmh.umin.jp/journal/37-1/106-107.pdf</v>
      </c>
      <c r="H2915" s="43" t="str">
        <f t="shared" si="215"/>
        <v>http://dl.ndl.go.jp/info:ndljp/pid/3359330</v>
      </c>
    </row>
    <row r="2916" spans="1:8" ht="30" customHeight="1" x14ac:dyDescent="0.15">
      <c r="A2916" s="16" t="s">
        <v>558</v>
      </c>
      <c r="B2916" s="17" t="s">
        <v>537</v>
      </c>
      <c r="C2916" s="17"/>
      <c r="D2916" s="25" t="s">
        <v>5188</v>
      </c>
      <c r="E2916" s="19" t="s">
        <v>5189</v>
      </c>
      <c r="F2916" s="19" t="s">
        <v>1829</v>
      </c>
      <c r="G2916" s="5" t="str">
        <f>HYPERLINK("http://jsmh.umin.jp/journal/37-1/107.pdf")</f>
        <v>http://jsmh.umin.jp/journal/37-1/107.pdf</v>
      </c>
      <c r="H2916" s="43" t="str">
        <f t="shared" si="215"/>
        <v>http://dl.ndl.go.jp/info:ndljp/pid/3359330</v>
      </c>
    </row>
    <row r="2917" spans="1:8" ht="30" customHeight="1" x14ac:dyDescent="0.15">
      <c r="A2917" s="16" t="s">
        <v>2894</v>
      </c>
      <c r="B2917" s="17" t="s">
        <v>5232</v>
      </c>
      <c r="C2917" s="17"/>
      <c r="D2917" s="25" t="s">
        <v>5188</v>
      </c>
      <c r="E2917" s="19" t="s">
        <v>5189</v>
      </c>
      <c r="F2917" s="19" t="s">
        <v>5233</v>
      </c>
      <c r="G2917" s="5" t="str">
        <f>HYPERLINK("http://jsmh.umin.jp/journal/37-1/108-157.pdf")</f>
        <v>http://jsmh.umin.jp/journal/37-1/108-157.pdf</v>
      </c>
      <c r="H2917" s="43" t="str">
        <f t="shared" si="215"/>
        <v>http://dl.ndl.go.jp/info:ndljp/pid/3359330</v>
      </c>
    </row>
    <row r="2918" spans="1:8" ht="30" customHeight="1" x14ac:dyDescent="0.15">
      <c r="A2918" s="16" t="s">
        <v>1855</v>
      </c>
      <c r="B2918" s="17" t="s">
        <v>5234</v>
      </c>
      <c r="C2918" s="17" t="s">
        <v>2786</v>
      </c>
      <c r="D2918" s="25" t="s">
        <v>5188</v>
      </c>
      <c r="E2918" s="19" t="s">
        <v>5235</v>
      </c>
      <c r="F2918" s="19" t="s">
        <v>5236</v>
      </c>
      <c r="G2918" s="5" t="str">
        <f>HYPERLINK("http://jsmh.umin.jp/journal/37-2/163-166.pdf")</f>
        <v>http://jsmh.umin.jp/journal/37-2/163-166.pdf</v>
      </c>
      <c r="H2918" s="42" t="str">
        <f t="shared" ref="H2918:H2949" si="216">HYPERLINK("http://dl.ndl.go.jp/info:ndljp/pid/3359331")</f>
        <v>http://dl.ndl.go.jp/info:ndljp/pid/3359331</v>
      </c>
    </row>
    <row r="2919" spans="1:8" ht="30" customHeight="1" x14ac:dyDescent="0.15">
      <c r="A2919" s="16" t="s">
        <v>1855</v>
      </c>
      <c r="B2919" s="17" t="s">
        <v>5237</v>
      </c>
      <c r="C2919" s="17" t="s">
        <v>2773</v>
      </c>
      <c r="D2919" s="25" t="s">
        <v>5188</v>
      </c>
      <c r="E2919" s="19" t="s">
        <v>5235</v>
      </c>
      <c r="F2919" s="19" t="s">
        <v>5238</v>
      </c>
      <c r="G2919" s="5" t="str">
        <f>HYPERLINK("http://jsmh.umin.jp/journal/37-2/167-172.pdf")</f>
        <v>http://jsmh.umin.jp/journal/37-2/167-172.pdf</v>
      </c>
      <c r="H2919" s="43" t="str">
        <f t="shared" si="216"/>
        <v>http://dl.ndl.go.jp/info:ndljp/pid/3359331</v>
      </c>
    </row>
    <row r="2920" spans="1:8" ht="30" customHeight="1" x14ac:dyDescent="0.15">
      <c r="A2920" s="16" t="s">
        <v>1855</v>
      </c>
      <c r="B2920" s="17" t="s">
        <v>5239</v>
      </c>
      <c r="C2920" s="17" t="s">
        <v>2233</v>
      </c>
      <c r="D2920" s="25" t="s">
        <v>5188</v>
      </c>
      <c r="E2920" s="19" t="s">
        <v>5235</v>
      </c>
      <c r="F2920" s="19" t="s">
        <v>5240</v>
      </c>
      <c r="G2920" s="5" t="str">
        <f>HYPERLINK("http://jsmh.umin.jp/journal/37-2/173-180.pdf")</f>
        <v>http://jsmh.umin.jp/journal/37-2/173-180.pdf</v>
      </c>
      <c r="H2920" s="43" t="str">
        <f t="shared" si="216"/>
        <v>http://dl.ndl.go.jp/info:ndljp/pid/3359331</v>
      </c>
    </row>
    <row r="2921" spans="1:8" ht="30" customHeight="1" x14ac:dyDescent="0.15">
      <c r="A2921" s="16" t="s">
        <v>1855</v>
      </c>
      <c r="B2921" s="17" t="s">
        <v>5241</v>
      </c>
      <c r="C2921" s="17" t="s">
        <v>3196</v>
      </c>
      <c r="D2921" s="25" t="s">
        <v>5188</v>
      </c>
      <c r="E2921" s="19" t="s">
        <v>5235</v>
      </c>
      <c r="F2921" s="19" t="s">
        <v>2928</v>
      </c>
      <c r="G2921" s="5" t="str">
        <f>HYPERLINK("http://jsmh.umin.jp/journal/37-2/181-182.pdf")</f>
        <v>http://jsmh.umin.jp/journal/37-2/181-182.pdf</v>
      </c>
      <c r="H2921" s="43" t="str">
        <f t="shared" si="216"/>
        <v>http://dl.ndl.go.jp/info:ndljp/pid/3359331</v>
      </c>
    </row>
    <row r="2922" spans="1:8" ht="30" customHeight="1" x14ac:dyDescent="0.15">
      <c r="A2922" s="16" t="s">
        <v>1855</v>
      </c>
      <c r="B2922" s="17" t="s">
        <v>5242</v>
      </c>
      <c r="C2922" s="17" t="s">
        <v>5243</v>
      </c>
      <c r="D2922" s="25" t="s">
        <v>5188</v>
      </c>
      <c r="E2922" s="19" t="s">
        <v>5235</v>
      </c>
      <c r="F2922" s="19" t="s">
        <v>3670</v>
      </c>
      <c r="G2922" s="5" t="str">
        <f>HYPERLINK("http://jsmh.umin.jp/journal/37-2/182-184.pdf")</f>
        <v>http://jsmh.umin.jp/journal/37-2/182-184.pdf</v>
      </c>
      <c r="H2922" s="43" t="str">
        <f t="shared" si="216"/>
        <v>http://dl.ndl.go.jp/info:ndljp/pid/3359331</v>
      </c>
    </row>
    <row r="2923" spans="1:8" ht="30" customHeight="1" x14ac:dyDescent="0.15">
      <c r="A2923" s="16" t="s">
        <v>1855</v>
      </c>
      <c r="B2923" s="17" t="s">
        <v>5244</v>
      </c>
      <c r="C2923" s="17" t="s">
        <v>2881</v>
      </c>
      <c r="D2923" s="25" t="s">
        <v>5188</v>
      </c>
      <c r="E2923" s="19" t="s">
        <v>5235</v>
      </c>
      <c r="F2923" s="19" t="s">
        <v>3428</v>
      </c>
      <c r="G2923" s="5" t="str">
        <f>HYPERLINK("http://jsmh.umin.jp/journal/37-2/185-187.pdf")</f>
        <v>http://jsmh.umin.jp/journal/37-2/185-187.pdf</v>
      </c>
      <c r="H2923" s="43" t="str">
        <f t="shared" si="216"/>
        <v>http://dl.ndl.go.jp/info:ndljp/pid/3359331</v>
      </c>
    </row>
    <row r="2924" spans="1:8" ht="30" customHeight="1" x14ac:dyDescent="0.15">
      <c r="A2924" s="16" t="s">
        <v>1855</v>
      </c>
      <c r="B2924" s="17" t="s">
        <v>5245</v>
      </c>
      <c r="C2924" s="17" t="s">
        <v>3839</v>
      </c>
      <c r="D2924" s="25" t="s">
        <v>5188</v>
      </c>
      <c r="E2924" s="19" t="s">
        <v>5235</v>
      </c>
      <c r="F2924" s="19" t="s">
        <v>1723</v>
      </c>
      <c r="G2924" s="5" t="str">
        <f>HYPERLINK("http://jsmh.umin.jp/journal/37-2/187-189.pdf")</f>
        <v>http://jsmh.umin.jp/journal/37-2/187-189.pdf</v>
      </c>
      <c r="H2924" s="43" t="str">
        <f t="shared" si="216"/>
        <v>http://dl.ndl.go.jp/info:ndljp/pid/3359331</v>
      </c>
    </row>
    <row r="2925" spans="1:8" ht="30" customHeight="1" x14ac:dyDescent="0.15">
      <c r="A2925" s="16" t="s">
        <v>1855</v>
      </c>
      <c r="B2925" s="17" t="s">
        <v>5246</v>
      </c>
      <c r="C2925" s="17" t="s">
        <v>5018</v>
      </c>
      <c r="D2925" s="25" t="s">
        <v>5188</v>
      </c>
      <c r="E2925" s="19" t="s">
        <v>5235</v>
      </c>
      <c r="F2925" s="19" t="s">
        <v>4836</v>
      </c>
      <c r="G2925" s="5" t="str">
        <f>HYPERLINK("http://jsmh.umin.jp/journal/37-2/189-190.pdf")</f>
        <v>http://jsmh.umin.jp/journal/37-2/189-190.pdf</v>
      </c>
      <c r="H2925" s="43" t="str">
        <f t="shared" si="216"/>
        <v>http://dl.ndl.go.jp/info:ndljp/pid/3359331</v>
      </c>
    </row>
    <row r="2926" spans="1:8" ht="30" customHeight="1" x14ac:dyDescent="0.15">
      <c r="A2926" s="16" t="s">
        <v>1855</v>
      </c>
      <c r="B2926" s="17" t="s">
        <v>5247</v>
      </c>
      <c r="C2926" s="17" t="s">
        <v>69</v>
      </c>
      <c r="D2926" s="25" t="s">
        <v>5188</v>
      </c>
      <c r="E2926" s="19" t="s">
        <v>5235</v>
      </c>
      <c r="F2926" s="19" t="s">
        <v>2799</v>
      </c>
      <c r="G2926" s="5" t="str">
        <f>HYPERLINK("http://jsmh.umin.jp/journal/37-2/191-193.pdf")</f>
        <v>http://jsmh.umin.jp/journal/37-2/191-193.pdf</v>
      </c>
      <c r="H2926" s="43" t="str">
        <f t="shared" si="216"/>
        <v>http://dl.ndl.go.jp/info:ndljp/pid/3359331</v>
      </c>
    </row>
    <row r="2927" spans="1:8" ht="30" customHeight="1" x14ac:dyDescent="0.15">
      <c r="A2927" s="16" t="s">
        <v>1855</v>
      </c>
      <c r="B2927" s="17" t="s">
        <v>5248</v>
      </c>
      <c r="C2927" s="17" t="s">
        <v>5177</v>
      </c>
      <c r="D2927" s="25" t="s">
        <v>5188</v>
      </c>
      <c r="E2927" s="19" t="s">
        <v>5235</v>
      </c>
      <c r="F2927" s="19" t="s">
        <v>5249</v>
      </c>
      <c r="G2927" s="5" t="str">
        <f>HYPERLINK("http://jsmh.umin.jp/journal/37-2/193-196.pdf")</f>
        <v>http://jsmh.umin.jp/journal/37-2/193-196.pdf</v>
      </c>
      <c r="H2927" s="43" t="str">
        <f t="shared" si="216"/>
        <v>http://dl.ndl.go.jp/info:ndljp/pid/3359331</v>
      </c>
    </row>
    <row r="2928" spans="1:8" ht="30" customHeight="1" x14ac:dyDescent="0.15">
      <c r="A2928" s="16" t="s">
        <v>1855</v>
      </c>
      <c r="B2928" s="17" t="s">
        <v>10196</v>
      </c>
      <c r="C2928" s="17" t="s">
        <v>3655</v>
      </c>
      <c r="D2928" s="25" t="s">
        <v>5188</v>
      </c>
      <c r="E2928" s="19" t="s">
        <v>5235</v>
      </c>
      <c r="F2928" s="19" t="s">
        <v>4187</v>
      </c>
      <c r="G2928" s="5" t="str">
        <f>HYPERLINK("http://jsmh.umin.jp/journal/37-2/197-199.pdf")</f>
        <v>http://jsmh.umin.jp/journal/37-2/197-199.pdf</v>
      </c>
      <c r="H2928" s="43" t="str">
        <f t="shared" si="216"/>
        <v>http://dl.ndl.go.jp/info:ndljp/pid/3359331</v>
      </c>
    </row>
    <row r="2929" spans="1:8" ht="30" customHeight="1" x14ac:dyDescent="0.15">
      <c r="A2929" s="16" t="s">
        <v>1855</v>
      </c>
      <c r="B2929" s="17" t="s">
        <v>5250</v>
      </c>
      <c r="C2929" s="17" t="s">
        <v>5251</v>
      </c>
      <c r="D2929" s="25" t="s">
        <v>5188</v>
      </c>
      <c r="E2929" s="19" t="s">
        <v>5235</v>
      </c>
      <c r="F2929" s="19" t="s">
        <v>1742</v>
      </c>
      <c r="G2929" s="5" t="str">
        <f>HYPERLINK("http://jsmh.umin.jp/journal/37-2/199-200.pdf")</f>
        <v>http://jsmh.umin.jp/journal/37-2/199-200.pdf</v>
      </c>
      <c r="H2929" s="43" t="str">
        <f t="shared" si="216"/>
        <v>http://dl.ndl.go.jp/info:ndljp/pid/3359331</v>
      </c>
    </row>
    <row r="2930" spans="1:8" ht="30" customHeight="1" x14ac:dyDescent="0.15">
      <c r="A2930" s="16" t="s">
        <v>1855</v>
      </c>
      <c r="B2930" s="17" t="s">
        <v>5252</v>
      </c>
      <c r="C2930" s="17" t="s">
        <v>273</v>
      </c>
      <c r="D2930" s="25" t="s">
        <v>5188</v>
      </c>
      <c r="E2930" s="19" t="s">
        <v>5235</v>
      </c>
      <c r="F2930" s="19" t="s">
        <v>3439</v>
      </c>
      <c r="G2930" s="5" t="str">
        <f>HYPERLINK("http://jsmh.umin.jp/journal/37-2/201-203.pdf")</f>
        <v>http://jsmh.umin.jp/journal/37-2/201-203.pdf</v>
      </c>
      <c r="H2930" s="43" t="str">
        <f t="shared" si="216"/>
        <v>http://dl.ndl.go.jp/info:ndljp/pid/3359331</v>
      </c>
    </row>
    <row r="2931" spans="1:8" ht="30" customHeight="1" x14ac:dyDescent="0.15">
      <c r="A2931" s="16" t="s">
        <v>1855</v>
      </c>
      <c r="B2931" s="17" t="s">
        <v>5253</v>
      </c>
      <c r="C2931" s="17" t="s">
        <v>4039</v>
      </c>
      <c r="D2931" s="25" t="s">
        <v>5188</v>
      </c>
      <c r="E2931" s="19" t="s">
        <v>5235</v>
      </c>
      <c r="F2931" s="19" t="s">
        <v>2066</v>
      </c>
      <c r="G2931" s="5" t="str">
        <f>HYPERLINK("http://jsmh.umin.jp/journal/37-2/203-205.pdf")</f>
        <v>http://jsmh.umin.jp/journal/37-2/203-205.pdf</v>
      </c>
      <c r="H2931" s="43" t="str">
        <f t="shared" si="216"/>
        <v>http://dl.ndl.go.jp/info:ndljp/pid/3359331</v>
      </c>
    </row>
    <row r="2932" spans="1:8" ht="30" customHeight="1" x14ac:dyDescent="0.15">
      <c r="A2932" s="16" t="s">
        <v>1855</v>
      </c>
      <c r="B2932" s="17" t="s">
        <v>10197</v>
      </c>
      <c r="C2932" s="17" t="s">
        <v>3482</v>
      </c>
      <c r="D2932" s="25" t="s">
        <v>5188</v>
      </c>
      <c r="E2932" s="19" t="s">
        <v>5235</v>
      </c>
      <c r="F2932" s="19" t="s">
        <v>258</v>
      </c>
      <c r="G2932" s="5" t="str">
        <f>HYPERLINK("http://jsmh.umin.jp/journal/37-2/205-207.pdf")</f>
        <v>http://jsmh.umin.jp/journal/37-2/205-207.pdf</v>
      </c>
      <c r="H2932" s="43" t="str">
        <f t="shared" si="216"/>
        <v>http://dl.ndl.go.jp/info:ndljp/pid/3359331</v>
      </c>
    </row>
    <row r="2933" spans="1:8" ht="30" customHeight="1" x14ac:dyDescent="0.15">
      <c r="A2933" s="16" t="s">
        <v>1855</v>
      </c>
      <c r="B2933" s="17" t="s">
        <v>5254</v>
      </c>
      <c r="C2933" s="17" t="s">
        <v>627</v>
      </c>
      <c r="D2933" s="25" t="s">
        <v>5188</v>
      </c>
      <c r="E2933" s="19" t="s">
        <v>5235</v>
      </c>
      <c r="F2933" s="19" t="s">
        <v>2072</v>
      </c>
      <c r="G2933" s="5" t="str">
        <f>HYPERLINK("http://jsmh.umin.jp/journal/37-2/208-210.pdf")</f>
        <v>http://jsmh.umin.jp/journal/37-2/208-210.pdf</v>
      </c>
      <c r="H2933" s="43" t="str">
        <f t="shared" si="216"/>
        <v>http://dl.ndl.go.jp/info:ndljp/pid/3359331</v>
      </c>
    </row>
    <row r="2934" spans="1:8" ht="30" customHeight="1" x14ac:dyDescent="0.15">
      <c r="A2934" s="16" t="s">
        <v>1855</v>
      </c>
      <c r="B2934" s="17" t="s">
        <v>5255</v>
      </c>
      <c r="C2934" s="17" t="s">
        <v>1147</v>
      </c>
      <c r="D2934" s="25" t="s">
        <v>5188</v>
      </c>
      <c r="E2934" s="19" t="s">
        <v>5235</v>
      </c>
      <c r="F2934" s="19" t="s">
        <v>271</v>
      </c>
      <c r="G2934" s="5" t="str">
        <f>HYPERLINK("http://jsmh.umin.jp/journal/37-2/210-211.pdf")</f>
        <v>http://jsmh.umin.jp/journal/37-2/210-211.pdf</v>
      </c>
      <c r="H2934" s="43" t="str">
        <f t="shared" si="216"/>
        <v>http://dl.ndl.go.jp/info:ndljp/pid/3359331</v>
      </c>
    </row>
    <row r="2935" spans="1:8" ht="30" customHeight="1" x14ac:dyDescent="0.15">
      <c r="A2935" s="16" t="s">
        <v>1855</v>
      </c>
      <c r="B2935" s="17" t="s">
        <v>5256</v>
      </c>
      <c r="C2935" s="17" t="s">
        <v>444</v>
      </c>
      <c r="D2935" s="25" t="s">
        <v>5188</v>
      </c>
      <c r="E2935" s="19" t="s">
        <v>5235</v>
      </c>
      <c r="F2935" s="19" t="s">
        <v>5257</v>
      </c>
      <c r="G2935" s="5" t="str">
        <f>HYPERLINK("http://jsmh.umin.jp/journal/37-2/211-214.pdf")</f>
        <v>http://jsmh.umin.jp/journal/37-2/211-214.pdf</v>
      </c>
      <c r="H2935" s="43" t="str">
        <f t="shared" si="216"/>
        <v>http://dl.ndl.go.jp/info:ndljp/pid/3359331</v>
      </c>
    </row>
    <row r="2936" spans="1:8" ht="30" customHeight="1" x14ac:dyDescent="0.15">
      <c r="A2936" s="16" t="s">
        <v>1855</v>
      </c>
      <c r="B2936" s="17" t="s">
        <v>5258</v>
      </c>
      <c r="C2936" s="17" t="s">
        <v>4548</v>
      </c>
      <c r="D2936" s="25" t="s">
        <v>5188</v>
      </c>
      <c r="E2936" s="19" t="s">
        <v>5235</v>
      </c>
      <c r="F2936" s="19" t="s">
        <v>3691</v>
      </c>
      <c r="G2936" s="5" t="str">
        <f>HYPERLINK("http://jsmh.umin.jp/journal/37-2/214-216.pdf")</f>
        <v>http://jsmh.umin.jp/journal/37-2/214-216.pdf</v>
      </c>
      <c r="H2936" s="43" t="str">
        <f t="shared" si="216"/>
        <v>http://dl.ndl.go.jp/info:ndljp/pid/3359331</v>
      </c>
    </row>
    <row r="2937" spans="1:8" ht="30" customHeight="1" x14ac:dyDescent="0.15">
      <c r="A2937" s="16" t="s">
        <v>1855</v>
      </c>
      <c r="B2937" s="17" t="s">
        <v>5259</v>
      </c>
      <c r="C2937" s="17" t="s">
        <v>2100</v>
      </c>
      <c r="D2937" s="25" t="s">
        <v>5188</v>
      </c>
      <c r="E2937" s="19" t="s">
        <v>5235</v>
      </c>
      <c r="F2937" s="19" t="s">
        <v>2083</v>
      </c>
      <c r="G2937" s="5" t="str">
        <f>HYPERLINK("http://jsmh.umin.jp/journal/37-2/217-219.pdf")</f>
        <v>http://jsmh.umin.jp/journal/37-2/217-219.pdf</v>
      </c>
      <c r="H2937" s="43" t="str">
        <f t="shared" si="216"/>
        <v>http://dl.ndl.go.jp/info:ndljp/pid/3359331</v>
      </c>
    </row>
    <row r="2938" spans="1:8" ht="30" customHeight="1" x14ac:dyDescent="0.15">
      <c r="A2938" s="16" t="s">
        <v>1855</v>
      </c>
      <c r="B2938" s="17" t="s">
        <v>5260</v>
      </c>
      <c r="C2938" s="17" t="s">
        <v>4185</v>
      </c>
      <c r="D2938" s="25" t="s">
        <v>5188</v>
      </c>
      <c r="E2938" s="19" t="s">
        <v>5235</v>
      </c>
      <c r="F2938" s="19" t="s">
        <v>2607</v>
      </c>
      <c r="G2938" s="5" t="str">
        <f>HYPERLINK("http://jsmh.umin.jp/journal/37-2/219-221.pdf")</f>
        <v>http://jsmh.umin.jp/journal/37-2/219-221.pdf</v>
      </c>
      <c r="H2938" s="43" t="str">
        <f t="shared" si="216"/>
        <v>http://dl.ndl.go.jp/info:ndljp/pid/3359331</v>
      </c>
    </row>
    <row r="2939" spans="1:8" ht="30" customHeight="1" x14ac:dyDescent="0.15">
      <c r="A2939" s="16" t="s">
        <v>1855</v>
      </c>
      <c r="B2939" s="17" t="s">
        <v>5261</v>
      </c>
      <c r="C2939" s="17" t="s">
        <v>5075</v>
      </c>
      <c r="D2939" s="25" t="s">
        <v>5188</v>
      </c>
      <c r="E2939" s="19" t="s">
        <v>5235</v>
      </c>
      <c r="F2939" s="19" t="s">
        <v>1390</v>
      </c>
      <c r="G2939" s="5" t="str">
        <f>HYPERLINK("http://jsmh.umin.jp/journal/37-2/222-223.pdf")</f>
        <v>http://jsmh.umin.jp/journal/37-2/222-223.pdf</v>
      </c>
      <c r="H2939" s="43" t="str">
        <f t="shared" si="216"/>
        <v>http://dl.ndl.go.jp/info:ndljp/pid/3359331</v>
      </c>
    </row>
    <row r="2940" spans="1:8" ht="30" customHeight="1" x14ac:dyDescent="0.15">
      <c r="A2940" s="16" t="s">
        <v>1855</v>
      </c>
      <c r="B2940" s="17" t="s">
        <v>5262</v>
      </c>
      <c r="C2940" s="17" t="s">
        <v>4302</v>
      </c>
      <c r="D2940" s="25" t="s">
        <v>5188</v>
      </c>
      <c r="E2940" s="19" t="s">
        <v>5235</v>
      </c>
      <c r="F2940" s="19" t="s">
        <v>2089</v>
      </c>
      <c r="G2940" s="5" t="str">
        <f>HYPERLINK("http://jsmh.umin.jp/journal/37-2/223-225.pdf")</f>
        <v>http://jsmh.umin.jp/journal/37-2/223-225.pdf</v>
      </c>
      <c r="H2940" s="43" t="str">
        <f t="shared" si="216"/>
        <v>http://dl.ndl.go.jp/info:ndljp/pid/3359331</v>
      </c>
    </row>
    <row r="2941" spans="1:8" ht="30" customHeight="1" x14ac:dyDescent="0.15">
      <c r="A2941" s="16" t="s">
        <v>1855</v>
      </c>
      <c r="B2941" s="17" t="s">
        <v>5263</v>
      </c>
      <c r="C2941" s="17" t="s">
        <v>1136</v>
      </c>
      <c r="D2941" s="25" t="s">
        <v>5188</v>
      </c>
      <c r="E2941" s="19" t="s">
        <v>5235</v>
      </c>
      <c r="F2941" s="19" t="s">
        <v>5264</v>
      </c>
      <c r="G2941" s="5" t="str">
        <f>HYPERLINK("http://jsmh.umin.jp/journal/37-2/225-227.pdf")</f>
        <v>http://jsmh.umin.jp/journal/37-2/225-227.pdf</v>
      </c>
      <c r="H2941" s="43" t="str">
        <f t="shared" si="216"/>
        <v>http://dl.ndl.go.jp/info:ndljp/pid/3359331</v>
      </c>
    </row>
    <row r="2942" spans="1:8" ht="30" customHeight="1" x14ac:dyDescent="0.15">
      <c r="A2942" s="16" t="s">
        <v>1855</v>
      </c>
      <c r="B2942" s="17" t="s">
        <v>5265</v>
      </c>
      <c r="C2942" s="17" t="s">
        <v>5266</v>
      </c>
      <c r="D2942" s="25" t="s">
        <v>5188</v>
      </c>
      <c r="E2942" s="19" t="s">
        <v>5235</v>
      </c>
      <c r="F2942" s="19" t="s">
        <v>2093</v>
      </c>
      <c r="G2942" s="5" t="str">
        <f>HYPERLINK("http://jsmh.umin.jp/journal/37-2/227-229.pdf")</f>
        <v>http://jsmh.umin.jp/journal/37-2/227-229.pdf</v>
      </c>
      <c r="H2942" s="43" t="str">
        <f t="shared" si="216"/>
        <v>http://dl.ndl.go.jp/info:ndljp/pid/3359331</v>
      </c>
    </row>
    <row r="2943" spans="1:8" ht="30" customHeight="1" x14ac:dyDescent="0.15">
      <c r="A2943" s="16" t="s">
        <v>1855</v>
      </c>
      <c r="B2943" s="17" t="s">
        <v>5267</v>
      </c>
      <c r="C2943" s="17" t="s">
        <v>3644</v>
      </c>
      <c r="D2943" s="25" t="s">
        <v>5188</v>
      </c>
      <c r="E2943" s="19" t="s">
        <v>5235</v>
      </c>
      <c r="F2943" s="19" t="s">
        <v>119</v>
      </c>
      <c r="G2943" s="5" t="str">
        <f>HYPERLINK("http://jsmh.umin.jp/journal/37-2/230-231.pdf")</f>
        <v>http://jsmh.umin.jp/journal/37-2/230-231.pdf</v>
      </c>
      <c r="H2943" s="43" t="str">
        <f t="shared" si="216"/>
        <v>http://dl.ndl.go.jp/info:ndljp/pid/3359331</v>
      </c>
    </row>
    <row r="2944" spans="1:8" ht="30" customHeight="1" x14ac:dyDescent="0.15">
      <c r="A2944" s="16" t="s">
        <v>1855</v>
      </c>
      <c r="B2944" s="17" t="s">
        <v>5268</v>
      </c>
      <c r="C2944" s="17" t="s">
        <v>10198</v>
      </c>
      <c r="D2944" s="25" t="s">
        <v>5188</v>
      </c>
      <c r="E2944" s="19" t="s">
        <v>5235</v>
      </c>
      <c r="F2944" s="19" t="s">
        <v>124</v>
      </c>
      <c r="G2944" s="5" t="str">
        <f>HYPERLINK("http://jsmh.umin.jp/journal/37-2/232-233.pdf")</f>
        <v>http://jsmh.umin.jp/journal/37-2/232-233.pdf</v>
      </c>
      <c r="H2944" s="43" t="str">
        <f t="shared" si="216"/>
        <v>http://dl.ndl.go.jp/info:ndljp/pid/3359331</v>
      </c>
    </row>
    <row r="2945" spans="1:8" ht="30" customHeight="1" x14ac:dyDescent="0.15">
      <c r="A2945" s="16" t="s">
        <v>1855</v>
      </c>
      <c r="B2945" s="17" t="s">
        <v>5269</v>
      </c>
      <c r="C2945" s="17" t="s">
        <v>4585</v>
      </c>
      <c r="D2945" s="25" t="s">
        <v>5188</v>
      </c>
      <c r="E2945" s="19" t="s">
        <v>5235</v>
      </c>
      <c r="F2945" s="19" t="s">
        <v>130</v>
      </c>
      <c r="G2945" s="5" t="str">
        <f>HYPERLINK("http://jsmh.umin.jp/journal/37-2/233-234.pdf")</f>
        <v>http://jsmh.umin.jp/journal/37-2/233-234.pdf</v>
      </c>
      <c r="H2945" s="43" t="str">
        <f t="shared" si="216"/>
        <v>http://dl.ndl.go.jp/info:ndljp/pid/3359331</v>
      </c>
    </row>
    <row r="2946" spans="1:8" ht="30" customHeight="1" x14ac:dyDescent="0.15">
      <c r="A2946" s="16" t="s">
        <v>1855</v>
      </c>
      <c r="B2946" s="17" t="s">
        <v>5270</v>
      </c>
      <c r="C2946" s="17" t="s">
        <v>1972</v>
      </c>
      <c r="D2946" s="25" t="s">
        <v>5188</v>
      </c>
      <c r="E2946" s="19" t="s">
        <v>5235</v>
      </c>
      <c r="F2946" s="19" t="s">
        <v>3454</v>
      </c>
      <c r="G2946" s="5" t="str">
        <f>HYPERLINK("http://jsmh.umin.jp/journal/37-2/234-236.pdf")</f>
        <v>http://jsmh.umin.jp/journal/37-2/234-236.pdf</v>
      </c>
      <c r="H2946" s="43" t="str">
        <f t="shared" si="216"/>
        <v>http://dl.ndl.go.jp/info:ndljp/pid/3359331</v>
      </c>
    </row>
    <row r="2947" spans="1:8" ht="30" customHeight="1" x14ac:dyDescent="0.15">
      <c r="A2947" s="16" t="s">
        <v>1855</v>
      </c>
      <c r="B2947" s="17" t="s">
        <v>5271</v>
      </c>
      <c r="C2947" s="17" t="s">
        <v>2937</v>
      </c>
      <c r="D2947" s="25" t="s">
        <v>5188</v>
      </c>
      <c r="E2947" s="19" t="s">
        <v>5235</v>
      </c>
      <c r="F2947" s="19" t="s">
        <v>4210</v>
      </c>
      <c r="G2947" s="5" t="str">
        <f>HYPERLINK("http://jsmh.umin.jp/journal/37-2/236-238.pdf")</f>
        <v>http://jsmh.umin.jp/journal/37-2/236-238.pdf</v>
      </c>
      <c r="H2947" s="43" t="str">
        <f t="shared" si="216"/>
        <v>http://dl.ndl.go.jp/info:ndljp/pid/3359331</v>
      </c>
    </row>
    <row r="2948" spans="1:8" ht="30" customHeight="1" x14ac:dyDescent="0.15">
      <c r="A2948" s="16" t="s">
        <v>1855</v>
      </c>
      <c r="B2948" s="17" t="s">
        <v>5272</v>
      </c>
      <c r="C2948" s="17" t="s">
        <v>2325</v>
      </c>
      <c r="D2948" s="25" t="s">
        <v>5188</v>
      </c>
      <c r="E2948" s="19" t="s">
        <v>5235</v>
      </c>
      <c r="F2948" s="19" t="s">
        <v>5273</v>
      </c>
      <c r="G2948" s="5" t="str">
        <f>HYPERLINK("http://jsmh.umin.jp/journal/37-2/239-241.pdf")</f>
        <v>http://jsmh.umin.jp/journal/37-2/239-241.pdf</v>
      </c>
      <c r="H2948" s="43" t="str">
        <f t="shared" si="216"/>
        <v>http://dl.ndl.go.jp/info:ndljp/pid/3359331</v>
      </c>
    </row>
    <row r="2949" spans="1:8" ht="30" customHeight="1" x14ac:dyDescent="0.15">
      <c r="A2949" s="16" t="s">
        <v>1855</v>
      </c>
      <c r="B2949" s="17" t="s">
        <v>5274</v>
      </c>
      <c r="C2949" s="17" t="s">
        <v>4175</v>
      </c>
      <c r="D2949" s="25" t="s">
        <v>5188</v>
      </c>
      <c r="E2949" s="19" t="s">
        <v>5235</v>
      </c>
      <c r="F2949" s="19" t="s">
        <v>3460</v>
      </c>
      <c r="G2949" s="5" t="str">
        <f>HYPERLINK("http://jsmh.umin.jp/journal/37-2/241-243.pdf")</f>
        <v>http://jsmh.umin.jp/journal/37-2/241-243.pdf</v>
      </c>
      <c r="H2949" s="43" t="str">
        <f t="shared" si="216"/>
        <v>http://dl.ndl.go.jp/info:ndljp/pid/3359331</v>
      </c>
    </row>
    <row r="2950" spans="1:8" ht="30" customHeight="1" x14ac:dyDescent="0.15">
      <c r="A2950" s="16" t="s">
        <v>1855</v>
      </c>
      <c r="B2950" s="17" t="s">
        <v>5275</v>
      </c>
      <c r="C2950" s="17" t="s">
        <v>1932</v>
      </c>
      <c r="D2950" s="25" t="s">
        <v>5188</v>
      </c>
      <c r="E2950" s="19" t="s">
        <v>5235</v>
      </c>
      <c r="F2950" s="19" t="s">
        <v>3462</v>
      </c>
      <c r="G2950" s="5" t="str">
        <f>HYPERLINK("http://jsmh.umin.jp/journal/37-2/243-245.pdf")</f>
        <v>http://jsmh.umin.jp/journal/37-2/243-245.pdf</v>
      </c>
      <c r="H2950" s="43" t="str">
        <f t="shared" ref="H2950:H2977" si="217">HYPERLINK("http://dl.ndl.go.jp/info:ndljp/pid/3359331")</f>
        <v>http://dl.ndl.go.jp/info:ndljp/pid/3359331</v>
      </c>
    </row>
    <row r="2951" spans="1:8" ht="30" customHeight="1" x14ac:dyDescent="0.15">
      <c r="A2951" s="16" t="s">
        <v>1855</v>
      </c>
      <c r="B2951" s="17" t="s">
        <v>5276</v>
      </c>
      <c r="C2951" s="17" t="s">
        <v>5080</v>
      </c>
      <c r="D2951" s="25" t="s">
        <v>5188</v>
      </c>
      <c r="E2951" s="19" t="s">
        <v>5235</v>
      </c>
      <c r="F2951" s="19" t="s">
        <v>3464</v>
      </c>
      <c r="G2951" s="5" t="str">
        <f>HYPERLINK("http://jsmh.umin.jp/journal/37-2/245-247.pdf")</f>
        <v>http://jsmh.umin.jp/journal/37-2/245-247.pdf</v>
      </c>
      <c r="H2951" s="43" t="str">
        <f t="shared" si="217"/>
        <v>http://dl.ndl.go.jp/info:ndljp/pid/3359331</v>
      </c>
    </row>
    <row r="2952" spans="1:8" ht="30" customHeight="1" x14ac:dyDescent="0.15">
      <c r="A2952" s="16" t="s">
        <v>1855</v>
      </c>
      <c r="B2952" s="17" t="s">
        <v>5277</v>
      </c>
      <c r="C2952" s="17" t="s">
        <v>5278</v>
      </c>
      <c r="D2952" s="25" t="s">
        <v>5188</v>
      </c>
      <c r="E2952" s="19" t="s">
        <v>5235</v>
      </c>
      <c r="F2952" s="19" t="s">
        <v>3310</v>
      </c>
      <c r="G2952" s="5" t="str">
        <f>HYPERLINK("http://jsmh.umin.jp/journal/37-2/248-249.pdf")</f>
        <v>http://jsmh.umin.jp/journal/37-2/248-249.pdf</v>
      </c>
      <c r="H2952" s="43" t="str">
        <f t="shared" si="217"/>
        <v>http://dl.ndl.go.jp/info:ndljp/pid/3359331</v>
      </c>
    </row>
    <row r="2953" spans="1:8" ht="30" customHeight="1" x14ac:dyDescent="0.15">
      <c r="A2953" s="16" t="s">
        <v>1855</v>
      </c>
      <c r="B2953" s="17" t="s">
        <v>5279</v>
      </c>
      <c r="C2953" s="17" t="s">
        <v>5280</v>
      </c>
      <c r="D2953" s="25" t="s">
        <v>5188</v>
      </c>
      <c r="E2953" s="19" t="s">
        <v>5235</v>
      </c>
      <c r="F2953" s="19" t="s">
        <v>5281</v>
      </c>
      <c r="G2953" s="5" t="str">
        <f>HYPERLINK("http://jsmh.umin.jp/journal/37-2/250-252.pdf")</f>
        <v>http://jsmh.umin.jp/journal/37-2/250-252.pdf</v>
      </c>
      <c r="H2953" s="43" t="str">
        <f t="shared" si="217"/>
        <v>http://dl.ndl.go.jp/info:ndljp/pid/3359331</v>
      </c>
    </row>
    <row r="2954" spans="1:8" ht="30" customHeight="1" x14ac:dyDescent="0.15">
      <c r="A2954" s="16" t="s">
        <v>1855</v>
      </c>
      <c r="B2954" s="17" t="s">
        <v>5282</v>
      </c>
      <c r="C2954" s="17" t="s">
        <v>4085</v>
      </c>
      <c r="D2954" s="25" t="s">
        <v>5188</v>
      </c>
      <c r="E2954" s="19" t="s">
        <v>5235</v>
      </c>
      <c r="F2954" s="19" t="s">
        <v>3316</v>
      </c>
      <c r="G2954" s="5" t="str">
        <f>HYPERLINK("http://jsmh.umin.jp/journal/37-2/252-254.pdf")</f>
        <v>http://jsmh.umin.jp/journal/37-2/252-254.pdf</v>
      </c>
      <c r="H2954" s="43" t="str">
        <f t="shared" si="217"/>
        <v>http://dl.ndl.go.jp/info:ndljp/pid/3359331</v>
      </c>
    </row>
    <row r="2955" spans="1:8" ht="30" customHeight="1" x14ac:dyDescent="0.15">
      <c r="A2955" s="16" t="s">
        <v>1855</v>
      </c>
      <c r="B2955" s="17" t="s">
        <v>5283</v>
      </c>
      <c r="C2955" s="17" t="s">
        <v>4026</v>
      </c>
      <c r="D2955" s="25" t="s">
        <v>5188</v>
      </c>
      <c r="E2955" s="19" t="s">
        <v>5235</v>
      </c>
      <c r="F2955" s="19" t="s">
        <v>3473</v>
      </c>
      <c r="G2955" s="5" t="str">
        <f>HYPERLINK("http://jsmh.umin.jp/journal/37-2/255-257.pdf")</f>
        <v>http://jsmh.umin.jp/journal/37-2/255-257.pdf</v>
      </c>
      <c r="H2955" s="43" t="str">
        <f t="shared" si="217"/>
        <v>http://dl.ndl.go.jp/info:ndljp/pid/3359331</v>
      </c>
    </row>
    <row r="2956" spans="1:8" ht="30" customHeight="1" x14ac:dyDescent="0.15">
      <c r="A2956" s="16" t="s">
        <v>1855</v>
      </c>
      <c r="B2956" s="17" t="s">
        <v>5284</v>
      </c>
      <c r="C2956" s="17" t="s">
        <v>4848</v>
      </c>
      <c r="D2956" s="25" t="s">
        <v>5188</v>
      </c>
      <c r="E2956" s="19" t="s">
        <v>5235</v>
      </c>
      <c r="F2956" s="19" t="s">
        <v>1011</v>
      </c>
      <c r="G2956" s="5" t="str">
        <f>HYPERLINK("http://jsmh.umin.jp/journal/37-2/258-259.pdf")</f>
        <v>http://jsmh.umin.jp/journal/37-2/258-259.pdf</v>
      </c>
      <c r="H2956" s="43" t="str">
        <f t="shared" si="217"/>
        <v>http://dl.ndl.go.jp/info:ndljp/pid/3359331</v>
      </c>
    </row>
    <row r="2957" spans="1:8" ht="30" customHeight="1" x14ac:dyDescent="0.15">
      <c r="A2957" s="16" t="s">
        <v>1855</v>
      </c>
      <c r="B2957" s="17" t="s">
        <v>5285</v>
      </c>
      <c r="C2957" s="17" t="s">
        <v>925</v>
      </c>
      <c r="D2957" s="25" t="s">
        <v>5188</v>
      </c>
      <c r="E2957" s="19" t="s">
        <v>5235</v>
      </c>
      <c r="F2957" s="19" t="s">
        <v>1019</v>
      </c>
      <c r="G2957" s="5" t="str">
        <f>HYPERLINK("http://jsmh.umin.jp/journal/37-2/260-262.pdf")</f>
        <v>http://jsmh.umin.jp/journal/37-2/260-262.pdf</v>
      </c>
      <c r="H2957" s="43" t="str">
        <f t="shared" si="217"/>
        <v>http://dl.ndl.go.jp/info:ndljp/pid/3359331</v>
      </c>
    </row>
    <row r="2958" spans="1:8" ht="30" customHeight="1" x14ac:dyDescent="0.15">
      <c r="A2958" s="16" t="s">
        <v>1855</v>
      </c>
      <c r="B2958" s="17" t="s">
        <v>10199</v>
      </c>
      <c r="C2958" s="17" t="s">
        <v>5009</v>
      </c>
      <c r="D2958" s="25" t="s">
        <v>5188</v>
      </c>
      <c r="E2958" s="19" t="s">
        <v>5235</v>
      </c>
      <c r="F2958" s="19" t="s">
        <v>3329</v>
      </c>
      <c r="G2958" s="5" t="str">
        <f>HYPERLINK("http://jsmh.umin.jp/journal/37-2/262-264.pdf")</f>
        <v>http://jsmh.umin.jp/journal/37-2/262-264.pdf</v>
      </c>
      <c r="H2958" s="43" t="str">
        <f t="shared" si="217"/>
        <v>http://dl.ndl.go.jp/info:ndljp/pid/3359331</v>
      </c>
    </row>
    <row r="2959" spans="1:8" ht="30" customHeight="1" x14ac:dyDescent="0.15">
      <c r="A2959" s="16" t="s">
        <v>1855</v>
      </c>
      <c r="B2959" s="17" t="s">
        <v>10200</v>
      </c>
      <c r="C2959" s="17" t="s">
        <v>5013</v>
      </c>
      <c r="D2959" s="25" t="s">
        <v>5188</v>
      </c>
      <c r="E2959" s="19" t="s">
        <v>5235</v>
      </c>
      <c r="F2959" s="19" t="s">
        <v>3483</v>
      </c>
      <c r="G2959" s="5" t="str">
        <f>HYPERLINK("http://jsmh.umin.jp/journal/37-2/265-267.pdf")</f>
        <v>http://jsmh.umin.jp/journal/37-2/265-267.pdf</v>
      </c>
      <c r="H2959" s="43" t="str">
        <f t="shared" si="217"/>
        <v>http://dl.ndl.go.jp/info:ndljp/pid/3359331</v>
      </c>
    </row>
    <row r="2960" spans="1:8" ht="30" customHeight="1" x14ac:dyDescent="0.15">
      <c r="A2960" s="16" t="s">
        <v>1855</v>
      </c>
      <c r="B2960" s="17" t="s">
        <v>5286</v>
      </c>
      <c r="C2960" s="17" t="s">
        <v>10156</v>
      </c>
      <c r="D2960" s="25" t="s">
        <v>5188</v>
      </c>
      <c r="E2960" s="19" t="s">
        <v>5235</v>
      </c>
      <c r="F2960" s="19" t="s">
        <v>4046</v>
      </c>
      <c r="G2960" s="5" t="str">
        <f>HYPERLINK("http://jsmh.umin.jp/journal/37-2/267-269.pdf")</f>
        <v>http://jsmh.umin.jp/journal/37-2/267-269.pdf</v>
      </c>
      <c r="H2960" s="43" t="str">
        <f t="shared" si="217"/>
        <v>http://dl.ndl.go.jp/info:ndljp/pid/3359331</v>
      </c>
    </row>
    <row r="2961" spans="1:8" ht="30" customHeight="1" x14ac:dyDescent="0.15">
      <c r="A2961" s="16" t="s">
        <v>1855</v>
      </c>
      <c r="B2961" s="17" t="s">
        <v>5287</v>
      </c>
      <c r="C2961" s="17" t="s">
        <v>4988</v>
      </c>
      <c r="D2961" s="25" t="s">
        <v>5188</v>
      </c>
      <c r="E2961" s="19" t="s">
        <v>5235</v>
      </c>
      <c r="F2961" s="19" t="s">
        <v>3080</v>
      </c>
      <c r="G2961" s="5" t="str">
        <f>HYPERLINK("http://jsmh.umin.jp/journal/37-2/269-271.pdf")</f>
        <v>http://jsmh.umin.jp/journal/37-2/269-271.pdf</v>
      </c>
      <c r="H2961" s="43" t="str">
        <f t="shared" si="217"/>
        <v>http://dl.ndl.go.jp/info:ndljp/pid/3359331</v>
      </c>
    </row>
    <row r="2962" spans="1:8" ht="30" customHeight="1" x14ac:dyDescent="0.15">
      <c r="A2962" s="16" t="s">
        <v>1855</v>
      </c>
      <c r="B2962" s="17" t="s">
        <v>5288</v>
      </c>
      <c r="C2962" s="17" t="s">
        <v>2969</v>
      </c>
      <c r="D2962" s="25" t="s">
        <v>5188</v>
      </c>
      <c r="E2962" s="19" t="s">
        <v>5235</v>
      </c>
      <c r="F2962" s="19" t="s">
        <v>1895</v>
      </c>
      <c r="G2962" s="5" t="str">
        <f>HYPERLINK("http://jsmh.umin.jp/journal/37-2/272-273.pdf")</f>
        <v>http://jsmh.umin.jp/journal/37-2/272-273.pdf</v>
      </c>
      <c r="H2962" s="43" t="str">
        <f t="shared" si="217"/>
        <v>http://dl.ndl.go.jp/info:ndljp/pid/3359331</v>
      </c>
    </row>
    <row r="2963" spans="1:8" ht="30" customHeight="1" x14ac:dyDescent="0.15">
      <c r="A2963" s="16" t="s">
        <v>1855</v>
      </c>
      <c r="B2963" s="17" t="s">
        <v>5289</v>
      </c>
      <c r="C2963" s="17" t="s">
        <v>5015</v>
      </c>
      <c r="D2963" s="25" t="s">
        <v>5188</v>
      </c>
      <c r="E2963" s="19" t="s">
        <v>5235</v>
      </c>
      <c r="F2963" s="19" t="s">
        <v>5290</v>
      </c>
      <c r="G2963" s="5" t="str">
        <f>HYPERLINK("http://jsmh.umin.jp/journal/37-2/273-275.pdf")</f>
        <v>http://jsmh.umin.jp/journal/37-2/273-275.pdf</v>
      </c>
      <c r="H2963" s="43" t="str">
        <f t="shared" si="217"/>
        <v>http://dl.ndl.go.jp/info:ndljp/pid/3359331</v>
      </c>
    </row>
    <row r="2964" spans="1:8" ht="30" customHeight="1" x14ac:dyDescent="0.15">
      <c r="A2964" s="16" t="s">
        <v>1855</v>
      </c>
      <c r="B2964" s="17" t="s">
        <v>5291</v>
      </c>
      <c r="C2964" s="17" t="s">
        <v>479</v>
      </c>
      <c r="D2964" s="25" t="s">
        <v>5188</v>
      </c>
      <c r="E2964" s="19" t="s">
        <v>5235</v>
      </c>
      <c r="F2964" s="19" t="s">
        <v>4052</v>
      </c>
      <c r="G2964" s="5" t="str">
        <f>HYPERLINK("http://jsmh.umin.jp/journal/37-2/276-278.pdf")</f>
        <v>http://jsmh.umin.jp/journal/37-2/276-278.pdf</v>
      </c>
      <c r="H2964" s="43" t="str">
        <f t="shared" si="217"/>
        <v>http://dl.ndl.go.jp/info:ndljp/pid/3359331</v>
      </c>
    </row>
    <row r="2965" spans="1:8" ht="30" customHeight="1" x14ac:dyDescent="0.15">
      <c r="A2965" s="16" t="s">
        <v>1855</v>
      </c>
      <c r="B2965" s="17" t="s">
        <v>5292</v>
      </c>
      <c r="C2965" s="17" t="s">
        <v>5654</v>
      </c>
      <c r="D2965" s="25" t="s">
        <v>5188</v>
      </c>
      <c r="E2965" s="19" t="s">
        <v>5235</v>
      </c>
      <c r="F2965" s="19" t="s">
        <v>3495</v>
      </c>
      <c r="G2965" s="5" t="str">
        <f>HYPERLINK("http://jsmh.umin.jp/journal/37-2/278-280.pdf")</f>
        <v>http://jsmh.umin.jp/journal/37-2/278-280.pdf</v>
      </c>
      <c r="H2965" s="43" t="str">
        <f t="shared" si="217"/>
        <v>http://dl.ndl.go.jp/info:ndljp/pid/3359331</v>
      </c>
    </row>
    <row r="2966" spans="1:8" ht="30" customHeight="1" x14ac:dyDescent="0.15">
      <c r="A2966" s="16" t="s">
        <v>1855</v>
      </c>
      <c r="B2966" s="17" t="s">
        <v>5293</v>
      </c>
      <c r="C2966" s="17" t="s">
        <v>672</v>
      </c>
      <c r="D2966" s="25" t="s">
        <v>5188</v>
      </c>
      <c r="E2966" s="19" t="s">
        <v>5235</v>
      </c>
      <c r="F2966" s="19" t="s">
        <v>1913</v>
      </c>
      <c r="G2966" s="5" t="str">
        <f>HYPERLINK("http://jsmh.umin.jp/journal/37-2/281-282.pdf")</f>
        <v>http://jsmh.umin.jp/journal/37-2/281-282.pdf</v>
      </c>
      <c r="H2966" s="43" t="str">
        <f t="shared" si="217"/>
        <v>http://dl.ndl.go.jp/info:ndljp/pid/3359331</v>
      </c>
    </row>
    <row r="2967" spans="1:8" ht="30" customHeight="1" x14ac:dyDescent="0.15">
      <c r="A2967" s="16" t="s">
        <v>1855</v>
      </c>
      <c r="B2967" s="17" t="s">
        <v>5294</v>
      </c>
      <c r="C2967" s="17" t="s">
        <v>5295</v>
      </c>
      <c r="D2967" s="25" t="s">
        <v>5188</v>
      </c>
      <c r="E2967" s="19" t="s">
        <v>5235</v>
      </c>
      <c r="F2967" s="19" t="s">
        <v>5296</v>
      </c>
      <c r="G2967" s="5" t="str">
        <f>HYPERLINK("http://jsmh.umin.jp/journal/37-2/282-284.pdf")</f>
        <v>http://jsmh.umin.jp/journal/37-2/282-284.pdf</v>
      </c>
      <c r="H2967" s="43" t="str">
        <f t="shared" si="217"/>
        <v>http://dl.ndl.go.jp/info:ndljp/pid/3359331</v>
      </c>
    </row>
    <row r="2968" spans="1:8" ht="30" customHeight="1" x14ac:dyDescent="0.15">
      <c r="A2968" s="16" t="s">
        <v>1855</v>
      </c>
      <c r="B2968" s="17" t="s">
        <v>5297</v>
      </c>
      <c r="C2968" s="17" t="s">
        <v>790</v>
      </c>
      <c r="D2968" s="25" t="s">
        <v>5188</v>
      </c>
      <c r="E2968" s="19" t="s">
        <v>5235</v>
      </c>
      <c r="F2968" s="19" t="s">
        <v>5298</v>
      </c>
      <c r="G2968" s="5" t="str">
        <f>HYPERLINK("http://jsmh.umin.jp/journal/37-2/285.pdf")</f>
        <v>http://jsmh.umin.jp/journal/37-2/285.pdf</v>
      </c>
      <c r="H2968" s="43" t="str">
        <f t="shared" si="217"/>
        <v>http://dl.ndl.go.jp/info:ndljp/pid/3359331</v>
      </c>
    </row>
    <row r="2969" spans="1:8" ht="30" customHeight="1" x14ac:dyDescent="0.15">
      <c r="A2969" s="16" t="s">
        <v>1855</v>
      </c>
      <c r="B2969" s="17" t="s">
        <v>5299</v>
      </c>
      <c r="C2969" s="17" t="s">
        <v>5300</v>
      </c>
      <c r="D2969" s="25" t="s">
        <v>5188</v>
      </c>
      <c r="E2969" s="19" t="s">
        <v>5235</v>
      </c>
      <c r="F2969" s="19" t="s">
        <v>3097</v>
      </c>
      <c r="G2969" s="5" t="str">
        <f>HYPERLINK("http://jsmh.umin.jp/journal/37-2/286-288.pdf")</f>
        <v>http://jsmh.umin.jp/journal/37-2/286-288.pdf</v>
      </c>
      <c r="H2969" s="43" t="str">
        <f t="shared" si="217"/>
        <v>http://dl.ndl.go.jp/info:ndljp/pid/3359331</v>
      </c>
    </row>
    <row r="2970" spans="1:8" ht="30" customHeight="1" x14ac:dyDescent="0.15">
      <c r="A2970" s="16" t="s">
        <v>1855</v>
      </c>
      <c r="B2970" s="17" t="s">
        <v>5301</v>
      </c>
      <c r="C2970" s="17" t="s">
        <v>5302</v>
      </c>
      <c r="D2970" s="25" t="s">
        <v>5188</v>
      </c>
      <c r="E2970" s="19" t="s">
        <v>5235</v>
      </c>
      <c r="F2970" s="19" t="s">
        <v>3352</v>
      </c>
      <c r="G2970" s="5" t="str">
        <f>HYPERLINK("http://jsmh.umin.jp/journal/37-2/288-289.pdf")</f>
        <v>http://jsmh.umin.jp/journal/37-2/288-289.pdf</v>
      </c>
      <c r="H2970" s="43" t="str">
        <f t="shared" si="217"/>
        <v>http://dl.ndl.go.jp/info:ndljp/pid/3359331</v>
      </c>
    </row>
    <row r="2971" spans="1:8" ht="30" customHeight="1" x14ac:dyDescent="0.15">
      <c r="A2971" s="16" t="s">
        <v>1855</v>
      </c>
      <c r="B2971" s="17" t="s">
        <v>5303</v>
      </c>
      <c r="C2971" s="17" t="s">
        <v>66</v>
      </c>
      <c r="D2971" s="25" t="s">
        <v>5188</v>
      </c>
      <c r="E2971" s="19" t="s">
        <v>5235</v>
      </c>
      <c r="F2971" s="19" t="s">
        <v>5304</v>
      </c>
      <c r="G2971" s="5" t="str">
        <f>HYPERLINK("http://jsmh.umin.jp/journal/37-2/289-291.pdf")</f>
        <v>http://jsmh.umin.jp/journal/37-2/289-291.pdf</v>
      </c>
      <c r="H2971" s="43" t="str">
        <f t="shared" si="217"/>
        <v>http://dl.ndl.go.jp/info:ndljp/pid/3359331</v>
      </c>
    </row>
    <row r="2972" spans="1:8" ht="30" customHeight="1" x14ac:dyDescent="0.15">
      <c r="A2972" s="16" t="s">
        <v>1855</v>
      </c>
      <c r="B2972" s="17" t="s">
        <v>5305</v>
      </c>
      <c r="C2972" s="17" t="s">
        <v>4733</v>
      </c>
      <c r="D2972" s="25" t="s">
        <v>5188</v>
      </c>
      <c r="E2972" s="19" t="s">
        <v>5235</v>
      </c>
      <c r="F2972" s="19" t="s">
        <v>1930</v>
      </c>
      <c r="G2972" s="5" t="str">
        <f>HYPERLINK("http://jsmh.umin.jp/journal/37-2/292-293.pdf")</f>
        <v>http://jsmh.umin.jp/journal/37-2/292-293.pdf</v>
      </c>
      <c r="H2972" s="43" t="str">
        <f t="shared" si="217"/>
        <v>http://dl.ndl.go.jp/info:ndljp/pid/3359331</v>
      </c>
    </row>
    <row r="2973" spans="1:8" ht="30" customHeight="1" x14ac:dyDescent="0.15">
      <c r="A2973" s="16" t="s">
        <v>1855</v>
      </c>
      <c r="B2973" s="17" t="s">
        <v>5306</v>
      </c>
      <c r="C2973" s="17" t="s">
        <v>5307</v>
      </c>
      <c r="D2973" s="25" t="s">
        <v>5188</v>
      </c>
      <c r="E2973" s="19" t="s">
        <v>5235</v>
      </c>
      <c r="F2973" s="19" t="s">
        <v>5308</v>
      </c>
      <c r="G2973" s="5" t="str">
        <f>HYPERLINK("http://jsmh.umin.jp/journal/37-2/294-295.pdf")</f>
        <v>http://jsmh.umin.jp/journal/37-2/294-295.pdf</v>
      </c>
      <c r="H2973" s="43" t="str">
        <f t="shared" si="217"/>
        <v>http://dl.ndl.go.jp/info:ndljp/pid/3359331</v>
      </c>
    </row>
    <row r="2974" spans="1:8" ht="30" customHeight="1" x14ac:dyDescent="0.15">
      <c r="A2974" s="16" t="s">
        <v>1855</v>
      </c>
      <c r="B2974" s="17" t="s">
        <v>5309</v>
      </c>
      <c r="C2974" s="17" t="s">
        <v>2386</v>
      </c>
      <c r="D2974" s="25" t="s">
        <v>5188</v>
      </c>
      <c r="E2974" s="19" t="s">
        <v>5235</v>
      </c>
      <c r="F2974" s="19" t="s">
        <v>3108</v>
      </c>
      <c r="G2974" s="5" t="str">
        <f>HYPERLINK("http://jsmh.umin.jp/journal/37-2/296-298.pdf")</f>
        <v>http://jsmh.umin.jp/journal/37-2/296-298.pdf</v>
      </c>
      <c r="H2974" s="43" t="str">
        <f t="shared" si="217"/>
        <v>http://dl.ndl.go.jp/info:ndljp/pid/3359331</v>
      </c>
    </row>
    <row r="2975" spans="1:8" ht="30" customHeight="1" x14ac:dyDescent="0.15">
      <c r="A2975" s="16" t="s">
        <v>1855</v>
      </c>
      <c r="B2975" s="17" t="s">
        <v>5310</v>
      </c>
      <c r="C2975" s="17" t="s">
        <v>1070</v>
      </c>
      <c r="D2975" s="25" t="s">
        <v>5188</v>
      </c>
      <c r="E2975" s="19" t="s">
        <v>5235</v>
      </c>
      <c r="F2975" s="19" t="s">
        <v>5311</v>
      </c>
      <c r="G2975" s="5" t="str">
        <f>HYPERLINK("http://jsmh.umin.jp/journal/37-2/298-299.pdf")</f>
        <v>http://jsmh.umin.jp/journal/37-2/298-299.pdf</v>
      </c>
      <c r="H2975" s="43" t="str">
        <f t="shared" si="217"/>
        <v>http://dl.ndl.go.jp/info:ndljp/pid/3359331</v>
      </c>
    </row>
    <row r="2976" spans="1:8" ht="30" customHeight="1" x14ac:dyDescent="0.15">
      <c r="A2976" s="16" t="s">
        <v>1855</v>
      </c>
      <c r="B2976" s="17" t="s">
        <v>5312</v>
      </c>
      <c r="C2976" s="17" t="s">
        <v>5313</v>
      </c>
      <c r="D2976" s="25" t="s">
        <v>5188</v>
      </c>
      <c r="E2976" s="19" t="s">
        <v>5235</v>
      </c>
      <c r="F2976" s="19" t="s">
        <v>5314</v>
      </c>
      <c r="G2976" s="5" t="str">
        <f>HYPERLINK("http://jsmh.umin.jp/journal/37-2/300-302.pdf")</f>
        <v>http://jsmh.umin.jp/journal/37-2/300-302.pdf</v>
      </c>
      <c r="H2976" s="43" t="str">
        <f t="shared" si="217"/>
        <v>http://dl.ndl.go.jp/info:ndljp/pid/3359331</v>
      </c>
    </row>
    <row r="2977" spans="1:8" ht="30" customHeight="1" x14ac:dyDescent="0.15">
      <c r="A2977" s="16" t="s">
        <v>1855</v>
      </c>
      <c r="B2977" s="17" t="s">
        <v>5315</v>
      </c>
      <c r="C2977" s="17" t="s">
        <v>5316</v>
      </c>
      <c r="D2977" s="25" t="s">
        <v>5188</v>
      </c>
      <c r="E2977" s="19" t="s">
        <v>5235</v>
      </c>
      <c r="F2977" s="19" t="s">
        <v>1421</v>
      </c>
      <c r="G2977" s="5" t="str">
        <f>HYPERLINK("http://jsmh.umin.jp/journal/37-2/302-303.pdf")</f>
        <v>http://jsmh.umin.jp/journal/37-2/302-303.pdf</v>
      </c>
      <c r="H2977" s="43" t="str">
        <f t="shared" si="217"/>
        <v>http://dl.ndl.go.jp/info:ndljp/pid/3359331</v>
      </c>
    </row>
    <row r="2978" spans="1:8" ht="30" customHeight="1" x14ac:dyDescent="0.15">
      <c r="A2978" s="16" t="s">
        <v>17</v>
      </c>
      <c r="B2978" s="17" t="s">
        <v>5317</v>
      </c>
      <c r="C2978" s="17" t="s">
        <v>2937</v>
      </c>
      <c r="D2978" s="25" t="s">
        <v>5188</v>
      </c>
      <c r="E2978" s="19" t="s">
        <v>5318</v>
      </c>
      <c r="F2978" s="19" t="s">
        <v>5319</v>
      </c>
      <c r="G2978" s="5" t="str">
        <f>HYPERLINK("http://jsmh.umin.jp/journal/37-3/321-347.pdf")</f>
        <v>http://jsmh.umin.jp/journal/37-3/321-347.pdf</v>
      </c>
      <c r="H2978" s="42" t="str">
        <f t="shared" ref="H2978:H2999" si="218">HYPERLINK("http://dl.ndl.go.jp/info:ndljp/pid/3359332")</f>
        <v>http://dl.ndl.go.jp/info:ndljp/pid/3359332</v>
      </c>
    </row>
    <row r="2979" spans="1:8" ht="30" customHeight="1" x14ac:dyDescent="0.15">
      <c r="A2979" s="16" t="s">
        <v>17</v>
      </c>
      <c r="B2979" s="17" t="s">
        <v>5320</v>
      </c>
      <c r="C2979" s="17" t="s">
        <v>2969</v>
      </c>
      <c r="D2979" s="25" t="s">
        <v>5188</v>
      </c>
      <c r="E2979" s="19" t="s">
        <v>5318</v>
      </c>
      <c r="F2979" s="19" t="s">
        <v>5321</v>
      </c>
      <c r="G2979" s="5" t="str">
        <f>HYPERLINK("http://jsmh.umin.jp/journal/37-3/349-363.pdf")</f>
        <v>http://jsmh.umin.jp/journal/37-3/349-363.pdf</v>
      </c>
      <c r="H2979" s="43" t="str">
        <f t="shared" si="218"/>
        <v>http://dl.ndl.go.jp/info:ndljp/pid/3359332</v>
      </c>
    </row>
    <row r="2980" spans="1:8" ht="30" customHeight="1" x14ac:dyDescent="0.15">
      <c r="A2980" s="16" t="s">
        <v>3387</v>
      </c>
      <c r="B2980" s="17" t="s">
        <v>5322</v>
      </c>
      <c r="C2980" s="17" t="s">
        <v>4351</v>
      </c>
      <c r="D2980" s="25" t="s">
        <v>5188</v>
      </c>
      <c r="E2980" s="19" t="s">
        <v>5318</v>
      </c>
      <c r="F2980" s="19" t="s">
        <v>5323</v>
      </c>
      <c r="G2980" s="5" t="str">
        <f>HYPERLINK("http://jsmh.umin.jp/journal/37-3/365-390.pdf")</f>
        <v>http://jsmh.umin.jp/journal/37-3/365-390.pdf</v>
      </c>
      <c r="H2980" s="43" t="str">
        <f t="shared" si="218"/>
        <v>http://dl.ndl.go.jp/info:ndljp/pid/3359332</v>
      </c>
    </row>
    <row r="2981" spans="1:8" ht="30" customHeight="1" x14ac:dyDescent="0.15">
      <c r="A2981" s="16" t="s">
        <v>3387</v>
      </c>
      <c r="B2981" s="17" t="s">
        <v>5324</v>
      </c>
      <c r="C2981" s="17" t="s">
        <v>1147</v>
      </c>
      <c r="D2981" s="25" t="s">
        <v>5188</v>
      </c>
      <c r="E2981" s="19" t="s">
        <v>5318</v>
      </c>
      <c r="F2981" s="19" t="s">
        <v>5325</v>
      </c>
      <c r="G2981" s="5" t="str">
        <f>HYPERLINK("http://jsmh.umin.jp/journal/37-3/391-402.pdf")</f>
        <v>http://jsmh.umin.jp/journal/37-3/391-402.pdf</v>
      </c>
      <c r="H2981" s="43" t="str">
        <f t="shared" si="218"/>
        <v>http://dl.ndl.go.jp/info:ndljp/pid/3359332</v>
      </c>
    </row>
    <row r="2982" spans="1:8" ht="30" customHeight="1" x14ac:dyDescent="0.15">
      <c r="A2982" s="16" t="s">
        <v>4265</v>
      </c>
      <c r="B2982" s="17" t="s">
        <v>5326</v>
      </c>
      <c r="C2982" s="17" t="s">
        <v>3010</v>
      </c>
      <c r="D2982" s="25" t="s">
        <v>5188</v>
      </c>
      <c r="E2982" s="19" t="s">
        <v>5318</v>
      </c>
      <c r="F2982" s="19" t="s">
        <v>5327</v>
      </c>
      <c r="G2982" s="5" t="str">
        <f>HYPERLINK("http://jsmh.umin.jp/journal/37-3/403-406.pdf")</f>
        <v>http://jsmh.umin.jp/journal/37-3/403-406.pdf</v>
      </c>
      <c r="H2982" s="43" t="str">
        <f t="shared" si="218"/>
        <v>http://dl.ndl.go.jp/info:ndljp/pid/3359332</v>
      </c>
    </row>
    <row r="2983" spans="1:8" ht="30" customHeight="1" x14ac:dyDescent="0.15">
      <c r="A2983" s="16" t="s">
        <v>692</v>
      </c>
      <c r="B2983" s="17" t="s">
        <v>5328</v>
      </c>
      <c r="C2983" s="17" t="s">
        <v>3655</v>
      </c>
      <c r="D2983" s="25" t="s">
        <v>5188</v>
      </c>
      <c r="E2983" s="19" t="s">
        <v>5318</v>
      </c>
      <c r="F2983" s="19" t="s">
        <v>5329</v>
      </c>
      <c r="G2983" s="5" t="str">
        <f>HYPERLINK("http://jsmh.umin.jp/journal/37-3/407-415.pdf")</f>
        <v>http://jsmh.umin.jp/journal/37-3/407-415.pdf</v>
      </c>
      <c r="H2983" s="43" t="str">
        <f t="shared" si="218"/>
        <v>http://dl.ndl.go.jp/info:ndljp/pid/3359332</v>
      </c>
    </row>
    <row r="2984" spans="1:8" ht="30" customHeight="1" x14ac:dyDescent="0.15">
      <c r="A2984" s="16" t="s">
        <v>692</v>
      </c>
      <c r="B2984" s="17" t="s">
        <v>5330</v>
      </c>
      <c r="C2984" s="17" t="s">
        <v>4867</v>
      </c>
      <c r="D2984" s="25" t="s">
        <v>5188</v>
      </c>
      <c r="E2984" s="19" t="s">
        <v>5318</v>
      </c>
      <c r="F2984" s="19" t="s">
        <v>5331</v>
      </c>
      <c r="G2984" s="5" t="str">
        <f>HYPERLINK("http://jsmh.umin.jp/journal/37-3/417-430.pdf")</f>
        <v>http://jsmh.umin.jp/journal/37-3/417-430.pdf</v>
      </c>
      <c r="H2984" s="43" t="str">
        <f t="shared" si="218"/>
        <v>http://dl.ndl.go.jp/info:ndljp/pid/3359332</v>
      </c>
    </row>
    <row r="2985" spans="1:8" ht="30" customHeight="1" x14ac:dyDescent="0.15">
      <c r="A2985" s="16" t="s">
        <v>692</v>
      </c>
      <c r="B2985" s="17" t="s">
        <v>5332</v>
      </c>
      <c r="C2985" s="17" t="s">
        <v>4870</v>
      </c>
      <c r="D2985" s="25" t="s">
        <v>5188</v>
      </c>
      <c r="E2985" s="19" t="s">
        <v>5318</v>
      </c>
      <c r="F2985" s="19" t="s">
        <v>5333</v>
      </c>
      <c r="G2985" s="5" t="str">
        <f>HYPERLINK("http://jsmh.umin.jp/journal/37-3/431-443.pdf")</f>
        <v>http://jsmh.umin.jp/journal/37-3/431-443.pdf</v>
      </c>
      <c r="H2985" s="43" t="str">
        <f t="shared" si="218"/>
        <v>http://dl.ndl.go.jp/info:ndljp/pid/3359332</v>
      </c>
    </row>
    <row r="2986" spans="1:8" ht="30" customHeight="1" x14ac:dyDescent="0.15">
      <c r="A2986" s="16" t="s">
        <v>558</v>
      </c>
      <c r="B2986" s="17" t="s">
        <v>5334</v>
      </c>
      <c r="C2986" s="17"/>
      <c r="D2986" s="25" t="s">
        <v>5188</v>
      </c>
      <c r="E2986" s="19" t="s">
        <v>5318</v>
      </c>
      <c r="F2986" s="19" t="s">
        <v>2483</v>
      </c>
      <c r="G2986" s="5" t="str">
        <f>HYPERLINK("http://jsmh.umin.jp/journal/37-3/445-446.pdf")</f>
        <v>http://jsmh.umin.jp/journal/37-3/445-446.pdf</v>
      </c>
      <c r="H2986" s="43" t="str">
        <f t="shared" si="218"/>
        <v>http://dl.ndl.go.jp/info:ndljp/pid/3359332</v>
      </c>
    </row>
    <row r="2987" spans="1:8" ht="30" customHeight="1" x14ac:dyDescent="0.15">
      <c r="A2987" s="16" t="s">
        <v>3720</v>
      </c>
      <c r="B2987" s="17" t="s">
        <v>5335</v>
      </c>
      <c r="C2987" s="17" t="s">
        <v>1534</v>
      </c>
      <c r="D2987" s="25" t="s">
        <v>5188</v>
      </c>
      <c r="E2987" s="19" t="s">
        <v>5318</v>
      </c>
      <c r="F2987" s="19" t="s">
        <v>5336</v>
      </c>
      <c r="G2987" s="5" t="str">
        <f>HYPERLINK("http://jsmh.umin.jp/journal/37-3/446-448.pdf")</f>
        <v>http://jsmh.umin.jp/journal/37-3/446-448.pdf</v>
      </c>
      <c r="H2987" s="43" t="str">
        <f t="shared" si="218"/>
        <v>http://dl.ndl.go.jp/info:ndljp/pid/3359332</v>
      </c>
    </row>
    <row r="2988" spans="1:8" ht="30" customHeight="1" x14ac:dyDescent="0.15">
      <c r="A2988" s="16" t="s">
        <v>558</v>
      </c>
      <c r="B2988" s="17" t="s">
        <v>537</v>
      </c>
      <c r="C2988" s="17"/>
      <c r="D2988" s="25" t="s">
        <v>5188</v>
      </c>
      <c r="E2988" s="19" t="s">
        <v>5318</v>
      </c>
      <c r="F2988" s="19" t="s">
        <v>5337</v>
      </c>
      <c r="G2988" s="5" t="str">
        <f>HYPERLINK("http://jsmh.umin.jp/journal/37-3/446.pdf")</f>
        <v>http://jsmh.umin.jp/journal/37-3/446.pdf</v>
      </c>
      <c r="H2988" s="43" t="str">
        <f t="shared" si="218"/>
        <v>http://dl.ndl.go.jp/info:ndljp/pid/3359332</v>
      </c>
    </row>
    <row r="2989" spans="1:8" ht="30" customHeight="1" x14ac:dyDescent="0.15">
      <c r="A2989" s="16" t="s">
        <v>3720</v>
      </c>
      <c r="B2989" s="17" t="s">
        <v>5338</v>
      </c>
      <c r="C2989" s="17" t="s">
        <v>4085</v>
      </c>
      <c r="D2989" s="25" t="s">
        <v>5188</v>
      </c>
      <c r="E2989" s="19" t="s">
        <v>5318</v>
      </c>
      <c r="F2989" s="19" t="s">
        <v>5339</v>
      </c>
      <c r="G2989" s="5" t="str">
        <f>HYPERLINK("http://jsmh.umin.jp/journal/37-3/448-450.pdf")</f>
        <v>http://jsmh.umin.jp/journal/37-3/448-450.pdf</v>
      </c>
      <c r="H2989" s="43" t="str">
        <f t="shared" si="218"/>
        <v>http://dl.ndl.go.jp/info:ndljp/pid/3359332</v>
      </c>
    </row>
    <row r="2990" spans="1:8" ht="30" customHeight="1" x14ac:dyDescent="0.15">
      <c r="A2990" s="16" t="s">
        <v>2990</v>
      </c>
      <c r="B2990" s="17" t="s">
        <v>5340</v>
      </c>
      <c r="C2990" s="17" t="s">
        <v>4909</v>
      </c>
      <c r="D2990" s="25" t="s">
        <v>5188</v>
      </c>
      <c r="E2990" s="19" t="s">
        <v>5318</v>
      </c>
      <c r="F2990" s="19" t="s">
        <v>4094</v>
      </c>
      <c r="G2990" s="5" t="str">
        <f>HYPERLINK("http://jsmh.umin.jp/journal/37-3/450-451.pdf")</f>
        <v>http://jsmh.umin.jp/journal/37-3/450-451.pdf</v>
      </c>
      <c r="H2990" s="43" t="str">
        <f t="shared" si="218"/>
        <v>http://dl.ndl.go.jp/info:ndljp/pid/3359332</v>
      </c>
    </row>
    <row r="2991" spans="1:8" ht="30" customHeight="1" x14ac:dyDescent="0.15">
      <c r="A2991" s="16" t="s">
        <v>2990</v>
      </c>
      <c r="B2991" s="17" t="s">
        <v>5341</v>
      </c>
      <c r="C2991" s="17" t="s">
        <v>5342</v>
      </c>
      <c r="D2991" s="25" t="s">
        <v>5188</v>
      </c>
      <c r="E2991" s="19" t="s">
        <v>5318</v>
      </c>
      <c r="F2991" s="19" t="s">
        <v>5343</v>
      </c>
      <c r="G2991" s="5" t="str">
        <f>HYPERLINK("http://jsmh.umin.jp/journal/37-3/451-453.pdf")</f>
        <v>http://jsmh.umin.jp/journal/37-3/451-453.pdf</v>
      </c>
      <c r="H2991" s="43" t="str">
        <f t="shared" si="218"/>
        <v>http://dl.ndl.go.jp/info:ndljp/pid/3359332</v>
      </c>
    </row>
    <row r="2992" spans="1:8" ht="30" customHeight="1" x14ac:dyDescent="0.15">
      <c r="A2992" s="16" t="s">
        <v>2990</v>
      </c>
      <c r="B2992" s="17" t="s">
        <v>5344</v>
      </c>
      <c r="C2992" s="17" t="s">
        <v>1803</v>
      </c>
      <c r="D2992" s="25" t="s">
        <v>5188</v>
      </c>
      <c r="E2992" s="19" t="s">
        <v>5318</v>
      </c>
      <c r="F2992" s="19" t="s">
        <v>4100</v>
      </c>
      <c r="G2992" s="5" t="str">
        <f>HYPERLINK("http://jsmh.umin.jp/journal/37-3/453-454.pdf")</f>
        <v>http://jsmh.umin.jp/journal/37-3/453-454.pdf</v>
      </c>
      <c r="H2992" s="43" t="str">
        <f t="shared" si="218"/>
        <v>http://dl.ndl.go.jp/info:ndljp/pid/3359332</v>
      </c>
    </row>
    <row r="2993" spans="1:8" ht="30" customHeight="1" x14ac:dyDescent="0.15">
      <c r="A2993" s="16" t="s">
        <v>2990</v>
      </c>
      <c r="B2993" s="17" t="s">
        <v>10201</v>
      </c>
      <c r="C2993" s="17" t="s">
        <v>5345</v>
      </c>
      <c r="D2993" s="25" t="s">
        <v>5188</v>
      </c>
      <c r="E2993" s="19" t="s">
        <v>5318</v>
      </c>
      <c r="F2993" s="19" t="s">
        <v>5346</v>
      </c>
      <c r="G2993" s="5" t="str">
        <f>HYPERLINK("http://jsmh.umin.jp/journal/37-3/454-456.pdf")</f>
        <v>http://jsmh.umin.jp/journal/37-3/454-456.pdf</v>
      </c>
      <c r="H2993" s="43" t="str">
        <f t="shared" si="218"/>
        <v>http://dl.ndl.go.jp/info:ndljp/pid/3359332</v>
      </c>
    </row>
    <row r="2994" spans="1:8" ht="30" customHeight="1" x14ac:dyDescent="0.15">
      <c r="A2994" s="16" t="s">
        <v>2990</v>
      </c>
      <c r="B2994" s="17" t="s">
        <v>5347</v>
      </c>
      <c r="C2994" s="17" t="s">
        <v>992</v>
      </c>
      <c r="D2994" s="25" t="s">
        <v>5188</v>
      </c>
      <c r="E2994" s="19" t="s">
        <v>5318</v>
      </c>
      <c r="F2994" s="19" t="s">
        <v>4107</v>
      </c>
      <c r="G2994" s="5" t="str">
        <f>HYPERLINK("http://jsmh.umin.jp/journal/37-3/456-457.pdf")</f>
        <v>http://jsmh.umin.jp/journal/37-3/456-457.pdf</v>
      </c>
      <c r="H2994" s="43" t="str">
        <f t="shared" si="218"/>
        <v>http://dl.ndl.go.jp/info:ndljp/pid/3359332</v>
      </c>
    </row>
    <row r="2995" spans="1:8" ht="30" customHeight="1" x14ac:dyDescent="0.15">
      <c r="A2995" s="16" t="s">
        <v>2990</v>
      </c>
      <c r="B2995" s="17" t="s">
        <v>5348</v>
      </c>
      <c r="C2995" s="17" t="s">
        <v>5349</v>
      </c>
      <c r="D2995" s="25" t="s">
        <v>5188</v>
      </c>
      <c r="E2995" s="19" t="s">
        <v>5318</v>
      </c>
      <c r="F2995" s="19" t="s">
        <v>4109</v>
      </c>
      <c r="G2995" s="5" t="str">
        <f>HYPERLINK("http://jsmh.umin.jp/journal/37-3/457-458.pdf")</f>
        <v>http://jsmh.umin.jp/journal/37-3/457-458.pdf</v>
      </c>
      <c r="H2995" s="43" t="str">
        <f t="shared" si="218"/>
        <v>http://dl.ndl.go.jp/info:ndljp/pid/3359332</v>
      </c>
    </row>
    <row r="2996" spans="1:8" ht="30" customHeight="1" x14ac:dyDescent="0.15">
      <c r="A2996" s="16" t="s">
        <v>2990</v>
      </c>
      <c r="B2996" s="17" t="s">
        <v>5350</v>
      </c>
      <c r="C2996" s="17" t="s">
        <v>2786</v>
      </c>
      <c r="D2996" s="25" t="s">
        <v>5188</v>
      </c>
      <c r="E2996" s="19" t="s">
        <v>5318</v>
      </c>
      <c r="F2996" s="19" t="s">
        <v>5351</v>
      </c>
      <c r="G2996" s="5" t="str">
        <f>HYPERLINK("http://jsmh.umin.jp/journal/37-3/458-460.pdf")</f>
        <v>http://jsmh.umin.jp/journal/37-3/458-460.pdf</v>
      </c>
      <c r="H2996" s="43" t="str">
        <f t="shared" si="218"/>
        <v>http://dl.ndl.go.jp/info:ndljp/pid/3359332</v>
      </c>
    </row>
    <row r="2997" spans="1:8" ht="30" customHeight="1" x14ac:dyDescent="0.15">
      <c r="A2997" s="16" t="s">
        <v>2990</v>
      </c>
      <c r="B2997" s="17" t="s">
        <v>5352</v>
      </c>
      <c r="C2997" s="17" t="s">
        <v>627</v>
      </c>
      <c r="D2997" s="25" t="s">
        <v>5188</v>
      </c>
      <c r="E2997" s="19" t="s">
        <v>5318</v>
      </c>
      <c r="F2997" s="19" t="s">
        <v>4945</v>
      </c>
      <c r="G2997" s="5" t="str">
        <f>HYPERLINK("http://jsmh.umin.jp/journal/37-3/460-461.pdf")</f>
        <v>http://jsmh.umin.jp/journal/37-3/460-461.pdf</v>
      </c>
      <c r="H2997" s="43" t="str">
        <f t="shared" si="218"/>
        <v>http://dl.ndl.go.jp/info:ndljp/pid/3359332</v>
      </c>
    </row>
    <row r="2998" spans="1:8" ht="30" customHeight="1" x14ac:dyDescent="0.15">
      <c r="A2998" s="16" t="s">
        <v>2990</v>
      </c>
      <c r="B2998" s="17" t="s">
        <v>5353</v>
      </c>
      <c r="C2998" s="17" t="s">
        <v>4517</v>
      </c>
      <c r="D2998" s="25" t="s">
        <v>5188</v>
      </c>
      <c r="E2998" s="19" t="s">
        <v>5318</v>
      </c>
      <c r="F2998" s="19" t="s">
        <v>4947</v>
      </c>
      <c r="G2998" s="5" t="str">
        <f>HYPERLINK("http://jsmh.umin.jp/journal/37-3/461-462.pdf")</f>
        <v>http://jsmh.umin.jp/journal/37-3/461-462.pdf</v>
      </c>
      <c r="H2998" s="43" t="str">
        <f t="shared" si="218"/>
        <v>http://dl.ndl.go.jp/info:ndljp/pid/3359332</v>
      </c>
    </row>
    <row r="2999" spans="1:8" ht="30" customHeight="1" x14ac:dyDescent="0.15">
      <c r="A2999" s="16" t="s">
        <v>2990</v>
      </c>
      <c r="B2999" s="17" t="s">
        <v>5354</v>
      </c>
      <c r="C2999" s="17" t="s">
        <v>2465</v>
      </c>
      <c r="D2999" s="25" t="s">
        <v>5188</v>
      </c>
      <c r="E2999" s="19" t="s">
        <v>5318</v>
      </c>
      <c r="F2999" s="19" t="s">
        <v>5355</v>
      </c>
      <c r="G2999" s="5" t="str">
        <f>HYPERLINK("http://jsmh.umin.jp/journal/37-3/462-464.pdf")</f>
        <v>http://jsmh.umin.jp/journal/37-3/462-464.pdf</v>
      </c>
      <c r="H2999" s="43" t="str">
        <f t="shared" si="218"/>
        <v>http://dl.ndl.go.jp/info:ndljp/pid/3359332</v>
      </c>
    </row>
    <row r="3000" spans="1:8" ht="30" customHeight="1" x14ac:dyDescent="0.15">
      <c r="A3000" s="16" t="s">
        <v>5356</v>
      </c>
      <c r="B3000" s="17" t="s">
        <v>5357</v>
      </c>
      <c r="C3000" s="17" t="s">
        <v>916</v>
      </c>
      <c r="D3000" s="25" t="s">
        <v>5188</v>
      </c>
      <c r="E3000" s="19" t="s">
        <v>5358</v>
      </c>
      <c r="F3000" s="19" t="s">
        <v>5359</v>
      </c>
      <c r="G3000" s="5" t="str">
        <f>HYPERLINK("http://jsmh.umin.jp/journal/37-4/475.pdf")</f>
        <v>http://jsmh.umin.jp/journal/37-4/475.pdf</v>
      </c>
      <c r="H3000" s="42" t="str">
        <f t="shared" ref="H3000:H3023" si="219">HYPERLINK("http://dl.ndl.go.jp/info:ndljp/pid/3359333")</f>
        <v>http://dl.ndl.go.jp/info:ndljp/pid/3359333</v>
      </c>
    </row>
    <row r="3001" spans="1:8" ht="30" customHeight="1" x14ac:dyDescent="0.15">
      <c r="A3001" s="16" t="s">
        <v>17</v>
      </c>
      <c r="B3001" s="17" t="s">
        <v>5360</v>
      </c>
      <c r="C3001" s="17" t="s">
        <v>790</v>
      </c>
      <c r="D3001" s="25" t="s">
        <v>5188</v>
      </c>
      <c r="E3001" s="19" t="s">
        <v>5358</v>
      </c>
      <c r="F3001" s="19" t="s">
        <v>4472</v>
      </c>
      <c r="G3001" s="5" t="str">
        <f>HYPERLINK("http://jsmh.umin.jp/journal/37-4/477-492.pdf")</f>
        <v>http://jsmh.umin.jp/journal/37-4/477-492.pdf</v>
      </c>
      <c r="H3001" s="43" t="str">
        <f t="shared" si="219"/>
        <v>http://dl.ndl.go.jp/info:ndljp/pid/3359333</v>
      </c>
    </row>
    <row r="3002" spans="1:8" ht="30" customHeight="1" x14ac:dyDescent="0.15">
      <c r="A3002" s="16" t="s">
        <v>17</v>
      </c>
      <c r="B3002" s="17" t="s">
        <v>5361</v>
      </c>
      <c r="C3002" s="17" t="s">
        <v>2233</v>
      </c>
      <c r="D3002" s="25" t="s">
        <v>5188</v>
      </c>
      <c r="E3002" s="19" t="s">
        <v>5358</v>
      </c>
      <c r="F3002" s="19" t="s">
        <v>5362</v>
      </c>
      <c r="G3002" s="5" t="str">
        <f>HYPERLINK("http://jsmh.umin.jp/journal/37-4/493-511.pdf")</f>
        <v>http://jsmh.umin.jp/journal/37-4/493-511.pdf</v>
      </c>
      <c r="H3002" s="43" t="str">
        <f t="shared" si="219"/>
        <v>http://dl.ndl.go.jp/info:ndljp/pid/3359333</v>
      </c>
    </row>
    <row r="3003" spans="1:8" ht="30" customHeight="1" x14ac:dyDescent="0.15">
      <c r="A3003" s="16" t="s">
        <v>17</v>
      </c>
      <c r="B3003" s="17" t="s">
        <v>5363</v>
      </c>
      <c r="C3003" s="17" t="s">
        <v>3485</v>
      </c>
      <c r="D3003" s="25" t="s">
        <v>5188</v>
      </c>
      <c r="E3003" s="19" t="s">
        <v>5358</v>
      </c>
      <c r="F3003" s="19" t="s">
        <v>5364</v>
      </c>
      <c r="G3003" s="5" t="str">
        <f>HYPERLINK("http://jsmh.umin.jp/journal/37-4/513-533.pdf")</f>
        <v>http://jsmh.umin.jp/journal/37-4/513-533.pdf</v>
      </c>
      <c r="H3003" s="43" t="str">
        <f t="shared" si="219"/>
        <v>http://dl.ndl.go.jp/info:ndljp/pid/3359333</v>
      </c>
    </row>
    <row r="3004" spans="1:8" ht="30" customHeight="1" x14ac:dyDescent="0.15">
      <c r="A3004" s="16" t="s">
        <v>17</v>
      </c>
      <c r="B3004" s="17" t="s">
        <v>5365</v>
      </c>
      <c r="C3004" s="17" t="s">
        <v>5075</v>
      </c>
      <c r="D3004" s="25" t="s">
        <v>5188</v>
      </c>
      <c r="E3004" s="19" t="s">
        <v>5358</v>
      </c>
      <c r="F3004" s="19" t="s">
        <v>5366</v>
      </c>
      <c r="G3004" s="5" t="str">
        <f>HYPERLINK("http://jsmh.umin.jp/journal/37-4/535-566.pdf")</f>
        <v>http://jsmh.umin.jp/journal/37-4/535-566.pdf</v>
      </c>
      <c r="H3004" s="43" t="str">
        <f t="shared" si="219"/>
        <v>http://dl.ndl.go.jp/info:ndljp/pid/3359333</v>
      </c>
    </row>
    <row r="3005" spans="1:8" ht="30" customHeight="1" x14ac:dyDescent="0.15">
      <c r="A3005" s="16" t="s">
        <v>17</v>
      </c>
      <c r="B3005" s="17" t="s">
        <v>5367</v>
      </c>
      <c r="C3005" s="17" t="s">
        <v>3644</v>
      </c>
      <c r="D3005" s="25" t="s">
        <v>5188</v>
      </c>
      <c r="E3005" s="19" t="s">
        <v>5358</v>
      </c>
      <c r="F3005" s="19" t="s">
        <v>5368</v>
      </c>
      <c r="G3005" s="5" t="str">
        <f>HYPERLINK("http://jsmh.umin.jp/journal/37-4/567-582.pdf")</f>
        <v>http://jsmh.umin.jp/journal/37-4/567-582.pdf</v>
      </c>
      <c r="H3005" s="43" t="str">
        <f t="shared" si="219"/>
        <v>http://dl.ndl.go.jp/info:ndljp/pid/3359333</v>
      </c>
    </row>
    <row r="3006" spans="1:8" ht="30" customHeight="1" x14ac:dyDescent="0.15">
      <c r="A3006" s="16" t="s">
        <v>692</v>
      </c>
      <c r="B3006" s="17" t="s">
        <v>5369</v>
      </c>
      <c r="C3006" s="17" t="s">
        <v>4482</v>
      </c>
      <c r="D3006" s="25" t="s">
        <v>5188</v>
      </c>
      <c r="E3006" s="19" t="s">
        <v>5358</v>
      </c>
      <c r="F3006" s="19" t="s">
        <v>5370</v>
      </c>
      <c r="G3006" s="5" t="str">
        <f>HYPERLINK("http://jsmh.umin.jp/journal/37-4/583-590.pdf")</f>
        <v>http://jsmh.umin.jp/journal/37-4/583-590.pdf</v>
      </c>
      <c r="H3006" s="43" t="str">
        <f t="shared" si="219"/>
        <v>http://dl.ndl.go.jp/info:ndljp/pid/3359333</v>
      </c>
    </row>
    <row r="3007" spans="1:8" ht="30" customHeight="1" x14ac:dyDescent="0.15">
      <c r="A3007" s="16" t="s">
        <v>27</v>
      </c>
      <c r="B3007" s="17" t="s">
        <v>5371</v>
      </c>
      <c r="C3007" s="17" t="s">
        <v>1764</v>
      </c>
      <c r="D3007" s="25" t="s">
        <v>5188</v>
      </c>
      <c r="E3007" s="19" t="s">
        <v>5358</v>
      </c>
      <c r="F3007" s="19" t="s">
        <v>5372</v>
      </c>
      <c r="G3007" s="5" t="str">
        <f>HYPERLINK("http://jsmh.umin.jp/journal/37-4/591-609.pdf")</f>
        <v>http://jsmh.umin.jp/journal/37-4/591-609.pdf</v>
      </c>
      <c r="H3007" s="43" t="str">
        <f t="shared" si="219"/>
        <v>http://dl.ndl.go.jp/info:ndljp/pid/3359333</v>
      </c>
    </row>
    <row r="3008" spans="1:8" ht="30" customHeight="1" x14ac:dyDescent="0.15">
      <c r="A3008" s="16" t="s">
        <v>3223</v>
      </c>
      <c r="B3008" s="17" t="s">
        <v>5373</v>
      </c>
      <c r="C3008" s="17" t="s">
        <v>1070</v>
      </c>
      <c r="D3008" s="25" t="s">
        <v>5188</v>
      </c>
      <c r="E3008" s="19" t="s">
        <v>5358</v>
      </c>
      <c r="F3008" s="19" t="s">
        <v>5374</v>
      </c>
      <c r="G3008" s="5" t="str">
        <f>HYPERLINK("http://jsmh.umin.jp/journal/37-4/611-614.pdf")</f>
        <v>http://jsmh.umin.jp/journal/37-4/611-614.pdf</v>
      </c>
      <c r="H3008" s="43" t="str">
        <f t="shared" si="219"/>
        <v>http://dl.ndl.go.jp/info:ndljp/pid/3359333</v>
      </c>
    </row>
    <row r="3009" spans="1:8" ht="30" customHeight="1" x14ac:dyDescent="0.15">
      <c r="A3009" s="16" t="s">
        <v>692</v>
      </c>
      <c r="B3009" s="17" t="s">
        <v>5375</v>
      </c>
      <c r="C3009" s="17" t="s">
        <v>5080</v>
      </c>
      <c r="D3009" s="25" t="s">
        <v>5188</v>
      </c>
      <c r="E3009" s="19" t="s">
        <v>5358</v>
      </c>
      <c r="F3009" s="19" t="s">
        <v>5376</v>
      </c>
      <c r="G3009" s="5" t="str">
        <f>HYPERLINK("http://jsmh.umin.jp/journal/37-4/615-623.pdf")</f>
        <v>http://jsmh.umin.jp/journal/37-4/615-623.pdf</v>
      </c>
      <c r="H3009" s="43" t="str">
        <f t="shared" si="219"/>
        <v>http://dl.ndl.go.jp/info:ndljp/pid/3359333</v>
      </c>
    </row>
    <row r="3010" spans="1:8" ht="30" customHeight="1" x14ac:dyDescent="0.15">
      <c r="A3010" s="16" t="s">
        <v>692</v>
      </c>
      <c r="B3010" s="17" t="s">
        <v>5377</v>
      </c>
      <c r="C3010" s="17" t="s">
        <v>4870</v>
      </c>
      <c r="D3010" s="25" t="s">
        <v>5188</v>
      </c>
      <c r="E3010" s="19" t="s">
        <v>5358</v>
      </c>
      <c r="F3010" s="19" t="s">
        <v>5378</v>
      </c>
      <c r="G3010" s="5" t="str">
        <f>HYPERLINK("http://jsmh.umin.jp/journal/37-4/625-647.pdf")</f>
        <v>http://jsmh.umin.jp/journal/37-4/625-647.pdf</v>
      </c>
      <c r="H3010" s="43" t="str">
        <f t="shared" si="219"/>
        <v>http://dl.ndl.go.jp/info:ndljp/pid/3359333</v>
      </c>
    </row>
    <row r="3011" spans="1:8" ht="30" customHeight="1" x14ac:dyDescent="0.15">
      <c r="A3011" s="16" t="s">
        <v>558</v>
      </c>
      <c r="B3011" s="17" t="s">
        <v>5379</v>
      </c>
      <c r="C3011" s="17"/>
      <c r="D3011" s="25" t="s">
        <v>5188</v>
      </c>
      <c r="E3011" s="19" t="s">
        <v>5358</v>
      </c>
      <c r="F3011" s="19" t="s">
        <v>5380</v>
      </c>
      <c r="G3011" s="5" t="str">
        <f>HYPERLINK("http://jsmh.umin.jp/journal/37-4/649-650.pdf")</f>
        <v>http://jsmh.umin.jp/journal/37-4/649-650.pdf</v>
      </c>
      <c r="H3011" s="43" t="str">
        <f t="shared" si="219"/>
        <v>http://dl.ndl.go.jp/info:ndljp/pid/3359333</v>
      </c>
    </row>
    <row r="3012" spans="1:8" ht="30" customHeight="1" x14ac:dyDescent="0.15">
      <c r="A3012" s="16" t="s">
        <v>558</v>
      </c>
      <c r="B3012" s="17" t="s">
        <v>5381</v>
      </c>
      <c r="C3012" s="17"/>
      <c r="D3012" s="25" t="s">
        <v>5188</v>
      </c>
      <c r="E3012" s="19" t="s">
        <v>5358</v>
      </c>
      <c r="F3012" s="19" t="s">
        <v>5382</v>
      </c>
      <c r="G3012" s="5" t="str">
        <f>HYPERLINK("http://jsmh.umin.jp/journal/37-4/649.pdf")</f>
        <v>http://jsmh.umin.jp/journal/37-4/649.pdf</v>
      </c>
      <c r="H3012" s="43" t="str">
        <f t="shared" si="219"/>
        <v>http://dl.ndl.go.jp/info:ndljp/pid/3359333</v>
      </c>
    </row>
    <row r="3013" spans="1:8" ht="30" customHeight="1" x14ac:dyDescent="0.15">
      <c r="A3013" s="16" t="s">
        <v>558</v>
      </c>
      <c r="B3013" s="17" t="s">
        <v>5383</v>
      </c>
      <c r="C3013" s="17"/>
      <c r="D3013" s="25" t="s">
        <v>5188</v>
      </c>
      <c r="E3013" s="19" t="s">
        <v>5358</v>
      </c>
      <c r="F3013" s="19" t="s">
        <v>5382</v>
      </c>
      <c r="G3013" s="5" t="str">
        <f>HYPERLINK("http://jsmh.umin.jp/journal/37-4/649.pdf")</f>
        <v>http://jsmh.umin.jp/journal/37-4/649.pdf</v>
      </c>
      <c r="H3013" s="43" t="str">
        <f t="shared" si="219"/>
        <v>http://dl.ndl.go.jp/info:ndljp/pid/3359333</v>
      </c>
    </row>
    <row r="3014" spans="1:8" ht="30" customHeight="1" x14ac:dyDescent="0.15">
      <c r="A3014" s="16" t="s">
        <v>558</v>
      </c>
      <c r="B3014" s="17" t="s">
        <v>5384</v>
      </c>
      <c r="C3014" s="17"/>
      <c r="D3014" s="25" t="s">
        <v>5188</v>
      </c>
      <c r="E3014" s="19" t="s">
        <v>5358</v>
      </c>
      <c r="F3014" s="19" t="s">
        <v>5382</v>
      </c>
      <c r="G3014" s="5" t="str">
        <f>HYPERLINK("http://jsmh.umin.jp/journal/37-4/649.pdf")</f>
        <v>http://jsmh.umin.jp/journal/37-4/649.pdf</v>
      </c>
      <c r="H3014" s="43" t="str">
        <f t="shared" si="219"/>
        <v>http://dl.ndl.go.jp/info:ndljp/pid/3359333</v>
      </c>
    </row>
    <row r="3015" spans="1:8" ht="30" customHeight="1" x14ac:dyDescent="0.15">
      <c r="A3015" s="16" t="s">
        <v>3720</v>
      </c>
      <c r="B3015" s="17" t="s">
        <v>5385</v>
      </c>
      <c r="C3015" s="17" t="s">
        <v>1534</v>
      </c>
      <c r="D3015" s="25" t="s">
        <v>5188</v>
      </c>
      <c r="E3015" s="19" t="s">
        <v>5358</v>
      </c>
      <c r="F3015" s="19" t="s">
        <v>5386</v>
      </c>
      <c r="G3015" s="5" t="str">
        <f>HYPERLINK("http://jsmh.umin.jp/journal/37-4/650-652.pdf")</f>
        <v>http://jsmh.umin.jp/journal/37-4/650-652.pdf</v>
      </c>
      <c r="H3015" s="43" t="str">
        <f t="shared" si="219"/>
        <v>http://dl.ndl.go.jp/info:ndljp/pid/3359333</v>
      </c>
    </row>
    <row r="3016" spans="1:8" ht="30" customHeight="1" x14ac:dyDescent="0.15">
      <c r="A3016" s="16" t="s">
        <v>558</v>
      </c>
      <c r="B3016" s="17" t="s">
        <v>537</v>
      </c>
      <c r="C3016" s="17"/>
      <c r="D3016" s="25" t="s">
        <v>5188</v>
      </c>
      <c r="E3016" s="19" t="s">
        <v>5358</v>
      </c>
      <c r="F3016" s="19" t="s">
        <v>5387</v>
      </c>
      <c r="G3016" s="5" t="str">
        <f>HYPERLINK("http://jsmh.umin.jp/journal/37-4/650.pdf")</f>
        <v>http://jsmh.umin.jp/journal/37-4/650.pdf</v>
      </c>
      <c r="H3016" s="43" t="str">
        <f t="shared" si="219"/>
        <v>http://dl.ndl.go.jp/info:ndljp/pid/3359333</v>
      </c>
    </row>
    <row r="3017" spans="1:8" ht="30" customHeight="1" x14ac:dyDescent="0.15">
      <c r="A3017" s="16" t="s">
        <v>2990</v>
      </c>
      <c r="B3017" s="17" t="s">
        <v>5388</v>
      </c>
      <c r="C3017" s="17" t="s">
        <v>479</v>
      </c>
      <c r="D3017" s="25" t="s">
        <v>5188</v>
      </c>
      <c r="E3017" s="19" t="s">
        <v>5358</v>
      </c>
      <c r="F3017" s="19" t="s">
        <v>5389</v>
      </c>
      <c r="G3017" s="5" t="str">
        <f>HYPERLINK("http://jsmh.umin.jp/journal/37-4/653-654.pdf")</f>
        <v>http://jsmh.umin.jp/journal/37-4/653-654.pdf</v>
      </c>
      <c r="H3017" s="43" t="str">
        <f t="shared" si="219"/>
        <v>http://dl.ndl.go.jp/info:ndljp/pid/3359333</v>
      </c>
    </row>
    <row r="3018" spans="1:8" ht="30" customHeight="1" x14ac:dyDescent="0.15">
      <c r="A3018" s="16" t="s">
        <v>2990</v>
      </c>
      <c r="B3018" s="17" t="s">
        <v>5390</v>
      </c>
      <c r="C3018" s="17" t="s">
        <v>2881</v>
      </c>
      <c r="D3018" s="25" t="s">
        <v>5188</v>
      </c>
      <c r="E3018" s="19" t="s">
        <v>5358</v>
      </c>
      <c r="F3018" s="19" t="s">
        <v>5391</v>
      </c>
      <c r="G3018" s="5" t="str">
        <f>HYPERLINK("http://jsmh.umin.jp/journal/37-4/654-655.pdf")</f>
        <v>http://jsmh.umin.jp/journal/37-4/654-655.pdf</v>
      </c>
      <c r="H3018" s="43" t="str">
        <f t="shared" si="219"/>
        <v>http://dl.ndl.go.jp/info:ndljp/pid/3359333</v>
      </c>
    </row>
    <row r="3019" spans="1:8" ht="30" customHeight="1" x14ac:dyDescent="0.15">
      <c r="A3019" s="16" t="s">
        <v>2990</v>
      </c>
      <c r="B3019" s="17" t="s">
        <v>5392</v>
      </c>
      <c r="C3019" s="17" t="s">
        <v>4585</v>
      </c>
      <c r="D3019" s="25" t="s">
        <v>5188</v>
      </c>
      <c r="E3019" s="19" t="s">
        <v>5358</v>
      </c>
      <c r="F3019" s="19" t="s">
        <v>5393</v>
      </c>
      <c r="G3019" s="5" t="str">
        <f>HYPERLINK("http://jsmh.umin.jp/journal/37-4/655-656.pdf")</f>
        <v>http://jsmh.umin.jp/journal/37-4/655-656.pdf</v>
      </c>
      <c r="H3019" s="43" t="str">
        <f t="shared" si="219"/>
        <v>http://dl.ndl.go.jp/info:ndljp/pid/3359333</v>
      </c>
    </row>
    <row r="3020" spans="1:8" ht="30" customHeight="1" x14ac:dyDescent="0.15">
      <c r="A3020" s="16" t="s">
        <v>2990</v>
      </c>
      <c r="B3020" s="17" t="s">
        <v>10202</v>
      </c>
      <c r="C3020" s="17" t="s">
        <v>3010</v>
      </c>
      <c r="D3020" s="25" t="s">
        <v>5188</v>
      </c>
      <c r="E3020" s="19" t="s">
        <v>5358</v>
      </c>
      <c r="F3020" s="19" t="s">
        <v>5394</v>
      </c>
      <c r="G3020" s="5" t="str">
        <f>HYPERLINK("http://jsmh.umin.jp/journal/37-4/656-658.pdf")</f>
        <v>http://jsmh.umin.jp/journal/37-4/656-658.pdf</v>
      </c>
      <c r="H3020" s="43" t="str">
        <f t="shared" si="219"/>
        <v>http://dl.ndl.go.jp/info:ndljp/pid/3359333</v>
      </c>
    </row>
    <row r="3021" spans="1:8" ht="30" customHeight="1" x14ac:dyDescent="0.15">
      <c r="A3021" s="16" t="s">
        <v>2990</v>
      </c>
      <c r="B3021" s="17" t="s">
        <v>5395</v>
      </c>
      <c r="C3021" s="17" t="s">
        <v>3301</v>
      </c>
      <c r="D3021" s="25" t="s">
        <v>5188</v>
      </c>
      <c r="E3021" s="19" t="s">
        <v>5358</v>
      </c>
      <c r="F3021" s="19" t="s">
        <v>5396</v>
      </c>
      <c r="G3021" s="5" t="str">
        <f>HYPERLINK("http://jsmh.umin.jp/journal/37-4/658-659.pdf")</f>
        <v>http://jsmh.umin.jp/journal/37-4/658-659.pdf</v>
      </c>
      <c r="H3021" s="43" t="str">
        <f t="shared" si="219"/>
        <v>http://dl.ndl.go.jp/info:ndljp/pid/3359333</v>
      </c>
    </row>
    <row r="3022" spans="1:8" ht="30" customHeight="1" x14ac:dyDescent="0.15">
      <c r="A3022" s="16" t="s">
        <v>2990</v>
      </c>
      <c r="B3022" s="17" t="s">
        <v>5397</v>
      </c>
      <c r="C3022" s="17" t="s">
        <v>4897</v>
      </c>
      <c r="D3022" s="25" t="s">
        <v>5188</v>
      </c>
      <c r="E3022" s="19" t="s">
        <v>5358</v>
      </c>
      <c r="F3022" s="19" t="s">
        <v>5398</v>
      </c>
      <c r="G3022" s="5" t="str">
        <f>HYPERLINK("http://jsmh.umin.jp/journal/37-4/660-661.pdf")</f>
        <v>http://jsmh.umin.jp/journal/37-4/660-661.pdf</v>
      </c>
      <c r="H3022" s="43" t="str">
        <f t="shared" si="219"/>
        <v>http://dl.ndl.go.jp/info:ndljp/pid/3359333</v>
      </c>
    </row>
    <row r="3023" spans="1:8" ht="30" customHeight="1" x14ac:dyDescent="0.15">
      <c r="A3023" s="16" t="s">
        <v>2990</v>
      </c>
      <c r="B3023" s="17" t="s">
        <v>5399</v>
      </c>
      <c r="C3023" s="17" t="s">
        <v>1659</v>
      </c>
      <c r="D3023" s="25" t="s">
        <v>5188</v>
      </c>
      <c r="E3023" s="19" t="s">
        <v>5358</v>
      </c>
      <c r="F3023" s="19" t="s">
        <v>5400</v>
      </c>
      <c r="G3023" s="5" t="str">
        <f>HYPERLINK("http://jsmh.umin.jp/journal/37-4/661-662.pdf")</f>
        <v>http://jsmh.umin.jp/journal/37-4/661-662.pdf</v>
      </c>
      <c r="H3023" s="43" t="str">
        <f t="shared" si="219"/>
        <v>http://dl.ndl.go.jp/info:ndljp/pid/3359333</v>
      </c>
    </row>
    <row r="3024" spans="1:8" ht="30" customHeight="1" x14ac:dyDescent="0.15">
      <c r="A3024" s="16" t="s">
        <v>5356</v>
      </c>
      <c r="B3024" s="17" t="s">
        <v>5401</v>
      </c>
      <c r="C3024" s="17" t="s">
        <v>444</v>
      </c>
      <c r="D3024" s="18" t="s">
        <v>5402</v>
      </c>
      <c r="E3024" s="19" t="s">
        <v>5403</v>
      </c>
      <c r="F3024" s="19" t="s">
        <v>5404</v>
      </c>
      <c r="G3024" s="26" t="str">
        <f>HYPERLINK("http://jsmh.umin.jp/journal/38-1/3-4.pdf")</f>
        <v>http://jsmh.umin.jp/journal/38-1/3-4.pdf</v>
      </c>
      <c r="H3024" s="42" t="str">
        <f t="shared" ref="H3024:H3042" si="220">HYPERLINK("http://dl.ndl.go.jp/info:ndljp/pid/3359334")</f>
        <v>http://dl.ndl.go.jp/info:ndljp/pid/3359334</v>
      </c>
    </row>
    <row r="3025" spans="1:8" ht="30" customHeight="1" x14ac:dyDescent="0.15">
      <c r="A3025" s="16" t="s">
        <v>17</v>
      </c>
      <c r="B3025" s="17" t="s">
        <v>5405</v>
      </c>
      <c r="C3025" s="17" t="s">
        <v>1097</v>
      </c>
      <c r="D3025" s="25" t="s">
        <v>5402</v>
      </c>
      <c r="E3025" s="19" t="s">
        <v>5403</v>
      </c>
      <c r="F3025" s="19" t="s">
        <v>5406</v>
      </c>
      <c r="G3025" s="5" t="str">
        <f>HYPERLINK("http://jsmh.umin.jp/journal/38-1/5-24.pdf")</f>
        <v>http://jsmh.umin.jp/journal/38-1/5-24.pdf</v>
      </c>
      <c r="H3025" s="43" t="str">
        <f t="shared" si="220"/>
        <v>http://dl.ndl.go.jp/info:ndljp/pid/3359334</v>
      </c>
    </row>
    <row r="3026" spans="1:8" ht="30" customHeight="1" x14ac:dyDescent="0.15">
      <c r="A3026" s="16" t="s">
        <v>17</v>
      </c>
      <c r="B3026" s="17" t="s">
        <v>5407</v>
      </c>
      <c r="C3026" s="17" t="s">
        <v>627</v>
      </c>
      <c r="D3026" s="25" t="s">
        <v>5402</v>
      </c>
      <c r="E3026" s="19" t="s">
        <v>5403</v>
      </c>
      <c r="F3026" s="19" t="s">
        <v>5408</v>
      </c>
      <c r="G3026" s="5" t="str">
        <f>HYPERLINK("http://jsmh.umin.jp/journal/38-1/25-47.pdf")</f>
        <v>http://jsmh.umin.jp/journal/38-1/25-47.pdf</v>
      </c>
      <c r="H3026" s="43" t="str">
        <f t="shared" si="220"/>
        <v>http://dl.ndl.go.jp/info:ndljp/pid/3359334</v>
      </c>
    </row>
    <row r="3027" spans="1:8" ht="30" customHeight="1" x14ac:dyDescent="0.15">
      <c r="A3027" s="16" t="s">
        <v>17</v>
      </c>
      <c r="B3027" s="17" t="s">
        <v>5409</v>
      </c>
      <c r="C3027" s="17" t="s">
        <v>5410</v>
      </c>
      <c r="D3027" s="25" t="s">
        <v>5402</v>
      </c>
      <c r="E3027" s="19" t="s">
        <v>5403</v>
      </c>
      <c r="F3027" s="19" t="s">
        <v>5411</v>
      </c>
      <c r="G3027" s="5" t="str">
        <f>HYPERLINK("http://jsmh.umin.jp/journal/38-1/49-83.pdf")</f>
        <v>http://jsmh.umin.jp/journal/38-1/49-83.pdf</v>
      </c>
      <c r="H3027" s="43" t="str">
        <f t="shared" si="220"/>
        <v>http://dl.ndl.go.jp/info:ndljp/pid/3359334</v>
      </c>
    </row>
    <row r="3028" spans="1:8" ht="30" customHeight="1" x14ac:dyDescent="0.15">
      <c r="A3028" s="16" t="s">
        <v>17</v>
      </c>
      <c r="B3028" s="17" t="s">
        <v>5412</v>
      </c>
      <c r="C3028" s="17" t="s">
        <v>2233</v>
      </c>
      <c r="D3028" s="25" t="s">
        <v>5402</v>
      </c>
      <c r="E3028" s="19" t="s">
        <v>5403</v>
      </c>
      <c r="F3028" s="19" t="s">
        <v>5413</v>
      </c>
      <c r="G3028" s="5" t="str">
        <f>HYPERLINK("http://jsmh.umin.jp/journal/38-1/85-104.pdf")</f>
        <v>http://jsmh.umin.jp/journal/38-1/85-104.pdf</v>
      </c>
      <c r="H3028" s="43" t="str">
        <f t="shared" si="220"/>
        <v>http://dl.ndl.go.jp/info:ndljp/pid/3359334</v>
      </c>
    </row>
    <row r="3029" spans="1:8" ht="30" customHeight="1" x14ac:dyDescent="0.15">
      <c r="A3029" s="16" t="s">
        <v>17</v>
      </c>
      <c r="B3029" s="17" t="s">
        <v>5414</v>
      </c>
      <c r="C3029" s="17" t="s">
        <v>925</v>
      </c>
      <c r="D3029" s="25" t="s">
        <v>5402</v>
      </c>
      <c r="E3029" s="19" t="s">
        <v>5403</v>
      </c>
      <c r="F3029" s="19" t="s">
        <v>5415</v>
      </c>
      <c r="G3029" s="5" t="str">
        <f>HYPERLINK("http://jsmh.umin.jp/journal/38-1/105-120.pdf")</f>
        <v>http://jsmh.umin.jp/journal/38-1/105-120.pdf</v>
      </c>
      <c r="H3029" s="43" t="str">
        <f t="shared" si="220"/>
        <v>http://dl.ndl.go.jp/info:ndljp/pid/3359334</v>
      </c>
    </row>
    <row r="3030" spans="1:8" ht="30" customHeight="1" x14ac:dyDescent="0.15">
      <c r="A3030" s="16" t="s">
        <v>692</v>
      </c>
      <c r="B3030" s="17" t="s">
        <v>5416</v>
      </c>
      <c r="C3030" s="17" t="s">
        <v>599</v>
      </c>
      <c r="D3030" s="25" t="s">
        <v>5402</v>
      </c>
      <c r="E3030" s="19" t="s">
        <v>5403</v>
      </c>
      <c r="F3030" s="19" t="s">
        <v>5417</v>
      </c>
      <c r="G3030" s="5" t="str">
        <f>HYPERLINK("http://jsmh.umin.jp/journal/38-1/121-132.pdf")</f>
        <v>http://jsmh.umin.jp/journal/38-1/121-132.pdf</v>
      </c>
      <c r="H3030" s="43" t="str">
        <f t="shared" si="220"/>
        <v>http://dl.ndl.go.jp/info:ndljp/pid/3359334</v>
      </c>
    </row>
    <row r="3031" spans="1:8" ht="30" customHeight="1" x14ac:dyDescent="0.15">
      <c r="A3031" s="16" t="s">
        <v>17</v>
      </c>
      <c r="B3031" s="17" t="s">
        <v>5418</v>
      </c>
      <c r="C3031" s="17" t="s">
        <v>2881</v>
      </c>
      <c r="D3031" s="25" t="s">
        <v>5402</v>
      </c>
      <c r="E3031" s="19" t="s">
        <v>5403</v>
      </c>
      <c r="F3031" s="19" t="s">
        <v>5419</v>
      </c>
      <c r="G3031" s="5" t="str">
        <f>HYPERLINK("http://jsmh.umin.jp/journal/38-1/133-163.pdf")</f>
        <v>http://jsmh.umin.jp/journal/38-1/133-163.pdf</v>
      </c>
      <c r="H3031" s="43" t="str">
        <f t="shared" si="220"/>
        <v>http://dl.ndl.go.jp/info:ndljp/pid/3359334</v>
      </c>
    </row>
    <row r="3032" spans="1:8" ht="30" customHeight="1" x14ac:dyDescent="0.15">
      <c r="A3032" s="16" t="s">
        <v>27</v>
      </c>
      <c r="B3032" s="17" t="s">
        <v>5420</v>
      </c>
      <c r="C3032" s="17" t="s">
        <v>2325</v>
      </c>
      <c r="D3032" s="25" t="s">
        <v>5402</v>
      </c>
      <c r="E3032" s="19" t="s">
        <v>5403</v>
      </c>
      <c r="F3032" s="19" t="s">
        <v>1844</v>
      </c>
      <c r="G3032" s="5" t="str">
        <f>HYPERLINK("http://jsmh.umin.jp/journal/38-1/165-173.pdf")</f>
        <v>http://jsmh.umin.jp/journal/38-1/165-173.pdf</v>
      </c>
      <c r="H3032" s="43" t="str">
        <f t="shared" si="220"/>
        <v>http://dl.ndl.go.jp/info:ndljp/pid/3359334</v>
      </c>
    </row>
    <row r="3033" spans="1:8" ht="30" customHeight="1" x14ac:dyDescent="0.15">
      <c r="A3033" s="16" t="s">
        <v>3223</v>
      </c>
      <c r="B3033" s="17" t="s">
        <v>5421</v>
      </c>
      <c r="C3033" s="17" t="s">
        <v>2233</v>
      </c>
      <c r="D3033" s="25" t="s">
        <v>5402</v>
      </c>
      <c r="E3033" s="19" t="s">
        <v>5403</v>
      </c>
      <c r="F3033" s="19" t="s">
        <v>2924</v>
      </c>
      <c r="G3033" s="5" t="str">
        <f>HYPERLINK("http://jsmh.umin.jp/journal/38-1/175-177.pdf")</f>
        <v>http://jsmh.umin.jp/journal/38-1/175-177.pdf</v>
      </c>
      <c r="H3033" s="43" t="str">
        <f t="shared" si="220"/>
        <v>http://dl.ndl.go.jp/info:ndljp/pid/3359334</v>
      </c>
    </row>
    <row r="3034" spans="1:8" ht="30" customHeight="1" x14ac:dyDescent="0.15">
      <c r="A3034" s="16" t="s">
        <v>558</v>
      </c>
      <c r="B3034" s="17" t="s">
        <v>5422</v>
      </c>
      <c r="C3034" s="17"/>
      <c r="D3034" s="25" t="s">
        <v>5402</v>
      </c>
      <c r="E3034" s="19" t="s">
        <v>5403</v>
      </c>
      <c r="F3034" s="19" t="s">
        <v>2928</v>
      </c>
      <c r="G3034" s="5" t="str">
        <f>HYPERLINK("http://jsmh.umin.jp/journal/38-1/181-182.pdf")</f>
        <v>http://jsmh.umin.jp/journal/38-1/181-182.pdf</v>
      </c>
      <c r="H3034" s="43" t="str">
        <f t="shared" si="220"/>
        <v>http://dl.ndl.go.jp/info:ndljp/pid/3359334</v>
      </c>
    </row>
    <row r="3035" spans="1:8" ht="30" customHeight="1" x14ac:dyDescent="0.15">
      <c r="A3035" s="16" t="s">
        <v>558</v>
      </c>
      <c r="B3035" s="17" t="s">
        <v>537</v>
      </c>
      <c r="C3035" s="17"/>
      <c r="D3035" s="25" t="s">
        <v>5402</v>
      </c>
      <c r="E3035" s="19" t="s">
        <v>5403</v>
      </c>
      <c r="F3035" s="19" t="s">
        <v>1715</v>
      </c>
      <c r="G3035" s="5" t="str">
        <f>HYPERLINK("http://jsmh.umin.jp/journal/38-1/182-183.pdf")</f>
        <v>http://jsmh.umin.jp/journal/38-1/182-183.pdf</v>
      </c>
      <c r="H3035" s="43" t="str">
        <f t="shared" si="220"/>
        <v>http://dl.ndl.go.jp/info:ndljp/pid/3359334</v>
      </c>
    </row>
    <row r="3036" spans="1:8" ht="30" customHeight="1" x14ac:dyDescent="0.15">
      <c r="A3036" s="16" t="s">
        <v>558</v>
      </c>
      <c r="B3036" s="17" t="s">
        <v>1396</v>
      </c>
      <c r="C3036" s="17"/>
      <c r="D3036" s="25" t="s">
        <v>5402</v>
      </c>
      <c r="E3036" s="19" t="s">
        <v>5403</v>
      </c>
      <c r="F3036" s="19" t="s">
        <v>1717</v>
      </c>
      <c r="G3036" s="5" t="str">
        <f>HYPERLINK("http://jsmh.umin.jp/journal/38-1/182.pdf")</f>
        <v>http://jsmh.umin.jp/journal/38-1/182.pdf</v>
      </c>
      <c r="H3036" s="43" t="str">
        <f t="shared" si="220"/>
        <v>http://dl.ndl.go.jp/info:ndljp/pid/3359334</v>
      </c>
    </row>
    <row r="3037" spans="1:8" ht="30" customHeight="1" x14ac:dyDescent="0.15">
      <c r="A3037" s="16" t="s">
        <v>2990</v>
      </c>
      <c r="B3037" s="17" t="s">
        <v>5423</v>
      </c>
      <c r="C3037" s="17" t="s">
        <v>444</v>
      </c>
      <c r="D3037" s="25" t="s">
        <v>5402</v>
      </c>
      <c r="E3037" s="19" t="s">
        <v>5403</v>
      </c>
      <c r="F3037" s="19" t="s">
        <v>5064</v>
      </c>
      <c r="G3037" s="5" t="str">
        <f>HYPERLINK("http://jsmh.umin.jp/journal/38-1/183-184.pdf")</f>
        <v>http://jsmh.umin.jp/journal/38-1/183-184.pdf</v>
      </c>
      <c r="H3037" s="43" t="str">
        <f t="shared" si="220"/>
        <v>http://dl.ndl.go.jp/info:ndljp/pid/3359334</v>
      </c>
    </row>
    <row r="3038" spans="1:8" ht="30" customHeight="1" x14ac:dyDescent="0.15">
      <c r="A3038" s="16" t="s">
        <v>2990</v>
      </c>
      <c r="B3038" s="17" t="s">
        <v>5424</v>
      </c>
      <c r="C3038" s="17" t="s">
        <v>4703</v>
      </c>
      <c r="D3038" s="25" t="s">
        <v>5402</v>
      </c>
      <c r="E3038" s="19" t="s">
        <v>5403</v>
      </c>
      <c r="F3038" s="19" t="s">
        <v>2574</v>
      </c>
      <c r="G3038" s="5" t="str">
        <f>HYPERLINK("http://jsmh.umin.jp/journal/38-1/185-186.pdf")</f>
        <v>http://jsmh.umin.jp/journal/38-1/185-186.pdf</v>
      </c>
      <c r="H3038" s="43" t="str">
        <f t="shared" si="220"/>
        <v>http://dl.ndl.go.jp/info:ndljp/pid/3359334</v>
      </c>
    </row>
    <row r="3039" spans="1:8" ht="30" customHeight="1" x14ac:dyDescent="0.15">
      <c r="A3039" s="16" t="s">
        <v>2990</v>
      </c>
      <c r="B3039" s="17" t="s">
        <v>5425</v>
      </c>
      <c r="C3039" s="17" t="s">
        <v>2676</v>
      </c>
      <c r="D3039" s="25" t="s">
        <v>5402</v>
      </c>
      <c r="E3039" s="19" t="s">
        <v>5403</v>
      </c>
      <c r="F3039" s="19" t="s">
        <v>1721</v>
      </c>
      <c r="G3039" s="5" t="str">
        <f>HYPERLINK("http://jsmh.umin.jp/journal/38-1/186-187.pdf")</f>
        <v>http://jsmh.umin.jp/journal/38-1/186-187.pdf</v>
      </c>
      <c r="H3039" s="43" t="str">
        <f t="shared" si="220"/>
        <v>http://dl.ndl.go.jp/info:ndljp/pid/3359334</v>
      </c>
    </row>
    <row r="3040" spans="1:8" ht="30" customHeight="1" x14ac:dyDescent="0.15">
      <c r="A3040" s="16" t="s">
        <v>2990</v>
      </c>
      <c r="B3040" s="17" t="s">
        <v>5426</v>
      </c>
      <c r="C3040" s="17" t="s">
        <v>5427</v>
      </c>
      <c r="D3040" s="25" t="s">
        <v>5402</v>
      </c>
      <c r="E3040" s="19" t="s">
        <v>5403</v>
      </c>
      <c r="F3040" s="19" t="s">
        <v>2577</v>
      </c>
      <c r="G3040" s="5" t="str">
        <f>HYPERLINK("http://jsmh.umin.jp/journal/38-1/187-188.pdf")</f>
        <v>http://jsmh.umin.jp/journal/38-1/187-188.pdf</v>
      </c>
      <c r="H3040" s="43" t="str">
        <f t="shared" si="220"/>
        <v>http://dl.ndl.go.jp/info:ndljp/pid/3359334</v>
      </c>
    </row>
    <row r="3041" spans="1:8" ht="30" customHeight="1" x14ac:dyDescent="0.15">
      <c r="A3041" s="16" t="s">
        <v>2990</v>
      </c>
      <c r="B3041" s="17" t="s">
        <v>5428</v>
      </c>
      <c r="C3041" s="17" t="s">
        <v>439</v>
      </c>
      <c r="D3041" s="25" t="s">
        <v>5402</v>
      </c>
      <c r="E3041" s="19" t="s">
        <v>5403</v>
      </c>
      <c r="F3041" s="19" t="s">
        <v>2797</v>
      </c>
      <c r="G3041" s="5" t="str">
        <f>HYPERLINK("http://jsmh.umin.jp/journal/38-1/188-190.pdf")</f>
        <v>http://jsmh.umin.jp/journal/38-1/188-190.pdf</v>
      </c>
      <c r="H3041" s="43" t="str">
        <f t="shared" si="220"/>
        <v>http://dl.ndl.go.jp/info:ndljp/pid/3359334</v>
      </c>
    </row>
    <row r="3042" spans="1:8" ht="30" customHeight="1" x14ac:dyDescent="0.15">
      <c r="A3042" s="16" t="s">
        <v>2990</v>
      </c>
      <c r="B3042" s="17" t="s">
        <v>10203</v>
      </c>
      <c r="C3042" s="17" t="s">
        <v>3781</v>
      </c>
      <c r="D3042" s="25" t="s">
        <v>5402</v>
      </c>
      <c r="E3042" s="19" t="s">
        <v>5403</v>
      </c>
      <c r="F3042" s="19" t="s">
        <v>976</v>
      </c>
      <c r="G3042" s="5" t="str">
        <f>HYPERLINK("http://jsmh.umin.jp/journal/38-1/190-191.pdf")</f>
        <v>http://jsmh.umin.jp/journal/38-1/190-191.pdf</v>
      </c>
      <c r="H3042" s="43" t="str">
        <f t="shared" si="220"/>
        <v>http://dl.ndl.go.jp/info:ndljp/pid/3359334</v>
      </c>
    </row>
    <row r="3043" spans="1:8" ht="30" customHeight="1" x14ac:dyDescent="0.15">
      <c r="A3043" s="16" t="s">
        <v>1855</v>
      </c>
      <c r="B3043" s="17" t="s">
        <v>5429</v>
      </c>
      <c r="C3043" s="17" t="s">
        <v>5430</v>
      </c>
      <c r="D3043" s="25" t="s">
        <v>5402</v>
      </c>
      <c r="E3043" s="19" t="s">
        <v>5431</v>
      </c>
      <c r="F3043" s="19" t="s">
        <v>5432</v>
      </c>
      <c r="G3043" s="5" t="str">
        <f>HYPERLINK("http://jsmh.umin.jp/journal/38-2/197-201.pdf")</f>
        <v>http://jsmh.umin.jp/journal/38-2/197-201.pdf</v>
      </c>
      <c r="H3043" s="42" t="str">
        <f t="shared" ref="H3043:H3074" si="221">HYPERLINK("http://dl.ndl.go.jp/info:ndljp/pid/3359335")</f>
        <v>http://dl.ndl.go.jp/info:ndljp/pid/3359335</v>
      </c>
    </row>
    <row r="3044" spans="1:8" ht="30" customHeight="1" x14ac:dyDescent="0.15">
      <c r="A3044" s="16" t="s">
        <v>1855</v>
      </c>
      <c r="B3044" s="17" t="s">
        <v>5433</v>
      </c>
      <c r="C3044" s="17" t="s">
        <v>1823</v>
      </c>
      <c r="D3044" s="25" t="s">
        <v>5402</v>
      </c>
      <c r="E3044" s="19" t="s">
        <v>5431</v>
      </c>
      <c r="F3044" s="19" t="s">
        <v>5434</v>
      </c>
      <c r="G3044" s="5" t="str">
        <f>HYPERLINK("http://jsmh.umin.jp/journal/38-2/202-208.pdf")</f>
        <v>http://jsmh.umin.jp/journal/38-2/202-208.pdf</v>
      </c>
      <c r="H3044" s="43" t="str">
        <f t="shared" si="221"/>
        <v>http://dl.ndl.go.jp/info:ndljp/pid/3359335</v>
      </c>
    </row>
    <row r="3045" spans="1:8" ht="30" customHeight="1" x14ac:dyDescent="0.15">
      <c r="A3045" s="16" t="s">
        <v>1855</v>
      </c>
      <c r="B3045" s="17" t="s">
        <v>5435</v>
      </c>
      <c r="C3045" s="17" t="s">
        <v>2881</v>
      </c>
      <c r="D3045" s="25" t="s">
        <v>5402</v>
      </c>
      <c r="E3045" s="19" t="s">
        <v>5431</v>
      </c>
      <c r="F3045" s="19" t="s">
        <v>2600</v>
      </c>
      <c r="G3045" s="5" t="str">
        <f>HYPERLINK("http://jsmh.umin.jp/journal/38-2/209-211.pdf")</f>
        <v>http://jsmh.umin.jp/journal/38-2/209-211.pdf</v>
      </c>
      <c r="H3045" s="43" t="str">
        <f t="shared" si="221"/>
        <v>http://dl.ndl.go.jp/info:ndljp/pid/3359335</v>
      </c>
    </row>
    <row r="3046" spans="1:8" ht="30" customHeight="1" x14ac:dyDescent="0.15">
      <c r="A3046" s="16" t="s">
        <v>1855</v>
      </c>
      <c r="B3046" s="17" t="s">
        <v>10204</v>
      </c>
      <c r="C3046" s="17" t="s">
        <v>3482</v>
      </c>
      <c r="D3046" s="25" t="s">
        <v>5402</v>
      </c>
      <c r="E3046" s="19" t="s">
        <v>5431</v>
      </c>
      <c r="F3046" s="19" t="s">
        <v>2951</v>
      </c>
      <c r="G3046" s="5" t="str">
        <f>HYPERLINK("http://jsmh.umin.jp/journal/38-2/211-213.pdf")</f>
        <v>http://jsmh.umin.jp/journal/38-2/211-213.pdf</v>
      </c>
      <c r="H3046" s="43" t="str">
        <f t="shared" si="221"/>
        <v>http://dl.ndl.go.jp/info:ndljp/pid/3359335</v>
      </c>
    </row>
    <row r="3047" spans="1:8" ht="30" customHeight="1" x14ac:dyDescent="0.15">
      <c r="A3047" s="16" t="s">
        <v>1855</v>
      </c>
      <c r="B3047" s="17" t="s">
        <v>5436</v>
      </c>
      <c r="C3047" s="17" t="s">
        <v>5437</v>
      </c>
      <c r="D3047" s="25" t="s">
        <v>5402</v>
      </c>
      <c r="E3047" s="19" t="s">
        <v>5431</v>
      </c>
      <c r="F3047" s="19" t="s">
        <v>1540</v>
      </c>
      <c r="G3047" s="5" t="str">
        <f>HYPERLINK("http://jsmh.umin.jp/journal/38-2/213-215.pdf")</f>
        <v>http://jsmh.umin.jp/journal/38-2/213-215.pdf</v>
      </c>
      <c r="H3047" s="43" t="str">
        <f t="shared" si="221"/>
        <v>http://dl.ndl.go.jp/info:ndljp/pid/3359335</v>
      </c>
    </row>
    <row r="3048" spans="1:8" ht="30" customHeight="1" x14ac:dyDescent="0.15">
      <c r="A3048" s="16" t="s">
        <v>1855</v>
      </c>
      <c r="B3048" s="17" t="s">
        <v>5438</v>
      </c>
      <c r="C3048" s="17" t="s">
        <v>5439</v>
      </c>
      <c r="D3048" s="25" t="s">
        <v>5402</v>
      </c>
      <c r="E3048" s="19" t="s">
        <v>5431</v>
      </c>
      <c r="F3048" s="19" t="s">
        <v>2081</v>
      </c>
      <c r="G3048" s="5" t="str">
        <f>HYPERLINK("http://jsmh.umin.jp/journal/38-2/215-217.pdf")</f>
        <v>http://jsmh.umin.jp/journal/38-2/215-217.pdf</v>
      </c>
      <c r="H3048" s="43" t="str">
        <f t="shared" si="221"/>
        <v>http://dl.ndl.go.jp/info:ndljp/pid/3359335</v>
      </c>
    </row>
    <row r="3049" spans="1:8" ht="30" customHeight="1" x14ac:dyDescent="0.15">
      <c r="A3049" s="16" t="s">
        <v>1855</v>
      </c>
      <c r="B3049" s="17" t="s">
        <v>5440</v>
      </c>
      <c r="C3049" s="17" t="s">
        <v>5020</v>
      </c>
      <c r="D3049" s="25" t="s">
        <v>5402</v>
      </c>
      <c r="E3049" s="19" t="s">
        <v>5431</v>
      </c>
      <c r="F3049" s="19" t="s">
        <v>2955</v>
      </c>
      <c r="G3049" s="5" t="str">
        <f>HYPERLINK("http://jsmh.umin.jp/journal/38-2/218-220.pdf")</f>
        <v>http://jsmh.umin.jp/journal/38-2/218-220.pdf</v>
      </c>
      <c r="H3049" s="43" t="str">
        <f t="shared" si="221"/>
        <v>http://dl.ndl.go.jp/info:ndljp/pid/3359335</v>
      </c>
    </row>
    <row r="3050" spans="1:8" ht="30" customHeight="1" x14ac:dyDescent="0.15">
      <c r="A3050" s="16" t="s">
        <v>1855</v>
      </c>
      <c r="B3050" s="17" t="s">
        <v>5441</v>
      </c>
      <c r="C3050" s="17" t="s">
        <v>5442</v>
      </c>
      <c r="D3050" s="25" t="s">
        <v>5402</v>
      </c>
      <c r="E3050" s="19" t="s">
        <v>5431</v>
      </c>
      <c r="F3050" s="19" t="s">
        <v>5443</v>
      </c>
      <c r="G3050" s="5" t="str">
        <f>HYPERLINK("http://jsmh.umin.jp/journal/38-2/220-221.pdf")</f>
        <v>http://jsmh.umin.jp/journal/38-2/220-221.pdf</v>
      </c>
      <c r="H3050" s="43" t="str">
        <f t="shared" si="221"/>
        <v>http://dl.ndl.go.jp/info:ndljp/pid/3359335</v>
      </c>
    </row>
    <row r="3051" spans="1:8" ht="30" customHeight="1" x14ac:dyDescent="0.15">
      <c r="A3051" s="16" t="s">
        <v>1855</v>
      </c>
      <c r="B3051" s="17" t="s">
        <v>5444</v>
      </c>
      <c r="C3051" s="17" t="s">
        <v>5445</v>
      </c>
      <c r="D3051" s="25" t="s">
        <v>5402</v>
      </c>
      <c r="E3051" s="19" t="s">
        <v>5431</v>
      </c>
      <c r="F3051" s="19" t="s">
        <v>1390</v>
      </c>
      <c r="G3051" s="5" t="str">
        <f>HYPERLINK("http://jsmh.umin.jp/journal/38-2/222-223.pdf")</f>
        <v>http://jsmh.umin.jp/journal/38-2/222-223.pdf</v>
      </c>
      <c r="H3051" s="43" t="str">
        <f t="shared" si="221"/>
        <v>http://dl.ndl.go.jp/info:ndljp/pid/3359335</v>
      </c>
    </row>
    <row r="3052" spans="1:8" ht="30" customHeight="1" x14ac:dyDescent="0.15">
      <c r="A3052" s="16" t="s">
        <v>1855</v>
      </c>
      <c r="B3052" s="17" t="s">
        <v>5446</v>
      </c>
      <c r="C3052" s="17" t="s">
        <v>5447</v>
      </c>
      <c r="D3052" s="25" t="s">
        <v>5402</v>
      </c>
      <c r="E3052" s="19" t="s">
        <v>5431</v>
      </c>
      <c r="F3052" s="19" t="s">
        <v>1261</v>
      </c>
      <c r="G3052" s="5" t="str">
        <f>HYPERLINK("http://jsmh.umin.jp/journal/38-2/223-224.pdf")</f>
        <v>http://jsmh.umin.jp/journal/38-2/223-224.pdf</v>
      </c>
      <c r="H3052" s="43" t="str">
        <f t="shared" si="221"/>
        <v>http://dl.ndl.go.jp/info:ndljp/pid/3359335</v>
      </c>
    </row>
    <row r="3053" spans="1:8" ht="30" customHeight="1" x14ac:dyDescent="0.15">
      <c r="A3053" s="16" t="s">
        <v>1855</v>
      </c>
      <c r="B3053" s="17" t="s">
        <v>5448</v>
      </c>
      <c r="C3053" s="17" t="s">
        <v>273</v>
      </c>
      <c r="D3053" s="25" t="s">
        <v>5402</v>
      </c>
      <c r="E3053" s="19" t="s">
        <v>5431</v>
      </c>
      <c r="F3053" s="19" t="s">
        <v>94</v>
      </c>
      <c r="G3053" s="5" t="str">
        <f>HYPERLINK("http://jsmh.umin.jp/journal/38-2/225-226.pdf")</f>
        <v>http://jsmh.umin.jp/journal/38-2/225-226.pdf</v>
      </c>
      <c r="H3053" s="43" t="str">
        <f t="shared" si="221"/>
        <v>http://dl.ndl.go.jp/info:ndljp/pid/3359335</v>
      </c>
    </row>
    <row r="3054" spans="1:8" ht="30" customHeight="1" x14ac:dyDescent="0.15">
      <c r="A3054" s="16" t="s">
        <v>1855</v>
      </c>
      <c r="B3054" s="17" t="s">
        <v>5449</v>
      </c>
      <c r="C3054" s="17" t="s">
        <v>5075</v>
      </c>
      <c r="D3054" s="25" t="s">
        <v>5402</v>
      </c>
      <c r="E3054" s="19" t="s">
        <v>5431</v>
      </c>
      <c r="F3054" s="19" t="s">
        <v>103</v>
      </c>
      <c r="G3054" s="5" t="str">
        <f>HYPERLINK("http://jsmh.umin.jp/journal/38-2/227-228.pdf")</f>
        <v>http://jsmh.umin.jp/journal/38-2/227-228.pdf</v>
      </c>
      <c r="H3054" s="43" t="str">
        <f t="shared" si="221"/>
        <v>http://dl.ndl.go.jp/info:ndljp/pid/3359335</v>
      </c>
    </row>
    <row r="3055" spans="1:8" ht="30" customHeight="1" x14ac:dyDescent="0.15">
      <c r="A3055" s="16" t="s">
        <v>1855</v>
      </c>
      <c r="B3055" s="17" t="s">
        <v>5450</v>
      </c>
      <c r="C3055" s="17" t="s">
        <v>10666</v>
      </c>
      <c r="D3055" s="25" t="s">
        <v>5402</v>
      </c>
      <c r="E3055" s="19" t="s">
        <v>5431</v>
      </c>
      <c r="F3055" s="19" t="s">
        <v>108</v>
      </c>
      <c r="G3055" s="5" t="str">
        <f>HYPERLINK("http://jsmh.umin.jp/journal/38-2/228-229.pdf")</f>
        <v>http://jsmh.umin.jp/journal/38-2/228-229.pdf</v>
      </c>
      <c r="H3055" s="43" t="str">
        <f t="shared" si="221"/>
        <v>http://dl.ndl.go.jp/info:ndljp/pid/3359335</v>
      </c>
    </row>
    <row r="3056" spans="1:8" ht="30" customHeight="1" x14ac:dyDescent="0.15">
      <c r="A3056" s="16" t="s">
        <v>1855</v>
      </c>
      <c r="B3056" s="17" t="s">
        <v>5451</v>
      </c>
      <c r="C3056" s="17" t="s">
        <v>10205</v>
      </c>
      <c r="D3056" s="25" t="s">
        <v>5402</v>
      </c>
      <c r="E3056" s="19" t="s">
        <v>5431</v>
      </c>
      <c r="F3056" s="19" t="s">
        <v>119</v>
      </c>
      <c r="G3056" s="5" t="str">
        <f>HYPERLINK("http://jsmh.umin.jp/journal/38-2/230-231.pdf")</f>
        <v>http://jsmh.umin.jp/journal/38-2/230-231.pdf</v>
      </c>
      <c r="H3056" s="43" t="str">
        <f t="shared" si="221"/>
        <v>http://dl.ndl.go.jp/info:ndljp/pid/3359335</v>
      </c>
    </row>
    <row r="3057" spans="1:8" ht="30" customHeight="1" x14ac:dyDescent="0.15">
      <c r="A3057" s="16" t="s">
        <v>1855</v>
      </c>
      <c r="B3057" s="17" t="s">
        <v>5452</v>
      </c>
      <c r="C3057" s="17" t="s">
        <v>5453</v>
      </c>
      <c r="D3057" s="25" t="s">
        <v>5402</v>
      </c>
      <c r="E3057" s="19" t="s">
        <v>5431</v>
      </c>
      <c r="F3057" s="19" t="s">
        <v>5454</v>
      </c>
      <c r="G3057" s="5" t="str">
        <f>HYPERLINK("http://jsmh.umin.jp/journal/38-2/232-234.pdf")</f>
        <v>http://jsmh.umin.jp/journal/38-2/232-234.pdf</v>
      </c>
      <c r="H3057" s="43" t="str">
        <f t="shared" si="221"/>
        <v>http://dl.ndl.go.jp/info:ndljp/pid/3359335</v>
      </c>
    </row>
    <row r="3058" spans="1:8" ht="30" customHeight="1" x14ac:dyDescent="0.15">
      <c r="A3058" s="16" t="s">
        <v>1855</v>
      </c>
      <c r="B3058" s="17" t="s">
        <v>5455</v>
      </c>
      <c r="C3058" s="17" t="s">
        <v>4517</v>
      </c>
      <c r="D3058" s="25" t="s">
        <v>5402</v>
      </c>
      <c r="E3058" s="19" t="s">
        <v>5431</v>
      </c>
      <c r="F3058" s="19" t="s">
        <v>3454</v>
      </c>
      <c r="G3058" s="5" t="str">
        <f>HYPERLINK("http://jsmh.umin.jp/journal/38-2/234-236.pdf")</f>
        <v>http://jsmh.umin.jp/journal/38-2/234-236.pdf</v>
      </c>
      <c r="H3058" s="43" t="str">
        <f t="shared" si="221"/>
        <v>http://dl.ndl.go.jp/info:ndljp/pid/3359335</v>
      </c>
    </row>
    <row r="3059" spans="1:8" ht="30" customHeight="1" x14ac:dyDescent="0.15">
      <c r="A3059" s="16" t="s">
        <v>1855</v>
      </c>
      <c r="B3059" s="17" t="s">
        <v>5456</v>
      </c>
      <c r="C3059" s="17" t="s">
        <v>790</v>
      </c>
      <c r="D3059" s="25" t="s">
        <v>5402</v>
      </c>
      <c r="E3059" s="19" t="s">
        <v>5431</v>
      </c>
      <c r="F3059" s="19" t="s">
        <v>140</v>
      </c>
      <c r="G3059" s="5" t="str">
        <f>HYPERLINK("http://jsmh.umin.jp/journal/38-2/236-237.pdf")</f>
        <v>http://jsmh.umin.jp/journal/38-2/236-237.pdf</v>
      </c>
      <c r="H3059" s="43" t="str">
        <f t="shared" si="221"/>
        <v>http://dl.ndl.go.jp/info:ndljp/pid/3359335</v>
      </c>
    </row>
    <row r="3060" spans="1:8" ht="30" customHeight="1" x14ac:dyDescent="0.15">
      <c r="A3060" s="16" t="s">
        <v>1855</v>
      </c>
      <c r="B3060" s="17" t="s">
        <v>5457</v>
      </c>
      <c r="C3060" s="17" t="s">
        <v>10206</v>
      </c>
      <c r="D3060" s="25" t="s">
        <v>5402</v>
      </c>
      <c r="E3060" s="19" t="s">
        <v>5431</v>
      </c>
      <c r="F3060" s="19" t="s">
        <v>145</v>
      </c>
      <c r="G3060" s="5" t="str">
        <f>HYPERLINK("http://jsmh.umin.jp/journal/38-2/238-239.pdf")</f>
        <v>http://jsmh.umin.jp/journal/38-2/238-239.pdf</v>
      </c>
      <c r="H3060" s="43" t="str">
        <f t="shared" si="221"/>
        <v>http://dl.ndl.go.jp/info:ndljp/pid/3359335</v>
      </c>
    </row>
    <row r="3061" spans="1:8" ht="30" customHeight="1" x14ac:dyDescent="0.15">
      <c r="A3061" s="16" t="s">
        <v>1855</v>
      </c>
      <c r="B3061" s="17" t="s">
        <v>5458</v>
      </c>
      <c r="C3061" s="17" t="s">
        <v>2386</v>
      </c>
      <c r="D3061" s="25" t="s">
        <v>5402</v>
      </c>
      <c r="E3061" s="19" t="s">
        <v>5431</v>
      </c>
      <c r="F3061" s="19" t="s">
        <v>3302</v>
      </c>
      <c r="G3061" s="5" t="str">
        <f>HYPERLINK("http://jsmh.umin.jp/journal/38-2/240-242.pdf")</f>
        <v>http://jsmh.umin.jp/journal/38-2/240-242.pdf</v>
      </c>
      <c r="H3061" s="43" t="str">
        <f t="shared" si="221"/>
        <v>http://dl.ndl.go.jp/info:ndljp/pid/3359335</v>
      </c>
    </row>
    <row r="3062" spans="1:8" ht="30" customHeight="1" x14ac:dyDescent="0.15">
      <c r="A3062" s="16" t="s">
        <v>1855</v>
      </c>
      <c r="B3062" s="17" t="s">
        <v>5459</v>
      </c>
      <c r="C3062" s="17" t="s">
        <v>66</v>
      </c>
      <c r="D3062" s="25" t="s">
        <v>5402</v>
      </c>
      <c r="E3062" s="19" t="s">
        <v>5431</v>
      </c>
      <c r="F3062" s="19" t="s">
        <v>3866</v>
      </c>
      <c r="G3062" s="5" t="str">
        <f>HYPERLINK("http://jsmh.umin.jp/journal/38-2/242-244.pdf")</f>
        <v>http://jsmh.umin.jp/journal/38-2/242-244.pdf</v>
      </c>
      <c r="H3062" s="43" t="str">
        <f t="shared" si="221"/>
        <v>http://dl.ndl.go.jp/info:ndljp/pid/3359335</v>
      </c>
    </row>
    <row r="3063" spans="1:8" ht="30" customHeight="1" x14ac:dyDescent="0.15">
      <c r="A3063" s="16" t="s">
        <v>1855</v>
      </c>
      <c r="B3063" s="17" t="s">
        <v>5460</v>
      </c>
      <c r="C3063" s="17" t="s">
        <v>3138</v>
      </c>
      <c r="D3063" s="25" t="s">
        <v>5402</v>
      </c>
      <c r="E3063" s="19" t="s">
        <v>5431</v>
      </c>
      <c r="F3063" s="19" t="s">
        <v>3307</v>
      </c>
      <c r="G3063" s="5" t="str">
        <f>HYPERLINK("http://jsmh.umin.jp/journal/38-2/244-245.pdf")</f>
        <v>http://jsmh.umin.jp/journal/38-2/244-245.pdf</v>
      </c>
      <c r="H3063" s="43" t="str">
        <f t="shared" si="221"/>
        <v>http://dl.ndl.go.jp/info:ndljp/pid/3359335</v>
      </c>
    </row>
    <row r="3064" spans="1:8" ht="30" customHeight="1" x14ac:dyDescent="0.15">
      <c r="A3064" s="16" t="s">
        <v>1855</v>
      </c>
      <c r="B3064" s="17" t="s">
        <v>5461</v>
      </c>
      <c r="C3064" s="17" t="s">
        <v>5462</v>
      </c>
      <c r="D3064" s="25" t="s">
        <v>5402</v>
      </c>
      <c r="E3064" s="19" t="s">
        <v>5431</v>
      </c>
      <c r="F3064" s="19" t="s">
        <v>3309</v>
      </c>
      <c r="G3064" s="5" t="str">
        <f>HYPERLINK("http://jsmh.umin.jp/journal/38-2/246-247.pdf")</f>
        <v>http://jsmh.umin.jp/journal/38-2/246-247.pdf</v>
      </c>
      <c r="H3064" s="43" t="str">
        <f t="shared" si="221"/>
        <v>http://dl.ndl.go.jp/info:ndljp/pid/3359335</v>
      </c>
    </row>
    <row r="3065" spans="1:8" ht="30" customHeight="1" x14ac:dyDescent="0.15">
      <c r="A3065" s="16" t="s">
        <v>1855</v>
      </c>
      <c r="B3065" s="17" t="s">
        <v>5463</v>
      </c>
      <c r="C3065" s="17" t="s">
        <v>5464</v>
      </c>
      <c r="D3065" s="25" t="s">
        <v>5402</v>
      </c>
      <c r="E3065" s="19" t="s">
        <v>5431</v>
      </c>
      <c r="F3065" s="19" t="s">
        <v>1548</v>
      </c>
      <c r="G3065" s="5" t="str">
        <f>HYPERLINK("http://jsmh.umin.jp/journal/38-2/247-248.pdf")</f>
        <v>http://jsmh.umin.jp/journal/38-2/247-248.pdf</v>
      </c>
      <c r="H3065" s="43" t="str">
        <f t="shared" si="221"/>
        <v>http://dl.ndl.go.jp/info:ndljp/pid/3359335</v>
      </c>
    </row>
    <row r="3066" spans="1:8" ht="30" customHeight="1" x14ac:dyDescent="0.15">
      <c r="A3066" s="16" t="s">
        <v>1855</v>
      </c>
      <c r="B3066" s="17" t="s">
        <v>5465</v>
      </c>
      <c r="C3066" s="17" t="s">
        <v>10207</v>
      </c>
      <c r="D3066" s="25" t="s">
        <v>5402</v>
      </c>
      <c r="E3066" s="19" t="s">
        <v>5431</v>
      </c>
      <c r="F3066" s="19" t="s">
        <v>3310</v>
      </c>
      <c r="G3066" s="5" t="str">
        <f>HYPERLINK("http://jsmh.umin.jp/journal/38-2/248-249.pdf")</f>
        <v>http://jsmh.umin.jp/journal/38-2/248-249.pdf</v>
      </c>
      <c r="H3066" s="43" t="str">
        <f t="shared" si="221"/>
        <v>http://dl.ndl.go.jp/info:ndljp/pid/3359335</v>
      </c>
    </row>
    <row r="3067" spans="1:8" ht="30" customHeight="1" x14ac:dyDescent="0.15">
      <c r="A3067" s="16" t="s">
        <v>1855</v>
      </c>
      <c r="B3067" s="17" t="s">
        <v>5466</v>
      </c>
      <c r="C3067" s="17" t="s">
        <v>5467</v>
      </c>
      <c r="D3067" s="25" t="s">
        <v>5402</v>
      </c>
      <c r="E3067" s="19" t="s">
        <v>5431</v>
      </c>
      <c r="F3067" s="19" t="s">
        <v>5281</v>
      </c>
      <c r="G3067" s="5" t="str">
        <f>HYPERLINK("http://jsmh.umin.jp/journal/38-2/250-252.pdf")</f>
        <v>http://jsmh.umin.jp/journal/38-2/250-252.pdf</v>
      </c>
      <c r="H3067" s="43" t="str">
        <f t="shared" si="221"/>
        <v>http://dl.ndl.go.jp/info:ndljp/pid/3359335</v>
      </c>
    </row>
    <row r="3068" spans="1:8" ht="30" customHeight="1" x14ac:dyDescent="0.15">
      <c r="A3068" s="16" t="s">
        <v>1855</v>
      </c>
      <c r="B3068" s="17" t="s">
        <v>5468</v>
      </c>
      <c r="C3068" s="17" t="s">
        <v>5469</v>
      </c>
      <c r="D3068" s="25" t="s">
        <v>5402</v>
      </c>
      <c r="E3068" s="19" t="s">
        <v>5431</v>
      </c>
      <c r="F3068" s="19" t="s">
        <v>3316</v>
      </c>
      <c r="G3068" s="5" t="str">
        <f>HYPERLINK("http://jsmh.umin.jp/journal/38-2/252-254.pdf")</f>
        <v>http://jsmh.umin.jp/journal/38-2/252-254.pdf</v>
      </c>
      <c r="H3068" s="43" t="str">
        <f t="shared" si="221"/>
        <v>http://dl.ndl.go.jp/info:ndljp/pid/3359335</v>
      </c>
    </row>
    <row r="3069" spans="1:8" ht="30" customHeight="1" x14ac:dyDescent="0.15">
      <c r="A3069" s="16" t="s">
        <v>1855</v>
      </c>
      <c r="B3069" s="17" t="s">
        <v>5470</v>
      </c>
      <c r="C3069" s="17" t="s">
        <v>5471</v>
      </c>
      <c r="D3069" s="25" t="s">
        <v>5402</v>
      </c>
      <c r="E3069" s="19" t="s">
        <v>5431</v>
      </c>
      <c r="F3069" s="19" t="s">
        <v>5472</v>
      </c>
      <c r="G3069" s="5" t="str">
        <f>HYPERLINK("http://jsmh.umin.jp/journal/38-2/254-256.pdf")</f>
        <v>http://jsmh.umin.jp/journal/38-2/254-256.pdf</v>
      </c>
      <c r="H3069" s="43" t="str">
        <f t="shared" si="221"/>
        <v>http://dl.ndl.go.jp/info:ndljp/pid/3359335</v>
      </c>
    </row>
    <row r="3070" spans="1:8" ht="30" customHeight="1" x14ac:dyDescent="0.15">
      <c r="A3070" s="16" t="s">
        <v>1855</v>
      </c>
      <c r="B3070" s="17" t="s">
        <v>5473</v>
      </c>
      <c r="C3070" s="17" t="s">
        <v>5474</v>
      </c>
      <c r="D3070" s="25" t="s">
        <v>5402</v>
      </c>
      <c r="E3070" s="19" t="s">
        <v>5431</v>
      </c>
      <c r="F3070" s="19" t="s">
        <v>1563</v>
      </c>
      <c r="G3070" s="5" t="str">
        <f>HYPERLINK("http://jsmh.umin.jp/journal/38-2/256-258.pdf")</f>
        <v>http://jsmh.umin.jp/journal/38-2/256-258.pdf</v>
      </c>
      <c r="H3070" s="43" t="str">
        <f t="shared" si="221"/>
        <v>http://dl.ndl.go.jp/info:ndljp/pid/3359335</v>
      </c>
    </row>
    <row r="3071" spans="1:8" ht="30" customHeight="1" x14ac:dyDescent="0.15">
      <c r="A3071" s="16" t="s">
        <v>1855</v>
      </c>
      <c r="B3071" s="17" t="s">
        <v>10208</v>
      </c>
      <c r="C3071" s="17" t="s">
        <v>5280</v>
      </c>
      <c r="D3071" s="25" t="s">
        <v>5402</v>
      </c>
      <c r="E3071" s="19" t="s">
        <v>5431</v>
      </c>
      <c r="F3071" s="19" t="s">
        <v>4040</v>
      </c>
      <c r="G3071" s="5" t="str">
        <f>HYPERLINK("http://jsmh.umin.jp/journal/38-2/258-260.pdf")</f>
        <v>http://jsmh.umin.jp/journal/38-2/258-260.pdf</v>
      </c>
      <c r="H3071" s="43" t="str">
        <f t="shared" si="221"/>
        <v>http://dl.ndl.go.jp/info:ndljp/pid/3359335</v>
      </c>
    </row>
    <row r="3072" spans="1:8" ht="30" customHeight="1" x14ac:dyDescent="0.15">
      <c r="A3072" s="16" t="s">
        <v>1855</v>
      </c>
      <c r="B3072" s="17" t="s">
        <v>5475</v>
      </c>
      <c r="C3072" s="17" t="s">
        <v>5476</v>
      </c>
      <c r="D3072" s="25" t="s">
        <v>5402</v>
      </c>
      <c r="E3072" s="19" t="s">
        <v>5431</v>
      </c>
      <c r="F3072" s="19" t="s">
        <v>5477</v>
      </c>
      <c r="G3072" s="5" t="str">
        <f>HYPERLINK("http://jsmh.umin.jp/journal/38-2/260-261.pdf")</f>
        <v>http://jsmh.umin.jp/journal/38-2/260-261.pdf</v>
      </c>
      <c r="H3072" s="43" t="str">
        <f t="shared" si="221"/>
        <v>http://dl.ndl.go.jp/info:ndljp/pid/3359335</v>
      </c>
    </row>
    <row r="3073" spans="1:8" ht="30" customHeight="1" x14ac:dyDescent="0.15">
      <c r="A3073" s="16" t="s">
        <v>1855</v>
      </c>
      <c r="B3073" s="17" t="s">
        <v>5478</v>
      </c>
      <c r="C3073" s="17" t="s">
        <v>5479</v>
      </c>
      <c r="D3073" s="25" t="s">
        <v>5402</v>
      </c>
      <c r="E3073" s="19" t="s">
        <v>5431</v>
      </c>
      <c r="F3073" s="19" t="s">
        <v>3478</v>
      </c>
      <c r="G3073" s="5" t="str">
        <f>HYPERLINK("http://jsmh.umin.jp/journal/38-2/261-262.pdf")</f>
        <v>http://jsmh.umin.jp/journal/38-2/261-262.pdf</v>
      </c>
      <c r="H3073" s="43" t="str">
        <f t="shared" si="221"/>
        <v>http://dl.ndl.go.jp/info:ndljp/pid/3359335</v>
      </c>
    </row>
    <row r="3074" spans="1:8" ht="30" customHeight="1" x14ac:dyDescent="0.15">
      <c r="A3074" s="16" t="s">
        <v>1855</v>
      </c>
      <c r="B3074" s="17" t="s">
        <v>5480</v>
      </c>
      <c r="C3074" s="17" t="s">
        <v>5481</v>
      </c>
      <c r="D3074" s="25" t="s">
        <v>5402</v>
      </c>
      <c r="E3074" s="19" t="s">
        <v>5431</v>
      </c>
      <c r="F3074" s="19" t="s">
        <v>3075</v>
      </c>
      <c r="G3074" s="5" t="str">
        <f>HYPERLINK("http://jsmh.umin.jp/journal/38-2/263-264.pdf")</f>
        <v>http://jsmh.umin.jp/journal/38-2/263-264.pdf</v>
      </c>
      <c r="H3074" s="43" t="str">
        <f t="shared" si="221"/>
        <v>http://dl.ndl.go.jp/info:ndljp/pid/3359335</v>
      </c>
    </row>
    <row r="3075" spans="1:8" ht="30" customHeight="1" x14ac:dyDescent="0.15">
      <c r="A3075" s="16" t="s">
        <v>1855</v>
      </c>
      <c r="B3075" s="17" t="s">
        <v>10209</v>
      </c>
      <c r="C3075" s="17" t="s">
        <v>5482</v>
      </c>
      <c r="D3075" s="25" t="s">
        <v>5402</v>
      </c>
      <c r="E3075" s="19" t="s">
        <v>5431</v>
      </c>
      <c r="F3075" s="19" t="s">
        <v>1031</v>
      </c>
      <c r="G3075" s="5" t="str">
        <f>HYPERLINK("http://jsmh.umin.jp/journal/38-2/265-266.pdf")</f>
        <v>http://jsmh.umin.jp/journal/38-2/265-266.pdf</v>
      </c>
      <c r="H3075" s="43" t="str">
        <f t="shared" ref="H3075:H3106" si="222">HYPERLINK("http://dl.ndl.go.jp/info:ndljp/pid/3359335")</f>
        <v>http://dl.ndl.go.jp/info:ndljp/pid/3359335</v>
      </c>
    </row>
    <row r="3076" spans="1:8" ht="30" customHeight="1" x14ac:dyDescent="0.15">
      <c r="A3076" s="16" t="s">
        <v>1855</v>
      </c>
      <c r="B3076" s="17" t="s">
        <v>5483</v>
      </c>
      <c r="C3076" s="17" t="s">
        <v>1082</v>
      </c>
      <c r="D3076" s="25" t="s">
        <v>5402</v>
      </c>
      <c r="E3076" s="19" t="s">
        <v>5431</v>
      </c>
      <c r="F3076" s="19" t="s">
        <v>5484</v>
      </c>
      <c r="G3076" s="5" t="str">
        <f>HYPERLINK("http://jsmh.umin.jp/journal/38-2/267-268.pdf")</f>
        <v>http://jsmh.umin.jp/journal/38-2/267-268.pdf</v>
      </c>
      <c r="H3076" s="43" t="str">
        <f t="shared" si="222"/>
        <v>http://dl.ndl.go.jp/info:ndljp/pid/3359335</v>
      </c>
    </row>
    <row r="3077" spans="1:8" ht="30" customHeight="1" x14ac:dyDescent="0.15">
      <c r="A3077" s="16" t="s">
        <v>1855</v>
      </c>
      <c r="B3077" s="17" t="s">
        <v>5485</v>
      </c>
      <c r="C3077" s="17" t="s">
        <v>925</v>
      </c>
      <c r="D3077" s="25" t="s">
        <v>5402</v>
      </c>
      <c r="E3077" s="19" t="s">
        <v>5431</v>
      </c>
      <c r="F3077" s="19" t="s">
        <v>3080</v>
      </c>
      <c r="G3077" s="5" t="str">
        <f>HYPERLINK("http://jsmh.umin.jp/journal/38-2/269-271.pdf")</f>
        <v>http://jsmh.umin.jp/journal/38-2/269-271.pdf</v>
      </c>
      <c r="H3077" s="43" t="str">
        <f t="shared" si="222"/>
        <v>http://dl.ndl.go.jp/info:ndljp/pid/3359335</v>
      </c>
    </row>
    <row r="3078" spans="1:8" ht="30" customHeight="1" x14ac:dyDescent="0.15">
      <c r="A3078" s="16" t="s">
        <v>1855</v>
      </c>
      <c r="B3078" s="17" t="s">
        <v>5486</v>
      </c>
      <c r="C3078" s="17" t="s">
        <v>1097</v>
      </c>
      <c r="D3078" s="25" t="s">
        <v>5402</v>
      </c>
      <c r="E3078" s="19" t="s">
        <v>5431</v>
      </c>
      <c r="F3078" s="19" t="s">
        <v>3335</v>
      </c>
      <c r="G3078" s="5" t="str">
        <f>HYPERLINK("http://jsmh.umin.jp/journal/38-2/271-272.pdf")</f>
        <v>http://jsmh.umin.jp/journal/38-2/271-272.pdf</v>
      </c>
      <c r="H3078" s="43" t="str">
        <f t="shared" si="222"/>
        <v>http://dl.ndl.go.jp/info:ndljp/pid/3359335</v>
      </c>
    </row>
    <row r="3079" spans="1:8" ht="30" customHeight="1" x14ac:dyDescent="0.15">
      <c r="A3079" s="16" t="s">
        <v>1855</v>
      </c>
      <c r="B3079" s="17" t="s">
        <v>5487</v>
      </c>
      <c r="C3079" s="17" t="s">
        <v>1972</v>
      </c>
      <c r="D3079" s="25" t="s">
        <v>5402</v>
      </c>
      <c r="E3079" s="19" t="s">
        <v>5431</v>
      </c>
      <c r="F3079" s="19" t="s">
        <v>1897</v>
      </c>
      <c r="G3079" s="5" t="str">
        <f>HYPERLINK("http://jsmh.umin.jp/journal/38-2/273-274.pdf")</f>
        <v>http://jsmh.umin.jp/journal/38-2/273-274.pdf</v>
      </c>
      <c r="H3079" s="43" t="str">
        <f t="shared" si="222"/>
        <v>http://dl.ndl.go.jp/info:ndljp/pid/3359335</v>
      </c>
    </row>
    <row r="3080" spans="1:8" ht="30" customHeight="1" x14ac:dyDescent="0.15">
      <c r="A3080" s="16" t="s">
        <v>1855</v>
      </c>
      <c r="B3080" s="17" t="s">
        <v>5488</v>
      </c>
      <c r="C3080" s="17" t="s">
        <v>5489</v>
      </c>
      <c r="D3080" s="25" t="s">
        <v>5402</v>
      </c>
      <c r="E3080" s="19" t="s">
        <v>5431</v>
      </c>
      <c r="F3080" s="19" t="s">
        <v>5490</v>
      </c>
      <c r="G3080" s="5" t="str">
        <f>HYPERLINK("http://jsmh.umin.jp/journal/38-2/275-276.pdf")</f>
        <v>http://jsmh.umin.jp/journal/38-2/275-276.pdf</v>
      </c>
      <c r="H3080" s="43" t="str">
        <f t="shared" si="222"/>
        <v>http://dl.ndl.go.jp/info:ndljp/pid/3359335</v>
      </c>
    </row>
    <row r="3081" spans="1:8" ht="30" customHeight="1" x14ac:dyDescent="0.15">
      <c r="A3081" s="16" t="s">
        <v>1855</v>
      </c>
      <c r="B3081" s="17" t="s">
        <v>5491</v>
      </c>
      <c r="C3081" s="17" t="s">
        <v>905</v>
      </c>
      <c r="D3081" s="25" t="s">
        <v>5402</v>
      </c>
      <c r="E3081" s="19" t="s">
        <v>5431</v>
      </c>
      <c r="F3081" s="19" t="s">
        <v>1903</v>
      </c>
      <c r="G3081" s="5" t="str">
        <f>HYPERLINK("http://jsmh.umin.jp/journal/38-2/277-278.pdf")</f>
        <v>http://jsmh.umin.jp/journal/38-2/277-278.pdf</v>
      </c>
      <c r="H3081" s="43" t="str">
        <f t="shared" si="222"/>
        <v>http://dl.ndl.go.jp/info:ndljp/pid/3359335</v>
      </c>
    </row>
    <row r="3082" spans="1:8" ht="30" customHeight="1" x14ac:dyDescent="0.15">
      <c r="A3082" s="16" t="s">
        <v>1855</v>
      </c>
      <c r="B3082" s="17" t="s">
        <v>5492</v>
      </c>
      <c r="C3082" s="17" t="s">
        <v>4026</v>
      </c>
      <c r="D3082" s="25" t="s">
        <v>5402</v>
      </c>
      <c r="E3082" s="19" t="s">
        <v>5431</v>
      </c>
      <c r="F3082" s="19" t="s">
        <v>4054</v>
      </c>
      <c r="G3082" s="5" t="str">
        <f>HYPERLINK("http://jsmh.umin.jp/journal/38-2/279-281.pdf")</f>
        <v>http://jsmh.umin.jp/journal/38-2/279-281.pdf</v>
      </c>
      <c r="H3082" s="43" t="str">
        <f t="shared" si="222"/>
        <v>http://dl.ndl.go.jp/info:ndljp/pid/3359335</v>
      </c>
    </row>
    <row r="3083" spans="1:8" ht="30" customHeight="1" x14ac:dyDescent="0.15">
      <c r="A3083" s="16" t="s">
        <v>1855</v>
      </c>
      <c r="B3083" s="17" t="s">
        <v>5493</v>
      </c>
      <c r="C3083" s="17" t="s">
        <v>4848</v>
      </c>
      <c r="D3083" s="25" t="s">
        <v>5402</v>
      </c>
      <c r="E3083" s="19" t="s">
        <v>5431</v>
      </c>
      <c r="F3083" s="19" t="s">
        <v>3091</v>
      </c>
      <c r="G3083" s="5" t="str">
        <f>HYPERLINK("http://jsmh.umin.jp/journal/38-2/281-283.pdf")</f>
        <v>http://jsmh.umin.jp/journal/38-2/281-283.pdf</v>
      </c>
      <c r="H3083" s="43" t="str">
        <f t="shared" si="222"/>
        <v>http://dl.ndl.go.jp/info:ndljp/pid/3359335</v>
      </c>
    </row>
    <row r="3084" spans="1:8" ht="30" customHeight="1" x14ac:dyDescent="0.15">
      <c r="A3084" s="16" t="s">
        <v>1855</v>
      </c>
      <c r="B3084" s="17" t="s">
        <v>5494</v>
      </c>
      <c r="C3084" s="17" t="s">
        <v>5300</v>
      </c>
      <c r="D3084" s="25" t="s">
        <v>5402</v>
      </c>
      <c r="E3084" s="19" t="s">
        <v>5431</v>
      </c>
      <c r="F3084" s="19" t="s">
        <v>3347</v>
      </c>
      <c r="G3084" s="5" t="str">
        <f>HYPERLINK("http://jsmh.umin.jp/journal/38-2/283-285.pdf")</f>
        <v>http://jsmh.umin.jp/journal/38-2/283-285.pdf</v>
      </c>
      <c r="H3084" s="43" t="str">
        <f t="shared" si="222"/>
        <v>http://dl.ndl.go.jp/info:ndljp/pid/3359335</v>
      </c>
    </row>
    <row r="3085" spans="1:8" ht="30" customHeight="1" x14ac:dyDescent="0.15">
      <c r="A3085" s="16" t="s">
        <v>1855</v>
      </c>
      <c r="B3085" s="17" t="s">
        <v>10210</v>
      </c>
      <c r="C3085" s="17" t="s">
        <v>4185</v>
      </c>
      <c r="D3085" s="25" t="s">
        <v>5402</v>
      </c>
      <c r="E3085" s="19" t="s">
        <v>5431</v>
      </c>
      <c r="F3085" s="19" t="s">
        <v>1045</v>
      </c>
      <c r="G3085" s="5" t="str">
        <f>HYPERLINK("http://jsmh.umin.jp/journal/38-2/285-287.pdf")</f>
        <v>http://jsmh.umin.jp/journal/38-2/285-287.pdf</v>
      </c>
      <c r="H3085" s="43" t="str">
        <f t="shared" si="222"/>
        <v>http://dl.ndl.go.jp/info:ndljp/pid/3359335</v>
      </c>
    </row>
    <row r="3086" spans="1:8" ht="30" customHeight="1" x14ac:dyDescent="0.15">
      <c r="A3086" s="16" t="s">
        <v>1855</v>
      </c>
      <c r="B3086" s="17" t="s">
        <v>5495</v>
      </c>
      <c r="C3086" s="17" t="s">
        <v>3196</v>
      </c>
      <c r="D3086" s="25" t="s">
        <v>5402</v>
      </c>
      <c r="E3086" s="19" t="s">
        <v>5431</v>
      </c>
      <c r="F3086" s="19" t="s">
        <v>3352</v>
      </c>
      <c r="G3086" s="5" t="str">
        <f>HYPERLINK("http://jsmh.umin.jp/journal/38-2/288-289.pdf")</f>
        <v>http://jsmh.umin.jp/journal/38-2/288-289.pdf</v>
      </c>
      <c r="H3086" s="43" t="str">
        <f t="shared" si="222"/>
        <v>http://dl.ndl.go.jp/info:ndljp/pid/3359335</v>
      </c>
    </row>
    <row r="3087" spans="1:8" ht="30" customHeight="1" x14ac:dyDescent="0.15">
      <c r="A3087" s="16" t="s">
        <v>1855</v>
      </c>
      <c r="B3087" s="17" t="s">
        <v>5496</v>
      </c>
      <c r="C3087" s="17" t="s">
        <v>2233</v>
      </c>
      <c r="D3087" s="25" t="s">
        <v>5402</v>
      </c>
      <c r="E3087" s="19" t="s">
        <v>5431</v>
      </c>
      <c r="F3087" s="19" t="s">
        <v>3101</v>
      </c>
      <c r="G3087" s="5" t="str">
        <f>HYPERLINK("http://jsmh.umin.jp/journal/38-2/290-292.pdf")</f>
        <v>http://jsmh.umin.jp/journal/38-2/290-292.pdf</v>
      </c>
      <c r="H3087" s="43" t="str">
        <f t="shared" si="222"/>
        <v>http://dl.ndl.go.jp/info:ndljp/pid/3359335</v>
      </c>
    </row>
    <row r="3088" spans="1:8" ht="30" customHeight="1" x14ac:dyDescent="0.15">
      <c r="A3088" s="16" t="s">
        <v>1855</v>
      </c>
      <c r="B3088" s="17" t="s">
        <v>5497</v>
      </c>
      <c r="C3088" s="17" t="s">
        <v>1177</v>
      </c>
      <c r="D3088" s="25" t="s">
        <v>5402</v>
      </c>
      <c r="E3088" s="19" t="s">
        <v>5431</v>
      </c>
      <c r="F3088" s="19" t="s">
        <v>5498</v>
      </c>
      <c r="G3088" s="5" t="str">
        <f>HYPERLINK("http://jsmh.umin.jp/journal/38-2/292-294.pdf")</f>
        <v>http://jsmh.umin.jp/journal/38-2/292-294.pdf</v>
      </c>
      <c r="H3088" s="43" t="str">
        <f t="shared" si="222"/>
        <v>http://dl.ndl.go.jp/info:ndljp/pid/3359335</v>
      </c>
    </row>
    <row r="3089" spans="1:8" ht="30" customHeight="1" x14ac:dyDescent="0.15">
      <c r="A3089" s="16" t="s">
        <v>1855</v>
      </c>
      <c r="B3089" s="17" t="s">
        <v>10664</v>
      </c>
      <c r="C3089" s="17" t="s">
        <v>1177</v>
      </c>
      <c r="D3089" s="25" t="s">
        <v>5402</v>
      </c>
      <c r="E3089" s="19" t="s">
        <v>5431</v>
      </c>
      <c r="F3089" s="19" t="s">
        <v>5499</v>
      </c>
      <c r="G3089" s="5" t="str">
        <f>HYPERLINK("http://jsmh.umin.jp/journal/38-2/295-297.pdf")</f>
        <v>http://jsmh.umin.jp/journal/38-2/295-297.pdf</v>
      </c>
      <c r="H3089" s="43" t="str">
        <f t="shared" si="222"/>
        <v>http://dl.ndl.go.jp/info:ndljp/pid/3359335</v>
      </c>
    </row>
    <row r="3090" spans="1:8" ht="30" customHeight="1" x14ac:dyDescent="0.15">
      <c r="A3090" s="16" t="s">
        <v>1855</v>
      </c>
      <c r="B3090" s="17" t="s">
        <v>10211</v>
      </c>
      <c r="C3090" s="17" t="s">
        <v>5500</v>
      </c>
      <c r="D3090" s="25" t="s">
        <v>5402</v>
      </c>
      <c r="E3090" s="19" t="s">
        <v>5431</v>
      </c>
      <c r="F3090" s="19" t="s">
        <v>5501</v>
      </c>
      <c r="G3090" s="5" t="str">
        <f>HYPERLINK("http://jsmh.umin.jp/journal/38-2/297-299.pdf")</f>
        <v>http://jsmh.umin.jp/journal/38-2/297-299.pdf</v>
      </c>
      <c r="H3090" s="43" t="str">
        <f t="shared" si="222"/>
        <v>http://dl.ndl.go.jp/info:ndljp/pid/3359335</v>
      </c>
    </row>
    <row r="3091" spans="1:8" ht="30" customHeight="1" x14ac:dyDescent="0.15">
      <c r="A3091" s="16" t="s">
        <v>1855</v>
      </c>
      <c r="B3091" s="17" t="s">
        <v>5502</v>
      </c>
      <c r="C3091" s="17" t="s">
        <v>444</v>
      </c>
      <c r="D3091" s="25" t="s">
        <v>5402</v>
      </c>
      <c r="E3091" s="19" t="s">
        <v>5431</v>
      </c>
      <c r="F3091" s="19" t="s">
        <v>1415</v>
      </c>
      <c r="G3091" s="5" t="str">
        <f>HYPERLINK("http://jsmh.umin.jp/journal/38-2/299-301.pdf")</f>
        <v>http://jsmh.umin.jp/journal/38-2/299-301.pdf</v>
      </c>
      <c r="H3091" s="43" t="str">
        <f t="shared" si="222"/>
        <v>http://dl.ndl.go.jp/info:ndljp/pid/3359335</v>
      </c>
    </row>
    <row r="3092" spans="1:8" ht="30" customHeight="1" x14ac:dyDescent="0.15">
      <c r="A3092" s="16" t="s">
        <v>1855</v>
      </c>
      <c r="B3092" s="17" t="s">
        <v>5503</v>
      </c>
      <c r="C3092" s="17" t="s">
        <v>1764</v>
      </c>
      <c r="D3092" s="25" t="s">
        <v>5402</v>
      </c>
      <c r="E3092" s="19" t="s">
        <v>5431</v>
      </c>
      <c r="F3092" s="19" t="s">
        <v>1421</v>
      </c>
      <c r="G3092" s="5" t="str">
        <f>HYPERLINK("http://jsmh.umin.jp/journal/38-2/302-303.pdf")</f>
        <v>http://jsmh.umin.jp/journal/38-2/302-303.pdf</v>
      </c>
      <c r="H3092" s="43" t="str">
        <f t="shared" si="222"/>
        <v>http://dl.ndl.go.jp/info:ndljp/pid/3359335</v>
      </c>
    </row>
    <row r="3093" spans="1:8" ht="30" customHeight="1" x14ac:dyDescent="0.15">
      <c r="A3093" s="16" t="s">
        <v>1855</v>
      </c>
      <c r="B3093" s="17" t="s">
        <v>5504</v>
      </c>
      <c r="C3093" s="17" t="s">
        <v>5505</v>
      </c>
      <c r="D3093" s="25" t="s">
        <v>5402</v>
      </c>
      <c r="E3093" s="19" t="s">
        <v>5431</v>
      </c>
      <c r="F3093" s="19" t="s">
        <v>1426</v>
      </c>
      <c r="G3093" s="5" t="str">
        <f>HYPERLINK("http://jsmh.umin.jp/journal/38-2/304-305.pdf")</f>
        <v>http://jsmh.umin.jp/journal/38-2/304-305.pdf</v>
      </c>
      <c r="H3093" s="43" t="str">
        <f t="shared" si="222"/>
        <v>http://dl.ndl.go.jp/info:ndljp/pid/3359335</v>
      </c>
    </row>
    <row r="3094" spans="1:8" ht="30" customHeight="1" x14ac:dyDescent="0.15">
      <c r="A3094" s="16" t="s">
        <v>1855</v>
      </c>
      <c r="B3094" s="17" t="s">
        <v>5506</v>
      </c>
      <c r="C3094" s="17" t="s">
        <v>479</v>
      </c>
      <c r="D3094" s="25" t="s">
        <v>5402</v>
      </c>
      <c r="E3094" s="19" t="s">
        <v>5431</v>
      </c>
      <c r="F3094" s="19" t="s">
        <v>5507</v>
      </c>
      <c r="G3094" s="5" t="str">
        <f>HYPERLINK("http://jsmh.umin.jp/journal/38-2/306-308.pdf")</f>
        <v>http://jsmh.umin.jp/journal/38-2/306-308.pdf</v>
      </c>
      <c r="H3094" s="43" t="str">
        <f t="shared" si="222"/>
        <v>http://dl.ndl.go.jp/info:ndljp/pid/3359335</v>
      </c>
    </row>
    <row r="3095" spans="1:8" ht="30" customHeight="1" x14ac:dyDescent="0.15">
      <c r="A3095" s="16" t="s">
        <v>1855</v>
      </c>
      <c r="B3095" s="17" t="s">
        <v>5508</v>
      </c>
      <c r="C3095" s="17" t="s">
        <v>5084</v>
      </c>
      <c r="D3095" s="25" t="s">
        <v>5402</v>
      </c>
      <c r="E3095" s="19" t="s">
        <v>5431</v>
      </c>
      <c r="F3095" s="19" t="s">
        <v>1588</v>
      </c>
      <c r="G3095" s="5" t="str">
        <f>HYPERLINK("http://jsmh.umin.jp/journal/38-2/308-310.pdf")</f>
        <v>http://jsmh.umin.jp/journal/38-2/308-310.pdf</v>
      </c>
      <c r="H3095" s="43" t="str">
        <f t="shared" si="222"/>
        <v>http://dl.ndl.go.jp/info:ndljp/pid/3359335</v>
      </c>
    </row>
    <row r="3096" spans="1:8" ht="30" customHeight="1" x14ac:dyDescent="0.15">
      <c r="A3096" s="16" t="s">
        <v>1855</v>
      </c>
      <c r="B3096" s="17" t="s">
        <v>5509</v>
      </c>
      <c r="C3096" s="17" t="s">
        <v>2325</v>
      </c>
      <c r="D3096" s="25" t="s">
        <v>5402</v>
      </c>
      <c r="E3096" s="19" t="s">
        <v>5431</v>
      </c>
      <c r="F3096" s="19" t="s">
        <v>5510</v>
      </c>
      <c r="G3096" s="5" t="str">
        <f>HYPERLINK("http://jsmh.umin.jp/journal/38-2/311-312.pdf")</f>
        <v>http://jsmh.umin.jp/journal/38-2/311-312.pdf</v>
      </c>
      <c r="H3096" s="43" t="str">
        <f t="shared" si="222"/>
        <v>http://dl.ndl.go.jp/info:ndljp/pid/3359335</v>
      </c>
    </row>
    <row r="3097" spans="1:8" ht="30" customHeight="1" x14ac:dyDescent="0.15">
      <c r="A3097" s="16" t="s">
        <v>1855</v>
      </c>
      <c r="B3097" s="17" t="s">
        <v>5511</v>
      </c>
      <c r="C3097" s="17" t="s">
        <v>5018</v>
      </c>
      <c r="D3097" s="25" t="s">
        <v>5402</v>
      </c>
      <c r="E3097" s="19" t="s">
        <v>5431</v>
      </c>
      <c r="F3097" s="19" t="s">
        <v>1774</v>
      </c>
      <c r="G3097" s="5" t="str">
        <f>HYPERLINK("http://jsmh.umin.jp/journal/38-2/313-314.pdf")</f>
        <v>http://jsmh.umin.jp/journal/38-2/313-314.pdf</v>
      </c>
      <c r="H3097" s="43" t="str">
        <f t="shared" si="222"/>
        <v>http://dl.ndl.go.jp/info:ndljp/pid/3359335</v>
      </c>
    </row>
    <row r="3098" spans="1:8" ht="30" customHeight="1" x14ac:dyDescent="0.15">
      <c r="A3098" s="16" t="s">
        <v>1855</v>
      </c>
      <c r="B3098" s="17" t="s">
        <v>5512</v>
      </c>
      <c r="C3098" s="17" t="s">
        <v>10156</v>
      </c>
      <c r="D3098" s="25" t="s">
        <v>5402</v>
      </c>
      <c r="E3098" s="19" t="s">
        <v>5431</v>
      </c>
      <c r="F3098" s="19" t="s">
        <v>1779</v>
      </c>
      <c r="G3098" s="5" t="str">
        <f>HYPERLINK("http://jsmh.umin.jp/journal/38-2/314-315.pdf")</f>
        <v>http://jsmh.umin.jp/journal/38-2/314-315.pdf</v>
      </c>
      <c r="H3098" s="43" t="str">
        <f t="shared" si="222"/>
        <v>http://dl.ndl.go.jp/info:ndljp/pid/3359335</v>
      </c>
    </row>
    <row r="3099" spans="1:8" ht="30" customHeight="1" x14ac:dyDescent="0.15">
      <c r="A3099" s="16" t="s">
        <v>1855</v>
      </c>
      <c r="B3099" s="17" t="s">
        <v>5513</v>
      </c>
      <c r="C3099" s="17" t="s">
        <v>4733</v>
      </c>
      <c r="D3099" s="25" t="s">
        <v>5402</v>
      </c>
      <c r="E3099" s="19" t="s">
        <v>5431</v>
      </c>
      <c r="F3099" s="19" t="s">
        <v>1786</v>
      </c>
      <c r="G3099" s="5" t="str">
        <f>HYPERLINK("http://jsmh.umin.jp/journal/38-2/316-317.pdf")</f>
        <v>http://jsmh.umin.jp/journal/38-2/316-317.pdf</v>
      </c>
      <c r="H3099" s="43" t="str">
        <f t="shared" si="222"/>
        <v>http://dl.ndl.go.jp/info:ndljp/pid/3359335</v>
      </c>
    </row>
    <row r="3100" spans="1:8" ht="30" customHeight="1" x14ac:dyDescent="0.15">
      <c r="A3100" s="16" t="s">
        <v>1855</v>
      </c>
      <c r="B3100" s="17" t="s">
        <v>5514</v>
      </c>
      <c r="C3100" s="17" t="s">
        <v>2937</v>
      </c>
      <c r="D3100" s="25" t="s">
        <v>5402</v>
      </c>
      <c r="E3100" s="19" t="s">
        <v>5431</v>
      </c>
      <c r="F3100" s="19" t="s">
        <v>5103</v>
      </c>
      <c r="G3100" s="5" t="str">
        <f>HYPERLINK("http://jsmh.umin.jp/journal/38-2/318-319.pdf")</f>
        <v>http://jsmh.umin.jp/journal/38-2/318-319.pdf</v>
      </c>
      <c r="H3100" s="43" t="str">
        <f t="shared" si="222"/>
        <v>http://dl.ndl.go.jp/info:ndljp/pid/3359335</v>
      </c>
    </row>
    <row r="3101" spans="1:8" ht="30" customHeight="1" x14ac:dyDescent="0.15">
      <c r="A3101" s="16" t="s">
        <v>1855</v>
      </c>
      <c r="B3101" s="17" t="s">
        <v>5515</v>
      </c>
      <c r="C3101" s="17" t="s">
        <v>5516</v>
      </c>
      <c r="D3101" s="25" t="s">
        <v>5402</v>
      </c>
      <c r="E3101" s="19" t="s">
        <v>5431</v>
      </c>
      <c r="F3101" s="19" t="s">
        <v>5517</v>
      </c>
      <c r="G3101" s="5" t="str">
        <f>HYPERLINK("http://jsmh.umin.jp/journal/38-2/320-321.pdf")</f>
        <v>http://jsmh.umin.jp/journal/38-2/320-321.pdf</v>
      </c>
      <c r="H3101" s="43" t="str">
        <f t="shared" si="222"/>
        <v>http://dl.ndl.go.jp/info:ndljp/pid/3359335</v>
      </c>
    </row>
    <row r="3102" spans="1:8" ht="30" customHeight="1" x14ac:dyDescent="0.15">
      <c r="A3102" s="16" t="s">
        <v>1855</v>
      </c>
      <c r="B3102" s="17" t="s">
        <v>5518</v>
      </c>
      <c r="C3102" s="17" t="s">
        <v>3072</v>
      </c>
      <c r="D3102" s="25" t="s">
        <v>5402</v>
      </c>
      <c r="E3102" s="19" t="s">
        <v>5431</v>
      </c>
      <c r="F3102" s="19" t="s">
        <v>10580</v>
      </c>
      <c r="G3102" s="26" t="str">
        <f>HYPERLINK("http://jsmh.umin.jp/journal/38-2/321.pdf")</f>
        <v>http://jsmh.umin.jp/journal/38-2/321.pdf</v>
      </c>
      <c r="H3102" s="43" t="str">
        <f t="shared" si="222"/>
        <v>http://dl.ndl.go.jp/info:ndljp/pid/3359335</v>
      </c>
    </row>
    <row r="3103" spans="1:8" ht="30" customHeight="1" x14ac:dyDescent="0.15">
      <c r="A3103" s="16" t="s">
        <v>1855</v>
      </c>
      <c r="B3103" s="17" t="s">
        <v>5519</v>
      </c>
      <c r="C3103" s="17" t="s">
        <v>3644</v>
      </c>
      <c r="D3103" s="25" t="s">
        <v>5402</v>
      </c>
      <c r="E3103" s="19" t="s">
        <v>5431</v>
      </c>
      <c r="F3103" s="19" t="s">
        <v>3129</v>
      </c>
      <c r="G3103" s="5" t="str">
        <f>HYPERLINK("http://jsmh.umin.jp/journal/38-2/322-323.pdf")</f>
        <v>http://jsmh.umin.jp/journal/38-2/322-323.pdf</v>
      </c>
      <c r="H3103" s="43" t="str">
        <f t="shared" si="222"/>
        <v>http://dl.ndl.go.jp/info:ndljp/pid/3359335</v>
      </c>
    </row>
    <row r="3104" spans="1:8" ht="30" customHeight="1" x14ac:dyDescent="0.15">
      <c r="A3104" s="16" t="s">
        <v>1855</v>
      </c>
      <c r="B3104" s="17" t="s">
        <v>5520</v>
      </c>
      <c r="C3104" s="17" t="s">
        <v>4988</v>
      </c>
      <c r="D3104" s="25" t="s">
        <v>5402</v>
      </c>
      <c r="E3104" s="19" t="s">
        <v>5431</v>
      </c>
      <c r="F3104" s="19" t="s">
        <v>3131</v>
      </c>
      <c r="G3104" s="5" t="str">
        <f>HYPERLINK("http://jsmh.umin.jp/journal/38-2/324-326.pdf")</f>
        <v>http://jsmh.umin.jp/journal/38-2/324-326.pdf</v>
      </c>
      <c r="H3104" s="43" t="str">
        <f t="shared" si="222"/>
        <v>http://dl.ndl.go.jp/info:ndljp/pid/3359335</v>
      </c>
    </row>
    <row r="3105" spans="1:8" ht="30" customHeight="1" x14ac:dyDescent="0.15">
      <c r="A3105" s="16" t="s">
        <v>1855</v>
      </c>
      <c r="B3105" s="17" t="s">
        <v>5521</v>
      </c>
      <c r="C3105" s="17" t="s">
        <v>5015</v>
      </c>
      <c r="D3105" s="25" t="s">
        <v>5402</v>
      </c>
      <c r="E3105" s="19" t="s">
        <v>5431</v>
      </c>
      <c r="F3105" s="19" t="s">
        <v>3133</v>
      </c>
      <c r="G3105" s="5" t="str">
        <f>HYPERLINK("http://jsmh.umin.jp/journal/38-2/326-328.pdf")</f>
        <v>http://jsmh.umin.jp/journal/38-2/326-328.pdf</v>
      </c>
      <c r="H3105" s="43" t="str">
        <f t="shared" si="222"/>
        <v>http://dl.ndl.go.jp/info:ndljp/pid/3359335</v>
      </c>
    </row>
    <row r="3106" spans="1:8" ht="30" customHeight="1" x14ac:dyDescent="0.15">
      <c r="A3106" s="16" t="s">
        <v>1855</v>
      </c>
      <c r="B3106" s="17" t="s">
        <v>5522</v>
      </c>
      <c r="C3106" s="17" t="s">
        <v>5523</v>
      </c>
      <c r="D3106" s="25" t="s">
        <v>5402</v>
      </c>
      <c r="E3106" s="19" t="s">
        <v>5431</v>
      </c>
      <c r="F3106" s="19" t="s">
        <v>3891</v>
      </c>
      <c r="G3106" s="5" t="str">
        <f>HYPERLINK("http://jsmh.umin.jp/journal/38-2/328-329.pdf")</f>
        <v>http://jsmh.umin.jp/journal/38-2/328-329.pdf</v>
      </c>
      <c r="H3106" s="43" t="str">
        <f t="shared" si="222"/>
        <v>http://dl.ndl.go.jp/info:ndljp/pid/3359335</v>
      </c>
    </row>
    <row r="3107" spans="1:8" ht="30" customHeight="1" x14ac:dyDescent="0.15">
      <c r="A3107" s="16" t="s">
        <v>1855</v>
      </c>
      <c r="B3107" s="17" t="s">
        <v>5524</v>
      </c>
      <c r="C3107" s="17" t="s">
        <v>5525</v>
      </c>
      <c r="D3107" s="25" t="s">
        <v>5402</v>
      </c>
      <c r="E3107" s="19" t="s">
        <v>5431</v>
      </c>
      <c r="F3107" s="19" t="s">
        <v>2987</v>
      </c>
      <c r="G3107" s="5" t="str">
        <f>HYPERLINK("http://jsmh.umin.jp/journal/38-2/330-331.pdf")</f>
        <v>http://jsmh.umin.jp/journal/38-2/330-331.pdf</v>
      </c>
      <c r="H3107" s="43" t="str">
        <f t="shared" ref="H3107:H3113" si="223">HYPERLINK("http://dl.ndl.go.jp/info:ndljp/pid/3359335")</f>
        <v>http://dl.ndl.go.jp/info:ndljp/pid/3359335</v>
      </c>
    </row>
    <row r="3108" spans="1:8" ht="30" customHeight="1" x14ac:dyDescent="0.15">
      <c r="A3108" s="16" t="s">
        <v>1855</v>
      </c>
      <c r="B3108" s="17" t="s">
        <v>5526</v>
      </c>
      <c r="C3108" s="17" t="s">
        <v>5009</v>
      </c>
      <c r="D3108" s="25" t="s">
        <v>5402</v>
      </c>
      <c r="E3108" s="19" t="s">
        <v>5431</v>
      </c>
      <c r="F3108" s="19" t="s">
        <v>1613</v>
      </c>
      <c r="G3108" s="5" t="str">
        <f>HYPERLINK("http://jsmh.umin.jp/journal/38-2/332-333.pdf")</f>
        <v>http://jsmh.umin.jp/journal/38-2/332-333.pdf</v>
      </c>
      <c r="H3108" s="43" t="str">
        <f t="shared" si="223"/>
        <v>http://dl.ndl.go.jp/info:ndljp/pid/3359335</v>
      </c>
    </row>
    <row r="3109" spans="1:8" ht="30" customHeight="1" x14ac:dyDescent="0.15">
      <c r="A3109" s="16" t="s">
        <v>1855</v>
      </c>
      <c r="B3109" s="17" t="s">
        <v>5527</v>
      </c>
      <c r="C3109" s="17" t="s">
        <v>5528</v>
      </c>
      <c r="D3109" s="25" t="s">
        <v>5402</v>
      </c>
      <c r="E3109" s="19" t="s">
        <v>5431</v>
      </c>
      <c r="F3109" s="19" t="s">
        <v>1625</v>
      </c>
      <c r="G3109" s="5" t="str">
        <f>HYPERLINK("http://jsmh.umin.jp/journal/38-2/334-335.pdf")</f>
        <v>http://jsmh.umin.jp/journal/38-2/334-335.pdf</v>
      </c>
      <c r="H3109" s="43" t="str">
        <f t="shared" si="223"/>
        <v>http://dl.ndl.go.jp/info:ndljp/pid/3359335</v>
      </c>
    </row>
    <row r="3110" spans="1:8" ht="30" customHeight="1" x14ac:dyDescent="0.15">
      <c r="A3110" s="16" t="s">
        <v>1855</v>
      </c>
      <c r="B3110" s="17" t="s">
        <v>10212</v>
      </c>
      <c r="C3110" s="17" t="s">
        <v>4324</v>
      </c>
      <c r="D3110" s="25" t="s">
        <v>5402</v>
      </c>
      <c r="E3110" s="19" t="s">
        <v>5431</v>
      </c>
      <c r="F3110" s="19" t="s">
        <v>4887</v>
      </c>
      <c r="G3110" s="5" t="str">
        <f>HYPERLINK("http://jsmh.umin.jp/journal/38-2/336-337.pdf")</f>
        <v>http://jsmh.umin.jp/journal/38-2/336-337.pdf</v>
      </c>
      <c r="H3110" s="43" t="str">
        <f t="shared" si="223"/>
        <v>http://dl.ndl.go.jp/info:ndljp/pid/3359335</v>
      </c>
    </row>
    <row r="3111" spans="1:8" ht="30" customHeight="1" x14ac:dyDescent="0.15">
      <c r="A3111" s="16" t="s">
        <v>1855</v>
      </c>
      <c r="B3111" s="17" t="s">
        <v>5529</v>
      </c>
      <c r="C3111" s="17" t="s">
        <v>672</v>
      </c>
      <c r="D3111" s="25" t="s">
        <v>5402</v>
      </c>
      <c r="E3111" s="19" t="s">
        <v>5431</v>
      </c>
      <c r="F3111" s="19" t="s">
        <v>5530</v>
      </c>
      <c r="G3111" s="5" t="str">
        <f>HYPERLINK("http://jsmh.umin.jp/journal/38-2/337-339.pdf")</f>
        <v>http://jsmh.umin.jp/journal/38-2/337-339.pdf</v>
      </c>
      <c r="H3111" s="43" t="str">
        <f t="shared" si="223"/>
        <v>http://dl.ndl.go.jp/info:ndljp/pid/3359335</v>
      </c>
    </row>
    <row r="3112" spans="1:8" ht="30" customHeight="1" x14ac:dyDescent="0.15">
      <c r="A3112" s="16" t="s">
        <v>1855</v>
      </c>
      <c r="B3112" s="17" t="s">
        <v>5531</v>
      </c>
      <c r="C3112" s="17" t="s">
        <v>5532</v>
      </c>
      <c r="D3112" s="25" t="s">
        <v>5402</v>
      </c>
      <c r="E3112" s="19" t="s">
        <v>5431</v>
      </c>
      <c r="F3112" s="19" t="s">
        <v>4893</v>
      </c>
      <c r="G3112" s="5" t="str">
        <f>HYPERLINK("http://jsmh.umin.jp/journal/38-2/339-340.pdf")</f>
        <v>http://jsmh.umin.jp/journal/38-2/339-340.pdf</v>
      </c>
      <c r="H3112" s="43" t="str">
        <f t="shared" si="223"/>
        <v>http://dl.ndl.go.jp/info:ndljp/pid/3359335</v>
      </c>
    </row>
    <row r="3113" spans="1:8" ht="30" customHeight="1" x14ac:dyDescent="0.15">
      <c r="A3113" s="16" t="s">
        <v>2894</v>
      </c>
      <c r="B3113" s="17" t="s">
        <v>5533</v>
      </c>
      <c r="C3113" s="17"/>
      <c r="D3113" s="25" t="s">
        <v>5402</v>
      </c>
      <c r="E3113" s="19" t="s">
        <v>5431</v>
      </c>
      <c r="F3113" s="19" t="s">
        <v>5534</v>
      </c>
      <c r="G3113" s="5" t="str">
        <f>HYPERLINK("http://jsmh.umin.jp/journal/38-2/341-389.pdf")</f>
        <v>http://jsmh.umin.jp/journal/38-2/341-389.pdf</v>
      </c>
      <c r="H3113" s="43" t="str">
        <f t="shared" si="223"/>
        <v>http://dl.ndl.go.jp/info:ndljp/pid/3359335</v>
      </c>
    </row>
    <row r="3114" spans="1:8" ht="30" customHeight="1" x14ac:dyDescent="0.15">
      <c r="A3114" s="16" t="s">
        <v>17</v>
      </c>
      <c r="B3114" s="17" t="s">
        <v>5535</v>
      </c>
      <c r="C3114" s="17" t="s">
        <v>3644</v>
      </c>
      <c r="D3114" s="25" t="s">
        <v>5402</v>
      </c>
      <c r="E3114" s="19" t="s">
        <v>5536</v>
      </c>
      <c r="F3114" s="19" t="s">
        <v>5537</v>
      </c>
      <c r="G3114" s="5" t="str">
        <f>HYPERLINK("http://jsmh.umin.jp/journal/38-3/401-431.pdf")</f>
        <v>http://jsmh.umin.jp/journal/38-3/401-431.pdf</v>
      </c>
      <c r="H3114" s="42" t="str">
        <f t="shared" ref="H3114:H3128" si="224">HYPERLINK("http://dl.ndl.go.jp/info:ndljp/pid/3359336")</f>
        <v>http://dl.ndl.go.jp/info:ndljp/pid/3359336</v>
      </c>
    </row>
    <row r="3115" spans="1:8" ht="30" customHeight="1" x14ac:dyDescent="0.15">
      <c r="A3115" s="16" t="s">
        <v>17</v>
      </c>
      <c r="B3115" s="17" t="s">
        <v>10213</v>
      </c>
      <c r="C3115" s="17" t="s">
        <v>2937</v>
      </c>
      <c r="D3115" s="25" t="s">
        <v>5402</v>
      </c>
      <c r="E3115" s="19" t="s">
        <v>5536</v>
      </c>
      <c r="F3115" s="19" t="s">
        <v>5538</v>
      </c>
      <c r="G3115" s="5" t="str">
        <f>HYPERLINK("http://jsmh.umin.jp/journal/38-3/433-470.pdf")</f>
        <v>http://jsmh.umin.jp/journal/38-3/433-470.pdf</v>
      </c>
      <c r="H3115" s="43" t="str">
        <f t="shared" si="224"/>
        <v>http://dl.ndl.go.jp/info:ndljp/pid/3359336</v>
      </c>
    </row>
    <row r="3116" spans="1:8" ht="30" customHeight="1" x14ac:dyDescent="0.15">
      <c r="A3116" s="16" t="s">
        <v>17</v>
      </c>
      <c r="B3116" s="17" t="s">
        <v>5539</v>
      </c>
      <c r="C3116" s="17" t="s">
        <v>5075</v>
      </c>
      <c r="D3116" s="25" t="s">
        <v>5402</v>
      </c>
      <c r="E3116" s="19" t="s">
        <v>5536</v>
      </c>
      <c r="F3116" s="19" t="s">
        <v>5540</v>
      </c>
      <c r="G3116" s="5" t="str">
        <f>HYPERLINK("http://jsmh.umin.jp/journal/38-3/471-486.pdf")</f>
        <v>http://jsmh.umin.jp/journal/38-3/471-486.pdf</v>
      </c>
      <c r="H3116" s="43" t="str">
        <f t="shared" si="224"/>
        <v>http://dl.ndl.go.jp/info:ndljp/pid/3359336</v>
      </c>
    </row>
    <row r="3117" spans="1:8" ht="30" customHeight="1" x14ac:dyDescent="0.15">
      <c r="A3117" s="16" t="s">
        <v>3387</v>
      </c>
      <c r="B3117" s="17" t="s">
        <v>5541</v>
      </c>
      <c r="C3117" s="17" t="s">
        <v>5542</v>
      </c>
      <c r="D3117" s="25" t="s">
        <v>5402</v>
      </c>
      <c r="E3117" s="19" t="s">
        <v>5536</v>
      </c>
      <c r="F3117" s="19" t="s">
        <v>5543</v>
      </c>
      <c r="G3117" s="5" t="str">
        <f>HYPERLINK("http://jsmh.umin.jp/journal/38-3/487-499.pdf")</f>
        <v>http://jsmh.umin.jp/journal/38-3/487-499.pdf</v>
      </c>
      <c r="H3117" s="43" t="str">
        <f t="shared" si="224"/>
        <v>http://dl.ndl.go.jp/info:ndljp/pid/3359336</v>
      </c>
    </row>
    <row r="3118" spans="1:8" ht="30" customHeight="1" x14ac:dyDescent="0.15">
      <c r="A3118" s="16" t="s">
        <v>692</v>
      </c>
      <c r="B3118" s="17" t="s">
        <v>5544</v>
      </c>
      <c r="C3118" s="17" t="s">
        <v>3485</v>
      </c>
      <c r="D3118" s="25" t="s">
        <v>5402</v>
      </c>
      <c r="E3118" s="19" t="s">
        <v>5536</v>
      </c>
      <c r="F3118" s="19" t="s">
        <v>5545</v>
      </c>
      <c r="G3118" s="5" t="str">
        <f>HYPERLINK("http://jsmh.umin.jp/journal/38-3/501-505.pdf")</f>
        <v>http://jsmh.umin.jp/journal/38-3/501-505.pdf</v>
      </c>
      <c r="H3118" s="43" t="str">
        <f t="shared" si="224"/>
        <v>http://dl.ndl.go.jp/info:ndljp/pid/3359336</v>
      </c>
    </row>
    <row r="3119" spans="1:8" ht="30" customHeight="1" x14ac:dyDescent="0.15">
      <c r="A3119" s="16" t="s">
        <v>692</v>
      </c>
      <c r="B3119" s="17" t="s">
        <v>5546</v>
      </c>
      <c r="C3119" s="17" t="s">
        <v>4870</v>
      </c>
      <c r="D3119" s="25" t="s">
        <v>5402</v>
      </c>
      <c r="E3119" s="19" t="s">
        <v>5536</v>
      </c>
      <c r="F3119" s="19" t="s">
        <v>5547</v>
      </c>
      <c r="G3119" s="5" t="str">
        <f>HYPERLINK("http://jsmh.umin.jp/journal/38-3/507-517.pdf")</f>
        <v>http://jsmh.umin.jp/journal/38-3/507-517.pdf</v>
      </c>
      <c r="H3119" s="43" t="str">
        <f t="shared" si="224"/>
        <v>http://dl.ndl.go.jp/info:ndljp/pid/3359336</v>
      </c>
    </row>
    <row r="3120" spans="1:8" ht="30" customHeight="1" x14ac:dyDescent="0.15">
      <c r="A3120" s="16" t="s">
        <v>3223</v>
      </c>
      <c r="B3120" s="17" t="s">
        <v>5548</v>
      </c>
      <c r="C3120" s="17" t="s">
        <v>507</v>
      </c>
      <c r="D3120" s="25" t="s">
        <v>5402</v>
      </c>
      <c r="E3120" s="19" t="s">
        <v>5536</v>
      </c>
      <c r="F3120" s="19" t="s">
        <v>5549</v>
      </c>
      <c r="G3120" s="5" t="str">
        <f>HYPERLINK("http://jsmh.umin.jp/journal/38-3/519-521.pdf")</f>
        <v>http://jsmh.umin.jp/journal/38-3/519-521.pdf</v>
      </c>
      <c r="H3120" s="43" t="str">
        <f t="shared" si="224"/>
        <v>http://dl.ndl.go.jp/info:ndljp/pid/3359336</v>
      </c>
    </row>
    <row r="3121" spans="1:8" ht="30" customHeight="1" x14ac:dyDescent="0.15">
      <c r="A3121" s="16" t="s">
        <v>558</v>
      </c>
      <c r="B3121" s="17" t="s">
        <v>537</v>
      </c>
      <c r="C3121" s="17"/>
      <c r="D3121" s="25" t="s">
        <v>5402</v>
      </c>
      <c r="E3121" s="19" t="s">
        <v>5536</v>
      </c>
      <c r="F3121" s="19" t="s">
        <v>5550</v>
      </c>
      <c r="G3121" s="5" t="str">
        <f>HYPERLINK("http://jsmh.umin.jp/journal/38-3/522-523.pdf")</f>
        <v>http://jsmh.umin.jp/journal/38-3/522-523.pdf</v>
      </c>
      <c r="H3121" s="43" t="str">
        <f t="shared" si="224"/>
        <v>http://dl.ndl.go.jp/info:ndljp/pid/3359336</v>
      </c>
    </row>
    <row r="3122" spans="1:8" ht="30" customHeight="1" x14ac:dyDescent="0.15">
      <c r="A3122" s="16" t="s">
        <v>558</v>
      </c>
      <c r="B3122" s="17" t="s">
        <v>5551</v>
      </c>
      <c r="C3122" s="17"/>
      <c r="D3122" s="25" t="s">
        <v>5402</v>
      </c>
      <c r="E3122" s="19" t="s">
        <v>5536</v>
      </c>
      <c r="F3122" s="19" t="s">
        <v>4671</v>
      </c>
      <c r="G3122" s="5" t="str">
        <f>HYPERLINK("http://jsmh.umin.jp/journal/38-3/522.pdf")</f>
        <v>http://jsmh.umin.jp/journal/38-3/522.pdf</v>
      </c>
      <c r="H3122" s="43" t="str">
        <f t="shared" si="224"/>
        <v>http://dl.ndl.go.jp/info:ndljp/pid/3359336</v>
      </c>
    </row>
    <row r="3123" spans="1:8" ht="30" customHeight="1" x14ac:dyDescent="0.15">
      <c r="A3123" s="16" t="s">
        <v>3720</v>
      </c>
      <c r="B3123" s="17" t="s">
        <v>5552</v>
      </c>
      <c r="C3123" s="17" t="s">
        <v>4988</v>
      </c>
      <c r="D3123" s="25" t="s">
        <v>5402</v>
      </c>
      <c r="E3123" s="19" t="s">
        <v>5536</v>
      </c>
      <c r="F3123" s="19" t="s">
        <v>4673</v>
      </c>
      <c r="G3123" s="5" t="str">
        <f>HYPERLINK("http://jsmh.umin.jp/journal/38-3/523-524.pdf")</f>
        <v>http://jsmh.umin.jp/journal/38-3/523-524.pdf</v>
      </c>
      <c r="H3123" s="43" t="str">
        <f t="shared" si="224"/>
        <v>http://dl.ndl.go.jp/info:ndljp/pid/3359336</v>
      </c>
    </row>
    <row r="3124" spans="1:8" ht="30" customHeight="1" x14ac:dyDescent="0.15">
      <c r="A3124" s="16" t="s">
        <v>2990</v>
      </c>
      <c r="B3124" s="17" t="s">
        <v>5553</v>
      </c>
      <c r="C3124" s="17" t="s">
        <v>444</v>
      </c>
      <c r="D3124" s="25" t="s">
        <v>5402</v>
      </c>
      <c r="E3124" s="19" t="s">
        <v>5536</v>
      </c>
      <c r="F3124" s="19" t="s">
        <v>5554</v>
      </c>
      <c r="G3124" s="5" t="str">
        <f>HYPERLINK("http://jsmh.umin.jp/journal/38-3/525-526.pdf")</f>
        <v>http://jsmh.umin.jp/journal/38-3/525-526.pdf</v>
      </c>
      <c r="H3124" s="43" t="str">
        <f t="shared" si="224"/>
        <v>http://dl.ndl.go.jp/info:ndljp/pid/3359336</v>
      </c>
    </row>
    <row r="3125" spans="1:8" ht="30" customHeight="1" x14ac:dyDescent="0.15">
      <c r="A3125" s="16" t="s">
        <v>2990</v>
      </c>
      <c r="B3125" s="17" t="s">
        <v>5555</v>
      </c>
      <c r="C3125" s="17" t="s">
        <v>5556</v>
      </c>
      <c r="D3125" s="25" t="s">
        <v>5402</v>
      </c>
      <c r="E3125" s="19" t="s">
        <v>5536</v>
      </c>
      <c r="F3125" s="19" t="s">
        <v>4483</v>
      </c>
      <c r="G3125" s="5" t="str">
        <f>HYPERLINK("http://jsmh.umin.jp/journal/38-3/527-528.pdf")</f>
        <v>http://jsmh.umin.jp/journal/38-3/527-528.pdf</v>
      </c>
      <c r="H3125" s="43" t="str">
        <f t="shared" si="224"/>
        <v>http://dl.ndl.go.jp/info:ndljp/pid/3359336</v>
      </c>
    </row>
    <row r="3126" spans="1:8" ht="30" customHeight="1" x14ac:dyDescent="0.15">
      <c r="A3126" s="16" t="s">
        <v>2990</v>
      </c>
      <c r="B3126" s="17" t="s">
        <v>5557</v>
      </c>
      <c r="C3126" s="17" t="s">
        <v>916</v>
      </c>
      <c r="D3126" s="25" t="s">
        <v>5402</v>
      </c>
      <c r="E3126" s="19" t="s">
        <v>5536</v>
      </c>
      <c r="F3126" s="19" t="s">
        <v>4486</v>
      </c>
      <c r="G3126" s="5" t="str">
        <f>HYPERLINK("http://jsmh.umin.jp/journal/38-3/528-529.pdf")</f>
        <v>http://jsmh.umin.jp/journal/38-3/528-529.pdf</v>
      </c>
      <c r="H3126" s="43" t="str">
        <f t="shared" si="224"/>
        <v>http://dl.ndl.go.jp/info:ndljp/pid/3359336</v>
      </c>
    </row>
    <row r="3127" spans="1:8" ht="30" customHeight="1" x14ac:dyDescent="0.15">
      <c r="A3127" s="16" t="s">
        <v>2990</v>
      </c>
      <c r="B3127" s="17" t="s">
        <v>5558</v>
      </c>
      <c r="C3127" s="17" t="s">
        <v>444</v>
      </c>
      <c r="D3127" s="25" t="s">
        <v>5402</v>
      </c>
      <c r="E3127" s="19" t="s">
        <v>5536</v>
      </c>
      <c r="F3127" s="19" t="s">
        <v>5559</v>
      </c>
      <c r="G3127" s="5" t="str">
        <f>HYPERLINK("http://jsmh.umin.jp/journal/38-3/529-531.pdf")</f>
        <v>http://jsmh.umin.jp/journal/38-3/529-531.pdf</v>
      </c>
      <c r="H3127" s="43" t="str">
        <f t="shared" si="224"/>
        <v>http://dl.ndl.go.jp/info:ndljp/pid/3359336</v>
      </c>
    </row>
    <row r="3128" spans="1:8" ht="30" customHeight="1" x14ac:dyDescent="0.15">
      <c r="A3128" s="16" t="s">
        <v>2990</v>
      </c>
      <c r="B3128" s="17" t="s">
        <v>5560</v>
      </c>
      <c r="C3128" s="17" t="s">
        <v>2233</v>
      </c>
      <c r="D3128" s="25" t="s">
        <v>5402</v>
      </c>
      <c r="E3128" s="19" t="s">
        <v>5536</v>
      </c>
      <c r="F3128" s="19" t="s">
        <v>4688</v>
      </c>
      <c r="G3128" s="5" t="str">
        <f>HYPERLINK("http://jsmh.umin.jp/journal/38-3/532-533.pdf")</f>
        <v>http://jsmh.umin.jp/journal/38-3/532-533.pdf</v>
      </c>
      <c r="H3128" s="43" t="str">
        <f t="shared" si="224"/>
        <v>http://dl.ndl.go.jp/info:ndljp/pid/3359336</v>
      </c>
    </row>
    <row r="3129" spans="1:8" ht="30" customHeight="1" x14ac:dyDescent="0.15">
      <c r="A3129" s="16" t="s">
        <v>17</v>
      </c>
      <c r="B3129" s="17" t="s">
        <v>5561</v>
      </c>
      <c r="C3129" s="17" t="s">
        <v>3485</v>
      </c>
      <c r="D3129" s="25" t="s">
        <v>5402</v>
      </c>
      <c r="E3129" s="19" t="s">
        <v>5562</v>
      </c>
      <c r="F3129" s="19" t="s">
        <v>5563</v>
      </c>
      <c r="G3129" s="5" t="str">
        <f>HYPERLINK("http://jsmh.umin.jp/journal/38-4/541-581.pdf")</f>
        <v>http://jsmh.umin.jp/journal/38-4/541-581.pdf</v>
      </c>
      <c r="H3129" s="42" t="str">
        <f t="shared" ref="H3129:H3145" si="225">HYPERLINK("http://dl.ndl.go.jp/info:ndljp/pid/3359337")</f>
        <v>http://dl.ndl.go.jp/info:ndljp/pid/3359337</v>
      </c>
    </row>
    <row r="3130" spans="1:8" ht="30" customHeight="1" x14ac:dyDescent="0.15">
      <c r="A3130" s="16" t="s">
        <v>17</v>
      </c>
      <c r="B3130" s="17" t="s">
        <v>5564</v>
      </c>
      <c r="C3130" s="17" t="s">
        <v>10214</v>
      </c>
      <c r="D3130" s="25" t="s">
        <v>5402</v>
      </c>
      <c r="E3130" s="19" t="s">
        <v>5562</v>
      </c>
      <c r="F3130" s="19" t="s">
        <v>5565</v>
      </c>
      <c r="G3130" s="5" t="str">
        <f>HYPERLINK("http://jsmh.umin.jp/journal/38-4/583-602.pdf")</f>
        <v>http://jsmh.umin.jp/journal/38-4/583-602.pdf</v>
      </c>
      <c r="H3130" s="43" t="str">
        <f t="shared" si="225"/>
        <v>http://dl.ndl.go.jp/info:ndljp/pid/3359337</v>
      </c>
    </row>
    <row r="3131" spans="1:8" ht="30" customHeight="1" x14ac:dyDescent="0.15">
      <c r="A3131" s="16" t="s">
        <v>17</v>
      </c>
      <c r="B3131" s="17" t="s">
        <v>5566</v>
      </c>
      <c r="C3131" s="17" t="s">
        <v>2937</v>
      </c>
      <c r="D3131" s="25" t="s">
        <v>5402</v>
      </c>
      <c r="E3131" s="19" t="s">
        <v>5562</v>
      </c>
      <c r="F3131" s="19" t="s">
        <v>5567</v>
      </c>
      <c r="G3131" s="5" t="str">
        <f>HYPERLINK("http://jsmh.umin.jp/journal/38-4/603-636.pdf")</f>
        <v>http://jsmh.umin.jp/journal/38-4/603-636.pdf</v>
      </c>
      <c r="H3131" s="43" t="str">
        <f t="shared" si="225"/>
        <v>http://dl.ndl.go.jp/info:ndljp/pid/3359337</v>
      </c>
    </row>
    <row r="3132" spans="1:8" ht="30" customHeight="1" x14ac:dyDescent="0.15">
      <c r="A3132" s="16" t="s">
        <v>17</v>
      </c>
      <c r="B3132" s="17" t="s">
        <v>5568</v>
      </c>
      <c r="C3132" s="17" t="s">
        <v>5569</v>
      </c>
      <c r="D3132" s="25" t="s">
        <v>5402</v>
      </c>
      <c r="E3132" s="19" t="s">
        <v>5562</v>
      </c>
      <c r="F3132" s="19" t="s">
        <v>5570</v>
      </c>
      <c r="G3132" s="5" t="str">
        <f>HYPERLINK("http://jsmh.umin.jp/journal/38-4/637-646.pdf")</f>
        <v>http://jsmh.umin.jp/journal/38-4/637-646.pdf</v>
      </c>
      <c r="H3132" s="43" t="str">
        <f t="shared" si="225"/>
        <v>http://dl.ndl.go.jp/info:ndljp/pid/3359337</v>
      </c>
    </row>
    <row r="3133" spans="1:8" ht="30" customHeight="1" x14ac:dyDescent="0.15">
      <c r="A3133" s="16" t="s">
        <v>3387</v>
      </c>
      <c r="B3133" s="17" t="s">
        <v>5571</v>
      </c>
      <c r="C3133" s="17" t="s">
        <v>5572</v>
      </c>
      <c r="D3133" s="25" t="s">
        <v>5402</v>
      </c>
      <c r="E3133" s="19" t="s">
        <v>5562</v>
      </c>
      <c r="F3133" s="19" t="s">
        <v>5573</v>
      </c>
      <c r="G3133" s="5" t="str">
        <f>HYPERLINK("http://jsmh.umin.jp/journal/38-4/647-653.pdf")</f>
        <v>http://jsmh.umin.jp/journal/38-4/647-653.pdf</v>
      </c>
      <c r="H3133" s="43" t="str">
        <f t="shared" si="225"/>
        <v>http://dl.ndl.go.jp/info:ndljp/pid/3359337</v>
      </c>
    </row>
    <row r="3134" spans="1:8" ht="30" customHeight="1" x14ac:dyDescent="0.15">
      <c r="A3134" s="16" t="s">
        <v>4265</v>
      </c>
      <c r="B3134" s="17" t="s">
        <v>5574</v>
      </c>
      <c r="C3134" s="17" t="s">
        <v>48</v>
      </c>
      <c r="D3134" s="25" t="s">
        <v>5402</v>
      </c>
      <c r="E3134" s="19" t="s">
        <v>5562</v>
      </c>
      <c r="F3134" s="19" t="s">
        <v>5575</v>
      </c>
      <c r="G3134" s="5" t="str">
        <f>HYPERLINK("http://jsmh.umin.jp/journal/38-4/655-661.pdf")</f>
        <v>http://jsmh.umin.jp/journal/38-4/655-661.pdf</v>
      </c>
      <c r="H3134" s="43" t="str">
        <f t="shared" si="225"/>
        <v>http://dl.ndl.go.jp/info:ndljp/pid/3359337</v>
      </c>
    </row>
    <row r="3135" spans="1:8" ht="30" customHeight="1" x14ac:dyDescent="0.15">
      <c r="A3135" s="16" t="s">
        <v>3223</v>
      </c>
      <c r="B3135" s="17" t="s">
        <v>5576</v>
      </c>
      <c r="C3135" s="17" t="s">
        <v>479</v>
      </c>
      <c r="D3135" s="25" t="s">
        <v>5402</v>
      </c>
      <c r="E3135" s="19" t="s">
        <v>5562</v>
      </c>
      <c r="F3135" s="19" t="s">
        <v>5577</v>
      </c>
      <c r="G3135" s="5" t="str">
        <f>HYPERLINK("http://jsmh.umin.jp/journal/38-4/663-665.pdf")</f>
        <v>http://jsmh.umin.jp/journal/38-4/663-665.pdf</v>
      </c>
      <c r="H3135" s="43" t="str">
        <f t="shared" si="225"/>
        <v>http://dl.ndl.go.jp/info:ndljp/pid/3359337</v>
      </c>
    </row>
    <row r="3136" spans="1:8" ht="30" customHeight="1" x14ac:dyDescent="0.15">
      <c r="A3136" s="16" t="s">
        <v>692</v>
      </c>
      <c r="B3136" s="17" t="s">
        <v>5578</v>
      </c>
      <c r="C3136" s="17" t="s">
        <v>4870</v>
      </c>
      <c r="D3136" s="25" t="s">
        <v>5402</v>
      </c>
      <c r="E3136" s="19" t="s">
        <v>5562</v>
      </c>
      <c r="F3136" s="19" t="s">
        <v>5579</v>
      </c>
      <c r="G3136" s="5" t="str">
        <f>HYPERLINK("http://jsmh.umin.jp/journal/38-4/667-689.pdf")</f>
        <v>http://jsmh.umin.jp/journal/38-4/667-689.pdf</v>
      </c>
      <c r="H3136" s="43" t="str">
        <f t="shared" si="225"/>
        <v>http://dl.ndl.go.jp/info:ndljp/pid/3359337</v>
      </c>
    </row>
    <row r="3137" spans="1:8" ht="30" customHeight="1" x14ac:dyDescent="0.15">
      <c r="A3137" s="16" t="s">
        <v>558</v>
      </c>
      <c r="B3137" s="17" t="s">
        <v>5580</v>
      </c>
      <c r="C3137" s="17"/>
      <c r="D3137" s="25" t="s">
        <v>5402</v>
      </c>
      <c r="E3137" s="19" t="s">
        <v>5562</v>
      </c>
      <c r="F3137" s="19" t="s">
        <v>5581</v>
      </c>
      <c r="G3137" s="5" t="str">
        <f>HYPERLINK("http://jsmh.umin.jp/journal/38-4/695-696.pdf")</f>
        <v>http://jsmh.umin.jp/journal/38-4/695-696.pdf</v>
      </c>
      <c r="H3137" s="43" t="str">
        <f t="shared" si="225"/>
        <v>http://dl.ndl.go.jp/info:ndljp/pid/3359337</v>
      </c>
    </row>
    <row r="3138" spans="1:8" ht="30" customHeight="1" x14ac:dyDescent="0.15">
      <c r="A3138" s="16" t="s">
        <v>558</v>
      </c>
      <c r="B3138" s="17" t="s">
        <v>5582</v>
      </c>
      <c r="C3138" s="17"/>
      <c r="D3138" s="25" t="s">
        <v>5402</v>
      </c>
      <c r="E3138" s="19" t="s">
        <v>5562</v>
      </c>
      <c r="F3138" s="19" t="s">
        <v>5583</v>
      </c>
      <c r="G3138" s="5" t="str">
        <f>HYPERLINK("http://jsmh.umin.jp/journal/38-4/695.pdf")</f>
        <v>http://jsmh.umin.jp/journal/38-4/695.pdf</v>
      </c>
      <c r="H3138" s="43" t="str">
        <f t="shared" si="225"/>
        <v>http://dl.ndl.go.jp/info:ndljp/pid/3359337</v>
      </c>
    </row>
    <row r="3139" spans="1:8" ht="30" customHeight="1" x14ac:dyDescent="0.15">
      <c r="A3139" s="16" t="s">
        <v>2990</v>
      </c>
      <c r="B3139" s="17" t="s">
        <v>5584</v>
      </c>
      <c r="C3139" s="17" t="s">
        <v>3839</v>
      </c>
      <c r="D3139" s="25" t="s">
        <v>5402</v>
      </c>
      <c r="E3139" s="19" t="s">
        <v>5562</v>
      </c>
      <c r="F3139" s="19" t="s">
        <v>5585</v>
      </c>
      <c r="G3139" s="5" t="str">
        <f>HYPERLINK("http://jsmh.umin.jp/journal/38-4/696-697.pdf")</f>
        <v>http://jsmh.umin.jp/journal/38-4/696-697.pdf</v>
      </c>
      <c r="H3139" s="43" t="str">
        <f t="shared" si="225"/>
        <v>http://dl.ndl.go.jp/info:ndljp/pid/3359337</v>
      </c>
    </row>
    <row r="3140" spans="1:8" ht="30" customHeight="1" x14ac:dyDescent="0.15">
      <c r="A3140" s="16" t="s">
        <v>558</v>
      </c>
      <c r="B3140" s="17" t="s">
        <v>537</v>
      </c>
      <c r="C3140" s="17"/>
      <c r="D3140" s="25" t="s">
        <v>5402</v>
      </c>
      <c r="E3140" s="19" t="s">
        <v>5562</v>
      </c>
      <c r="F3140" s="19" t="s">
        <v>5586</v>
      </c>
      <c r="G3140" s="5" t="str">
        <f>HYPERLINK("http://jsmh.umin.jp/journal/38-4/696.pdf")</f>
        <v>http://jsmh.umin.jp/journal/38-4/696.pdf</v>
      </c>
      <c r="H3140" s="43" t="str">
        <f t="shared" si="225"/>
        <v>http://dl.ndl.go.jp/info:ndljp/pid/3359337</v>
      </c>
    </row>
    <row r="3141" spans="1:8" ht="30" customHeight="1" x14ac:dyDescent="0.15">
      <c r="A3141" s="16" t="s">
        <v>2990</v>
      </c>
      <c r="B3141" s="17" t="s">
        <v>5587</v>
      </c>
      <c r="C3141" s="17" t="s">
        <v>5588</v>
      </c>
      <c r="D3141" s="25" t="s">
        <v>5402</v>
      </c>
      <c r="E3141" s="19" t="s">
        <v>5562</v>
      </c>
      <c r="F3141" s="19" t="s">
        <v>5589</v>
      </c>
      <c r="G3141" s="5" t="str">
        <f>HYPERLINK("http://jsmh.umin.jp/journal/38-4/697-699.pdf")</f>
        <v>http://jsmh.umin.jp/journal/38-4/697-699.pdf</v>
      </c>
      <c r="H3141" s="43" t="str">
        <f t="shared" si="225"/>
        <v>http://dl.ndl.go.jp/info:ndljp/pid/3359337</v>
      </c>
    </row>
    <row r="3142" spans="1:8" ht="30" customHeight="1" x14ac:dyDescent="0.15">
      <c r="A3142" s="16" t="s">
        <v>2990</v>
      </c>
      <c r="B3142" s="17" t="s">
        <v>5590</v>
      </c>
      <c r="C3142" s="17" t="s">
        <v>2092</v>
      </c>
      <c r="D3142" s="25" t="s">
        <v>5402</v>
      </c>
      <c r="E3142" s="19" t="s">
        <v>5562</v>
      </c>
      <c r="F3142" s="19" t="s">
        <v>5591</v>
      </c>
      <c r="G3142" s="5" t="str">
        <f>HYPERLINK("http://jsmh.umin.jp/journal/38-4/699-701.pdf")</f>
        <v>http://jsmh.umin.jp/journal/38-4/699-701.pdf</v>
      </c>
      <c r="H3142" s="43" t="str">
        <f t="shared" si="225"/>
        <v>http://dl.ndl.go.jp/info:ndljp/pid/3359337</v>
      </c>
    </row>
    <row r="3143" spans="1:8" ht="30" customHeight="1" x14ac:dyDescent="0.15">
      <c r="A3143" s="16" t="s">
        <v>2990</v>
      </c>
      <c r="B3143" s="17" t="s">
        <v>10215</v>
      </c>
      <c r="C3143" s="17" t="s">
        <v>916</v>
      </c>
      <c r="D3143" s="25" t="s">
        <v>5402</v>
      </c>
      <c r="E3143" s="19" t="s">
        <v>5562</v>
      </c>
      <c r="F3143" s="19" t="s">
        <v>5592</v>
      </c>
      <c r="G3143" s="5" t="str">
        <f>HYPERLINK("http://jsmh.umin.jp/journal/38-4/701-702.pdf")</f>
        <v>http://jsmh.umin.jp/journal/38-4/701-702.pdf</v>
      </c>
      <c r="H3143" s="43" t="str">
        <f t="shared" si="225"/>
        <v>http://dl.ndl.go.jp/info:ndljp/pid/3359337</v>
      </c>
    </row>
    <row r="3144" spans="1:8" ht="30" customHeight="1" x14ac:dyDescent="0.15">
      <c r="A3144" s="16" t="s">
        <v>2990</v>
      </c>
      <c r="B3144" s="17" t="s">
        <v>5593</v>
      </c>
      <c r="C3144" s="17" t="s">
        <v>5594</v>
      </c>
      <c r="D3144" s="25" t="s">
        <v>5402</v>
      </c>
      <c r="E3144" s="19" t="s">
        <v>5562</v>
      </c>
      <c r="F3144" s="19" t="s">
        <v>5595</v>
      </c>
      <c r="G3144" s="5" t="str">
        <f>HYPERLINK("http://jsmh.umin.jp/journal/38-4/702-704.pdf")</f>
        <v>http://jsmh.umin.jp/journal/38-4/702-704.pdf</v>
      </c>
      <c r="H3144" s="43" t="str">
        <f t="shared" si="225"/>
        <v>http://dl.ndl.go.jp/info:ndljp/pid/3359337</v>
      </c>
    </row>
    <row r="3145" spans="1:8" ht="30" customHeight="1" x14ac:dyDescent="0.15">
      <c r="A3145" s="16" t="s">
        <v>2990</v>
      </c>
      <c r="B3145" s="17" t="s">
        <v>5596</v>
      </c>
      <c r="C3145" s="17" t="s">
        <v>2937</v>
      </c>
      <c r="D3145" s="25" t="s">
        <v>5402</v>
      </c>
      <c r="E3145" s="19" t="s">
        <v>5562</v>
      </c>
      <c r="F3145" s="19" t="s">
        <v>5597</v>
      </c>
      <c r="G3145" s="5" t="str">
        <f>HYPERLINK("http://jsmh.umin.jp/journal/38-4/704-705.pdf")</f>
        <v>http://jsmh.umin.jp/journal/38-4/704-705.pdf</v>
      </c>
      <c r="H3145" s="43" t="str">
        <f t="shared" si="225"/>
        <v>http://dl.ndl.go.jp/info:ndljp/pid/3359337</v>
      </c>
    </row>
    <row r="3146" spans="1:8" ht="30" customHeight="1" x14ac:dyDescent="0.15">
      <c r="A3146" s="16" t="s">
        <v>1855</v>
      </c>
      <c r="B3146" s="17" t="s">
        <v>5598</v>
      </c>
      <c r="C3146" s="17" t="s">
        <v>2386</v>
      </c>
      <c r="D3146" s="18" t="s">
        <v>5599</v>
      </c>
      <c r="E3146" s="19" t="s">
        <v>5600</v>
      </c>
      <c r="F3146" s="19" t="s">
        <v>5601</v>
      </c>
      <c r="G3146" s="5" t="str">
        <f>HYPERLINK("http://jsmh.umin.jp/journal/39-1/1-7.pdf")</f>
        <v>http://jsmh.umin.jp/journal/39-1/1-7.pdf</v>
      </c>
      <c r="H3146" s="42" t="str">
        <f t="shared" ref="H3146:H3177" si="226">HYPERLINK("http://dl.ndl.go.jp/info:ndljp/pid/3359338")</f>
        <v>http://dl.ndl.go.jp/info:ndljp/pid/3359338</v>
      </c>
    </row>
    <row r="3147" spans="1:8" ht="30" customHeight="1" x14ac:dyDescent="0.15">
      <c r="A3147" s="16" t="s">
        <v>1855</v>
      </c>
      <c r="B3147" s="17" t="s">
        <v>5602</v>
      </c>
      <c r="C3147" s="17" t="s">
        <v>627</v>
      </c>
      <c r="D3147" s="25" t="s">
        <v>5599</v>
      </c>
      <c r="E3147" s="19" t="s">
        <v>5600</v>
      </c>
      <c r="F3147" s="19" t="s">
        <v>5603</v>
      </c>
      <c r="G3147" s="5" t="str">
        <f>HYPERLINK("http://jsmh.umin.jp/journal/39-1/8-10.pdf")</f>
        <v>http://jsmh.umin.jp/journal/39-1/8-10.pdf</v>
      </c>
      <c r="H3147" s="43" t="str">
        <f t="shared" si="226"/>
        <v>http://dl.ndl.go.jp/info:ndljp/pid/3359338</v>
      </c>
    </row>
    <row r="3148" spans="1:8" ht="30" customHeight="1" x14ac:dyDescent="0.15">
      <c r="A3148" s="16" t="s">
        <v>1855</v>
      </c>
      <c r="B3148" s="17" t="s">
        <v>5604</v>
      </c>
      <c r="C3148" s="17" t="s">
        <v>690</v>
      </c>
      <c r="D3148" s="25" t="s">
        <v>5599</v>
      </c>
      <c r="E3148" s="19" t="s">
        <v>5600</v>
      </c>
      <c r="F3148" s="19" t="s">
        <v>632</v>
      </c>
      <c r="G3148" s="5" t="str">
        <f>HYPERLINK("http://jsmh.umin.jp/journal/39-1/11.pdf")</f>
        <v>http://jsmh.umin.jp/journal/39-1/11.pdf</v>
      </c>
      <c r="H3148" s="43" t="str">
        <f t="shared" si="226"/>
        <v>http://dl.ndl.go.jp/info:ndljp/pid/3359338</v>
      </c>
    </row>
    <row r="3149" spans="1:8" ht="30" customHeight="1" x14ac:dyDescent="0.15">
      <c r="A3149" s="16" t="s">
        <v>1855</v>
      </c>
      <c r="B3149" s="17" t="s">
        <v>5605</v>
      </c>
      <c r="C3149" s="17" t="s">
        <v>5606</v>
      </c>
      <c r="D3149" s="25" t="s">
        <v>5599</v>
      </c>
      <c r="E3149" s="19" t="s">
        <v>5600</v>
      </c>
      <c r="F3149" s="19" t="s">
        <v>634</v>
      </c>
      <c r="G3149" s="5" t="str">
        <f>HYPERLINK("http://jsmh.umin.jp/journal/39-1/12-13.pdf")</f>
        <v>http://jsmh.umin.jp/journal/39-1/12-13.pdf</v>
      </c>
      <c r="H3149" s="43" t="str">
        <f t="shared" si="226"/>
        <v>http://dl.ndl.go.jp/info:ndljp/pid/3359338</v>
      </c>
    </row>
    <row r="3150" spans="1:8" ht="30" customHeight="1" x14ac:dyDescent="0.15">
      <c r="A3150" s="16" t="s">
        <v>1855</v>
      </c>
      <c r="B3150" s="17" t="s">
        <v>5607</v>
      </c>
      <c r="C3150" s="17" t="s">
        <v>1994</v>
      </c>
      <c r="D3150" s="25" t="s">
        <v>5599</v>
      </c>
      <c r="E3150" s="19" t="s">
        <v>5600</v>
      </c>
      <c r="F3150" s="19" t="s">
        <v>357</v>
      </c>
      <c r="G3150" s="5" t="str">
        <f>HYPERLINK("http://jsmh.umin.jp/journal/39-1/14-15.pdf")</f>
        <v>http://jsmh.umin.jp/journal/39-1/14-15.pdf</v>
      </c>
      <c r="H3150" s="43" t="str">
        <f t="shared" si="226"/>
        <v>http://dl.ndl.go.jp/info:ndljp/pid/3359338</v>
      </c>
    </row>
    <row r="3151" spans="1:8" ht="30" customHeight="1" x14ac:dyDescent="0.15">
      <c r="A3151" s="16" t="s">
        <v>1855</v>
      </c>
      <c r="B3151" s="17" t="s">
        <v>5608</v>
      </c>
      <c r="C3151" s="17" t="s">
        <v>2325</v>
      </c>
      <c r="D3151" s="25" t="s">
        <v>5599</v>
      </c>
      <c r="E3151" s="19" t="s">
        <v>5600</v>
      </c>
      <c r="F3151" s="19" t="s">
        <v>1126</v>
      </c>
      <c r="G3151" s="5" t="str">
        <f>HYPERLINK("http://jsmh.umin.jp/journal/39-1/16-18.pdf")</f>
        <v>http://jsmh.umin.jp/journal/39-1/16-18.pdf</v>
      </c>
      <c r="H3151" s="43" t="str">
        <f t="shared" si="226"/>
        <v>http://dl.ndl.go.jp/info:ndljp/pid/3359338</v>
      </c>
    </row>
    <row r="3152" spans="1:8" ht="30" customHeight="1" x14ac:dyDescent="0.15">
      <c r="A3152" s="16" t="s">
        <v>1855</v>
      </c>
      <c r="B3152" s="17" t="s">
        <v>5609</v>
      </c>
      <c r="C3152" s="17" t="s">
        <v>790</v>
      </c>
      <c r="D3152" s="25" t="s">
        <v>5599</v>
      </c>
      <c r="E3152" s="19" t="s">
        <v>5600</v>
      </c>
      <c r="F3152" s="19" t="s">
        <v>508</v>
      </c>
      <c r="G3152" s="5" t="str">
        <f>HYPERLINK("http://jsmh.umin.jp/journal/39-1/19-20.pdf")</f>
        <v>http://jsmh.umin.jp/journal/39-1/19-20.pdf</v>
      </c>
      <c r="H3152" s="43" t="str">
        <f t="shared" si="226"/>
        <v>http://dl.ndl.go.jp/info:ndljp/pid/3359338</v>
      </c>
    </row>
    <row r="3153" spans="1:8" ht="30" customHeight="1" x14ac:dyDescent="0.15">
      <c r="A3153" s="16" t="s">
        <v>1855</v>
      </c>
      <c r="B3153" s="17" t="s">
        <v>5610</v>
      </c>
      <c r="C3153" s="17" t="s">
        <v>1764</v>
      </c>
      <c r="D3153" s="25" t="s">
        <v>5599</v>
      </c>
      <c r="E3153" s="19" t="s">
        <v>5600</v>
      </c>
      <c r="F3153" s="19" t="s">
        <v>511</v>
      </c>
      <c r="G3153" s="5" t="str">
        <f>HYPERLINK("http://jsmh.umin.jp/journal/39-1/21-22.pdf")</f>
        <v>http://jsmh.umin.jp/journal/39-1/21-22.pdf</v>
      </c>
      <c r="H3153" s="43" t="str">
        <f t="shared" si="226"/>
        <v>http://dl.ndl.go.jp/info:ndljp/pid/3359338</v>
      </c>
    </row>
    <row r="3154" spans="1:8" ht="30" customHeight="1" x14ac:dyDescent="0.15">
      <c r="A3154" s="16" t="s">
        <v>1855</v>
      </c>
      <c r="B3154" s="17" t="s">
        <v>5611</v>
      </c>
      <c r="C3154" s="17" t="s">
        <v>2881</v>
      </c>
      <c r="D3154" s="25" t="s">
        <v>5599</v>
      </c>
      <c r="E3154" s="19" t="s">
        <v>5600</v>
      </c>
      <c r="F3154" s="19" t="s">
        <v>387</v>
      </c>
      <c r="G3154" s="5" t="str">
        <f>HYPERLINK("http://jsmh.umin.jp/journal/39-1/23-24.pdf")</f>
        <v>http://jsmh.umin.jp/journal/39-1/23-24.pdf</v>
      </c>
      <c r="H3154" s="43" t="str">
        <f t="shared" si="226"/>
        <v>http://dl.ndl.go.jp/info:ndljp/pid/3359338</v>
      </c>
    </row>
    <row r="3155" spans="1:8" ht="30" customHeight="1" x14ac:dyDescent="0.15">
      <c r="A3155" s="16" t="s">
        <v>1855</v>
      </c>
      <c r="B3155" s="17" t="s">
        <v>5612</v>
      </c>
      <c r="C3155" s="17" t="s">
        <v>2222</v>
      </c>
      <c r="D3155" s="25" t="s">
        <v>5599</v>
      </c>
      <c r="E3155" s="19" t="s">
        <v>5600</v>
      </c>
      <c r="F3155" s="19" t="s">
        <v>393</v>
      </c>
      <c r="G3155" s="5" t="str">
        <f>HYPERLINK("http://jsmh.umin.jp/journal/39-1/25-26.pdf")</f>
        <v>http://jsmh.umin.jp/journal/39-1/25-26.pdf</v>
      </c>
      <c r="H3155" s="43" t="str">
        <f t="shared" si="226"/>
        <v>http://dl.ndl.go.jp/info:ndljp/pid/3359338</v>
      </c>
    </row>
    <row r="3156" spans="1:8" ht="30" customHeight="1" x14ac:dyDescent="0.15">
      <c r="A3156" s="16" t="s">
        <v>1855</v>
      </c>
      <c r="B3156" s="17" t="s">
        <v>5613</v>
      </c>
      <c r="C3156" s="17" t="s">
        <v>4039</v>
      </c>
      <c r="D3156" s="25" t="s">
        <v>5599</v>
      </c>
      <c r="E3156" s="19" t="s">
        <v>5600</v>
      </c>
      <c r="F3156" s="19" t="s">
        <v>4970</v>
      </c>
      <c r="G3156" s="5" t="str">
        <f>HYPERLINK("http://jsmh.umin.jp/journal/39-1/26-28.pdf")</f>
        <v>http://jsmh.umin.jp/journal/39-1/26-28.pdf</v>
      </c>
      <c r="H3156" s="43" t="str">
        <f t="shared" si="226"/>
        <v>http://dl.ndl.go.jp/info:ndljp/pid/3359338</v>
      </c>
    </row>
    <row r="3157" spans="1:8" ht="30" customHeight="1" x14ac:dyDescent="0.15">
      <c r="A3157" s="16" t="s">
        <v>1855</v>
      </c>
      <c r="B3157" s="17" t="s">
        <v>5614</v>
      </c>
      <c r="C3157" s="17" t="s">
        <v>5615</v>
      </c>
      <c r="D3157" s="25" t="s">
        <v>5599</v>
      </c>
      <c r="E3157" s="19" t="s">
        <v>5600</v>
      </c>
      <c r="F3157" s="19" t="s">
        <v>4287</v>
      </c>
      <c r="G3157" s="5" t="str">
        <f>HYPERLINK("http://jsmh.umin.jp/journal/39-1/28-30.pdf")</f>
        <v>http://jsmh.umin.jp/journal/39-1/28-30.pdf</v>
      </c>
      <c r="H3157" s="43" t="str">
        <f t="shared" si="226"/>
        <v>http://dl.ndl.go.jp/info:ndljp/pid/3359338</v>
      </c>
    </row>
    <row r="3158" spans="1:8" ht="30" customHeight="1" x14ac:dyDescent="0.15">
      <c r="A3158" s="16" t="s">
        <v>1855</v>
      </c>
      <c r="B3158" s="17" t="s">
        <v>5616</v>
      </c>
      <c r="C3158" s="17" t="s">
        <v>48</v>
      </c>
      <c r="D3158" s="25" t="s">
        <v>5599</v>
      </c>
      <c r="E3158" s="19" t="s">
        <v>5600</v>
      </c>
      <c r="F3158" s="19" t="s">
        <v>4535</v>
      </c>
      <c r="G3158" s="5" t="str">
        <f>HYPERLINK("http://jsmh.umin.jp/journal/39-1/30-32.pdf")</f>
        <v>http://jsmh.umin.jp/journal/39-1/30-32.pdf</v>
      </c>
      <c r="H3158" s="43" t="str">
        <f t="shared" si="226"/>
        <v>http://dl.ndl.go.jp/info:ndljp/pid/3359338</v>
      </c>
    </row>
    <row r="3159" spans="1:8" ht="30" customHeight="1" x14ac:dyDescent="0.15">
      <c r="A3159" s="16" t="s">
        <v>1855</v>
      </c>
      <c r="B3159" s="17" t="s">
        <v>5617</v>
      </c>
      <c r="C3159" s="17" t="s">
        <v>2828</v>
      </c>
      <c r="D3159" s="25" t="s">
        <v>5599</v>
      </c>
      <c r="E3159" s="19" t="s">
        <v>5600</v>
      </c>
      <c r="F3159" s="19" t="s">
        <v>5618</v>
      </c>
      <c r="G3159" s="5" t="str">
        <f>HYPERLINK("http://jsmh.umin.jp/journal/39-1/32-34.pdf")</f>
        <v>http://jsmh.umin.jp/journal/39-1/32-34.pdf</v>
      </c>
      <c r="H3159" s="43" t="str">
        <f t="shared" si="226"/>
        <v>http://dl.ndl.go.jp/info:ndljp/pid/3359338</v>
      </c>
    </row>
    <row r="3160" spans="1:8" ht="30" customHeight="1" x14ac:dyDescent="0.15">
      <c r="A3160" s="16" t="s">
        <v>1855</v>
      </c>
      <c r="B3160" s="17" t="s">
        <v>5619</v>
      </c>
      <c r="C3160" s="17" t="s">
        <v>5474</v>
      </c>
      <c r="D3160" s="25" t="s">
        <v>5599</v>
      </c>
      <c r="E3160" s="19" t="s">
        <v>5600</v>
      </c>
      <c r="F3160" s="19" t="s">
        <v>753</v>
      </c>
      <c r="G3160" s="5" t="str">
        <f>HYPERLINK("http://jsmh.umin.jp/journal/39-1/34-35.pdf")</f>
        <v>http://jsmh.umin.jp/journal/39-1/34-35.pdf</v>
      </c>
      <c r="H3160" s="43" t="str">
        <f t="shared" si="226"/>
        <v>http://dl.ndl.go.jp/info:ndljp/pid/3359338</v>
      </c>
    </row>
    <row r="3161" spans="1:8" ht="30" customHeight="1" x14ac:dyDescent="0.15">
      <c r="A3161" s="16" t="s">
        <v>1855</v>
      </c>
      <c r="B3161" s="17" t="s">
        <v>5620</v>
      </c>
      <c r="C3161" s="17" t="s">
        <v>3196</v>
      </c>
      <c r="D3161" s="25" t="s">
        <v>5599</v>
      </c>
      <c r="E3161" s="19" t="s">
        <v>5600</v>
      </c>
      <c r="F3161" s="19" t="s">
        <v>758</v>
      </c>
      <c r="G3161" s="5" t="str">
        <f>HYPERLINK("http://jsmh.umin.jp/journal/39-1/36-37.pdf")</f>
        <v>http://jsmh.umin.jp/journal/39-1/36-37.pdf</v>
      </c>
      <c r="H3161" s="43" t="str">
        <f t="shared" si="226"/>
        <v>http://dl.ndl.go.jp/info:ndljp/pid/3359338</v>
      </c>
    </row>
    <row r="3162" spans="1:8" ht="30" customHeight="1" x14ac:dyDescent="0.15">
      <c r="A3162" s="16" t="s">
        <v>1855</v>
      </c>
      <c r="B3162" s="17" t="s">
        <v>5621</v>
      </c>
      <c r="C3162" s="17" t="s">
        <v>5622</v>
      </c>
      <c r="D3162" s="25" t="s">
        <v>5599</v>
      </c>
      <c r="E3162" s="19" t="s">
        <v>5600</v>
      </c>
      <c r="F3162" s="19" t="s">
        <v>765</v>
      </c>
      <c r="G3162" s="5" t="str">
        <f>HYPERLINK("http://jsmh.umin.jp/journal/39-1/38-39.pdf")</f>
        <v>http://jsmh.umin.jp/journal/39-1/38-39.pdf</v>
      </c>
      <c r="H3162" s="43" t="str">
        <f t="shared" si="226"/>
        <v>http://dl.ndl.go.jp/info:ndljp/pid/3359338</v>
      </c>
    </row>
    <row r="3163" spans="1:8" ht="30" customHeight="1" x14ac:dyDescent="0.15">
      <c r="A3163" s="16" t="s">
        <v>1855</v>
      </c>
      <c r="B3163" s="17" t="s">
        <v>5623</v>
      </c>
      <c r="C3163" s="17" t="s">
        <v>4185</v>
      </c>
      <c r="D3163" s="25" t="s">
        <v>5599</v>
      </c>
      <c r="E3163" s="19" t="s">
        <v>5600</v>
      </c>
      <c r="F3163" s="19" t="s">
        <v>1481</v>
      </c>
      <c r="G3163" s="5" t="str">
        <f>HYPERLINK("http://jsmh.umin.jp/journal/39-1/40-41.pdf")</f>
        <v>http://jsmh.umin.jp/journal/39-1/40-41.pdf</v>
      </c>
      <c r="H3163" s="43" t="str">
        <f t="shared" si="226"/>
        <v>http://dl.ndl.go.jp/info:ndljp/pid/3359338</v>
      </c>
    </row>
    <row r="3164" spans="1:8" ht="30" customHeight="1" x14ac:dyDescent="0.15">
      <c r="A3164" s="16" t="s">
        <v>1855</v>
      </c>
      <c r="B3164" s="17" t="s">
        <v>5624</v>
      </c>
      <c r="C3164" s="17" t="s">
        <v>5625</v>
      </c>
      <c r="D3164" s="25" t="s">
        <v>5599</v>
      </c>
      <c r="E3164" s="19" t="s">
        <v>5600</v>
      </c>
      <c r="F3164" s="19" t="s">
        <v>1153</v>
      </c>
      <c r="G3164" s="5" t="str">
        <f>HYPERLINK("http://jsmh.umin.jp/journal/39-1/42-43.pdf")</f>
        <v>http://jsmh.umin.jp/journal/39-1/42-43.pdf</v>
      </c>
      <c r="H3164" s="43" t="str">
        <f t="shared" si="226"/>
        <v>http://dl.ndl.go.jp/info:ndljp/pid/3359338</v>
      </c>
    </row>
    <row r="3165" spans="1:8" ht="30" customHeight="1" x14ac:dyDescent="0.15">
      <c r="A3165" s="16" t="s">
        <v>1855</v>
      </c>
      <c r="B3165" s="17" t="s">
        <v>5626</v>
      </c>
      <c r="C3165" s="17" t="s">
        <v>10216</v>
      </c>
      <c r="D3165" s="25" t="s">
        <v>5599</v>
      </c>
      <c r="E3165" s="19" t="s">
        <v>5600</v>
      </c>
      <c r="F3165" s="19" t="s">
        <v>1159</v>
      </c>
      <c r="G3165" s="5" t="str">
        <f>HYPERLINK("http://jsmh.umin.jp/journal/39-1/44-45.pdf")</f>
        <v>http://jsmh.umin.jp/journal/39-1/44-45.pdf</v>
      </c>
      <c r="H3165" s="43" t="str">
        <f t="shared" si="226"/>
        <v>http://dl.ndl.go.jp/info:ndljp/pid/3359338</v>
      </c>
    </row>
    <row r="3166" spans="1:8" ht="30" customHeight="1" x14ac:dyDescent="0.15">
      <c r="A3166" s="16" t="s">
        <v>1855</v>
      </c>
      <c r="B3166" s="17" t="s">
        <v>5627</v>
      </c>
      <c r="C3166" s="17" t="s">
        <v>4085</v>
      </c>
      <c r="D3166" s="25" t="s">
        <v>5599</v>
      </c>
      <c r="E3166" s="19" t="s">
        <v>5600</v>
      </c>
      <c r="F3166" s="19" t="s">
        <v>5628</v>
      </c>
      <c r="G3166" s="5" t="str">
        <f>HYPERLINK("http://jsmh.umin.jp/journal/39-1/46-48.pdf")</f>
        <v>http://jsmh.umin.jp/journal/39-1/46-48.pdf</v>
      </c>
      <c r="H3166" s="43" t="str">
        <f t="shared" si="226"/>
        <v>http://dl.ndl.go.jp/info:ndljp/pid/3359338</v>
      </c>
    </row>
    <row r="3167" spans="1:8" ht="30" customHeight="1" x14ac:dyDescent="0.15">
      <c r="A3167" s="16" t="s">
        <v>1855</v>
      </c>
      <c r="B3167" s="17" t="s">
        <v>5629</v>
      </c>
      <c r="C3167" s="17" t="s">
        <v>444</v>
      </c>
      <c r="D3167" s="25" t="s">
        <v>5599</v>
      </c>
      <c r="E3167" s="19" t="s">
        <v>5600</v>
      </c>
      <c r="F3167" s="19" t="s">
        <v>4305</v>
      </c>
      <c r="G3167" s="5" t="str">
        <f>HYPERLINK("http://jsmh.umin.jp/journal/39-1/48-50.pdf")</f>
        <v>http://jsmh.umin.jp/journal/39-1/48-50.pdf</v>
      </c>
      <c r="H3167" s="43" t="str">
        <f t="shared" si="226"/>
        <v>http://dl.ndl.go.jp/info:ndljp/pid/3359338</v>
      </c>
    </row>
    <row r="3168" spans="1:8" ht="30" customHeight="1" x14ac:dyDescent="0.15">
      <c r="A3168" s="16" t="s">
        <v>1855</v>
      </c>
      <c r="B3168" s="17" t="s">
        <v>5630</v>
      </c>
      <c r="C3168" s="17" t="s">
        <v>2465</v>
      </c>
      <c r="D3168" s="25" t="s">
        <v>5599</v>
      </c>
      <c r="E3168" s="19" t="s">
        <v>5600</v>
      </c>
      <c r="F3168" s="19" t="s">
        <v>1104</v>
      </c>
      <c r="G3168" s="5" t="str">
        <f>HYPERLINK("http://jsmh.umin.jp/journal/39-1/51-52.pdf")</f>
        <v>http://jsmh.umin.jp/journal/39-1/51-52.pdf</v>
      </c>
      <c r="H3168" s="43" t="str">
        <f t="shared" si="226"/>
        <v>http://dl.ndl.go.jp/info:ndljp/pid/3359338</v>
      </c>
    </row>
    <row r="3169" spans="1:8" ht="30" customHeight="1" x14ac:dyDescent="0.15">
      <c r="A3169" s="16" t="s">
        <v>1855</v>
      </c>
      <c r="B3169" s="17" t="s">
        <v>5631</v>
      </c>
      <c r="C3169" s="17" t="s">
        <v>925</v>
      </c>
      <c r="D3169" s="25" t="s">
        <v>5599</v>
      </c>
      <c r="E3169" s="19" t="s">
        <v>5600</v>
      </c>
      <c r="F3169" s="19" t="s">
        <v>700</v>
      </c>
      <c r="G3169" s="5" t="str">
        <f>HYPERLINK("http://jsmh.umin.jp/journal/39-1/53-54.pdf")</f>
        <v>http://jsmh.umin.jp/journal/39-1/53-54.pdf</v>
      </c>
      <c r="H3169" s="43" t="str">
        <f t="shared" si="226"/>
        <v>http://dl.ndl.go.jp/info:ndljp/pid/3359338</v>
      </c>
    </row>
    <row r="3170" spans="1:8" ht="30" customHeight="1" x14ac:dyDescent="0.15">
      <c r="A3170" s="16" t="s">
        <v>1855</v>
      </c>
      <c r="B3170" s="17" t="s">
        <v>5632</v>
      </c>
      <c r="C3170" s="17" t="s">
        <v>790</v>
      </c>
      <c r="D3170" s="25" t="s">
        <v>5599</v>
      </c>
      <c r="E3170" s="19" t="s">
        <v>5600</v>
      </c>
      <c r="F3170" s="19" t="s">
        <v>338</v>
      </c>
      <c r="G3170" s="5" t="str">
        <f>HYPERLINK("http://jsmh.umin.jp/journal/39-1/55-56.pdf")</f>
        <v>http://jsmh.umin.jp/journal/39-1/55-56.pdf</v>
      </c>
      <c r="H3170" s="43" t="str">
        <f t="shared" si="226"/>
        <v>http://dl.ndl.go.jp/info:ndljp/pid/3359338</v>
      </c>
    </row>
    <row r="3171" spans="1:8" ht="30" customHeight="1" x14ac:dyDescent="0.15">
      <c r="A3171" s="16" t="s">
        <v>1855</v>
      </c>
      <c r="B3171" s="17" t="s">
        <v>5633</v>
      </c>
      <c r="C3171" s="17" t="s">
        <v>841</v>
      </c>
      <c r="D3171" s="25" t="s">
        <v>5599</v>
      </c>
      <c r="E3171" s="19" t="s">
        <v>5600</v>
      </c>
      <c r="F3171" s="19" t="s">
        <v>4312</v>
      </c>
      <c r="G3171" s="5" t="str">
        <f>HYPERLINK("http://jsmh.umin.jp/journal/39-1/56-58.pdf")</f>
        <v>http://jsmh.umin.jp/journal/39-1/56-58.pdf</v>
      </c>
      <c r="H3171" s="43" t="str">
        <f t="shared" si="226"/>
        <v>http://dl.ndl.go.jp/info:ndljp/pid/3359338</v>
      </c>
    </row>
    <row r="3172" spans="1:8" ht="30" customHeight="1" x14ac:dyDescent="0.15">
      <c r="A3172" s="16" t="s">
        <v>1855</v>
      </c>
      <c r="B3172" s="17" t="s">
        <v>5634</v>
      </c>
      <c r="C3172" s="17" t="s">
        <v>690</v>
      </c>
      <c r="D3172" s="25" t="s">
        <v>5599</v>
      </c>
      <c r="E3172" s="19" t="s">
        <v>5600</v>
      </c>
      <c r="F3172" s="19" t="s">
        <v>714</v>
      </c>
      <c r="G3172" s="5" t="str">
        <f>HYPERLINK("http://jsmh.umin.jp/journal/39-1/58-59.pdf")</f>
        <v>http://jsmh.umin.jp/journal/39-1/58-59.pdf</v>
      </c>
      <c r="H3172" s="43" t="str">
        <f t="shared" si="226"/>
        <v>http://dl.ndl.go.jp/info:ndljp/pid/3359338</v>
      </c>
    </row>
    <row r="3173" spans="1:8" ht="30" customHeight="1" x14ac:dyDescent="0.15">
      <c r="A3173" s="16" t="s">
        <v>1855</v>
      </c>
      <c r="B3173" s="17" t="s">
        <v>5635</v>
      </c>
      <c r="C3173" s="17" t="s">
        <v>1972</v>
      </c>
      <c r="D3173" s="25" t="s">
        <v>5599</v>
      </c>
      <c r="E3173" s="19" t="s">
        <v>5600</v>
      </c>
      <c r="F3173" s="19" t="s">
        <v>913</v>
      </c>
      <c r="G3173" s="5" t="str">
        <f>HYPERLINK("http://jsmh.umin.jp/journal/39-1/60-61.pdf")</f>
        <v>http://jsmh.umin.jp/journal/39-1/60-61.pdf</v>
      </c>
      <c r="H3173" s="43" t="str">
        <f t="shared" si="226"/>
        <v>http://dl.ndl.go.jp/info:ndljp/pid/3359338</v>
      </c>
    </row>
    <row r="3174" spans="1:8" ht="30" customHeight="1" x14ac:dyDescent="0.15">
      <c r="A3174" s="16" t="s">
        <v>1855</v>
      </c>
      <c r="B3174" s="17" t="s">
        <v>5636</v>
      </c>
      <c r="C3174" s="17" t="s">
        <v>3644</v>
      </c>
      <c r="D3174" s="25" t="s">
        <v>5599</v>
      </c>
      <c r="E3174" s="19" t="s">
        <v>5600</v>
      </c>
      <c r="F3174" s="19" t="s">
        <v>1192</v>
      </c>
      <c r="G3174" s="5" t="str">
        <f>HYPERLINK("http://jsmh.umin.jp/journal/39-1/62-63.pdf")</f>
        <v>http://jsmh.umin.jp/journal/39-1/62-63.pdf</v>
      </c>
      <c r="H3174" s="43" t="str">
        <f t="shared" si="226"/>
        <v>http://dl.ndl.go.jp/info:ndljp/pid/3359338</v>
      </c>
    </row>
    <row r="3175" spans="1:8" ht="30" customHeight="1" x14ac:dyDescent="0.15">
      <c r="A3175" s="16" t="s">
        <v>1855</v>
      </c>
      <c r="B3175" s="17" t="s">
        <v>5637</v>
      </c>
      <c r="C3175" s="17" t="s">
        <v>4848</v>
      </c>
      <c r="D3175" s="25" t="s">
        <v>5599</v>
      </c>
      <c r="E3175" s="19" t="s">
        <v>5600</v>
      </c>
      <c r="F3175" s="19" t="s">
        <v>1310</v>
      </c>
      <c r="G3175" s="5" t="str">
        <f>HYPERLINK("http://jsmh.umin.jp/journal/39-1/64-65.pdf")</f>
        <v>http://jsmh.umin.jp/journal/39-1/64-65.pdf</v>
      </c>
      <c r="H3175" s="43" t="str">
        <f t="shared" si="226"/>
        <v>http://dl.ndl.go.jp/info:ndljp/pid/3359338</v>
      </c>
    </row>
    <row r="3176" spans="1:8" ht="30" customHeight="1" x14ac:dyDescent="0.15">
      <c r="A3176" s="16" t="s">
        <v>1855</v>
      </c>
      <c r="B3176" s="17" t="s">
        <v>5638</v>
      </c>
      <c r="C3176" s="17" t="s">
        <v>4585</v>
      </c>
      <c r="D3176" s="25" t="s">
        <v>5599</v>
      </c>
      <c r="E3176" s="19" t="s">
        <v>5600</v>
      </c>
      <c r="F3176" s="19" t="s">
        <v>570</v>
      </c>
      <c r="G3176" s="5" t="str">
        <f>HYPERLINK("http://jsmh.umin.jp/journal/39-1/66-67.pdf")</f>
        <v>http://jsmh.umin.jp/journal/39-1/66-67.pdf</v>
      </c>
      <c r="H3176" s="43" t="str">
        <f t="shared" si="226"/>
        <v>http://dl.ndl.go.jp/info:ndljp/pid/3359338</v>
      </c>
    </row>
    <row r="3177" spans="1:8" ht="30" customHeight="1" x14ac:dyDescent="0.15">
      <c r="A3177" s="16" t="s">
        <v>1855</v>
      </c>
      <c r="B3177" s="17" t="s">
        <v>5639</v>
      </c>
      <c r="C3177" s="17" t="s">
        <v>5594</v>
      </c>
      <c r="D3177" s="25" t="s">
        <v>5599</v>
      </c>
      <c r="E3177" s="19" t="s">
        <v>5600</v>
      </c>
      <c r="F3177" s="19" t="s">
        <v>577</v>
      </c>
      <c r="G3177" s="5" t="str">
        <f>HYPERLINK("http://jsmh.umin.jp/journal/39-1/68-69.pdf")</f>
        <v>http://jsmh.umin.jp/journal/39-1/68-69.pdf</v>
      </c>
      <c r="H3177" s="43" t="str">
        <f t="shared" si="226"/>
        <v>http://dl.ndl.go.jp/info:ndljp/pid/3359338</v>
      </c>
    </row>
    <row r="3178" spans="1:8" ht="30" customHeight="1" x14ac:dyDescent="0.15">
      <c r="A3178" s="16" t="s">
        <v>1855</v>
      </c>
      <c r="B3178" s="17" t="s">
        <v>10217</v>
      </c>
      <c r="C3178" s="17" t="s">
        <v>2937</v>
      </c>
      <c r="D3178" s="25" t="s">
        <v>5599</v>
      </c>
      <c r="E3178" s="19" t="s">
        <v>5600</v>
      </c>
      <c r="F3178" s="19" t="s">
        <v>588</v>
      </c>
      <c r="G3178" s="5" t="str">
        <f>HYPERLINK("http://jsmh.umin.jp/journal/39-1/70-71.pdf")</f>
        <v>http://jsmh.umin.jp/journal/39-1/70-71.pdf</v>
      </c>
      <c r="H3178" s="43" t="str">
        <f t="shared" ref="H3178:H3201" si="227">HYPERLINK("http://dl.ndl.go.jp/info:ndljp/pid/3359338")</f>
        <v>http://dl.ndl.go.jp/info:ndljp/pid/3359338</v>
      </c>
    </row>
    <row r="3179" spans="1:8" ht="30" customHeight="1" x14ac:dyDescent="0.15">
      <c r="A3179" s="16" t="s">
        <v>1855</v>
      </c>
      <c r="B3179" s="17" t="s">
        <v>5640</v>
      </c>
      <c r="C3179" s="17" t="s">
        <v>1929</v>
      </c>
      <c r="D3179" s="25" t="s">
        <v>5599</v>
      </c>
      <c r="E3179" s="19" t="s">
        <v>5600</v>
      </c>
      <c r="F3179" s="19" t="s">
        <v>831</v>
      </c>
      <c r="G3179" s="5" t="str">
        <f>HYPERLINK("http://jsmh.umin.jp/journal/39-1/72-73.pdf")</f>
        <v>http://jsmh.umin.jp/journal/39-1/72-73.pdf</v>
      </c>
      <c r="H3179" s="43" t="str">
        <f t="shared" si="227"/>
        <v>http://dl.ndl.go.jp/info:ndljp/pid/3359338</v>
      </c>
    </row>
    <row r="3180" spans="1:8" ht="30" customHeight="1" x14ac:dyDescent="0.15">
      <c r="A3180" s="16" t="s">
        <v>1855</v>
      </c>
      <c r="B3180" s="17" t="s">
        <v>5641</v>
      </c>
      <c r="C3180" s="17" t="s">
        <v>3655</v>
      </c>
      <c r="D3180" s="25" t="s">
        <v>5599</v>
      </c>
      <c r="E3180" s="19" t="s">
        <v>5600</v>
      </c>
      <c r="F3180" s="19" t="s">
        <v>4561</v>
      </c>
      <c r="G3180" s="5" t="str">
        <f>HYPERLINK("http://jsmh.umin.jp/journal/39-1/74-76.pdf")</f>
        <v>http://jsmh.umin.jp/journal/39-1/74-76.pdf</v>
      </c>
      <c r="H3180" s="43" t="str">
        <f t="shared" si="227"/>
        <v>http://dl.ndl.go.jp/info:ndljp/pid/3359338</v>
      </c>
    </row>
    <row r="3181" spans="1:8" ht="30" customHeight="1" x14ac:dyDescent="0.15">
      <c r="A3181" s="16" t="s">
        <v>1855</v>
      </c>
      <c r="B3181" s="17" t="s">
        <v>5642</v>
      </c>
      <c r="C3181" s="17" t="s">
        <v>5013</v>
      </c>
      <c r="D3181" s="25" t="s">
        <v>5599</v>
      </c>
      <c r="E3181" s="19" t="s">
        <v>5600</v>
      </c>
      <c r="F3181" s="19" t="s">
        <v>602</v>
      </c>
      <c r="G3181" s="5" t="str">
        <f>HYPERLINK("http://jsmh.umin.jp/journal/39-1/76-77.pdf")</f>
        <v>http://jsmh.umin.jp/journal/39-1/76-77.pdf</v>
      </c>
      <c r="H3181" s="43" t="str">
        <f t="shared" si="227"/>
        <v>http://dl.ndl.go.jp/info:ndljp/pid/3359338</v>
      </c>
    </row>
    <row r="3182" spans="1:8" ht="30" customHeight="1" x14ac:dyDescent="0.15">
      <c r="A3182" s="16" t="s">
        <v>1855</v>
      </c>
      <c r="B3182" s="17" t="s">
        <v>5643</v>
      </c>
      <c r="C3182" s="17" t="s">
        <v>5644</v>
      </c>
      <c r="D3182" s="25" t="s">
        <v>5599</v>
      </c>
      <c r="E3182" s="19" t="s">
        <v>5600</v>
      </c>
      <c r="F3182" s="19" t="s">
        <v>842</v>
      </c>
      <c r="G3182" s="5" t="str">
        <f>HYPERLINK("http://jsmh.umin.jp/journal/39-1/78-79.pdf")</f>
        <v>http://jsmh.umin.jp/journal/39-1/78-79.pdf</v>
      </c>
      <c r="H3182" s="43" t="str">
        <f t="shared" si="227"/>
        <v>http://dl.ndl.go.jp/info:ndljp/pid/3359338</v>
      </c>
    </row>
    <row r="3183" spans="1:8" ht="30" customHeight="1" x14ac:dyDescent="0.15">
      <c r="A3183" s="16" t="s">
        <v>1855</v>
      </c>
      <c r="B3183" s="17" t="s">
        <v>5645</v>
      </c>
      <c r="C3183" s="17" t="s">
        <v>5300</v>
      </c>
      <c r="D3183" s="25" t="s">
        <v>5599</v>
      </c>
      <c r="E3183" s="19" t="s">
        <v>5600</v>
      </c>
      <c r="F3183" s="19" t="s">
        <v>4564</v>
      </c>
      <c r="G3183" s="5" t="str">
        <f>HYPERLINK("http://jsmh.umin.jp/journal/39-1/79-81.pdf")</f>
        <v>http://jsmh.umin.jp/journal/39-1/79-81.pdf</v>
      </c>
      <c r="H3183" s="43" t="str">
        <f t="shared" si="227"/>
        <v>http://dl.ndl.go.jp/info:ndljp/pid/3359338</v>
      </c>
    </row>
    <row r="3184" spans="1:8" ht="30" customHeight="1" x14ac:dyDescent="0.15">
      <c r="A3184" s="16" t="s">
        <v>1855</v>
      </c>
      <c r="B3184" s="17" t="s">
        <v>10218</v>
      </c>
      <c r="C3184" s="17" t="s">
        <v>10156</v>
      </c>
      <c r="D3184" s="25" t="s">
        <v>5599</v>
      </c>
      <c r="E3184" s="19" t="s">
        <v>5600</v>
      </c>
      <c r="F3184" s="19" t="s">
        <v>449</v>
      </c>
      <c r="G3184" s="5" t="str">
        <f>HYPERLINK("http://jsmh.umin.jp/journal/39-1/82-83.pdf")</f>
        <v>http://jsmh.umin.jp/journal/39-1/82-83.pdf</v>
      </c>
      <c r="H3184" s="43" t="str">
        <f t="shared" si="227"/>
        <v>http://dl.ndl.go.jp/info:ndljp/pid/3359338</v>
      </c>
    </row>
    <row r="3185" spans="1:8" ht="30" customHeight="1" x14ac:dyDescent="0.15">
      <c r="A3185" s="16" t="s">
        <v>1855</v>
      </c>
      <c r="B3185" s="17" t="s">
        <v>5646</v>
      </c>
      <c r="C3185" s="17" t="s">
        <v>4988</v>
      </c>
      <c r="D3185" s="25" t="s">
        <v>5599</v>
      </c>
      <c r="E3185" s="19" t="s">
        <v>5600</v>
      </c>
      <c r="F3185" s="19" t="s">
        <v>5647</v>
      </c>
      <c r="G3185" s="5" t="str">
        <f>HYPERLINK("http://jsmh.umin.jp/journal/39-1/83-85.pdf")</f>
        <v>http://jsmh.umin.jp/journal/39-1/83-85.pdf</v>
      </c>
      <c r="H3185" s="43" t="str">
        <f t="shared" si="227"/>
        <v>http://dl.ndl.go.jp/info:ndljp/pid/3359338</v>
      </c>
    </row>
    <row r="3186" spans="1:8" ht="30" customHeight="1" x14ac:dyDescent="0.15">
      <c r="A3186" s="16" t="s">
        <v>1855</v>
      </c>
      <c r="B3186" s="17" t="s">
        <v>5648</v>
      </c>
      <c r="C3186" s="17" t="s">
        <v>5649</v>
      </c>
      <c r="D3186" s="25" t="s">
        <v>5599</v>
      </c>
      <c r="E3186" s="19" t="s">
        <v>5600</v>
      </c>
      <c r="F3186" s="19" t="s">
        <v>5650</v>
      </c>
      <c r="G3186" s="5" t="str">
        <f>HYPERLINK("http://jsmh.umin.jp/journal/39-1/86-88.pdf")</f>
        <v>http://jsmh.umin.jp/journal/39-1/86-88.pdf</v>
      </c>
      <c r="H3186" s="43" t="str">
        <f t="shared" si="227"/>
        <v>http://dl.ndl.go.jp/info:ndljp/pid/3359338</v>
      </c>
    </row>
    <row r="3187" spans="1:8" ht="30" customHeight="1" x14ac:dyDescent="0.15">
      <c r="A3187" s="16" t="s">
        <v>1855</v>
      </c>
      <c r="B3187" s="17" t="s">
        <v>5651</v>
      </c>
      <c r="C3187" s="17" t="s">
        <v>5652</v>
      </c>
      <c r="D3187" s="25" t="s">
        <v>5599</v>
      </c>
      <c r="E3187" s="19" t="s">
        <v>5600</v>
      </c>
      <c r="F3187" s="19" t="s">
        <v>1814</v>
      </c>
      <c r="G3187" s="5" t="str">
        <f>HYPERLINK("http://jsmh.umin.jp/journal/39-1/88-90.pdf")</f>
        <v>http://jsmh.umin.jp/journal/39-1/88-90.pdf</v>
      </c>
      <c r="H3187" s="43" t="str">
        <f t="shared" si="227"/>
        <v>http://dl.ndl.go.jp/info:ndljp/pid/3359338</v>
      </c>
    </row>
    <row r="3188" spans="1:8" ht="30" customHeight="1" x14ac:dyDescent="0.15">
      <c r="A3188" s="16" t="s">
        <v>1855</v>
      </c>
      <c r="B3188" s="17" t="s">
        <v>5653</v>
      </c>
      <c r="C3188" s="17" t="s">
        <v>5654</v>
      </c>
      <c r="D3188" s="25" t="s">
        <v>5599</v>
      </c>
      <c r="E3188" s="19" t="s">
        <v>5600</v>
      </c>
      <c r="F3188" s="19" t="s">
        <v>471</v>
      </c>
      <c r="G3188" s="5" t="str">
        <f>HYPERLINK("http://jsmh.umin.jp/journal/39-1/90-91.pdf")</f>
        <v>http://jsmh.umin.jp/journal/39-1/90-91.pdf</v>
      </c>
      <c r="H3188" s="43" t="str">
        <f t="shared" si="227"/>
        <v>http://dl.ndl.go.jp/info:ndljp/pid/3359338</v>
      </c>
    </row>
    <row r="3189" spans="1:8" ht="30" customHeight="1" x14ac:dyDescent="0.15">
      <c r="A3189" s="16" t="s">
        <v>1855</v>
      </c>
      <c r="B3189" s="17" t="s">
        <v>5655</v>
      </c>
      <c r="C3189" s="17" t="s">
        <v>4026</v>
      </c>
      <c r="D3189" s="25" t="s">
        <v>5599</v>
      </c>
      <c r="E3189" s="19" t="s">
        <v>5600</v>
      </c>
      <c r="F3189" s="19" t="s">
        <v>2188</v>
      </c>
      <c r="G3189" s="5" t="str">
        <f>HYPERLINK("http://jsmh.umin.jp/journal/39-1/92-93.pdf")</f>
        <v>http://jsmh.umin.jp/journal/39-1/92-93.pdf</v>
      </c>
      <c r="H3189" s="43" t="str">
        <f t="shared" si="227"/>
        <v>http://dl.ndl.go.jp/info:ndljp/pid/3359338</v>
      </c>
    </row>
    <row r="3190" spans="1:8" ht="30" customHeight="1" x14ac:dyDescent="0.15">
      <c r="A3190" s="16" t="s">
        <v>1855</v>
      </c>
      <c r="B3190" s="17" t="s">
        <v>5656</v>
      </c>
      <c r="C3190" s="17" t="s">
        <v>1097</v>
      </c>
      <c r="D3190" s="25" t="s">
        <v>5599</v>
      </c>
      <c r="E3190" s="19" t="s">
        <v>5600</v>
      </c>
      <c r="F3190" s="19" t="s">
        <v>5011</v>
      </c>
      <c r="G3190" s="5" t="str">
        <f>HYPERLINK("http://jsmh.umin.jp/journal/39-1/94-95.pdf")</f>
        <v>http://jsmh.umin.jp/journal/39-1/94-95.pdf</v>
      </c>
      <c r="H3190" s="43" t="str">
        <f t="shared" si="227"/>
        <v>http://dl.ndl.go.jp/info:ndljp/pid/3359338</v>
      </c>
    </row>
    <row r="3191" spans="1:8" ht="30" customHeight="1" x14ac:dyDescent="0.15">
      <c r="A3191" s="16" t="s">
        <v>1855</v>
      </c>
      <c r="B3191" s="17" t="s">
        <v>5657</v>
      </c>
      <c r="C3191" s="17" t="s">
        <v>672</v>
      </c>
      <c r="D3191" s="25" t="s">
        <v>5599</v>
      </c>
      <c r="E3191" s="19" t="s">
        <v>5600</v>
      </c>
      <c r="F3191" s="19" t="s">
        <v>4578</v>
      </c>
      <c r="G3191" s="5" t="str">
        <f>HYPERLINK("http://jsmh.umin.jp/journal/39-1/96-97.pdf")</f>
        <v>http://jsmh.umin.jp/journal/39-1/96-97.pdf</v>
      </c>
      <c r="H3191" s="43" t="str">
        <f t="shared" si="227"/>
        <v>http://dl.ndl.go.jp/info:ndljp/pid/3359338</v>
      </c>
    </row>
    <row r="3192" spans="1:8" ht="30" customHeight="1" x14ac:dyDescent="0.15">
      <c r="A3192" s="16" t="s">
        <v>1855</v>
      </c>
      <c r="B3192" s="17" t="s">
        <v>5658</v>
      </c>
      <c r="C3192" s="17" t="s">
        <v>5015</v>
      </c>
      <c r="D3192" s="25" t="s">
        <v>5599</v>
      </c>
      <c r="E3192" s="19" t="s">
        <v>5600</v>
      </c>
      <c r="F3192" s="19" t="s">
        <v>4339</v>
      </c>
      <c r="G3192" s="5" t="str">
        <f>HYPERLINK("http://jsmh.umin.jp/journal/39-1/98-100.pdf")</f>
        <v>http://jsmh.umin.jp/journal/39-1/98-100.pdf</v>
      </c>
      <c r="H3192" s="43" t="str">
        <f t="shared" si="227"/>
        <v>http://dl.ndl.go.jp/info:ndljp/pid/3359338</v>
      </c>
    </row>
    <row r="3193" spans="1:8" ht="30" customHeight="1" x14ac:dyDescent="0.15">
      <c r="A3193" s="16" t="s">
        <v>1855</v>
      </c>
      <c r="B3193" s="17" t="s">
        <v>5659</v>
      </c>
      <c r="C3193" s="17" t="s">
        <v>5660</v>
      </c>
      <c r="D3193" s="25" t="s">
        <v>5599</v>
      </c>
      <c r="E3193" s="19" t="s">
        <v>5600</v>
      </c>
      <c r="F3193" s="19" t="s">
        <v>5661</v>
      </c>
      <c r="G3193" s="5" t="str">
        <f>HYPERLINK("http://jsmh.umin.jp/journal/39-1/100-102.pdf")</f>
        <v>http://jsmh.umin.jp/journal/39-1/100-102.pdf</v>
      </c>
      <c r="H3193" s="43" t="str">
        <f t="shared" si="227"/>
        <v>http://dl.ndl.go.jp/info:ndljp/pid/3359338</v>
      </c>
    </row>
    <row r="3194" spans="1:8" ht="30" customHeight="1" x14ac:dyDescent="0.15">
      <c r="A3194" s="16" t="s">
        <v>1855</v>
      </c>
      <c r="B3194" s="17" t="s">
        <v>5662</v>
      </c>
      <c r="C3194" s="17" t="s">
        <v>1457</v>
      </c>
      <c r="D3194" s="25" t="s">
        <v>5599</v>
      </c>
      <c r="E3194" s="19" t="s">
        <v>5600</v>
      </c>
      <c r="F3194" s="19" t="s">
        <v>184</v>
      </c>
      <c r="G3194" s="5" t="str">
        <f>HYPERLINK("http://jsmh.umin.jp/journal/39-1/102-104.pdf")</f>
        <v>http://jsmh.umin.jp/journal/39-1/102-104.pdf</v>
      </c>
      <c r="H3194" s="43" t="str">
        <f t="shared" si="227"/>
        <v>http://dl.ndl.go.jp/info:ndljp/pid/3359338</v>
      </c>
    </row>
    <row r="3195" spans="1:8" ht="30" customHeight="1" x14ac:dyDescent="0.15">
      <c r="A3195" s="16" t="s">
        <v>1855</v>
      </c>
      <c r="B3195" s="17" t="s">
        <v>5663</v>
      </c>
      <c r="C3195" s="17" t="s">
        <v>5664</v>
      </c>
      <c r="D3195" s="25" t="s">
        <v>5599</v>
      </c>
      <c r="E3195" s="19" t="s">
        <v>5600</v>
      </c>
      <c r="F3195" s="19" t="s">
        <v>5021</v>
      </c>
      <c r="G3195" s="5" t="str">
        <f>HYPERLINK("http://jsmh.umin.jp/journal/39-1/104-106.pdf")</f>
        <v>http://jsmh.umin.jp/journal/39-1/104-106.pdf</v>
      </c>
      <c r="H3195" s="43" t="str">
        <f t="shared" si="227"/>
        <v>http://dl.ndl.go.jp/info:ndljp/pid/3359338</v>
      </c>
    </row>
    <row r="3196" spans="1:8" ht="30" customHeight="1" x14ac:dyDescent="0.15">
      <c r="A3196" s="16" t="s">
        <v>1855</v>
      </c>
      <c r="B3196" s="17" t="s">
        <v>5665</v>
      </c>
      <c r="C3196" s="17" t="s">
        <v>5666</v>
      </c>
      <c r="D3196" s="25" t="s">
        <v>5599</v>
      </c>
      <c r="E3196" s="19" t="s">
        <v>5600</v>
      </c>
      <c r="F3196" s="19" t="s">
        <v>194</v>
      </c>
      <c r="G3196" s="5" t="str">
        <f>HYPERLINK("http://jsmh.umin.jp/journal/39-1/107-108.pdf")</f>
        <v>http://jsmh.umin.jp/journal/39-1/107-108.pdf</v>
      </c>
      <c r="H3196" s="43" t="str">
        <f t="shared" si="227"/>
        <v>http://dl.ndl.go.jp/info:ndljp/pid/3359338</v>
      </c>
    </row>
    <row r="3197" spans="1:8" ht="30" customHeight="1" x14ac:dyDescent="0.15">
      <c r="A3197" s="16" t="s">
        <v>1855</v>
      </c>
      <c r="B3197" s="17" t="s">
        <v>5667</v>
      </c>
      <c r="C3197" s="17" t="s">
        <v>66</v>
      </c>
      <c r="D3197" s="25" t="s">
        <v>5599</v>
      </c>
      <c r="E3197" s="19" t="s">
        <v>5600</v>
      </c>
      <c r="F3197" s="19" t="s">
        <v>3604</v>
      </c>
      <c r="G3197" s="5" t="str">
        <f>HYPERLINK("http://jsmh.umin.jp/journal/39-1/108-110.pdf")</f>
        <v>http://jsmh.umin.jp/journal/39-1/108-110.pdf</v>
      </c>
      <c r="H3197" s="43" t="str">
        <f t="shared" si="227"/>
        <v>http://dl.ndl.go.jp/info:ndljp/pid/3359338</v>
      </c>
    </row>
    <row r="3198" spans="1:8" ht="30" customHeight="1" x14ac:dyDescent="0.15">
      <c r="A3198" s="16" t="s">
        <v>1855</v>
      </c>
      <c r="B3198" s="17" t="s">
        <v>5668</v>
      </c>
      <c r="C3198" s="17" t="s">
        <v>10214</v>
      </c>
      <c r="D3198" s="25" t="s">
        <v>5599</v>
      </c>
      <c r="E3198" s="19" t="s">
        <v>5600</v>
      </c>
      <c r="F3198" s="19" t="s">
        <v>3606</v>
      </c>
      <c r="G3198" s="5" t="str">
        <f>HYPERLINK("http://jsmh.umin.jp/journal/39-1/110-112.pdf")</f>
        <v>http://jsmh.umin.jp/journal/39-1/110-112.pdf</v>
      </c>
      <c r="H3198" s="43" t="str">
        <f t="shared" si="227"/>
        <v>http://dl.ndl.go.jp/info:ndljp/pid/3359338</v>
      </c>
    </row>
    <row r="3199" spans="1:8" ht="30" customHeight="1" x14ac:dyDescent="0.15">
      <c r="A3199" s="16" t="s">
        <v>1855</v>
      </c>
      <c r="B3199" s="17" t="s">
        <v>5669</v>
      </c>
      <c r="C3199" s="17" t="s">
        <v>5670</v>
      </c>
      <c r="D3199" s="25" t="s">
        <v>5599</v>
      </c>
      <c r="E3199" s="19" t="s">
        <v>5600</v>
      </c>
      <c r="F3199" s="19" t="s">
        <v>207</v>
      </c>
      <c r="G3199" s="5" t="str">
        <f>HYPERLINK("http://jsmh.umin.jp/journal/39-1/112-114.pdf")</f>
        <v>http://jsmh.umin.jp/journal/39-1/112-114.pdf</v>
      </c>
      <c r="H3199" s="43" t="str">
        <f t="shared" si="227"/>
        <v>http://dl.ndl.go.jp/info:ndljp/pid/3359338</v>
      </c>
    </row>
    <row r="3200" spans="1:8" ht="30" customHeight="1" x14ac:dyDescent="0.15">
      <c r="A3200" s="16" t="s">
        <v>1855</v>
      </c>
      <c r="B3200" s="17" t="s">
        <v>5671</v>
      </c>
      <c r="C3200" s="17" t="s">
        <v>5672</v>
      </c>
      <c r="D3200" s="25" t="s">
        <v>5599</v>
      </c>
      <c r="E3200" s="19" t="s">
        <v>5600</v>
      </c>
      <c r="F3200" s="19" t="s">
        <v>5673</v>
      </c>
      <c r="G3200" s="5" t="str">
        <f>HYPERLINK("http://jsmh.umin.jp/journal/39-1/114-116.pdf")</f>
        <v>http://jsmh.umin.jp/journal/39-1/114-116.pdf</v>
      </c>
      <c r="H3200" s="43" t="str">
        <f t="shared" si="227"/>
        <v>http://dl.ndl.go.jp/info:ndljp/pid/3359338</v>
      </c>
    </row>
    <row r="3201" spans="1:8" ht="30" customHeight="1" x14ac:dyDescent="0.15">
      <c r="A3201" s="16" t="s">
        <v>1855</v>
      </c>
      <c r="B3201" s="17" t="s">
        <v>5674</v>
      </c>
      <c r="C3201" s="17" t="s">
        <v>1923</v>
      </c>
      <c r="D3201" s="25" t="s">
        <v>5599</v>
      </c>
      <c r="E3201" s="19" t="s">
        <v>5600</v>
      </c>
      <c r="F3201" s="19" t="s">
        <v>5675</v>
      </c>
      <c r="G3201" s="5" t="str">
        <f>HYPERLINK("http://jsmh.umin.jp/journal/39-1/116-118.pdf")</f>
        <v>http://jsmh.umin.jp/journal/39-1/116-118.pdf</v>
      </c>
      <c r="H3201" s="43" t="str">
        <f t="shared" si="227"/>
        <v>http://dl.ndl.go.jp/info:ndljp/pid/3359338</v>
      </c>
    </row>
    <row r="3202" spans="1:8" ht="30" customHeight="1" x14ac:dyDescent="0.15">
      <c r="A3202" s="16" t="s">
        <v>17</v>
      </c>
      <c r="B3202" s="17" t="s">
        <v>5676</v>
      </c>
      <c r="C3202" s="17" t="s">
        <v>3644</v>
      </c>
      <c r="D3202" s="25" t="s">
        <v>5599</v>
      </c>
      <c r="E3202" s="19" t="s">
        <v>5677</v>
      </c>
      <c r="F3202" s="19" t="s">
        <v>5678</v>
      </c>
      <c r="G3202" s="5" t="str">
        <f>HYPERLINK("http://jsmh.umin.jp/journal/39-2/133-156.pdf")</f>
        <v>http://jsmh.umin.jp/journal/39-2/133-156.pdf</v>
      </c>
      <c r="H3202" s="42" t="str">
        <f t="shared" ref="H3202:H3230" si="228">HYPERLINK("http://dl.ndl.go.jp/info:ndljp/pid/3359339")</f>
        <v>http://dl.ndl.go.jp/info:ndljp/pid/3359339</v>
      </c>
    </row>
    <row r="3203" spans="1:8" ht="30" customHeight="1" x14ac:dyDescent="0.15">
      <c r="A3203" s="16" t="s">
        <v>17</v>
      </c>
      <c r="B3203" s="17" t="s">
        <v>5679</v>
      </c>
      <c r="C3203" s="17" t="s">
        <v>5569</v>
      </c>
      <c r="D3203" s="25" t="s">
        <v>5599</v>
      </c>
      <c r="E3203" s="19" t="s">
        <v>5677</v>
      </c>
      <c r="F3203" s="19" t="s">
        <v>2432</v>
      </c>
      <c r="G3203" s="5" t="str">
        <f>HYPERLINK("http://jsmh.umin.jp/journal/39-2/157-168.pdf")</f>
        <v>http://jsmh.umin.jp/journal/39-2/157-168.pdf</v>
      </c>
      <c r="H3203" s="43" t="str">
        <f t="shared" si="228"/>
        <v>http://dl.ndl.go.jp/info:ndljp/pid/3359339</v>
      </c>
    </row>
    <row r="3204" spans="1:8" ht="30" customHeight="1" x14ac:dyDescent="0.15">
      <c r="A3204" s="16" t="s">
        <v>17</v>
      </c>
      <c r="B3204" s="17" t="s">
        <v>5680</v>
      </c>
      <c r="C3204" s="17" t="s">
        <v>3010</v>
      </c>
      <c r="D3204" s="25" t="s">
        <v>5599</v>
      </c>
      <c r="E3204" s="19" t="s">
        <v>5677</v>
      </c>
      <c r="F3204" s="19" t="s">
        <v>5681</v>
      </c>
      <c r="G3204" s="5" t="str">
        <f>HYPERLINK("http://jsmh.umin.jp/journal/39-2/169-178.pdf")</f>
        <v>http://jsmh.umin.jp/journal/39-2/169-178.pdf</v>
      </c>
      <c r="H3204" s="43" t="str">
        <f t="shared" si="228"/>
        <v>http://dl.ndl.go.jp/info:ndljp/pid/3359339</v>
      </c>
    </row>
    <row r="3205" spans="1:8" ht="30" customHeight="1" x14ac:dyDescent="0.15">
      <c r="A3205" s="16" t="s">
        <v>17</v>
      </c>
      <c r="B3205" s="17" t="s">
        <v>5682</v>
      </c>
      <c r="C3205" s="17" t="s">
        <v>5075</v>
      </c>
      <c r="D3205" s="25" t="s">
        <v>5599</v>
      </c>
      <c r="E3205" s="19" t="s">
        <v>5677</v>
      </c>
      <c r="F3205" s="19" t="s">
        <v>5683</v>
      </c>
      <c r="G3205" s="5" t="str">
        <f>HYPERLINK("http://jsmh.umin.jp/journal/39-2/179-216.pdf")</f>
        <v>http://jsmh.umin.jp/journal/39-2/179-216.pdf</v>
      </c>
      <c r="H3205" s="43" t="str">
        <f t="shared" si="228"/>
        <v>http://dl.ndl.go.jp/info:ndljp/pid/3359339</v>
      </c>
    </row>
    <row r="3206" spans="1:8" ht="30" customHeight="1" x14ac:dyDescent="0.15">
      <c r="A3206" s="16" t="s">
        <v>3387</v>
      </c>
      <c r="B3206" s="17" t="s">
        <v>5684</v>
      </c>
      <c r="C3206" s="17" t="s">
        <v>5516</v>
      </c>
      <c r="D3206" s="25" t="s">
        <v>5599</v>
      </c>
      <c r="E3206" s="19" t="s">
        <v>5677</v>
      </c>
      <c r="F3206" s="19" t="s">
        <v>5685</v>
      </c>
      <c r="G3206" s="5" t="str">
        <f>HYPERLINK("http://jsmh.umin.jp/journal/39-2/217-222.pdf")</f>
        <v>http://jsmh.umin.jp/journal/39-2/217-222.pdf</v>
      </c>
      <c r="H3206" s="43" t="str">
        <f t="shared" si="228"/>
        <v>http://dl.ndl.go.jp/info:ndljp/pid/3359339</v>
      </c>
    </row>
    <row r="3207" spans="1:8" ht="30" customHeight="1" x14ac:dyDescent="0.15">
      <c r="A3207" s="16" t="s">
        <v>4265</v>
      </c>
      <c r="B3207" s="17" t="s">
        <v>5686</v>
      </c>
      <c r="C3207" s="17" t="s">
        <v>841</v>
      </c>
      <c r="D3207" s="25" t="s">
        <v>5599</v>
      </c>
      <c r="E3207" s="19" t="s">
        <v>5677</v>
      </c>
      <c r="F3207" s="19" t="s">
        <v>5687</v>
      </c>
      <c r="G3207" s="5" t="str">
        <f>HYPERLINK("http://jsmh.umin.jp/journal/39-2/223-235.pdf")</f>
        <v>http://jsmh.umin.jp/journal/39-2/223-235.pdf</v>
      </c>
      <c r="H3207" s="43" t="str">
        <f t="shared" si="228"/>
        <v>http://dl.ndl.go.jp/info:ndljp/pid/3359339</v>
      </c>
    </row>
    <row r="3208" spans="1:8" ht="30" customHeight="1" x14ac:dyDescent="0.15">
      <c r="A3208" s="16" t="s">
        <v>4265</v>
      </c>
      <c r="B3208" s="17" t="s">
        <v>5688</v>
      </c>
      <c r="C3208" s="17" t="s">
        <v>5020</v>
      </c>
      <c r="D3208" s="25" t="s">
        <v>5599</v>
      </c>
      <c r="E3208" s="19" t="s">
        <v>5677</v>
      </c>
      <c r="F3208" s="19" t="s">
        <v>2447</v>
      </c>
      <c r="G3208" s="5" t="str">
        <f>HYPERLINK("http://jsmh.umin.jp/journal/39-2/237-243.pdf")</f>
        <v>http://jsmh.umin.jp/journal/39-2/237-243.pdf</v>
      </c>
      <c r="H3208" s="43" t="str">
        <f t="shared" si="228"/>
        <v>http://dl.ndl.go.jp/info:ndljp/pid/3359339</v>
      </c>
    </row>
    <row r="3209" spans="1:8" ht="30" customHeight="1" x14ac:dyDescent="0.15">
      <c r="A3209" s="16" t="s">
        <v>3223</v>
      </c>
      <c r="B3209" s="17" t="s">
        <v>5689</v>
      </c>
      <c r="C3209" s="17" t="s">
        <v>479</v>
      </c>
      <c r="D3209" s="25" t="s">
        <v>5599</v>
      </c>
      <c r="E3209" s="19" t="s">
        <v>5677</v>
      </c>
      <c r="F3209" s="19" t="s">
        <v>5690</v>
      </c>
      <c r="G3209" s="5" t="str">
        <f>HYPERLINK("http://jsmh.umin.jp/journal/39-2/245-250.pdf")</f>
        <v>http://jsmh.umin.jp/journal/39-2/245-250.pdf</v>
      </c>
      <c r="H3209" s="43" t="str">
        <f t="shared" si="228"/>
        <v>http://dl.ndl.go.jp/info:ndljp/pid/3359339</v>
      </c>
    </row>
    <row r="3210" spans="1:8" ht="30" customHeight="1" x14ac:dyDescent="0.15">
      <c r="A3210" s="16" t="s">
        <v>3223</v>
      </c>
      <c r="B3210" s="17" t="s">
        <v>5691</v>
      </c>
      <c r="C3210" s="17" t="s">
        <v>444</v>
      </c>
      <c r="D3210" s="25" t="s">
        <v>5599</v>
      </c>
      <c r="E3210" s="19" t="s">
        <v>5677</v>
      </c>
      <c r="F3210" s="19" t="s">
        <v>5692</v>
      </c>
      <c r="G3210" s="5" t="str">
        <f>HYPERLINK("http://jsmh.umin.jp/journal/39-2/251-254.pdf")</f>
        <v>http://jsmh.umin.jp/journal/39-2/251-254.pdf</v>
      </c>
      <c r="H3210" s="43" t="str">
        <f t="shared" si="228"/>
        <v>http://dl.ndl.go.jp/info:ndljp/pid/3359339</v>
      </c>
    </row>
    <row r="3211" spans="1:8" ht="30" customHeight="1" x14ac:dyDescent="0.15">
      <c r="A3211" s="16" t="s">
        <v>3223</v>
      </c>
      <c r="B3211" s="17" t="s">
        <v>4497</v>
      </c>
      <c r="C3211" s="17" t="s">
        <v>273</v>
      </c>
      <c r="D3211" s="25" t="s">
        <v>5599</v>
      </c>
      <c r="E3211" s="19" t="s">
        <v>5677</v>
      </c>
      <c r="F3211" s="19" t="s">
        <v>3323</v>
      </c>
      <c r="G3211" s="5" t="str">
        <f>HYPERLINK("http://jsmh.umin.jp/journal/39-2/255-256.pdf")</f>
        <v>http://jsmh.umin.jp/journal/39-2/255-256.pdf</v>
      </c>
      <c r="H3211" s="43" t="str">
        <f t="shared" si="228"/>
        <v>http://dl.ndl.go.jp/info:ndljp/pid/3359339</v>
      </c>
    </row>
    <row r="3212" spans="1:8" ht="30" customHeight="1" x14ac:dyDescent="0.15">
      <c r="A3212" s="16" t="s">
        <v>3223</v>
      </c>
      <c r="B3212" s="17" t="s">
        <v>5693</v>
      </c>
      <c r="C3212" s="17" t="s">
        <v>830</v>
      </c>
      <c r="D3212" s="25" t="s">
        <v>5599</v>
      </c>
      <c r="E3212" s="19" t="s">
        <v>5677</v>
      </c>
      <c r="F3212" s="19" t="s">
        <v>4391</v>
      </c>
      <c r="G3212" s="5" t="str">
        <f>HYPERLINK("http://jsmh.umin.jp/journal/39-2/257-258.pdf")</f>
        <v>http://jsmh.umin.jp/journal/39-2/257-258.pdf</v>
      </c>
      <c r="H3212" s="43" t="str">
        <f t="shared" si="228"/>
        <v>http://dl.ndl.go.jp/info:ndljp/pid/3359339</v>
      </c>
    </row>
    <row r="3213" spans="1:8" ht="30" customHeight="1" x14ac:dyDescent="0.15">
      <c r="A3213" s="16" t="s">
        <v>3223</v>
      </c>
      <c r="B3213" s="17" t="s">
        <v>5694</v>
      </c>
      <c r="C3213" s="17" t="s">
        <v>479</v>
      </c>
      <c r="D3213" s="25" t="s">
        <v>5599</v>
      </c>
      <c r="E3213" s="19" t="s">
        <v>5677</v>
      </c>
      <c r="F3213" s="19" t="s">
        <v>1015</v>
      </c>
      <c r="G3213" s="5" t="str">
        <f>HYPERLINK("http://jsmh.umin.jp/journal/39-2/259-260.pdf")</f>
        <v>http://jsmh.umin.jp/journal/39-2/259-260.pdf</v>
      </c>
      <c r="H3213" s="43" t="str">
        <f t="shared" si="228"/>
        <v>http://dl.ndl.go.jp/info:ndljp/pid/3359339</v>
      </c>
    </row>
    <row r="3214" spans="1:8" ht="30" customHeight="1" x14ac:dyDescent="0.15">
      <c r="A3214" s="16" t="s">
        <v>3223</v>
      </c>
      <c r="B3214" s="17" t="s">
        <v>5695</v>
      </c>
      <c r="C3214" s="17" t="s">
        <v>627</v>
      </c>
      <c r="D3214" s="25" t="s">
        <v>5599</v>
      </c>
      <c r="E3214" s="19" t="s">
        <v>5677</v>
      </c>
      <c r="F3214" s="19" t="s">
        <v>3478</v>
      </c>
      <c r="G3214" s="5" t="str">
        <f>HYPERLINK("http://jsmh.umin.jp/journal/39-2/261-262.pdf")</f>
        <v>http://jsmh.umin.jp/journal/39-2/261-262.pdf</v>
      </c>
      <c r="H3214" s="43" t="str">
        <f t="shared" si="228"/>
        <v>http://dl.ndl.go.jp/info:ndljp/pid/3359339</v>
      </c>
    </row>
    <row r="3215" spans="1:8" ht="30" customHeight="1" x14ac:dyDescent="0.15">
      <c r="A3215" s="16" t="s">
        <v>558</v>
      </c>
      <c r="B3215" s="17" t="s">
        <v>5696</v>
      </c>
      <c r="C3215" s="17" t="s">
        <v>2881</v>
      </c>
      <c r="D3215" s="25" t="s">
        <v>5599</v>
      </c>
      <c r="E3215" s="19" t="s">
        <v>5677</v>
      </c>
      <c r="F3215" s="19" t="s">
        <v>1031</v>
      </c>
      <c r="G3215" s="5" t="str">
        <f>HYPERLINK("http://jsmh.umin.jp/journal/39-2/265-266.pdf")</f>
        <v>http://jsmh.umin.jp/journal/39-2/265-266.pdf</v>
      </c>
      <c r="H3215" s="43" t="str">
        <f t="shared" si="228"/>
        <v>http://dl.ndl.go.jp/info:ndljp/pid/3359339</v>
      </c>
    </row>
    <row r="3216" spans="1:8" ht="30" customHeight="1" x14ac:dyDescent="0.15">
      <c r="A3216" s="16" t="s">
        <v>558</v>
      </c>
      <c r="B3216" s="17" t="s">
        <v>5697</v>
      </c>
      <c r="C3216" s="17" t="s">
        <v>48</v>
      </c>
      <c r="D3216" s="25" t="s">
        <v>5599</v>
      </c>
      <c r="E3216" s="19" t="s">
        <v>5677</v>
      </c>
      <c r="F3216" s="19" t="s">
        <v>1033</v>
      </c>
      <c r="G3216" s="5" t="str">
        <f>HYPERLINK("http://jsmh.umin.jp/journal/39-2/266.pdf")</f>
        <v>http://jsmh.umin.jp/journal/39-2/266.pdf</v>
      </c>
      <c r="H3216" s="43" t="str">
        <f t="shared" si="228"/>
        <v>http://dl.ndl.go.jp/info:ndljp/pid/3359339</v>
      </c>
    </row>
    <row r="3217" spans="1:8" ht="30" customHeight="1" x14ac:dyDescent="0.15">
      <c r="A3217" s="16" t="s">
        <v>558</v>
      </c>
      <c r="B3217" s="17" t="s">
        <v>5698</v>
      </c>
      <c r="C3217" s="17" t="s">
        <v>2989</v>
      </c>
      <c r="D3217" s="25" t="s">
        <v>5599</v>
      </c>
      <c r="E3217" s="19" t="s">
        <v>5677</v>
      </c>
      <c r="F3217" s="19" t="s">
        <v>5484</v>
      </c>
      <c r="G3217" s="5" t="str">
        <f>HYPERLINK("http://jsmh.umin.jp/journal/39-2/267-268.pdf")</f>
        <v>http://jsmh.umin.jp/journal/39-2/267-268.pdf</v>
      </c>
      <c r="H3217" s="43" t="str">
        <f t="shared" si="228"/>
        <v>http://dl.ndl.go.jp/info:ndljp/pid/3359339</v>
      </c>
    </row>
    <row r="3218" spans="1:8" ht="30" customHeight="1" x14ac:dyDescent="0.15">
      <c r="A3218" s="16" t="s">
        <v>558</v>
      </c>
      <c r="B3218" s="17" t="s">
        <v>10219</v>
      </c>
      <c r="C3218" s="17" t="s">
        <v>3655</v>
      </c>
      <c r="D3218" s="25" t="s">
        <v>5599</v>
      </c>
      <c r="E3218" s="19" t="s">
        <v>5677</v>
      </c>
      <c r="F3218" s="19" t="s">
        <v>1035</v>
      </c>
      <c r="G3218" s="5" t="str">
        <f>HYPERLINK("http://jsmh.umin.jp/journal/39-2/267.pdf")</f>
        <v>http://jsmh.umin.jp/journal/39-2/267.pdf</v>
      </c>
      <c r="H3218" s="43" t="str">
        <f t="shared" si="228"/>
        <v>http://dl.ndl.go.jp/info:ndljp/pid/3359339</v>
      </c>
    </row>
    <row r="3219" spans="1:8" ht="30" customHeight="1" x14ac:dyDescent="0.15">
      <c r="A3219" s="16" t="s">
        <v>558</v>
      </c>
      <c r="B3219" s="17" t="s">
        <v>5699</v>
      </c>
      <c r="C3219" s="17"/>
      <c r="D3219" s="25" t="s">
        <v>5599</v>
      </c>
      <c r="E3219" s="19" t="s">
        <v>5677</v>
      </c>
      <c r="F3219" s="19" t="s">
        <v>1035</v>
      </c>
      <c r="G3219" s="5" t="str">
        <f>HYPERLINK("http://jsmh.umin.jp/journal/39-2/267.pdf")</f>
        <v>http://jsmh.umin.jp/journal/39-2/267.pdf</v>
      </c>
      <c r="H3219" s="43" t="str">
        <f t="shared" si="228"/>
        <v>http://dl.ndl.go.jp/info:ndljp/pid/3359339</v>
      </c>
    </row>
    <row r="3220" spans="1:8" ht="30" customHeight="1" x14ac:dyDescent="0.15">
      <c r="A3220" s="16" t="s">
        <v>3720</v>
      </c>
      <c r="B3220" s="17" t="s">
        <v>5700</v>
      </c>
      <c r="C3220" s="17" t="s">
        <v>2937</v>
      </c>
      <c r="D3220" s="25" t="s">
        <v>5599</v>
      </c>
      <c r="E3220" s="19" t="s">
        <v>5677</v>
      </c>
      <c r="F3220" s="19" t="s">
        <v>1574</v>
      </c>
      <c r="G3220" s="5" t="str">
        <f>HYPERLINK("http://jsmh.umin.jp/journal/39-2/268.pdf")</f>
        <v>http://jsmh.umin.jp/journal/39-2/268.pdf</v>
      </c>
      <c r="H3220" s="43" t="str">
        <f t="shared" si="228"/>
        <v>http://dl.ndl.go.jp/info:ndljp/pid/3359339</v>
      </c>
    </row>
    <row r="3221" spans="1:8" ht="30" customHeight="1" x14ac:dyDescent="0.15">
      <c r="A3221" s="16" t="s">
        <v>2990</v>
      </c>
      <c r="B3221" s="17" t="s">
        <v>5701</v>
      </c>
      <c r="C3221" s="17" t="s">
        <v>5410</v>
      </c>
      <c r="D3221" s="25" t="s">
        <v>5599</v>
      </c>
      <c r="E3221" s="19" t="s">
        <v>5677</v>
      </c>
      <c r="F3221" s="19" t="s">
        <v>5702</v>
      </c>
      <c r="G3221" s="5" t="str">
        <f>HYPERLINK("http://jsmh.umin.jp/journal/39-2/269.pdf")</f>
        <v>http://jsmh.umin.jp/journal/39-2/269.pdf</v>
      </c>
      <c r="H3221" s="43" t="str">
        <f t="shared" si="228"/>
        <v>http://dl.ndl.go.jp/info:ndljp/pid/3359339</v>
      </c>
    </row>
    <row r="3222" spans="1:8" ht="30" customHeight="1" x14ac:dyDescent="0.15">
      <c r="A3222" s="16" t="s">
        <v>2990</v>
      </c>
      <c r="B3222" s="17" t="s">
        <v>5703</v>
      </c>
      <c r="C3222" s="17" t="s">
        <v>4897</v>
      </c>
      <c r="D3222" s="25" t="s">
        <v>5599</v>
      </c>
      <c r="E3222" s="19" t="s">
        <v>5677</v>
      </c>
      <c r="F3222" s="19" t="s">
        <v>1893</v>
      </c>
      <c r="G3222" s="5" t="str">
        <f>HYPERLINK("http://jsmh.umin.jp/journal/39-2/270-271.pdf")</f>
        <v>http://jsmh.umin.jp/journal/39-2/270-271.pdf</v>
      </c>
      <c r="H3222" s="43" t="str">
        <f t="shared" si="228"/>
        <v>http://dl.ndl.go.jp/info:ndljp/pid/3359339</v>
      </c>
    </row>
    <row r="3223" spans="1:8" ht="30" customHeight="1" x14ac:dyDescent="0.15">
      <c r="A3223" s="16" t="s">
        <v>2990</v>
      </c>
      <c r="B3223" s="17" t="s">
        <v>5704</v>
      </c>
      <c r="C3223" s="17" t="s">
        <v>209</v>
      </c>
      <c r="D3223" s="25" t="s">
        <v>5599</v>
      </c>
      <c r="E3223" s="19" t="s">
        <v>5677</v>
      </c>
      <c r="F3223" s="19" t="s">
        <v>3083</v>
      </c>
      <c r="G3223" s="5" t="str">
        <f>HYPERLINK("http://jsmh.umin.jp/journal/39-2/271-273.pdf")</f>
        <v>http://jsmh.umin.jp/journal/39-2/271-273.pdf</v>
      </c>
      <c r="H3223" s="43" t="str">
        <f t="shared" si="228"/>
        <v>http://dl.ndl.go.jp/info:ndljp/pid/3359339</v>
      </c>
    </row>
    <row r="3224" spans="1:8" ht="30" customHeight="1" x14ac:dyDescent="0.15">
      <c r="A3224" s="16" t="s">
        <v>2990</v>
      </c>
      <c r="B3224" s="17" t="s">
        <v>5705</v>
      </c>
      <c r="C3224" s="17" t="s">
        <v>4867</v>
      </c>
      <c r="D3224" s="25" t="s">
        <v>5599</v>
      </c>
      <c r="E3224" s="19" t="s">
        <v>5677</v>
      </c>
      <c r="F3224" s="19" t="s">
        <v>1897</v>
      </c>
      <c r="G3224" s="5" t="str">
        <f>HYPERLINK("http://jsmh.umin.jp/journal/39-2/273-274.pdf")</f>
        <v>http://jsmh.umin.jp/journal/39-2/273-274.pdf</v>
      </c>
      <c r="H3224" s="43" t="str">
        <f t="shared" si="228"/>
        <v>http://dl.ndl.go.jp/info:ndljp/pid/3359339</v>
      </c>
    </row>
    <row r="3225" spans="1:8" ht="30" customHeight="1" x14ac:dyDescent="0.15">
      <c r="A3225" s="16" t="s">
        <v>2990</v>
      </c>
      <c r="B3225" s="17" t="s">
        <v>10220</v>
      </c>
      <c r="C3225" s="17" t="s">
        <v>7154</v>
      </c>
      <c r="D3225" s="25" t="s">
        <v>5599</v>
      </c>
      <c r="E3225" s="19" t="s">
        <v>5677</v>
      </c>
      <c r="F3225" s="19" t="s">
        <v>3085</v>
      </c>
      <c r="G3225" s="5" t="str">
        <f>HYPERLINK("http://jsmh.umin.jp/journal/39-2/274-276.pdf")</f>
        <v>http://jsmh.umin.jp/journal/39-2/274-276.pdf</v>
      </c>
      <c r="H3225" s="43" t="str">
        <f t="shared" si="228"/>
        <v>http://dl.ndl.go.jp/info:ndljp/pid/3359339</v>
      </c>
    </row>
    <row r="3226" spans="1:8" ht="30" customHeight="1" x14ac:dyDescent="0.15">
      <c r="A3226" s="16" t="s">
        <v>2990</v>
      </c>
      <c r="B3226" s="17" t="s">
        <v>10221</v>
      </c>
      <c r="C3226" s="17" t="s">
        <v>273</v>
      </c>
      <c r="D3226" s="25" t="s">
        <v>5599</v>
      </c>
      <c r="E3226" s="19" t="s">
        <v>5677</v>
      </c>
      <c r="F3226" s="19" t="s">
        <v>5706</v>
      </c>
      <c r="G3226" s="5" t="str">
        <f>HYPERLINK("http://jsmh.umin.jp/journal/39-2/276-277.pdf")</f>
        <v>http://jsmh.umin.jp/journal/39-2/276-277.pdf</v>
      </c>
      <c r="H3226" s="43" t="str">
        <f t="shared" si="228"/>
        <v>http://dl.ndl.go.jp/info:ndljp/pid/3359339</v>
      </c>
    </row>
    <row r="3227" spans="1:8" ht="30" customHeight="1" x14ac:dyDescent="0.15">
      <c r="A3227" s="16" t="s">
        <v>2990</v>
      </c>
      <c r="B3227" s="17" t="s">
        <v>5707</v>
      </c>
      <c r="C3227" s="17" t="s">
        <v>2233</v>
      </c>
      <c r="D3227" s="25" t="s">
        <v>5599</v>
      </c>
      <c r="E3227" s="19" t="s">
        <v>5677</v>
      </c>
      <c r="F3227" s="19" t="s">
        <v>1903</v>
      </c>
      <c r="G3227" s="5" t="str">
        <f>HYPERLINK("http://jsmh.umin.jp/journal/39-2/277-278.pdf")</f>
        <v>http://jsmh.umin.jp/journal/39-2/277-278.pdf</v>
      </c>
      <c r="H3227" s="43" t="str">
        <f t="shared" si="228"/>
        <v>http://dl.ndl.go.jp/info:ndljp/pid/3359339</v>
      </c>
    </row>
    <row r="3228" spans="1:8" ht="30" customHeight="1" x14ac:dyDescent="0.15">
      <c r="A3228" s="16" t="s">
        <v>2990</v>
      </c>
      <c r="B3228" s="17" t="s">
        <v>5708</v>
      </c>
      <c r="C3228" s="17" t="s">
        <v>4848</v>
      </c>
      <c r="D3228" s="25" t="s">
        <v>5599</v>
      </c>
      <c r="E3228" s="19" t="s">
        <v>5677</v>
      </c>
      <c r="F3228" s="19" t="s">
        <v>3495</v>
      </c>
      <c r="G3228" s="5" t="str">
        <f>HYPERLINK("http://jsmh.umin.jp/journal/39-2/278-280.pdf")</f>
        <v>http://jsmh.umin.jp/journal/39-2/278-280.pdf</v>
      </c>
      <c r="H3228" s="43" t="str">
        <f t="shared" si="228"/>
        <v>http://dl.ndl.go.jp/info:ndljp/pid/3359339</v>
      </c>
    </row>
    <row r="3229" spans="1:8" ht="30" customHeight="1" x14ac:dyDescent="0.15">
      <c r="A3229" s="16" t="s">
        <v>2990</v>
      </c>
      <c r="B3229" s="17" t="s">
        <v>5709</v>
      </c>
      <c r="C3229" s="17" t="s">
        <v>5625</v>
      </c>
      <c r="D3229" s="25" t="s">
        <v>5599</v>
      </c>
      <c r="E3229" s="19" t="s">
        <v>5677</v>
      </c>
      <c r="F3229" s="19" t="s">
        <v>1910</v>
      </c>
      <c r="G3229" s="5" t="str">
        <f>HYPERLINK("http://jsmh.umin.jp/journal/39-2/280-281.pdf")</f>
        <v>http://jsmh.umin.jp/journal/39-2/280-281.pdf</v>
      </c>
      <c r="H3229" s="43" t="str">
        <f t="shared" si="228"/>
        <v>http://dl.ndl.go.jp/info:ndljp/pid/3359339</v>
      </c>
    </row>
    <row r="3230" spans="1:8" ht="30" customHeight="1" x14ac:dyDescent="0.15">
      <c r="A3230" s="16" t="s">
        <v>2990</v>
      </c>
      <c r="B3230" s="17" t="s">
        <v>5710</v>
      </c>
      <c r="C3230" s="17" t="s">
        <v>5018</v>
      </c>
      <c r="D3230" s="25" t="s">
        <v>5599</v>
      </c>
      <c r="E3230" s="19" t="s">
        <v>5677</v>
      </c>
      <c r="F3230" s="19" t="s">
        <v>3091</v>
      </c>
      <c r="G3230" s="5" t="str">
        <f>HYPERLINK("http://jsmh.umin.jp/journal/39-2/281-283.pdf")</f>
        <v>http://jsmh.umin.jp/journal/39-2/281-283.pdf</v>
      </c>
      <c r="H3230" s="43" t="str">
        <f t="shared" si="228"/>
        <v>http://dl.ndl.go.jp/info:ndljp/pid/3359339</v>
      </c>
    </row>
    <row r="3231" spans="1:8" ht="30" customHeight="1" x14ac:dyDescent="0.15">
      <c r="A3231" s="16" t="s">
        <v>17</v>
      </c>
      <c r="B3231" s="17" t="s">
        <v>5711</v>
      </c>
      <c r="C3231" s="17" t="s">
        <v>790</v>
      </c>
      <c r="D3231" s="25" t="s">
        <v>5599</v>
      </c>
      <c r="E3231" s="19" t="s">
        <v>5712</v>
      </c>
      <c r="F3231" s="19" t="s">
        <v>5713</v>
      </c>
      <c r="G3231" s="5" t="str">
        <f>HYPERLINK("http://jsmh.umin.jp/journal/39-3/291-313.pdf")</f>
        <v>http://jsmh.umin.jp/journal/39-3/291-313.pdf</v>
      </c>
      <c r="H3231" s="42" t="str">
        <f t="shared" ref="H3231:H3251" si="229">HYPERLINK("http://dl.ndl.go.jp/info:ndljp/pid/3359340")</f>
        <v>http://dl.ndl.go.jp/info:ndljp/pid/3359340</v>
      </c>
    </row>
    <row r="3232" spans="1:8" ht="30" customHeight="1" x14ac:dyDescent="0.15">
      <c r="A3232" s="16" t="s">
        <v>17</v>
      </c>
      <c r="B3232" s="17" t="s">
        <v>5714</v>
      </c>
      <c r="C3232" s="17" t="s">
        <v>4805</v>
      </c>
      <c r="D3232" s="25" t="s">
        <v>5599</v>
      </c>
      <c r="E3232" s="19" t="s">
        <v>5712</v>
      </c>
      <c r="F3232" s="19" t="s">
        <v>5715</v>
      </c>
      <c r="G3232" s="5" t="str">
        <f>HYPERLINK("http://jsmh.umin.jp/journal/39-3/315-332.pdf")</f>
        <v>http://jsmh.umin.jp/journal/39-3/315-332.pdf</v>
      </c>
      <c r="H3232" s="43" t="str">
        <f t="shared" si="229"/>
        <v>http://dl.ndl.go.jp/info:ndljp/pid/3359340</v>
      </c>
    </row>
    <row r="3233" spans="1:8" ht="30" customHeight="1" x14ac:dyDescent="0.15">
      <c r="A3233" s="16" t="s">
        <v>17</v>
      </c>
      <c r="B3233" s="17" t="s">
        <v>5716</v>
      </c>
      <c r="C3233" s="17" t="s">
        <v>5717</v>
      </c>
      <c r="D3233" s="25" t="s">
        <v>5599</v>
      </c>
      <c r="E3233" s="19" t="s">
        <v>5712</v>
      </c>
      <c r="F3233" s="19" t="s">
        <v>5718</v>
      </c>
      <c r="G3233" s="5" t="str">
        <f>HYPERLINK("http://jsmh.umin.jp/journal/39-3/333-345.pdf")</f>
        <v>http://jsmh.umin.jp/journal/39-3/333-345.pdf</v>
      </c>
      <c r="H3233" s="43" t="str">
        <f t="shared" si="229"/>
        <v>http://dl.ndl.go.jp/info:ndljp/pid/3359340</v>
      </c>
    </row>
    <row r="3234" spans="1:8" ht="30" customHeight="1" x14ac:dyDescent="0.15">
      <c r="A3234" s="16" t="s">
        <v>3387</v>
      </c>
      <c r="B3234" s="17" t="s">
        <v>5719</v>
      </c>
      <c r="C3234" s="17" t="s">
        <v>5720</v>
      </c>
      <c r="D3234" s="25" t="s">
        <v>5599</v>
      </c>
      <c r="E3234" s="19" t="s">
        <v>5712</v>
      </c>
      <c r="F3234" s="19" t="s">
        <v>5721</v>
      </c>
      <c r="G3234" s="5" t="str">
        <f>HYPERLINK("http://jsmh.umin.jp/journal/39-3/347-359.pdf")</f>
        <v>http://jsmh.umin.jp/journal/39-3/347-359.pdf</v>
      </c>
      <c r="H3234" s="43" t="str">
        <f t="shared" si="229"/>
        <v>http://dl.ndl.go.jp/info:ndljp/pid/3359340</v>
      </c>
    </row>
    <row r="3235" spans="1:8" ht="30" customHeight="1" x14ac:dyDescent="0.15">
      <c r="A3235" s="16" t="s">
        <v>4265</v>
      </c>
      <c r="B3235" s="17" t="s">
        <v>5722</v>
      </c>
      <c r="C3235" s="17" t="s">
        <v>3644</v>
      </c>
      <c r="D3235" s="25" t="s">
        <v>5599</v>
      </c>
      <c r="E3235" s="19" t="s">
        <v>5712</v>
      </c>
      <c r="F3235" s="19" t="s">
        <v>5723</v>
      </c>
      <c r="G3235" s="5" t="str">
        <f>HYPERLINK("http://jsmh.umin.jp/journal/39-3/361-367.pdf")</f>
        <v>http://jsmh.umin.jp/journal/39-3/361-367.pdf</v>
      </c>
      <c r="H3235" s="43" t="str">
        <f t="shared" si="229"/>
        <v>http://dl.ndl.go.jp/info:ndljp/pid/3359340</v>
      </c>
    </row>
    <row r="3236" spans="1:8" ht="30" customHeight="1" x14ac:dyDescent="0.15">
      <c r="A3236" s="16" t="s">
        <v>692</v>
      </c>
      <c r="B3236" s="17" t="s">
        <v>5724</v>
      </c>
      <c r="C3236" s="17" t="s">
        <v>4870</v>
      </c>
      <c r="D3236" s="25" t="s">
        <v>5599</v>
      </c>
      <c r="E3236" s="19" t="s">
        <v>5712</v>
      </c>
      <c r="F3236" s="19" t="s">
        <v>5725</v>
      </c>
      <c r="G3236" s="5" t="str">
        <f>HYPERLINK("http://jsmh.umin.jp/journal/39-3/369-378.pdf")</f>
        <v>http://jsmh.umin.jp/journal/39-3/369-378.pdf</v>
      </c>
      <c r="H3236" s="43" t="str">
        <f t="shared" si="229"/>
        <v>http://dl.ndl.go.jp/info:ndljp/pid/3359340</v>
      </c>
    </row>
    <row r="3237" spans="1:8" ht="30" customHeight="1" x14ac:dyDescent="0.15">
      <c r="A3237" s="16" t="s">
        <v>692</v>
      </c>
      <c r="B3237" s="17" t="s">
        <v>5726</v>
      </c>
      <c r="C3237" s="17" t="s">
        <v>5727</v>
      </c>
      <c r="D3237" s="25" t="s">
        <v>5599</v>
      </c>
      <c r="E3237" s="19" t="s">
        <v>5712</v>
      </c>
      <c r="F3237" s="19" t="s">
        <v>5728</v>
      </c>
      <c r="G3237" s="5" t="str">
        <f>HYPERLINK("http://jsmh.umin.jp/journal/39-3/379-387.pdf")</f>
        <v>http://jsmh.umin.jp/journal/39-3/379-387.pdf</v>
      </c>
      <c r="H3237" s="43" t="str">
        <f t="shared" si="229"/>
        <v>http://dl.ndl.go.jp/info:ndljp/pid/3359340</v>
      </c>
    </row>
    <row r="3238" spans="1:8" ht="30" customHeight="1" x14ac:dyDescent="0.15">
      <c r="A3238" s="16" t="s">
        <v>692</v>
      </c>
      <c r="B3238" s="17" t="s">
        <v>5729</v>
      </c>
      <c r="C3238" s="17" t="s">
        <v>3485</v>
      </c>
      <c r="D3238" s="25" t="s">
        <v>5599</v>
      </c>
      <c r="E3238" s="19" t="s">
        <v>5712</v>
      </c>
      <c r="F3238" s="19" t="s">
        <v>2674</v>
      </c>
      <c r="G3238" s="5" t="str">
        <f>HYPERLINK("http://jsmh.umin.jp/journal/39-3/388.pdf")</f>
        <v>http://jsmh.umin.jp/journal/39-3/388.pdf</v>
      </c>
      <c r="H3238" s="43" t="str">
        <f t="shared" si="229"/>
        <v>http://dl.ndl.go.jp/info:ndljp/pid/3359340</v>
      </c>
    </row>
    <row r="3239" spans="1:8" ht="30" customHeight="1" x14ac:dyDescent="0.15">
      <c r="A3239" s="16" t="s">
        <v>558</v>
      </c>
      <c r="B3239" s="17" t="s">
        <v>5730</v>
      </c>
      <c r="C3239" s="17" t="s">
        <v>2325</v>
      </c>
      <c r="D3239" s="25" t="s">
        <v>5599</v>
      </c>
      <c r="E3239" s="19" t="s">
        <v>5712</v>
      </c>
      <c r="F3239" s="19" t="s">
        <v>5731</v>
      </c>
      <c r="G3239" s="5" t="str">
        <f>HYPERLINK("http://jsmh.umin.jp/journal/39-3/389-390.pdf")</f>
        <v>http://jsmh.umin.jp/journal/39-3/389-390.pdf</v>
      </c>
      <c r="H3239" s="43" t="str">
        <f t="shared" si="229"/>
        <v>http://dl.ndl.go.jp/info:ndljp/pid/3359340</v>
      </c>
    </row>
    <row r="3240" spans="1:8" ht="30" customHeight="1" x14ac:dyDescent="0.15">
      <c r="A3240" s="16" t="s">
        <v>558</v>
      </c>
      <c r="B3240" s="17" t="s">
        <v>5732</v>
      </c>
      <c r="C3240" s="17" t="s">
        <v>5733</v>
      </c>
      <c r="D3240" s="25" t="s">
        <v>5599</v>
      </c>
      <c r="E3240" s="19" t="s">
        <v>5712</v>
      </c>
      <c r="F3240" s="19" t="s">
        <v>5734</v>
      </c>
      <c r="G3240" s="5" t="str">
        <f>HYPERLINK("http://jsmh.umin.jp/journal/39-3/390-392.pdf")</f>
        <v>http://jsmh.umin.jp/journal/39-3/390-392.pdf</v>
      </c>
      <c r="H3240" s="43" t="str">
        <f t="shared" si="229"/>
        <v>http://dl.ndl.go.jp/info:ndljp/pid/3359340</v>
      </c>
    </row>
    <row r="3241" spans="1:8" ht="30" customHeight="1" x14ac:dyDescent="0.15">
      <c r="A3241" s="16" t="s">
        <v>558</v>
      </c>
      <c r="B3241" s="17" t="s">
        <v>5735</v>
      </c>
      <c r="C3241" s="17" t="s">
        <v>444</v>
      </c>
      <c r="D3241" s="25" t="s">
        <v>5599</v>
      </c>
      <c r="E3241" s="19" t="s">
        <v>5712</v>
      </c>
      <c r="F3241" s="19" t="s">
        <v>2143</v>
      </c>
      <c r="G3241" s="5" t="str">
        <f>HYPERLINK("http://jsmh.umin.jp/journal/39-3/390.pdf")</f>
        <v>http://jsmh.umin.jp/journal/39-3/390.pdf</v>
      </c>
      <c r="H3241" s="43" t="str">
        <f t="shared" si="229"/>
        <v>http://dl.ndl.go.jp/info:ndljp/pid/3359340</v>
      </c>
    </row>
    <row r="3242" spans="1:8" ht="30" customHeight="1" x14ac:dyDescent="0.15">
      <c r="A3242" s="16" t="s">
        <v>558</v>
      </c>
      <c r="B3242" s="17" t="s">
        <v>5736</v>
      </c>
      <c r="C3242" s="17" t="s">
        <v>479</v>
      </c>
      <c r="D3242" s="25" t="s">
        <v>5599</v>
      </c>
      <c r="E3242" s="19" t="s">
        <v>5712</v>
      </c>
      <c r="F3242" s="19" t="s">
        <v>2148</v>
      </c>
      <c r="G3242" s="5" t="str">
        <f>HYPERLINK("http://jsmh.umin.jp/journal/39-3/392-393.pdf")</f>
        <v>http://jsmh.umin.jp/journal/39-3/392-393.pdf</v>
      </c>
      <c r="H3242" s="43" t="str">
        <f t="shared" si="229"/>
        <v>http://dl.ndl.go.jp/info:ndljp/pid/3359340</v>
      </c>
    </row>
    <row r="3243" spans="1:8" ht="30" customHeight="1" x14ac:dyDescent="0.15">
      <c r="A3243" s="16" t="s">
        <v>3720</v>
      </c>
      <c r="B3243" s="17" t="s">
        <v>5737</v>
      </c>
      <c r="C3243" s="17" t="s">
        <v>2937</v>
      </c>
      <c r="D3243" s="25" t="s">
        <v>5599</v>
      </c>
      <c r="E3243" s="19" t="s">
        <v>5712</v>
      </c>
      <c r="F3243" s="19" t="s">
        <v>5738</v>
      </c>
      <c r="G3243" s="5" t="str">
        <f>HYPERLINK("http://jsmh.umin.jp/journal/39-3/393-394.pdf")</f>
        <v>http://jsmh.umin.jp/journal/39-3/393-394.pdf</v>
      </c>
      <c r="H3243" s="43" t="str">
        <f t="shared" si="229"/>
        <v>http://dl.ndl.go.jp/info:ndljp/pid/3359340</v>
      </c>
    </row>
    <row r="3244" spans="1:8" ht="30" customHeight="1" x14ac:dyDescent="0.15">
      <c r="A3244" s="16" t="s">
        <v>3720</v>
      </c>
      <c r="B3244" s="17" t="s">
        <v>5739</v>
      </c>
      <c r="C3244" s="17" t="s">
        <v>1534</v>
      </c>
      <c r="D3244" s="25" t="s">
        <v>5599</v>
      </c>
      <c r="E3244" s="19" t="s">
        <v>5712</v>
      </c>
      <c r="F3244" s="19" t="s">
        <v>5740</v>
      </c>
      <c r="G3244" s="5" t="str">
        <f>HYPERLINK("http://jsmh.umin.jp/journal/39-3/394-396.pdf")</f>
        <v>http://jsmh.umin.jp/journal/39-3/394-396.pdf</v>
      </c>
      <c r="H3244" s="43" t="str">
        <f t="shared" si="229"/>
        <v>http://dl.ndl.go.jp/info:ndljp/pid/3359340</v>
      </c>
    </row>
    <row r="3245" spans="1:8" ht="30" customHeight="1" x14ac:dyDescent="0.15">
      <c r="A3245" s="16" t="s">
        <v>3720</v>
      </c>
      <c r="B3245" s="17" t="s">
        <v>10222</v>
      </c>
      <c r="C3245" s="17" t="s">
        <v>4988</v>
      </c>
      <c r="D3245" s="25" t="s">
        <v>5599</v>
      </c>
      <c r="E3245" s="19" t="s">
        <v>5712</v>
      </c>
      <c r="F3245" s="19" t="s">
        <v>2331</v>
      </c>
      <c r="G3245" s="5" t="str">
        <f>HYPERLINK("http://jsmh.umin.jp/journal/39-3/396-397.pdf")</f>
        <v>http://jsmh.umin.jp/journal/39-3/396-397.pdf</v>
      </c>
      <c r="H3245" s="43" t="str">
        <f t="shared" si="229"/>
        <v>http://dl.ndl.go.jp/info:ndljp/pid/3359340</v>
      </c>
    </row>
    <row r="3246" spans="1:8" ht="30" customHeight="1" x14ac:dyDescent="0.15">
      <c r="A3246" s="16" t="s">
        <v>2990</v>
      </c>
      <c r="B3246" s="17" t="s">
        <v>5741</v>
      </c>
      <c r="C3246" s="17" t="s">
        <v>5080</v>
      </c>
      <c r="D3246" s="25" t="s">
        <v>5599</v>
      </c>
      <c r="E3246" s="19" t="s">
        <v>5712</v>
      </c>
      <c r="F3246" s="19" t="s">
        <v>2336</v>
      </c>
      <c r="G3246" s="5" t="str">
        <f>HYPERLINK("http://jsmh.umin.jp/journal/39-3/397-398.pdf")</f>
        <v>http://jsmh.umin.jp/journal/39-3/397-398.pdf</v>
      </c>
      <c r="H3246" s="43" t="str">
        <f t="shared" si="229"/>
        <v>http://dl.ndl.go.jp/info:ndljp/pid/3359340</v>
      </c>
    </row>
    <row r="3247" spans="1:8" ht="30" customHeight="1" x14ac:dyDescent="0.15">
      <c r="A3247" s="16" t="s">
        <v>2990</v>
      </c>
      <c r="B3247" s="17" t="s">
        <v>10223</v>
      </c>
      <c r="C3247" s="17" t="s">
        <v>5742</v>
      </c>
      <c r="D3247" s="25" t="s">
        <v>5599</v>
      </c>
      <c r="E3247" s="19" t="s">
        <v>5712</v>
      </c>
      <c r="F3247" s="19" t="s">
        <v>5743</v>
      </c>
      <c r="G3247" s="5" t="str">
        <f>HYPERLINK("http://jsmh.umin.jp/journal/39-3/399-400.pdf")</f>
        <v>http://jsmh.umin.jp/journal/39-3/399-400.pdf</v>
      </c>
      <c r="H3247" s="43" t="str">
        <f t="shared" si="229"/>
        <v>http://dl.ndl.go.jp/info:ndljp/pid/3359340</v>
      </c>
    </row>
    <row r="3248" spans="1:8" ht="30" customHeight="1" x14ac:dyDescent="0.15">
      <c r="A3248" s="16" t="s">
        <v>2990</v>
      </c>
      <c r="B3248" s="17" t="s">
        <v>5744</v>
      </c>
      <c r="C3248" s="17" t="s">
        <v>2881</v>
      </c>
      <c r="D3248" s="25" t="s">
        <v>5599</v>
      </c>
      <c r="E3248" s="19" t="s">
        <v>5712</v>
      </c>
      <c r="F3248" s="19" t="s">
        <v>5745</v>
      </c>
      <c r="G3248" s="5" t="str">
        <f>HYPERLINK("http://jsmh.umin.jp/journal/39-3/400-402.pdf")</f>
        <v>http://jsmh.umin.jp/journal/39-3/400-402.pdf</v>
      </c>
      <c r="H3248" s="43" t="str">
        <f t="shared" si="229"/>
        <v>http://dl.ndl.go.jp/info:ndljp/pid/3359340</v>
      </c>
    </row>
    <row r="3249" spans="1:8" ht="30" customHeight="1" x14ac:dyDescent="0.15">
      <c r="A3249" s="16" t="s">
        <v>2990</v>
      </c>
      <c r="B3249" s="17" t="s">
        <v>5746</v>
      </c>
      <c r="C3249" s="17" t="s">
        <v>10163</v>
      </c>
      <c r="D3249" s="25" t="s">
        <v>5599</v>
      </c>
      <c r="E3249" s="19" t="s">
        <v>5712</v>
      </c>
      <c r="F3249" s="19" t="s">
        <v>5747</v>
      </c>
      <c r="G3249" s="5" t="str">
        <f>HYPERLINK("http://jsmh.umin.jp/journal/39-3/402-404.pdf")</f>
        <v>http://jsmh.umin.jp/journal/39-3/402-404.pdf</v>
      </c>
      <c r="H3249" s="43" t="str">
        <f t="shared" si="229"/>
        <v>http://dl.ndl.go.jp/info:ndljp/pid/3359340</v>
      </c>
    </row>
    <row r="3250" spans="1:8" ht="30" customHeight="1" x14ac:dyDescent="0.15">
      <c r="A3250" s="16" t="s">
        <v>2990</v>
      </c>
      <c r="B3250" s="17" t="s">
        <v>5748</v>
      </c>
      <c r="C3250" s="17" t="s">
        <v>5015</v>
      </c>
      <c r="D3250" s="25" t="s">
        <v>5599</v>
      </c>
      <c r="E3250" s="19" t="s">
        <v>5712</v>
      </c>
      <c r="F3250" s="19" t="s">
        <v>5749</v>
      </c>
      <c r="G3250" s="5" t="str">
        <f>HYPERLINK("http://jsmh.umin.jp/journal/39-3/404-405.pdf")</f>
        <v>http://jsmh.umin.jp/journal/39-3/404-405.pdf</v>
      </c>
      <c r="H3250" s="43" t="str">
        <f t="shared" si="229"/>
        <v>http://dl.ndl.go.jp/info:ndljp/pid/3359340</v>
      </c>
    </row>
    <row r="3251" spans="1:8" ht="30" customHeight="1" x14ac:dyDescent="0.15">
      <c r="A3251" s="16"/>
      <c r="B3251" s="17" t="s">
        <v>5750</v>
      </c>
      <c r="C3251" s="17"/>
      <c r="D3251" s="25" t="s">
        <v>5599</v>
      </c>
      <c r="E3251" s="19" t="s">
        <v>5712</v>
      </c>
      <c r="F3251" s="19" t="s">
        <v>5751</v>
      </c>
      <c r="G3251" s="5" t="str">
        <f>HYPERLINK("http://jsmh.umin.jp/journal/39-3/406-455.pdf")</f>
        <v>http://jsmh.umin.jp/journal/39-3/406-455.pdf</v>
      </c>
      <c r="H3251" s="43" t="str">
        <f t="shared" si="229"/>
        <v>http://dl.ndl.go.jp/info:ndljp/pid/3359340</v>
      </c>
    </row>
    <row r="3252" spans="1:8" ht="30" customHeight="1" x14ac:dyDescent="0.15">
      <c r="A3252" s="16" t="s">
        <v>5752</v>
      </c>
      <c r="B3252" s="17" t="s">
        <v>5753</v>
      </c>
      <c r="C3252" s="17" t="s">
        <v>5754</v>
      </c>
      <c r="D3252" s="25" t="s">
        <v>5599</v>
      </c>
      <c r="E3252" s="19" t="s">
        <v>5755</v>
      </c>
      <c r="F3252" s="19" t="s">
        <v>5756</v>
      </c>
      <c r="G3252" s="5" t="str">
        <f>HYPERLINK("http://jsmh.umin.jp/journal/39-4/463-476.pdf")</f>
        <v>http://jsmh.umin.jp/journal/39-4/463-476.pdf</v>
      </c>
      <c r="H3252" s="42" t="str">
        <f t="shared" ref="H3252:H3272" si="230">HYPERLINK("http://dl.ndl.go.jp/info:ndljp/pid/3359341")</f>
        <v>http://dl.ndl.go.jp/info:ndljp/pid/3359341</v>
      </c>
    </row>
    <row r="3253" spans="1:8" ht="30" customHeight="1" x14ac:dyDescent="0.15">
      <c r="A3253" s="16" t="s">
        <v>17</v>
      </c>
      <c r="B3253" s="17" t="s">
        <v>5757</v>
      </c>
      <c r="C3253" s="17" t="s">
        <v>5670</v>
      </c>
      <c r="D3253" s="25" t="s">
        <v>5599</v>
      </c>
      <c r="E3253" s="19" t="s">
        <v>5755</v>
      </c>
      <c r="F3253" s="19" t="s">
        <v>5758</v>
      </c>
      <c r="G3253" s="5" t="str">
        <f>HYPERLINK("http://jsmh.umin.jp/journal/39-4/477-500.pdf")</f>
        <v>http://jsmh.umin.jp/journal/39-4/477-500.pdf</v>
      </c>
      <c r="H3253" s="43" t="str">
        <f t="shared" si="230"/>
        <v>http://dl.ndl.go.jp/info:ndljp/pid/3359341</v>
      </c>
    </row>
    <row r="3254" spans="1:8" ht="30" customHeight="1" x14ac:dyDescent="0.15">
      <c r="A3254" s="16" t="s">
        <v>17</v>
      </c>
      <c r="B3254" s="17" t="s">
        <v>5759</v>
      </c>
      <c r="C3254" s="17" t="s">
        <v>4039</v>
      </c>
      <c r="D3254" s="25" t="s">
        <v>5599</v>
      </c>
      <c r="E3254" s="19" t="s">
        <v>5755</v>
      </c>
      <c r="F3254" s="19" t="s">
        <v>5760</v>
      </c>
      <c r="G3254" s="5" t="str">
        <f>HYPERLINK("http://jsmh.umin.jp/journal/39-4/501-522.pdf")</f>
        <v>http://jsmh.umin.jp/journal/39-4/501-522.pdf</v>
      </c>
      <c r="H3254" s="43" t="str">
        <f t="shared" si="230"/>
        <v>http://dl.ndl.go.jp/info:ndljp/pid/3359341</v>
      </c>
    </row>
    <row r="3255" spans="1:8" ht="30" customHeight="1" x14ac:dyDescent="0.15">
      <c r="A3255" s="16" t="s">
        <v>17</v>
      </c>
      <c r="B3255" s="17" t="s">
        <v>5761</v>
      </c>
      <c r="C3255" s="17" t="s">
        <v>10156</v>
      </c>
      <c r="D3255" s="25" t="s">
        <v>5599</v>
      </c>
      <c r="E3255" s="19" t="s">
        <v>5755</v>
      </c>
      <c r="F3255" s="19" t="s">
        <v>5762</v>
      </c>
      <c r="G3255" s="5" t="str">
        <f>HYPERLINK("http://jsmh.umin.jp/journal/39-4/523-542.pdf")</f>
        <v>http://jsmh.umin.jp/journal/39-4/523-542.pdf</v>
      </c>
      <c r="H3255" s="43" t="str">
        <f t="shared" si="230"/>
        <v>http://dl.ndl.go.jp/info:ndljp/pid/3359341</v>
      </c>
    </row>
    <row r="3256" spans="1:8" ht="30" customHeight="1" x14ac:dyDescent="0.15">
      <c r="A3256" s="16" t="s">
        <v>17</v>
      </c>
      <c r="B3256" s="17" t="s">
        <v>5763</v>
      </c>
      <c r="C3256" s="17" t="s">
        <v>5717</v>
      </c>
      <c r="D3256" s="25" t="s">
        <v>5599</v>
      </c>
      <c r="E3256" s="19" t="s">
        <v>5755</v>
      </c>
      <c r="F3256" s="19" t="s">
        <v>5764</v>
      </c>
      <c r="G3256" s="5" t="str">
        <f>HYPERLINK("http://jsmh.umin.jp/journal/39-4/543-553.pdf")</f>
        <v>http://jsmh.umin.jp/journal/39-4/543-553.pdf</v>
      </c>
      <c r="H3256" s="43" t="str">
        <f t="shared" si="230"/>
        <v>http://dl.ndl.go.jp/info:ndljp/pid/3359341</v>
      </c>
    </row>
    <row r="3257" spans="1:8" ht="30" customHeight="1" x14ac:dyDescent="0.15">
      <c r="A3257" s="16" t="s">
        <v>4265</v>
      </c>
      <c r="B3257" s="17" t="s">
        <v>5765</v>
      </c>
      <c r="C3257" s="17" t="s">
        <v>790</v>
      </c>
      <c r="D3257" s="25" t="s">
        <v>5599</v>
      </c>
      <c r="E3257" s="19" t="s">
        <v>5755</v>
      </c>
      <c r="F3257" s="19" t="s">
        <v>5766</v>
      </c>
      <c r="G3257" s="5" t="str">
        <f>HYPERLINK("http://jsmh.umin.jp/journal/39-4/555-571.pdf")</f>
        <v>http://jsmh.umin.jp/journal/39-4/555-571.pdf</v>
      </c>
      <c r="H3257" s="43" t="str">
        <f t="shared" si="230"/>
        <v>http://dl.ndl.go.jp/info:ndljp/pid/3359341</v>
      </c>
    </row>
    <row r="3258" spans="1:8" ht="30" customHeight="1" x14ac:dyDescent="0.15">
      <c r="A3258" s="16" t="s">
        <v>692</v>
      </c>
      <c r="B3258" s="17" t="s">
        <v>5767</v>
      </c>
      <c r="C3258" s="17" t="s">
        <v>3655</v>
      </c>
      <c r="D3258" s="25" t="s">
        <v>5599</v>
      </c>
      <c r="E3258" s="19" t="s">
        <v>5755</v>
      </c>
      <c r="F3258" s="19" t="s">
        <v>5768</v>
      </c>
      <c r="G3258" s="5" t="str">
        <f>HYPERLINK("http://jsmh.umin.jp/journal/39-4/573-594.pdf")</f>
        <v>http://jsmh.umin.jp/journal/39-4/573-594.pdf</v>
      </c>
      <c r="H3258" s="43" t="str">
        <f t="shared" si="230"/>
        <v>http://dl.ndl.go.jp/info:ndljp/pid/3359341</v>
      </c>
    </row>
    <row r="3259" spans="1:8" ht="30" customHeight="1" x14ac:dyDescent="0.15">
      <c r="A3259" s="16" t="s">
        <v>558</v>
      </c>
      <c r="B3259" s="17" t="s">
        <v>5769</v>
      </c>
      <c r="C3259" s="17" t="s">
        <v>5770</v>
      </c>
      <c r="D3259" s="25" t="s">
        <v>5599</v>
      </c>
      <c r="E3259" s="19" t="s">
        <v>5755</v>
      </c>
      <c r="F3259" s="19" t="s">
        <v>5771</v>
      </c>
      <c r="G3259" s="5" t="str">
        <f>HYPERLINK("http://jsmh.umin.jp/journal/39-4/595-596.pdf")</f>
        <v>http://jsmh.umin.jp/journal/39-4/595-596.pdf</v>
      </c>
      <c r="H3259" s="43" t="str">
        <f t="shared" si="230"/>
        <v>http://dl.ndl.go.jp/info:ndljp/pid/3359341</v>
      </c>
    </row>
    <row r="3260" spans="1:8" ht="30" customHeight="1" x14ac:dyDescent="0.15">
      <c r="A3260" s="16" t="s">
        <v>558</v>
      </c>
      <c r="B3260" s="17" t="s">
        <v>5772</v>
      </c>
      <c r="C3260" s="17" t="s">
        <v>4770</v>
      </c>
      <c r="D3260" s="25" t="s">
        <v>5599</v>
      </c>
      <c r="E3260" s="19" t="s">
        <v>5755</v>
      </c>
      <c r="F3260" s="19" t="s">
        <v>5773</v>
      </c>
      <c r="G3260" s="5" t="str">
        <f>HYPERLINK("http://jsmh.umin.jp/journal/39-4/595.pdf")</f>
        <v>http://jsmh.umin.jp/journal/39-4/595.pdf</v>
      </c>
      <c r="H3260" s="43" t="str">
        <f t="shared" si="230"/>
        <v>http://dl.ndl.go.jp/info:ndljp/pid/3359341</v>
      </c>
    </row>
    <row r="3261" spans="1:8" ht="30" customHeight="1" x14ac:dyDescent="0.15">
      <c r="A3261" s="16" t="s">
        <v>3720</v>
      </c>
      <c r="B3261" s="17" t="s">
        <v>5774</v>
      </c>
      <c r="C3261" s="17" t="s">
        <v>5084</v>
      </c>
      <c r="D3261" s="25" t="s">
        <v>5599</v>
      </c>
      <c r="E3261" s="19" t="s">
        <v>5755</v>
      </c>
      <c r="F3261" s="19" t="s">
        <v>5775</v>
      </c>
      <c r="G3261" s="5" t="str">
        <f>HYPERLINK("http://jsmh.umin.jp/journal/39-4/596-597.pdf")</f>
        <v>http://jsmh.umin.jp/journal/39-4/596-597.pdf</v>
      </c>
      <c r="H3261" s="43" t="str">
        <f t="shared" si="230"/>
        <v>http://dl.ndl.go.jp/info:ndljp/pid/3359341</v>
      </c>
    </row>
    <row r="3262" spans="1:8" ht="30" customHeight="1" x14ac:dyDescent="0.15">
      <c r="A3262" s="16" t="s">
        <v>3720</v>
      </c>
      <c r="B3262" s="17" t="s">
        <v>5776</v>
      </c>
      <c r="C3262" s="17" t="s">
        <v>5471</v>
      </c>
      <c r="D3262" s="25" t="s">
        <v>5599</v>
      </c>
      <c r="E3262" s="19" t="s">
        <v>5755</v>
      </c>
      <c r="F3262" s="19" t="s">
        <v>5777</v>
      </c>
      <c r="G3262" s="5" t="str">
        <f>HYPERLINK("http://jsmh.umin.jp/journal/39-4/597-598.pdf")</f>
        <v>http://jsmh.umin.jp/journal/39-4/597-598.pdf</v>
      </c>
      <c r="H3262" s="43" t="str">
        <f t="shared" si="230"/>
        <v>http://dl.ndl.go.jp/info:ndljp/pid/3359341</v>
      </c>
    </row>
    <row r="3263" spans="1:8" ht="30" customHeight="1" x14ac:dyDescent="0.15">
      <c r="A3263" s="16" t="s">
        <v>3720</v>
      </c>
      <c r="B3263" s="17" t="s">
        <v>10224</v>
      </c>
      <c r="C3263" s="17" t="s">
        <v>5778</v>
      </c>
      <c r="D3263" s="25" t="s">
        <v>5599</v>
      </c>
      <c r="E3263" s="19" t="s">
        <v>5755</v>
      </c>
      <c r="F3263" s="19" t="s">
        <v>5779</v>
      </c>
      <c r="G3263" s="5" t="str">
        <f>HYPERLINK("http://jsmh.umin.jp/journal/39-4/598-600.pdf")</f>
        <v>http://jsmh.umin.jp/journal/39-4/598-600.pdf</v>
      </c>
      <c r="H3263" s="43" t="str">
        <f t="shared" si="230"/>
        <v>http://dl.ndl.go.jp/info:ndljp/pid/3359341</v>
      </c>
    </row>
    <row r="3264" spans="1:8" ht="30" customHeight="1" x14ac:dyDescent="0.15">
      <c r="A3264" s="16" t="s">
        <v>2990</v>
      </c>
      <c r="B3264" s="17" t="s">
        <v>5780</v>
      </c>
      <c r="C3264" s="17" t="s">
        <v>5781</v>
      </c>
      <c r="D3264" s="25" t="s">
        <v>5599</v>
      </c>
      <c r="E3264" s="19" t="s">
        <v>5755</v>
      </c>
      <c r="F3264" s="19" t="s">
        <v>5782</v>
      </c>
      <c r="G3264" s="5" t="str">
        <f>HYPERLINK("http://jsmh.umin.jp/journal/39-4/600-601.pdf")</f>
        <v>http://jsmh.umin.jp/journal/39-4/600-601.pdf</v>
      </c>
      <c r="H3264" s="43" t="str">
        <f t="shared" si="230"/>
        <v>http://dl.ndl.go.jp/info:ndljp/pid/3359341</v>
      </c>
    </row>
    <row r="3265" spans="1:8" ht="30" customHeight="1" x14ac:dyDescent="0.15">
      <c r="A3265" s="16" t="s">
        <v>2990</v>
      </c>
      <c r="B3265" s="17" t="s">
        <v>5783</v>
      </c>
      <c r="C3265" s="17" t="s">
        <v>5784</v>
      </c>
      <c r="D3265" s="25" t="s">
        <v>5599</v>
      </c>
      <c r="E3265" s="19" t="s">
        <v>5755</v>
      </c>
      <c r="F3265" s="19" t="s">
        <v>5785</v>
      </c>
      <c r="G3265" s="5" t="str">
        <f>HYPERLINK("http://jsmh.umin.jp/journal/39-4/601-603.pdf")</f>
        <v>http://jsmh.umin.jp/journal/39-4/601-603.pdf</v>
      </c>
      <c r="H3265" s="43" t="str">
        <f t="shared" si="230"/>
        <v>http://dl.ndl.go.jp/info:ndljp/pid/3359341</v>
      </c>
    </row>
    <row r="3266" spans="1:8" ht="30" customHeight="1" x14ac:dyDescent="0.15">
      <c r="A3266" s="16" t="s">
        <v>2990</v>
      </c>
      <c r="B3266" s="17" t="s">
        <v>5786</v>
      </c>
      <c r="C3266" s="17" t="s">
        <v>1097</v>
      </c>
      <c r="D3266" s="25" t="s">
        <v>5599</v>
      </c>
      <c r="E3266" s="19" t="s">
        <v>5755</v>
      </c>
      <c r="F3266" s="19" t="s">
        <v>5787</v>
      </c>
      <c r="G3266" s="5" t="str">
        <f>HYPERLINK("http://jsmh.umin.jp/journal/39-4/603-604.pdf")</f>
        <v>http://jsmh.umin.jp/journal/39-4/603-604.pdf</v>
      </c>
      <c r="H3266" s="43" t="str">
        <f t="shared" si="230"/>
        <v>http://dl.ndl.go.jp/info:ndljp/pid/3359341</v>
      </c>
    </row>
    <row r="3267" spans="1:8" ht="30" customHeight="1" x14ac:dyDescent="0.15">
      <c r="A3267" s="16" t="s">
        <v>2990</v>
      </c>
      <c r="B3267" s="17" t="s">
        <v>5788</v>
      </c>
      <c r="C3267" s="17" t="s">
        <v>48</v>
      </c>
      <c r="D3267" s="25" t="s">
        <v>5599</v>
      </c>
      <c r="E3267" s="19" t="s">
        <v>5755</v>
      </c>
      <c r="F3267" s="19" t="s">
        <v>5789</v>
      </c>
      <c r="G3267" s="5" t="str">
        <f>HYPERLINK("http://jsmh.umin.jp/journal/39-4/604-605.pdf")</f>
        <v>http://jsmh.umin.jp/journal/39-4/604-605.pdf</v>
      </c>
      <c r="H3267" s="43" t="str">
        <f t="shared" si="230"/>
        <v>http://dl.ndl.go.jp/info:ndljp/pid/3359341</v>
      </c>
    </row>
    <row r="3268" spans="1:8" ht="30" customHeight="1" x14ac:dyDescent="0.15">
      <c r="A3268" s="16" t="s">
        <v>2990</v>
      </c>
      <c r="B3268" s="17" t="s">
        <v>5790</v>
      </c>
      <c r="C3268" s="17" t="s">
        <v>627</v>
      </c>
      <c r="D3268" s="25" t="s">
        <v>5599</v>
      </c>
      <c r="E3268" s="19" t="s">
        <v>5755</v>
      </c>
      <c r="F3268" s="19" t="s">
        <v>5791</v>
      </c>
      <c r="G3268" s="5" t="str">
        <f>HYPERLINK("http://jsmh.umin.jp/journal/39-4/606-607.pdf")</f>
        <v>http://jsmh.umin.jp/journal/39-4/606-607.pdf</v>
      </c>
      <c r="H3268" s="43" t="str">
        <f t="shared" si="230"/>
        <v>http://dl.ndl.go.jp/info:ndljp/pid/3359341</v>
      </c>
    </row>
    <row r="3269" spans="1:8" ht="30" customHeight="1" x14ac:dyDescent="0.15">
      <c r="A3269" s="16" t="s">
        <v>2990</v>
      </c>
      <c r="B3269" s="17" t="s">
        <v>5792</v>
      </c>
      <c r="C3269" s="17" t="s">
        <v>5793</v>
      </c>
      <c r="D3269" s="25" t="s">
        <v>5599</v>
      </c>
      <c r="E3269" s="19" t="s">
        <v>5755</v>
      </c>
      <c r="F3269" s="19" t="s">
        <v>5794</v>
      </c>
      <c r="G3269" s="5" t="str">
        <f>HYPERLINK("http://jsmh.umin.jp/journal/39-4/607-608.pdf")</f>
        <v>http://jsmh.umin.jp/journal/39-4/607-608.pdf</v>
      </c>
      <c r="H3269" s="43" t="str">
        <f t="shared" si="230"/>
        <v>http://dl.ndl.go.jp/info:ndljp/pid/3359341</v>
      </c>
    </row>
    <row r="3270" spans="1:8" ht="30" customHeight="1" x14ac:dyDescent="0.15">
      <c r="A3270" s="16" t="s">
        <v>2990</v>
      </c>
      <c r="B3270" s="17" t="s">
        <v>5795</v>
      </c>
      <c r="C3270" s="17" t="s">
        <v>5796</v>
      </c>
      <c r="D3270" s="25" t="s">
        <v>5599</v>
      </c>
      <c r="E3270" s="19" t="s">
        <v>5755</v>
      </c>
      <c r="F3270" s="19" t="s">
        <v>5797</v>
      </c>
      <c r="G3270" s="5" t="str">
        <f>HYPERLINK("http://jsmh.umin.jp/journal/39-4/608-609.pdf")</f>
        <v>http://jsmh.umin.jp/journal/39-4/608-609.pdf</v>
      </c>
      <c r="H3270" s="43" t="str">
        <f t="shared" si="230"/>
        <v>http://dl.ndl.go.jp/info:ndljp/pid/3359341</v>
      </c>
    </row>
    <row r="3271" spans="1:8" ht="30" customHeight="1" x14ac:dyDescent="0.15">
      <c r="A3271" s="16" t="s">
        <v>2990</v>
      </c>
      <c r="B3271" s="17" t="s">
        <v>5798</v>
      </c>
      <c r="C3271" s="17" t="s">
        <v>4733</v>
      </c>
      <c r="D3271" s="25" t="s">
        <v>5599</v>
      </c>
      <c r="E3271" s="19" t="s">
        <v>5755</v>
      </c>
      <c r="F3271" s="19" t="s">
        <v>5799</v>
      </c>
      <c r="G3271" s="5" t="str">
        <f>HYPERLINK("http://jsmh.umin.jp/journal/39-4/609-610.pdf")</f>
        <v>http://jsmh.umin.jp/journal/39-4/609-610.pdf</v>
      </c>
      <c r="H3271" s="43" t="str">
        <f t="shared" si="230"/>
        <v>http://dl.ndl.go.jp/info:ndljp/pid/3359341</v>
      </c>
    </row>
    <row r="3272" spans="1:8" ht="30" customHeight="1" x14ac:dyDescent="0.15">
      <c r="A3272" s="16" t="s">
        <v>2990</v>
      </c>
      <c r="B3272" s="17" t="s">
        <v>5800</v>
      </c>
      <c r="C3272" s="17" t="s">
        <v>4103</v>
      </c>
      <c r="D3272" s="25" t="s">
        <v>5599</v>
      </c>
      <c r="E3272" s="19" t="s">
        <v>5755</v>
      </c>
      <c r="F3272" s="19" t="s">
        <v>5801</v>
      </c>
      <c r="G3272" s="5" t="str">
        <f>HYPERLINK("http://jsmh.umin.jp/journal/39-4/611.pdf")</f>
        <v>http://jsmh.umin.jp/journal/39-4/611.pdf</v>
      </c>
      <c r="H3272" s="43" t="str">
        <f t="shared" si="230"/>
        <v>http://dl.ndl.go.jp/info:ndljp/pid/3359341</v>
      </c>
    </row>
    <row r="3273" spans="1:8" ht="30" customHeight="1" x14ac:dyDescent="0.15">
      <c r="A3273" s="16" t="s">
        <v>1855</v>
      </c>
      <c r="B3273" s="17" t="s">
        <v>5802</v>
      </c>
      <c r="C3273" s="17" t="s">
        <v>48</v>
      </c>
      <c r="D3273" s="18" t="s">
        <v>5803</v>
      </c>
      <c r="E3273" s="19" t="s">
        <v>5804</v>
      </c>
      <c r="F3273" s="19" t="s">
        <v>237</v>
      </c>
      <c r="G3273" s="5" t="str">
        <f>HYPERLINK("http://jsmh.umin.jp/journal/40-1/1-4.pdf")</f>
        <v>http://jsmh.umin.jp/journal/40-1/1-4.pdf</v>
      </c>
      <c r="H3273" s="42" t="str">
        <f t="shared" ref="H3273:H3319" si="231">HYPERLINK("http://dl.ndl.go.jp/info:ndljp/pid/3359342")</f>
        <v>http://dl.ndl.go.jp/info:ndljp/pid/3359342</v>
      </c>
    </row>
    <row r="3274" spans="1:8" ht="30" customHeight="1" x14ac:dyDescent="0.15">
      <c r="A3274" s="16" t="s">
        <v>1855</v>
      </c>
      <c r="B3274" s="17" t="s">
        <v>5805</v>
      </c>
      <c r="C3274" s="17" t="s">
        <v>4085</v>
      </c>
      <c r="D3274" s="25" t="s">
        <v>5803</v>
      </c>
      <c r="E3274" s="19" t="s">
        <v>5804</v>
      </c>
      <c r="F3274" s="19" t="s">
        <v>5806</v>
      </c>
      <c r="G3274" s="5" t="str">
        <f>HYPERLINK("http://jsmh.umin.jp/journal/40-1/5-9.pdf")</f>
        <v>http://jsmh.umin.jp/journal/40-1/5-9.pdf</v>
      </c>
      <c r="H3274" s="43" t="str">
        <f t="shared" si="231"/>
        <v>http://dl.ndl.go.jp/info:ndljp/pid/3359342</v>
      </c>
    </row>
    <row r="3275" spans="1:8" ht="30" customHeight="1" x14ac:dyDescent="0.15">
      <c r="A3275" s="16" t="s">
        <v>1855</v>
      </c>
      <c r="B3275" s="17" t="s">
        <v>5807</v>
      </c>
      <c r="C3275" s="17" t="s">
        <v>4351</v>
      </c>
      <c r="D3275" s="25" t="s">
        <v>5803</v>
      </c>
      <c r="E3275" s="19" t="s">
        <v>5804</v>
      </c>
      <c r="F3275" s="19" t="s">
        <v>629</v>
      </c>
      <c r="G3275" s="5" t="str">
        <f>HYPERLINK("http://jsmh.umin.jp/journal/40-1/10-11.pdf")</f>
        <v>http://jsmh.umin.jp/journal/40-1/10-11.pdf</v>
      </c>
      <c r="H3275" s="43" t="str">
        <f t="shared" si="231"/>
        <v>http://dl.ndl.go.jp/info:ndljp/pid/3359342</v>
      </c>
    </row>
    <row r="3276" spans="1:8" ht="30" customHeight="1" x14ac:dyDescent="0.15">
      <c r="A3276" s="16" t="s">
        <v>1855</v>
      </c>
      <c r="B3276" s="17" t="s">
        <v>5808</v>
      </c>
      <c r="C3276" s="17" t="s">
        <v>4848</v>
      </c>
      <c r="D3276" s="25" t="s">
        <v>5803</v>
      </c>
      <c r="E3276" s="19" t="s">
        <v>5804</v>
      </c>
      <c r="F3276" s="19" t="s">
        <v>634</v>
      </c>
      <c r="G3276" s="5" t="str">
        <f>HYPERLINK("http://jsmh.umin.jp/journal/40-1/12-13.pdf")</f>
        <v>http://jsmh.umin.jp/journal/40-1/12-13.pdf</v>
      </c>
      <c r="H3276" s="43" t="str">
        <f t="shared" si="231"/>
        <v>http://dl.ndl.go.jp/info:ndljp/pid/3359342</v>
      </c>
    </row>
    <row r="3277" spans="1:8" ht="30" customHeight="1" x14ac:dyDescent="0.15">
      <c r="A3277" s="16" t="s">
        <v>1855</v>
      </c>
      <c r="B3277" s="17" t="s">
        <v>5809</v>
      </c>
      <c r="C3277" s="17" t="s">
        <v>4988</v>
      </c>
      <c r="D3277" s="25" t="s">
        <v>5803</v>
      </c>
      <c r="E3277" s="19" t="s">
        <v>5804</v>
      </c>
      <c r="F3277" s="19" t="s">
        <v>357</v>
      </c>
      <c r="G3277" s="5" t="str">
        <f>HYPERLINK("http://jsmh.umin.jp/journal/40-1/14-15.pdf")</f>
        <v>http://jsmh.umin.jp/journal/40-1/14-15.pdf</v>
      </c>
      <c r="H3277" s="43" t="str">
        <f t="shared" si="231"/>
        <v>http://dl.ndl.go.jp/info:ndljp/pid/3359342</v>
      </c>
    </row>
    <row r="3278" spans="1:8" ht="30" customHeight="1" x14ac:dyDescent="0.15">
      <c r="A3278" s="16" t="s">
        <v>1855</v>
      </c>
      <c r="B3278" s="17" t="s">
        <v>5810</v>
      </c>
      <c r="C3278" s="17" t="s">
        <v>1082</v>
      </c>
      <c r="D3278" s="25" t="s">
        <v>5803</v>
      </c>
      <c r="E3278" s="19" t="s">
        <v>5804</v>
      </c>
      <c r="F3278" s="19" t="s">
        <v>361</v>
      </c>
      <c r="G3278" s="5" t="str">
        <f>HYPERLINK("http://jsmh.umin.jp/journal/40-1/16-17.pdf")</f>
        <v>http://jsmh.umin.jp/journal/40-1/16-17.pdf</v>
      </c>
      <c r="H3278" s="43" t="str">
        <f t="shared" si="231"/>
        <v>http://dl.ndl.go.jp/info:ndljp/pid/3359342</v>
      </c>
    </row>
    <row r="3279" spans="1:8" ht="30" customHeight="1" x14ac:dyDescent="0.15">
      <c r="A3279" s="16" t="s">
        <v>1855</v>
      </c>
      <c r="B3279" s="17" t="s">
        <v>5811</v>
      </c>
      <c r="C3279" s="17" t="s">
        <v>2773</v>
      </c>
      <c r="D3279" s="25" t="s">
        <v>5803</v>
      </c>
      <c r="E3279" s="19" t="s">
        <v>5804</v>
      </c>
      <c r="F3279" s="19" t="s">
        <v>370</v>
      </c>
      <c r="G3279" s="5" t="str">
        <f>HYPERLINK("http://jsmh.umin.jp/journal/40-1/18-19.pdf")</f>
        <v>http://jsmh.umin.jp/journal/40-1/18-19.pdf</v>
      </c>
      <c r="H3279" s="43" t="str">
        <f t="shared" si="231"/>
        <v>http://dl.ndl.go.jp/info:ndljp/pid/3359342</v>
      </c>
    </row>
    <row r="3280" spans="1:8" ht="30" customHeight="1" x14ac:dyDescent="0.15">
      <c r="A3280" s="16" t="s">
        <v>1855</v>
      </c>
      <c r="B3280" s="17" t="s">
        <v>5812</v>
      </c>
      <c r="C3280" s="17" t="s">
        <v>5622</v>
      </c>
      <c r="D3280" s="25" t="s">
        <v>5803</v>
      </c>
      <c r="E3280" s="19" t="s">
        <v>5804</v>
      </c>
      <c r="F3280" s="19" t="s">
        <v>377</v>
      </c>
      <c r="G3280" s="5" t="str">
        <f>HYPERLINK("http://jsmh.umin.jp/journal/40-1/20-21.pdf")</f>
        <v>http://jsmh.umin.jp/journal/40-1/20-21.pdf</v>
      </c>
      <c r="H3280" s="43" t="str">
        <f t="shared" si="231"/>
        <v>http://dl.ndl.go.jp/info:ndljp/pid/3359342</v>
      </c>
    </row>
    <row r="3281" spans="1:8" ht="30" customHeight="1" x14ac:dyDescent="0.15">
      <c r="A3281" s="16" t="s">
        <v>1855</v>
      </c>
      <c r="B3281" s="17" t="s">
        <v>5813</v>
      </c>
      <c r="C3281" s="17" t="s">
        <v>2891</v>
      </c>
      <c r="D3281" s="25" t="s">
        <v>5803</v>
      </c>
      <c r="E3281" s="19" t="s">
        <v>5804</v>
      </c>
      <c r="F3281" s="19" t="s">
        <v>384</v>
      </c>
      <c r="G3281" s="5" t="str">
        <f>HYPERLINK("http://jsmh.umin.jp/journal/40-1/22-23.pdf")</f>
        <v>http://jsmh.umin.jp/journal/40-1/22-23.pdf</v>
      </c>
      <c r="H3281" s="43" t="str">
        <f t="shared" si="231"/>
        <v>http://dl.ndl.go.jp/info:ndljp/pid/3359342</v>
      </c>
    </row>
    <row r="3282" spans="1:8" ht="30" customHeight="1" x14ac:dyDescent="0.15">
      <c r="A3282" s="16" t="s">
        <v>1855</v>
      </c>
      <c r="B3282" s="17" t="s">
        <v>10225</v>
      </c>
      <c r="C3282" s="17" t="s">
        <v>2937</v>
      </c>
      <c r="D3282" s="25" t="s">
        <v>5803</v>
      </c>
      <c r="E3282" s="19" t="s">
        <v>5804</v>
      </c>
      <c r="F3282" s="19" t="s">
        <v>389</v>
      </c>
      <c r="G3282" s="5" t="str">
        <f>HYPERLINK("http://jsmh.umin.jp/journal/40-1/24-25.pdf")</f>
        <v>http://jsmh.umin.jp/journal/40-1/24-25.pdf</v>
      </c>
      <c r="H3282" s="43" t="str">
        <f t="shared" si="231"/>
        <v>http://dl.ndl.go.jp/info:ndljp/pid/3359342</v>
      </c>
    </row>
    <row r="3283" spans="1:8" ht="30" customHeight="1" x14ac:dyDescent="0.15">
      <c r="A3283" s="16" t="s">
        <v>1855</v>
      </c>
      <c r="B3283" s="17" t="s">
        <v>5814</v>
      </c>
      <c r="C3283" s="17" t="s">
        <v>5080</v>
      </c>
      <c r="D3283" s="25" t="s">
        <v>5803</v>
      </c>
      <c r="E3283" s="19" t="s">
        <v>5804</v>
      </c>
      <c r="F3283" s="19" t="s">
        <v>521</v>
      </c>
      <c r="G3283" s="5" t="str">
        <f>HYPERLINK("http://jsmh.umin.jp/journal/40-1/26-27.pdf")</f>
        <v>http://jsmh.umin.jp/journal/40-1/26-27.pdf</v>
      </c>
      <c r="H3283" s="43" t="str">
        <f t="shared" si="231"/>
        <v>http://dl.ndl.go.jp/info:ndljp/pid/3359342</v>
      </c>
    </row>
    <row r="3284" spans="1:8" ht="30" customHeight="1" x14ac:dyDescent="0.15">
      <c r="A3284" s="16" t="s">
        <v>1855</v>
      </c>
      <c r="B3284" s="17" t="s">
        <v>5815</v>
      </c>
      <c r="C3284" s="17" t="s">
        <v>444</v>
      </c>
      <c r="D3284" s="25" t="s">
        <v>5803</v>
      </c>
      <c r="E3284" s="19" t="s">
        <v>5804</v>
      </c>
      <c r="F3284" s="19" t="s">
        <v>401</v>
      </c>
      <c r="G3284" s="5" t="str">
        <f>HYPERLINK("http://jsmh.umin.jp/journal/40-1/28-29.pdf")</f>
        <v>http://jsmh.umin.jp/journal/40-1/28-29.pdf</v>
      </c>
      <c r="H3284" s="43" t="str">
        <f t="shared" si="231"/>
        <v>http://dl.ndl.go.jp/info:ndljp/pid/3359342</v>
      </c>
    </row>
    <row r="3285" spans="1:8" ht="30" customHeight="1" x14ac:dyDescent="0.15">
      <c r="A3285" s="16" t="s">
        <v>1855</v>
      </c>
      <c r="B3285" s="17" t="s">
        <v>5816</v>
      </c>
      <c r="C3285" s="17" t="s">
        <v>1929</v>
      </c>
      <c r="D3285" s="25" t="s">
        <v>5803</v>
      </c>
      <c r="E3285" s="19" t="s">
        <v>5804</v>
      </c>
      <c r="F3285" s="19" t="s">
        <v>746</v>
      </c>
      <c r="G3285" s="5" t="str">
        <f>HYPERLINK("http://jsmh.umin.jp/journal/40-1/30-31.pdf")</f>
        <v>http://jsmh.umin.jp/journal/40-1/30-31.pdf</v>
      </c>
      <c r="H3285" s="43" t="str">
        <f t="shared" si="231"/>
        <v>http://dl.ndl.go.jp/info:ndljp/pid/3359342</v>
      </c>
    </row>
    <row r="3286" spans="1:8" ht="30" customHeight="1" x14ac:dyDescent="0.15">
      <c r="A3286" s="16" t="s">
        <v>1855</v>
      </c>
      <c r="B3286" s="17" t="s">
        <v>5817</v>
      </c>
      <c r="C3286" s="17" t="s">
        <v>4026</v>
      </c>
      <c r="D3286" s="25" t="s">
        <v>5803</v>
      </c>
      <c r="E3286" s="19" t="s">
        <v>5804</v>
      </c>
      <c r="F3286" s="19" t="s">
        <v>1469</v>
      </c>
      <c r="G3286" s="5" t="str">
        <f>HYPERLINK("http://jsmh.umin.jp/journal/40-1/32-33.pdf")</f>
        <v>http://jsmh.umin.jp/journal/40-1/32-33.pdf</v>
      </c>
      <c r="H3286" s="43" t="str">
        <f t="shared" si="231"/>
        <v>http://dl.ndl.go.jp/info:ndljp/pid/3359342</v>
      </c>
    </row>
    <row r="3287" spans="1:8" ht="30" customHeight="1" x14ac:dyDescent="0.15">
      <c r="A3287" s="16" t="s">
        <v>1855</v>
      </c>
      <c r="B3287" s="17" t="s">
        <v>5818</v>
      </c>
      <c r="C3287" s="17" t="s">
        <v>5819</v>
      </c>
      <c r="D3287" s="25" t="s">
        <v>5803</v>
      </c>
      <c r="E3287" s="19" t="s">
        <v>5804</v>
      </c>
      <c r="F3287" s="19" t="s">
        <v>753</v>
      </c>
      <c r="G3287" s="5" t="str">
        <f>HYPERLINK("http://jsmh.umin.jp/journal/40-1/34-35.pdf")</f>
        <v>http://jsmh.umin.jp/journal/40-1/34-35.pdf</v>
      </c>
      <c r="H3287" s="43" t="str">
        <f t="shared" si="231"/>
        <v>http://dl.ndl.go.jp/info:ndljp/pid/3359342</v>
      </c>
    </row>
    <row r="3288" spans="1:8" ht="30" customHeight="1" x14ac:dyDescent="0.15">
      <c r="A3288" s="16" t="s">
        <v>1855</v>
      </c>
      <c r="B3288" s="17" t="s">
        <v>5820</v>
      </c>
      <c r="C3288" s="17" t="s">
        <v>5821</v>
      </c>
      <c r="D3288" s="25" t="s">
        <v>5803</v>
      </c>
      <c r="E3288" s="19" t="s">
        <v>5804</v>
      </c>
      <c r="F3288" s="19" t="s">
        <v>758</v>
      </c>
      <c r="G3288" s="5" t="str">
        <f>HYPERLINK("http://jsmh.umin.jp/journal/40-1/36-37.pdf")</f>
        <v>http://jsmh.umin.jp/journal/40-1/36-37.pdf</v>
      </c>
      <c r="H3288" s="43" t="str">
        <f t="shared" si="231"/>
        <v>http://dl.ndl.go.jp/info:ndljp/pid/3359342</v>
      </c>
    </row>
    <row r="3289" spans="1:8" ht="30" customHeight="1" x14ac:dyDescent="0.15">
      <c r="A3289" s="16" t="s">
        <v>1855</v>
      </c>
      <c r="B3289" s="17" t="s">
        <v>5822</v>
      </c>
      <c r="C3289" s="17" t="s">
        <v>4185</v>
      </c>
      <c r="D3289" s="25" t="s">
        <v>5803</v>
      </c>
      <c r="E3289" s="19" t="s">
        <v>5804</v>
      </c>
      <c r="F3289" s="19" t="s">
        <v>765</v>
      </c>
      <c r="G3289" s="5" t="str">
        <f>HYPERLINK("http://jsmh.umin.jp/journal/40-1/38-39.pdf")</f>
        <v>http://jsmh.umin.jp/journal/40-1/38-39.pdf</v>
      </c>
      <c r="H3289" s="43" t="str">
        <f t="shared" si="231"/>
        <v>http://dl.ndl.go.jp/info:ndljp/pid/3359342</v>
      </c>
    </row>
    <row r="3290" spans="1:8" ht="30" customHeight="1" x14ac:dyDescent="0.15">
      <c r="A3290" s="16" t="s">
        <v>1855</v>
      </c>
      <c r="B3290" s="17" t="s">
        <v>10226</v>
      </c>
      <c r="C3290" s="17" t="s">
        <v>5823</v>
      </c>
      <c r="D3290" s="25" t="s">
        <v>5803</v>
      </c>
      <c r="E3290" s="19" t="s">
        <v>5804</v>
      </c>
      <c r="F3290" s="19" t="s">
        <v>1481</v>
      </c>
      <c r="G3290" s="5" t="str">
        <f>HYPERLINK("http://jsmh.umin.jp/journal/40-1/40-41.pdf")</f>
        <v>http://jsmh.umin.jp/journal/40-1/40-41.pdf</v>
      </c>
      <c r="H3290" s="43" t="str">
        <f t="shared" si="231"/>
        <v>http://dl.ndl.go.jp/info:ndljp/pid/3359342</v>
      </c>
    </row>
    <row r="3291" spans="1:8" ht="30" customHeight="1" x14ac:dyDescent="0.15">
      <c r="A3291" s="16" t="s">
        <v>1855</v>
      </c>
      <c r="B3291" s="17" t="s">
        <v>5824</v>
      </c>
      <c r="C3291" s="17" t="s">
        <v>5825</v>
      </c>
      <c r="D3291" s="25" t="s">
        <v>5803</v>
      </c>
      <c r="E3291" s="19" t="s">
        <v>5804</v>
      </c>
      <c r="F3291" s="19" t="s">
        <v>1153</v>
      </c>
      <c r="G3291" s="5" t="str">
        <f>HYPERLINK("http://jsmh.umin.jp/journal/40-1/42-43.pdf")</f>
        <v>http://jsmh.umin.jp/journal/40-1/42-43.pdf</v>
      </c>
      <c r="H3291" s="43" t="str">
        <f t="shared" si="231"/>
        <v>http://dl.ndl.go.jp/info:ndljp/pid/3359342</v>
      </c>
    </row>
    <row r="3292" spans="1:8" ht="30" customHeight="1" x14ac:dyDescent="0.15">
      <c r="A3292" s="16" t="s">
        <v>1855</v>
      </c>
      <c r="B3292" s="17" t="s">
        <v>5826</v>
      </c>
      <c r="C3292" s="17" t="s">
        <v>2386</v>
      </c>
      <c r="D3292" s="25" t="s">
        <v>5803</v>
      </c>
      <c r="E3292" s="19" t="s">
        <v>5804</v>
      </c>
      <c r="F3292" s="19" t="s">
        <v>1159</v>
      </c>
      <c r="G3292" s="5" t="str">
        <f>HYPERLINK("http://jsmh.umin.jp/journal/40-1/44-45.pdf")</f>
        <v>http://jsmh.umin.jp/journal/40-1/44-45.pdf</v>
      </c>
      <c r="H3292" s="43" t="str">
        <f t="shared" si="231"/>
        <v>http://dl.ndl.go.jp/info:ndljp/pid/3359342</v>
      </c>
    </row>
    <row r="3293" spans="1:8" ht="30" customHeight="1" x14ac:dyDescent="0.15">
      <c r="A3293" s="16" t="s">
        <v>1855</v>
      </c>
      <c r="B3293" s="17" t="s">
        <v>5827</v>
      </c>
      <c r="C3293" s="17" t="s">
        <v>925</v>
      </c>
      <c r="D3293" s="25" t="s">
        <v>5803</v>
      </c>
      <c r="E3293" s="19" t="s">
        <v>5804</v>
      </c>
      <c r="F3293" s="19" t="s">
        <v>1163</v>
      </c>
      <c r="G3293" s="5" t="str">
        <f>HYPERLINK("http://jsmh.umin.jp/journal/40-1/46-47.pdf")</f>
        <v>http://jsmh.umin.jp/journal/40-1/46-47.pdf</v>
      </c>
      <c r="H3293" s="43" t="str">
        <f t="shared" si="231"/>
        <v>http://dl.ndl.go.jp/info:ndljp/pid/3359342</v>
      </c>
    </row>
    <row r="3294" spans="1:8" ht="30" customHeight="1" x14ac:dyDescent="0.15">
      <c r="A3294" s="16" t="s">
        <v>1855</v>
      </c>
      <c r="B3294" s="17" t="s">
        <v>5828</v>
      </c>
      <c r="C3294" s="17" t="s">
        <v>3644</v>
      </c>
      <c r="D3294" s="25" t="s">
        <v>5803</v>
      </c>
      <c r="E3294" s="19" t="s">
        <v>5804</v>
      </c>
      <c r="F3294" s="19" t="s">
        <v>1091</v>
      </c>
      <c r="G3294" s="5" t="str">
        <f>HYPERLINK("http://jsmh.umin.jp/journal/40-1/48-49.pdf")</f>
        <v>http://jsmh.umin.jp/journal/40-1/48-49.pdf</v>
      </c>
      <c r="H3294" s="43" t="str">
        <f t="shared" si="231"/>
        <v>http://dl.ndl.go.jp/info:ndljp/pid/3359342</v>
      </c>
    </row>
    <row r="3295" spans="1:8" ht="30" customHeight="1" x14ac:dyDescent="0.15">
      <c r="A3295" s="16" t="s">
        <v>1855</v>
      </c>
      <c r="B3295" s="17" t="s">
        <v>5829</v>
      </c>
      <c r="C3295" s="17" t="s">
        <v>5830</v>
      </c>
      <c r="D3295" s="25" t="s">
        <v>5803</v>
      </c>
      <c r="E3295" s="19" t="s">
        <v>5804</v>
      </c>
      <c r="F3295" s="19" t="s">
        <v>1101</v>
      </c>
      <c r="G3295" s="5" t="str">
        <f>HYPERLINK("http://jsmh.umin.jp/journal/40-1/50-51.pdf")</f>
        <v>http://jsmh.umin.jp/journal/40-1/50-51.pdf</v>
      </c>
      <c r="H3295" s="43" t="str">
        <f t="shared" si="231"/>
        <v>http://dl.ndl.go.jp/info:ndljp/pid/3359342</v>
      </c>
    </row>
    <row r="3296" spans="1:8" ht="30" customHeight="1" x14ac:dyDescent="0.15">
      <c r="A3296" s="16" t="s">
        <v>1855</v>
      </c>
      <c r="B3296" s="17" t="s">
        <v>5831</v>
      </c>
      <c r="C3296" s="17" t="s">
        <v>1764</v>
      </c>
      <c r="D3296" s="25" t="s">
        <v>5803</v>
      </c>
      <c r="E3296" s="19" t="s">
        <v>5804</v>
      </c>
      <c r="F3296" s="19" t="s">
        <v>1287</v>
      </c>
      <c r="G3296" s="5" t="str">
        <f>HYPERLINK("http://jsmh.umin.jp/journal/40-1/52-53.pdf")</f>
        <v>http://jsmh.umin.jp/journal/40-1/52-53.pdf</v>
      </c>
      <c r="H3296" s="43" t="str">
        <f t="shared" si="231"/>
        <v>http://dl.ndl.go.jp/info:ndljp/pid/3359342</v>
      </c>
    </row>
    <row r="3297" spans="1:8" ht="30" customHeight="1" x14ac:dyDescent="0.15">
      <c r="A3297" s="16" t="s">
        <v>1855</v>
      </c>
      <c r="B3297" s="17" t="s">
        <v>5832</v>
      </c>
      <c r="C3297" s="17" t="s">
        <v>5833</v>
      </c>
      <c r="D3297" s="25" t="s">
        <v>5803</v>
      </c>
      <c r="E3297" s="19" t="s">
        <v>5804</v>
      </c>
      <c r="F3297" s="19" t="s">
        <v>889</v>
      </c>
      <c r="G3297" s="5" t="str">
        <f>HYPERLINK("http://jsmh.umin.jp/journal/40-1/54-55.pdf")</f>
        <v>http://jsmh.umin.jp/journal/40-1/54-55.pdf</v>
      </c>
      <c r="H3297" s="43" t="str">
        <f t="shared" si="231"/>
        <v>http://dl.ndl.go.jp/info:ndljp/pid/3359342</v>
      </c>
    </row>
    <row r="3298" spans="1:8" ht="30" customHeight="1" x14ac:dyDescent="0.15">
      <c r="A3298" s="16" t="s">
        <v>1855</v>
      </c>
      <c r="B3298" s="17" t="s">
        <v>5834</v>
      </c>
      <c r="C3298" s="17" t="s">
        <v>3196</v>
      </c>
      <c r="D3298" s="25" t="s">
        <v>5803</v>
      </c>
      <c r="E3298" s="19" t="s">
        <v>5804</v>
      </c>
      <c r="F3298" s="19" t="s">
        <v>1180</v>
      </c>
      <c r="G3298" s="5" t="str">
        <f>HYPERLINK("http://jsmh.umin.jp/journal/40-1/56-57.pdf")</f>
        <v>http://jsmh.umin.jp/journal/40-1/56-57.pdf</v>
      </c>
      <c r="H3298" s="43" t="str">
        <f t="shared" si="231"/>
        <v>http://dl.ndl.go.jp/info:ndljp/pid/3359342</v>
      </c>
    </row>
    <row r="3299" spans="1:8" ht="30" customHeight="1" x14ac:dyDescent="0.15">
      <c r="A3299" s="16" t="s">
        <v>1855</v>
      </c>
      <c r="B3299" s="17" t="s">
        <v>5835</v>
      </c>
      <c r="C3299" s="17" t="s">
        <v>1147</v>
      </c>
      <c r="D3299" s="25" t="s">
        <v>5803</v>
      </c>
      <c r="E3299" s="19" t="s">
        <v>5804</v>
      </c>
      <c r="F3299" s="19" t="s">
        <v>714</v>
      </c>
      <c r="G3299" s="5" t="str">
        <f>HYPERLINK("http://jsmh.umin.jp/journal/40-1/58-59.pdf")</f>
        <v>http://jsmh.umin.jp/journal/40-1/58-59.pdf</v>
      </c>
      <c r="H3299" s="43" t="str">
        <f t="shared" si="231"/>
        <v>http://dl.ndl.go.jp/info:ndljp/pid/3359342</v>
      </c>
    </row>
    <row r="3300" spans="1:8" ht="30" customHeight="1" x14ac:dyDescent="0.15">
      <c r="A3300" s="16" t="s">
        <v>1855</v>
      </c>
      <c r="B3300" s="17" t="s">
        <v>5836</v>
      </c>
      <c r="C3300" s="17" t="s">
        <v>5837</v>
      </c>
      <c r="D3300" s="25" t="s">
        <v>5803</v>
      </c>
      <c r="E3300" s="19" t="s">
        <v>5804</v>
      </c>
      <c r="F3300" s="19" t="s">
        <v>913</v>
      </c>
      <c r="G3300" s="5" t="str">
        <f>HYPERLINK("http://jsmh.umin.jp/journal/40-1/60-61.pdf")</f>
        <v>http://jsmh.umin.jp/journal/40-1/60-61.pdf</v>
      </c>
      <c r="H3300" s="43" t="str">
        <f t="shared" si="231"/>
        <v>http://dl.ndl.go.jp/info:ndljp/pid/3359342</v>
      </c>
    </row>
    <row r="3301" spans="1:8" ht="30" customHeight="1" x14ac:dyDescent="0.15">
      <c r="A3301" s="16" t="s">
        <v>1855</v>
      </c>
      <c r="B3301" s="17" t="s">
        <v>10227</v>
      </c>
      <c r="C3301" s="17" t="s">
        <v>672</v>
      </c>
      <c r="D3301" s="25" t="s">
        <v>5803</v>
      </c>
      <c r="E3301" s="19" t="s">
        <v>5804</v>
      </c>
      <c r="F3301" s="19" t="s">
        <v>1192</v>
      </c>
      <c r="G3301" s="5" t="str">
        <f>HYPERLINK("http://jsmh.umin.jp/journal/40-1/62-63.pdf")</f>
        <v>http://jsmh.umin.jp/journal/40-1/62-63.pdf</v>
      </c>
      <c r="H3301" s="43" t="str">
        <f t="shared" si="231"/>
        <v>http://dl.ndl.go.jp/info:ndljp/pid/3359342</v>
      </c>
    </row>
    <row r="3302" spans="1:8" ht="30" customHeight="1" x14ac:dyDescent="0.15">
      <c r="A3302" s="16" t="s">
        <v>1855</v>
      </c>
      <c r="B3302" s="17" t="s">
        <v>5838</v>
      </c>
      <c r="C3302" s="17" t="s">
        <v>5839</v>
      </c>
      <c r="D3302" s="25" t="s">
        <v>5803</v>
      </c>
      <c r="E3302" s="19" t="s">
        <v>5804</v>
      </c>
      <c r="F3302" s="19" t="s">
        <v>1310</v>
      </c>
      <c r="G3302" s="5" t="str">
        <f>HYPERLINK("http://jsmh.umin.jp/journal/40-1/64-65.pdf")</f>
        <v>http://jsmh.umin.jp/journal/40-1/64-65.pdf</v>
      </c>
      <c r="H3302" s="43" t="str">
        <f t="shared" si="231"/>
        <v>http://dl.ndl.go.jp/info:ndljp/pid/3359342</v>
      </c>
    </row>
    <row r="3303" spans="1:8" ht="30" customHeight="1" x14ac:dyDescent="0.15">
      <c r="A3303" s="16" t="s">
        <v>1855</v>
      </c>
      <c r="B3303" s="17" t="s">
        <v>5840</v>
      </c>
      <c r="C3303" s="17" t="s">
        <v>10156</v>
      </c>
      <c r="D3303" s="25" t="s">
        <v>5803</v>
      </c>
      <c r="E3303" s="19" t="s">
        <v>5804</v>
      </c>
      <c r="F3303" s="19" t="s">
        <v>570</v>
      </c>
      <c r="G3303" s="5" t="str">
        <f>HYPERLINK("http://jsmh.umin.jp/journal/40-1/66-67.pdf")</f>
        <v>http://jsmh.umin.jp/journal/40-1/66-67.pdf</v>
      </c>
      <c r="H3303" s="43" t="str">
        <f t="shared" si="231"/>
        <v>http://dl.ndl.go.jp/info:ndljp/pid/3359342</v>
      </c>
    </row>
    <row r="3304" spans="1:8" ht="30" customHeight="1" x14ac:dyDescent="0.15">
      <c r="A3304" s="16" t="s">
        <v>1855</v>
      </c>
      <c r="B3304" s="17" t="s">
        <v>5841</v>
      </c>
      <c r="C3304" s="17" t="s">
        <v>2465</v>
      </c>
      <c r="D3304" s="25" t="s">
        <v>5803</v>
      </c>
      <c r="E3304" s="19" t="s">
        <v>5804</v>
      </c>
      <c r="F3304" s="19" t="s">
        <v>577</v>
      </c>
      <c r="G3304" s="5" t="str">
        <f>HYPERLINK("http://jsmh.umin.jp/journal/40-1/68-69.pdf")</f>
        <v>http://jsmh.umin.jp/journal/40-1/68-69.pdf</v>
      </c>
      <c r="H3304" s="43" t="str">
        <f t="shared" si="231"/>
        <v>http://dl.ndl.go.jp/info:ndljp/pid/3359342</v>
      </c>
    </row>
    <row r="3305" spans="1:8" ht="30" customHeight="1" x14ac:dyDescent="0.15">
      <c r="A3305" s="16" t="s">
        <v>1855</v>
      </c>
      <c r="B3305" s="17" t="s">
        <v>5842</v>
      </c>
      <c r="C3305" s="17" t="s">
        <v>1972</v>
      </c>
      <c r="D3305" s="25" t="s">
        <v>5803</v>
      </c>
      <c r="E3305" s="19" t="s">
        <v>5804</v>
      </c>
      <c r="F3305" s="19" t="s">
        <v>588</v>
      </c>
      <c r="G3305" s="5" t="str">
        <f>HYPERLINK("http://jsmh.umin.jp/journal/40-1/70-71.pdf")</f>
        <v>http://jsmh.umin.jp/journal/40-1/70-71.pdf</v>
      </c>
      <c r="H3305" s="43" t="str">
        <f t="shared" si="231"/>
        <v>http://dl.ndl.go.jp/info:ndljp/pid/3359342</v>
      </c>
    </row>
    <row r="3306" spans="1:8" ht="30" customHeight="1" x14ac:dyDescent="0.15">
      <c r="A3306" s="16" t="s">
        <v>1855</v>
      </c>
      <c r="B3306" s="17" t="s">
        <v>5843</v>
      </c>
      <c r="C3306" s="17" t="s">
        <v>5660</v>
      </c>
      <c r="D3306" s="25" t="s">
        <v>5803</v>
      </c>
      <c r="E3306" s="19" t="s">
        <v>5804</v>
      </c>
      <c r="F3306" s="19" t="s">
        <v>831</v>
      </c>
      <c r="G3306" s="5" t="str">
        <f>HYPERLINK("http://jsmh.umin.jp/journal/40-1/72-73.pdf")</f>
        <v>http://jsmh.umin.jp/journal/40-1/72-73.pdf</v>
      </c>
      <c r="H3306" s="43" t="str">
        <f t="shared" si="231"/>
        <v>http://dl.ndl.go.jp/info:ndljp/pid/3359342</v>
      </c>
    </row>
    <row r="3307" spans="1:8" ht="30" customHeight="1" x14ac:dyDescent="0.15">
      <c r="A3307" s="16" t="s">
        <v>1855</v>
      </c>
      <c r="B3307" s="17" t="s">
        <v>5844</v>
      </c>
      <c r="C3307" s="17" t="s">
        <v>5845</v>
      </c>
      <c r="D3307" s="25" t="s">
        <v>5803</v>
      </c>
      <c r="E3307" s="19" t="s">
        <v>5804</v>
      </c>
      <c r="F3307" s="19" t="s">
        <v>2366</v>
      </c>
      <c r="G3307" s="5" t="str">
        <f>HYPERLINK("http://jsmh.umin.jp/journal/40-1/74-75.pdf")</f>
        <v>http://jsmh.umin.jp/journal/40-1/74-75.pdf</v>
      </c>
      <c r="H3307" s="43" t="str">
        <f t="shared" si="231"/>
        <v>http://dl.ndl.go.jp/info:ndljp/pid/3359342</v>
      </c>
    </row>
    <row r="3308" spans="1:8" ht="30" customHeight="1" x14ac:dyDescent="0.15">
      <c r="A3308" s="16" t="s">
        <v>1855</v>
      </c>
      <c r="B3308" s="17" t="s">
        <v>5846</v>
      </c>
      <c r="C3308" s="17" t="s">
        <v>5847</v>
      </c>
      <c r="D3308" s="25" t="s">
        <v>5803</v>
      </c>
      <c r="E3308" s="19" t="s">
        <v>5804</v>
      </c>
      <c r="F3308" s="19" t="s">
        <v>602</v>
      </c>
      <c r="G3308" s="5" t="str">
        <f>HYPERLINK("http://jsmh.umin.jp/journal/40-1/76-77.pdf")</f>
        <v>http://jsmh.umin.jp/journal/40-1/76-77.pdf</v>
      </c>
      <c r="H3308" s="43" t="str">
        <f t="shared" si="231"/>
        <v>http://dl.ndl.go.jp/info:ndljp/pid/3359342</v>
      </c>
    </row>
    <row r="3309" spans="1:8" ht="30" customHeight="1" x14ac:dyDescent="0.15">
      <c r="A3309" s="16" t="s">
        <v>1855</v>
      </c>
      <c r="B3309" s="17" t="s">
        <v>10228</v>
      </c>
      <c r="C3309" s="17" t="s">
        <v>5848</v>
      </c>
      <c r="D3309" s="25" t="s">
        <v>5803</v>
      </c>
      <c r="E3309" s="19" t="s">
        <v>5804</v>
      </c>
      <c r="F3309" s="19" t="s">
        <v>842</v>
      </c>
      <c r="G3309" s="5" t="str">
        <f>HYPERLINK("http://jsmh.umin.jp/journal/40-1/78-79.pdf")</f>
        <v>http://jsmh.umin.jp/journal/40-1/78-79.pdf</v>
      </c>
      <c r="H3309" s="43" t="str">
        <f t="shared" si="231"/>
        <v>http://dl.ndl.go.jp/info:ndljp/pid/3359342</v>
      </c>
    </row>
    <row r="3310" spans="1:8" ht="30" customHeight="1" x14ac:dyDescent="0.15">
      <c r="A3310" s="16" t="s">
        <v>1855</v>
      </c>
      <c r="B3310" s="17" t="s">
        <v>5849</v>
      </c>
      <c r="C3310" s="17" t="s">
        <v>4039</v>
      </c>
      <c r="D3310" s="25" t="s">
        <v>5803</v>
      </c>
      <c r="E3310" s="19" t="s">
        <v>5804</v>
      </c>
      <c r="F3310" s="19" t="s">
        <v>846</v>
      </c>
      <c r="G3310" s="5" t="str">
        <f>HYPERLINK("http://jsmh.umin.jp/journal/40-1/80-81.pdf")</f>
        <v>http://jsmh.umin.jp/journal/40-1/80-81.pdf</v>
      </c>
      <c r="H3310" s="43" t="str">
        <f t="shared" si="231"/>
        <v>http://dl.ndl.go.jp/info:ndljp/pid/3359342</v>
      </c>
    </row>
    <row r="3311" spans="1:8" ht="30" customHeight="1" x14ac:dyDescent="0.15">
      <c r="A3311" s="16" t="s">
        <v>1855</v>
      </c>
      <c r="B3311" s="17" t="s">
        <v>5850</v>
      </c>
      <c r="C3311" s="17" t="s">
        <v>790</v>
      </c>
      <c r="D3311" s="25" t="s">
        <v>5803</v>
      </c>
      <c r="E3311" s="19" t="s">
        <v>5804</v>
      </c>
      <c r="F3311" s="19" t="s">
        <v>449</v>
      </c>
      <c r="G3311" s="5" t="str">
        <f>HYPERLINK("http://jsmh.umin.jp/journal/40-1/82-83.pdf")</f>
        <v>http://jsmh.umin.jp/journal/40-1/82-83.pdf</v>
      </c>
      <c r="H3311" s="43" t="str">
        <f t="shared" si="231"/>
        <v>http://dl.ndl.go.jp/info:ndljp/pid/3359342</v>
      </c>
    </row>
    <row r="3312" spans="1:8" ht="30" customHeight="1" x14ac:dyDescent="0.15">
      <c r="A3312" s="16" t="s">
        <v>1855</v>
      </c>
      <c r="B3312" s="17" t="s">
        <v>5851</v>
      </c>
      <c r="C3312" s="17" t="s">
        <v>2881</v>
      </c>
      <c r="D3312" s="25" t="s">
        <v>5803</v>
      </c>
      <c r="E3312" s="19" t="s">
        <v>5804</v>
      </c>
      <c r="F3312" s="19" t="s">
        <v>454</v>
      </c>
      <c r="G3312" s="5" t="str">
        <f>HYPERLINK("http://jsmh.umin.jp/journal/40-1/84-85.pdf")</f>
        <v>http://jsmh.umin.jp/journal/40-1/84-85.pdf</v>
      </c>
      <c r="H3312" s="43" t="str">
        <f t="shared" si="231"/>
        <v>http://dl.ndl.go.jp/info:ndljp/pid/3359342</v>
      </c>
    </row>
    <row r="3313" spans="1:8" ht="30" customHeight="1" x14ac:dyDescent="0.15">
      <c r="A3313" s="16" t="s">
        <v>1855</v>
      </c>
      <c r="B3313" s="17" t="s">
        <v>5852</v>
      </c>
      <c r="C3313" s="17" t="s">
        <v>5654</v>
      </c>
      <c r="D3313" s="25" t="s">
        <v>5803</v>
      </c>
      <c r="E3313" s="19" t="s">
        <v>5804</v>
      </c>
      <c r="F3313" s="19" t="s">
        <v>460</v>
      </c>
      <c r="G3313" s="5" t="str">
        <f>HYPERLINK("http://jsmh.umin.jp/journal/40-1/86-87.pdf")</f>
        <v>http://jsmh.umin.jp/journal/40-1/86-87.pdf</v>
      </c>
      <c r="H3313" s="43" t="str">
        <f t="shared" si="231"/>
        <v>http://dl.ndl.go.jp/info:ndljp/pid/3359342</v>
      </c>
    </row>
    <row r="3314" spans="1:8" ht="30" customHeight="1" x14ac:dyDescent="0.15">
      <c r="A3314" s="16" t="s">
        <v>1855</v>
      </c>
      <c r="B3314" s="17" t="s">
        <v>5853</v>
      </c>
      <c r="C3314" s="17" t="s">
        <v>5471</v>
      </c>
      <c r="D3314" s="25" t="s">
        <v>5803</v>
      </c>
      <c r="E3314" s="19" t="s">
        <v>5804</v>
      </c>
      <c r="F3314" s="19" t="s">
        <v>861</v>
      </c>
      <c r="G3314" s="5" t="str">
        <f>HYPERLINK("http://jsmh.umin.jp/journal/40-1/88-89.pdf")</f>
        <v>http://jsmh.umin.jp/journal/40-1/88-89.pdf</v>
      </c>
      <c r="H3314" s="43" t="str">
        <f t="shared" si="231"/>
        <v>http://dl.ndl.go.jp/info:ndljp/pid/3359342</v>
      </c>
    </row>
    <row r="3315" spans="1:8" ht="30" customHeight="1" x14ac:dyDescent="0.15">
      <c r="A3315" s="16" t="s">
        <v>1855</v>
      </c>
      <c r="B3315" s="17" t="s">
        <v>5854</v>
      </c>
      <c r="C3315" s="17" t="s">
        <v>5625</v>
      </c>
      <c r="D3315" s="25" t="s">
        <v>5803</v>
      </c>
      <c r="E3315" s="19" t="s">
        <v>5804</v>
      </c>
      <c r="F3315" s="19" t="s">
        <v>471</v>
      </c>
      <c r="G3315" s="5" t="str">
        <f>HYPERLINK("http://jsmh.umin.jp/journal/40-1/90-91.pdf")</f>
        <v>http://jsmh.umin.jp/journal/40-1/90-91.pdf</v>
      </c>
      <c r="H3315" s="43" t="str">
        <f t="shared" si="231"/>
        <v>http://dl.ndl.go.jp/info:ndljp/pid/3359342</v>
      </c>
    </row>
    <row r="3316" spans="1:8" ht="30" customHeight="1" x14ac:dyDescent="0.15">
      <c r="A3316" s="16" t="s">
        <v>1855</v>
      </c>
      <c r="B3316" s="17" t="s">
        <v>5855</v>
      </c>
      <c r="C3316" s="17" t="s">
        <v>5015</v>
      </c>
      <c r="D3316" s="25" t="s">
        <v>5803</v>
      </c>
      <c r="E3316" s="19" t="s">
        <v>5804</v>
      </c>
      <c r="F3316" s="19" t="s">
        <v>2188</v>
      </c>
      <c r="G3316" s="5" t="str">
        <f>HYPERLINK("http://jsmh.umin.jp/journal/40-1/92-93.pdf")</f>
        <v>http://jsmh.umin.jp/journal/40-1/92-93.pdf</v>
      </c>
      <c r="H3316" s="43" t="str">
        <f t="shared" si="231"/>
        <v>http://dl.ndl.go.jp/info:ndljp/pid/3359342</v>
      </c>
    </row>
    <row r="3317" spans="1:8" ht="30" customHeight="1" x14ac:dyDescent="0.15">
      <c r="A3317" s="16" t="s">
        <v>1855</v>
      </c>
      <c r="B3317" s="17" t="s">
        <v>5856</v>
      </c>
      <c r="C3317" s="17" t="s">
        <v>479</v>
      </c>
      <c r="D3317" s="25" t="s">
        <v>5803</v>
      </c>
      <c r="E3317" s="19" t="s">
        <v>5804</v>
      </c>
      <c r="F3317" s="19" t="s">
        <v>5011</v>
      </c>
      <c r="G3317" s="5" t="str">
        <f>HYPERLINK("http://jsmh.umin.jp/journal/40-1/94-95.pdf")</f>
        <v>http://jsmh.umin.jp/journal/40-1/94-95.pdf</v>
      </c>
      <c r="H3317" s="43" t="str">
        <f t="shared" si="231"/>
        <v>http://dl.ndl.go.jp/info:ndljp/pid/3359342</v>
      </c>
    </row>
    <row r="3318" spans="1:8" ht="30" customHeight="1" x14ac:dyDescent="0.15">
      <c r="A3318" s="16" t="s">
        <v>1855</v>
      </c>
      <c r="B3318" s="17" t="s">
        <v>5857</v>
      </c>
      <c r="C3318" s="17" t="s">
        <v>5606</v>
      </c>
      <c r="D3318" s="25" t="s">
        <v>5803</v>
      </c>
      <c r="E3318" s="19" t="s">
        <v>5804</v>
      </c>
      <c r="F3318" s="19" t="s">
        <v>4578</v>
      </c>
      <c r="G3318" s="5" t="str">
        <f>HYPERLINK("http://jsmh.umin.jp/journal/40-1/96-97.pdf")</f>
        <v>http://jsmh.umin.jp/journal/40-1/96-97.pdf</v>
      </c>
      <c r="H3318" s="43" t="str">
        <f t="shared" si="231"/>
        <v>http://dl.ndl.go.jp/info:ndljp/pid/3359342</v>
      </c>
    </row>
    <row r="3319" spans="1:8" ht="30" customHeight="1" x14ac:dyDescent="0.15">
      <c r="A3319" s="16" t="s">
        <v>1855</v>
      </c>
      <c r="B3319" s="17" t="s">
        <v>5858</v>
      </c>
      <c r="C3319" s="17" t="s">
        <v>627</v>
      </c>
      <c r="D3319" s="25" t="s">
        <v>5803</v>
      </c>
      <c r="E3319" s="19" t="s">
        <v>5804</v>
      </c>
      <c r="F3319" s="19" t="s">
        <v>3779</v>
      </c>
      <c r="G3319" s="5" t="str">
        <f>HYPERLINK("http://jsmh.umin.jp/journal/40-1/98-99.pdf")</f>
        <v>http://jsmh.umin.jp/journal/40-1/98-99.pdf</v>
      </c>
      <c r="H3319" s="43" t="str">
        <f t="shared" si="231"/>
        <v>http://dl.ndl.go.jp/info:ndljp/pid/3359342</v>
      </c>
    </row>
    <row r="3320" spans="1:8" ht="30" customHeight="1" x14ac:dyDescent="0.15">
      <c r="A3320" s="16" t="s">
        <v>17</v>
      </c>
      <c r="B3320" s="17" t="s">
        <v>5859</v>
      </c>
      <c r="C3320" s="17" t="s">
        <v>10214</v>
      </c>
      <c r="D3320" s="25" t="s">
        <v>5803</v>
      </c>
      <c r="E3320" s="19" t="s">
        <v>5860</v>
      </c>
      <c r="F3320" s="19" t="s">
        <v>5861</v>
      </c>
      <c r="G3320" s="5" t="str">
        <f>HYPERLINK("http://jsmh.umin.jp/journal/40-2/111-132.pdf")</f>
        <v>http://jsmh.umin.jp/journal/40-2/111-132.pdf</v>
      </c>
      <c r="H3320" s="42" t="str">
        <f t="shared" ref="H3320:H3342" si="232">HYPERLINK("http://dl.ndl.go.jp/info:ndljp/pid/3359343")</f>
        <v>http://dl.ndl.go.jp/info:ndljp/pid/3359343</v>
      </c>
    </row>
    <row r="3321" spans="1:8" ht="30" customHeight="1" x14ac:dyDescent="0.15">
      <c r="A3321" s="16" t="s">
        <v>17</v>
      </c>
      <c r="B3321" s="17" t="s">
        <v>5862</v>
      </c>
      <c r="C3321" s="17" t="s">
        <v>5863</v>
      </c>
      <c r="D3321" s="25" t="s">
        <v>5803</v>
      </c>
      <c r="E3321" s="19" t="s">
        <v>5860</v>
      </c>
      <c r="F3321" s="19" t="s">
        <v>5864</v>
      </c>
      <c r="G3321" s="5" t="str">
        <f>HYPERLINK("http://jsmh.umin.jp/journal/40-2/133-153.pdf")</f>
        <v>http://jsmh.umin.jp/journal/40-2/133-153.pdf</v>
      </c>
      <c r="H3321" s="43" t="str">
        <f t="shared" si="232"/>
        <v>http://dl.ndl.go.jp/info:ndljp/pid/3359343</v>
      </c>
    </row>
    <row r="3322" spans="1:8" ht="30" customHeight="1" x14ac:dyDescent="0.15">
      <c r="A3322" s="16" t="s">
        <v>17</v>
      </c>
      <c r="B3322" s="17" t="s">
        <v>5865</v>
      </c>
      <c r="C3322" s="17" t="s">
        <v>4324</v>
      </c>
      <c r="D3322" s="25" t="s">
        <v>5803</v>
      </c>
      <c r="E3322" s="19" t="s">
        <v>5860</v>
      </c>
      <c r="F3322" s="19" t="s">
        <v>5866</v>
      </c>
      <c r="G3322" s="5" t="str">
        <f>HYPERLINK("http://jsmh.umin.jp/journal/40-2/155-184.pdf")</f>
        <v>http://jsmh.umin.jp/journal/40-2/155-184.pdf</v>
      </c>
      <c r="H3322" s="43" t="str">
        <f t="shared" si="232"/>
        <v>http://dl.ndl.go.jp/info:ndljp/pid/3359343</v>
      </c>
    </row>
    <row r="3323" spans="1:8" ht="30" customHeight="1" x14ac:dyDescent="0.15">
      <c r="A3323" s="16" t="s">
        <v>17</v>
      </c>
      <c r="B3323" s="17" t="s">
        <v>5867</v>
      </c>
      <c r="C3323" s="17" t="s">
        <v>1534</v>
      </c>
      <c r="D3323" s="25" t="s">
        <v>5803</v>
      </c>
      <c r="E3323" s="19" t="s">
        <v>5860</v>
      </c>
      <c r="F3323" s="19" t="s">
        <v>5868</v>
      </c>
      <c r="G3323" s="5" t="str">
        <f>HYPERLINK("http://jsmh.umin.jp/journal/40-2/185-200.pdf")</f>
        <v>http://jsmh.umin.jp/journal/40-2/185-200.pdf</v>
      </c>
      <c r="H3323" s="43" t="str">
        <f t="shared" si="232"/>
        <v>http://dl.ndl.go.jp/info:ndljp/pid/3359343</v>
      </c>
    </row>
    <row r="3324" spans="1:8" ht="30" customHeight="1" x14ac:dyDescent="0.15">
      <c r="A3324" s="16" t="s">
        <v>3387</v>
      </c>
      <c r="B3324" s="17" t="s">
        <v>5869</v>
      </c>
      <c r="C3324" s="17" t="s">
        <v>10156</v>
      </c>
      <c r="D3324" s="25" t="s">
        <v>5803</v>
      </c>
      <c r="E3324" s="19" t="s">
        <v>5860</v>
      </c>
      <c r="F3324" s="19" t="s">
        <v>5870</v>
      </c>
      <c r="G3324" s="5" t="str">
        <f>HYPERLINK("http://jsmh.umin.jp/journal/40-2/201-209.pdf")</f>
        <v>http://jsmh.umin.jp/journal/40-2/201-209.pdf</v>
      </c>
      <c r="H3324" s="43" t="str">
        <f t="shared" si="232"/>
        <v>http://dl.ndl.go.jp/info:ndljp/pid/3359343</v>
      </c>
    </row>
    <row r="3325" spans="1:8" ht="30" customHeight="1" x14ac:dyDescent="0.15">
      <c r="A3325" s="16" t="s">
        <v>692</v>
      </c>
      <c r="B3325" s="17" t="s">
        <v>5871</v>
      </c>
      <c r="C3325" s="17" t="s">
        <v>5847</v>
      </c>
      <c r="D3325" s="25" t="s">
        <v>5803</v>
      </c>
      <c r="E3325" s="19" t="s">
        <v>5860</v>
      </c>
      <c r="F3325" s="19" t="s">
        <v>5872</v>
      </c>
      <c r="G3325" s="5" t="str">
        <f>HYPERLINK("http://jsmh.umin.jp/journal/40-2/211-216.pdf")</f>
        <v>http://jsmh.umin.jp/journal/40-2/211-216.pdf</v>
      </c>
      <c r="H3325" s="43" t="str">
        <f t="shared" si="232"/>
        <v>http://dl.ndl.go.jp/info:ndljp/pid/3359343</v>
      </c>
    </row>
    <row r="3326" spans="1:8" ht="30" customHeight="1" x14ac:dyDescent="0.15">
      <c r="A3326" s="16" t="s">
        <v>692</v>
      </c>
      <c r="B3326" s="17" t="s">
        <v>5873</v>
      </c>
      <c r="C3326" s="17" t="s">
        <v>4870</v>
      </c>
      <c r="D3326" s="25" t="s">
        <v>5803</v>
      </c>
      <c r="E3326" s="19" t="s">
        <v>5860</v>
      </c>
      <c r="F3326" s="19" t="s">
        <v>5874</v>
      </c>
      <c r="G3326" s="5" t="str">
        <f>HYPERLINK("http://jsmh.umin.jp/journal/40-2/217-226.pdf")</f>
        <v>http://jsmh.umin.jp/journal/40-2/217-226.pdf</v>
      </c>
      <c r="H3326" s="43" t="str">
        <f t="shared" si="232"/>
        <v>http://dl.ndl.go.jp/info:ndljp/pid/3359343</v>
      </c>
    </row>
    <row r="3327" spans="1:8" ht="30" customHeight="1" x14ac:dyDescent="0.15">
      <c r="A3327" s="16" t="s">
        <v>3720</v>
      </c>
      <c r="B3327" s="17" t="s">
        <v>5875</v>
      </c>
      <c r="C3327" s="17" t="s">
        <v>5876</v>
      </c>
      <c r="D3327" s="25" t="s">
        <v>5803</v>
      </c>
      <c r="E3327" s="19" t="s">
        <v>5860</v>
      </c>
      <c r="F3327" s="19" t="s">
        <v>103</v>
      </c>
      <c r="G3327" s="5" t="str">
        <f>HYPERLINK("http://jsmh.umin.jp/journal/40-2/227-228.pdf")</f>
        <v>http://jsmh.umin.jp/journal/40-2/227-228.pdf</v>
      </c>
      <c r="H3327" s="43" t="str">
        <f t="shared" si="232"/>
        <v>http://dl.ndl.go.jp/info:ndljp/pid/3359343</v>
      </c>
    </row>
    <row r="3328" spans="1:8" ht="30" customHeight="1" x14ac:dyDescent="0.15">
      <c r="A3328" s="16" t="s">
        <v>558</v>
      </c>
      <c r="B3328" s="17" t="s">
        <v>1396</v>
      </c>
      <c r="C3328" s="17" t="s">
        <v>479</v>
      </c>
      <c r="D3328" s="25" t="s">
        <v>5803</v>
      </c>
      <c r="E3328" s="19" t="s">
        <v>5860</v>
      </c>
      <c r="F3328" s="19" t="s">
        <v>105</v>
      </c>
      <c r="G3328" s="5" t="str">
        <f>HYPERLINK("http://jsmh.umin.jp/journal/40-2/227.pdf")</f>
        <v>http://jsmh.umin.jp/journal/40-2/227.pdf</v>
      </c>
      <c r="H3328" s="43" t="str">
        <f t="shared" si="232"/>
        <v>http://dl.ndl.go.jp/info:ndljp/pid/3359343</v>
      </c>
    </row>
    <row r="3329" spans="1:8" ht="30" customHeight="1" x14ac:dyDescent="0.15">
      <c r="A3329" s="16" t="s">
        <v>3720</v>
      </c>
      <c r="B3329" s="17" t="s">
        <v>5877</v>
      </c>
      <c r="C3329" s="17" t="s">
        <v>5825</v>
      </c>
      <c r="D3329" s="25" t="s">
        <v>5803</v>
      </c>
      <c r="E3329" s="19" t="s">
        <v>5860</v>
      </c>
      <c r="F3329" s="19" t="s">
        <v>108</v>
      </c>
      <c r="G3329" s="5" t="str">
        <f>HYPERLINK("http://jsmh.umin.jp/journal/40-2/228-229.pdf")</f>
        <v>http://jsmh.umin.jp/journal/40-2/228-229.pdf</v>
      </c>
      <c r="H3329" s="43" t="str">
        <f t="shared" si="232"/>
        <v>http://dl.ndl.go.jp/info:ndljp/pid/3359343</v>
      </c>
    </row>
    <row r="3330" spans="1:8" ht="30" customHeight="1" x14ac:dyDescent="0.15">
      <c r="A3330" s="16" t="s">
        <v>3720</v>
      </c>
      <c r="B3330" s="17" t="s">
        <v>5878</v>
      </c>
      <c r="C3330" s="17" t="s">
        <v>4085</v>
      </c>
      <c r="D3330" s="25" t="s">
        <v>5803</v>
      </c>
      <c r="E3330" s="19" t="s">
        <v>5860</v>
      </c>
      <c r="F3330" s="19" t="s">
        <v>2096</v>
      </c>
      <c r="G3330" s="5" t="str">
        <f>HYPERLINK("http://jsmh.umin.jp/journal/40-2/229-231.pdf")</f>
        <v>http://jsmh.umin.jp/journal/40-2/229-231.pdf</v>
      </c>
      <c r="H3330" s="43" t="str">
        <f t="shared" si="232"/>
        <v>http://dl.ndl.go.jp/info:ndljp/pid/3359343</v>
      </c>
    </row>
    <row r="3331" spans="1:8" ht="30" customHeight="1" x14ac:dyDescent="0.15">
      <c r="A3331" s="16" t="s">
        <v>3720</v>
      </c>
      <c r="B3331" s="17" t="s">
        <v>10229</v>
      </c>
      <c r="C3331" s="17" t="s">
        <v>2937</v>
      </c>
      <c r="D3331" s="25" t="s">
        <v>5803</v>
      </c>
      <c r="E3331" s="19" t="s">
        <v>5860</v>
      </c>
      <c r="F3331" s="19" t="s">
        <v>121</v>
      </c>
      <c r="G3331" s="5" t="str">
        <f>HYPERLINK("http://jsmh.umin.jp/journal/40-2/231-232.pdf")</f>
        <v>http://jsmh.umin.jp/journal/40-2/231-232.pdf</v>
      </c>
      <c r="H3331" s="43" t="str">
        <f t="shared" si="232"/>
        <v>http://dl.ndl.go.jp/info:ndljp/pid/3359343</v>
      </c>
    </row>
    <row r="3332" spans="1:8" ht="30" customHeight="1" x14ac:dyDescent="0.15">
      <c r="A3332" s="16" t="s">
        <v>2990</v>
      </c>
      <c r="B3332" s="17" t="s">
        <v>5879</v>
      </c>
      <c r="C3332" s="17" t="s">
        <v>5015</v>
      </c>
      <c r="D3332" s="25" t="s">
        <v>5803</v>
      </c>
      <c r="E3332" s="19" t="s">
        <v>5860</v>
      </c>
      <c r="F3332" s="19" t="s">
        <v>5454</v>
      </c>
      <c r="G3332" s="5" t="str">
        <f>HYPERLINK("http://jsmh.umin.jp/journal/40-2/232-234.pdf")</f>
        <v>http://jsmh.umin.jp/journal/40-2/232-234.pdf</v>
      </c>
      <c r="H3332" s="43" t="str">
        <f t="shared" si="232"/>
        <v>http://dl.ndl.go.jp/info:ndljp/pid/3359343</v>
      </c>
    </row>
    <row r="3333" spans="1:8" ht="30" customHeight="1" x14ac:dyDescent="0.15">
      <c r="A3333" s="16" t="s">
        <v>2990</v>
      </c>
      <c r="B3333" s="17" t="s">
        <v>5880</v>
      </c>
      <c r="C3333" s="17" t="s">
        <v>273</v>
      </c>
      <c r="D3333" s="25" t="s">
        <v>5803</v>
      </c>
      <c r="E3333" s="19" t="s">
        <v>5860</v>
      </c>
      <c r="F3333" s="19" t="s">
        <v>132</v>
      </c>
      <c r="G3333" s="5" t="str">
        <f>HYPERLINK("http://jsmh.umin.jp/journal/40-2/234-235.pdf")</f>
        <v>http://jsmh.umin.jp/journal/40-2/234-235.pdf</v>
      </c>
      <c r="H3333" s="43" t="str">
        <f t="shared" si="232"/>
        <v>http://dl.ndl.go.jp/info:ndljp/pid/3359343</v>
      </c>
    </row>
    <row r="3334" spans="1:8" ht="30" customHeight="1" x14ac:dyDescent="0.15">
      <c r="A3334" s="16" t="s">
        <v>2990</v>
      </c>
      <c r="B3334" s="17" t="s">
        <v>5881</v>
      </c>
      <c r="C3334" s="17" t="s">
        <v>2746</v>
      </c>
      <c r="D3334" s="25" t="s">
        <v>5803</v>
      </c>
      <c r="E3334" s="19" t="s">
        <v>5860</v>
      </c>
      <c r="F3334" s="19" t="s">
        <v>3860</v>
      </c>
      <c r="G3334" s="5" t="str">
        <f>HYPERLINK("http://jsmh.umin.jp/journal/40-2/235-237.pdf")</f>
        <v>http://jsmh.umin.jp/journal/40-2/235-237.pdf</v>
      </c>
      <c r="H3334" s="43" t="str">
        <f t="shared" si="232"/>
        <v>http://dl.ndl.go.jp/info:ndljp/pid/3359343</v>
      </c>
    </row>
    <row r="3335" spans="1:8" ht="30" customHeight="1" x14ac:dyDescent="0.15">
      <c r="A3335" s="16" t="s">
        <v>2990</v>
      </c>
      <c r="B3335" s="17" t="s">
        <v>5882</v>
      </c>
      <c r="C3335" s="17" t="s">
        <v>1972</v>
      </c>
      <c r="D3335" s="25" t="s">
        <v>5803</v>
      </c>
      <c r="E3335" s="19" t="s">
        <v>5860</v>
      </c>
      <c r="F3335" s="19" t="s">
        <v>142</v>
      </c>
      <c r="G3335" s="5" t="str">
        <f>HYPERLINK("http://jsmh.umin.jp/journal/40-2/237-238.pdf")</f>
        <v>http://jsmh.umin.jp/journal/40-2/237-238.pdf</v>
      </c>
      <c r="H3335" s="43" t="str">
        <f t="shared" si="232"/>
        <v>http://dl.ndl.go.jp/info:ndljp/pid/3359343</v>
      </c>
    </row>
    <row r="3336" spans="1:8" ht="30" customHeight="1" x14ac:dyDescent="0.15">
      <c r="A3336" s="16" t="s">
        <v>2990</v>
      </c>
      <c r="B3336" s="17" t="s">
        <v>10230</v>
      </c>
      <c r="C3336" s="17" t="s">
        <v>2233</v>
      </c>
      <c r="D3336" s="25" t="s">
        <v>5803</v>
      </c>
      <c r="E3336" s="19" t="s">
        <v>5860</v>
      </c>
      <c r="F3336" s="19" t="s">
        <v>145</v>
      </c>
      <c r="G3336" s="5" t="str">
        <f>HYPERLINK("http://jsmh.umin.jp/journal/40-2/238-239.pdf")</f>
        <v>http://jsmh.umin.jp/journal/40-2/238-239.pdf</v>
      </c>
      <c r="H3336" s="43" t="str">
        <f t="shared" si="232"/>
        <v>http://dl.ndl.go.jp/info:ndljp/pid/3359343</v>
      </c>
    </row>
    <row r="3337" spans="1:8" ht="30" customHeight="1" x14ac:dyDescent="0.15">
      <c r="A3337" s="16" t="s">
        <v>2990</v>
      </c>
      <c r="B3337" s="17" t="s">
        <v>5883</v>
      </c>
      <c r="C3337" s="17" t="s">
        <v>916</v>
      </c>
      <c r="D3337" s="25" t="s">
        <v>5803</v>
      </c>
      <c r="E3337" s="19" t="s">
        <v>5860</v>
      </c>
      <c r="F3337" s="19" t="s">
        <v>5273</v>
      </c>
      <c r="G3337" s="5" t="str">
        <f>HYPERLINK("http://jsmh.umin.jp/journal/40-2/239-241.pdf")</f>
        <v>http://jsmh.umin.jp/journal/40-2/239-241.pdf</v>
      </c>
      <c r="H3337" s="43" t="str">
        <f t="shared" si="232"/>
        <v>http://dl.ndl.go.jp/info:ndljp/pid/3359343</v>
      </c>
    </row>
    <row r="3338" spans="1:8" ht="30" customHeight="1" x14ac:dyDescent="0.15">
      <c r="A3338" s="16" t="s">
        <v>2990</v>
      </c>
      <c r="B3338" s="17" t="s">
        <v>5884</v>
      </c>
      <c r="C3338" s="17" t="s">
        <v>3781</v>
      </c>
      <c r="D3338" s="25" t="s">
        <v>5803</v>
      </c>
      <c r="E3338" s="19" t="s">
        <v>5860</v>
      </c>
      <c r="F3338" s="19" t="s">
        <v>4374</v>
      </c>
      <c r="G3338" s="5" t="str">
        <f>HYPERLINK("http://jsmh.umin.jp/journal/40-2/241-242.pdf")</f>
        <v>http://jsmh.umin.jp/journal/40-2/241-242.pdf</v>
      </c>
      <c r="H3338" s="43" t="str">
        <f t="shared" si="232"/>
        <v>http://dl.ndl.go.jp/info:ndljp/pid/3359343</v>
      </c>
    </row>
    <row r="3339" spans="1:8" ht="30" customHeight="1" x14ac:dyDescent="0.15">
      <c r="A3339" s="16" t="s">
        <v>2990</v>
      </c>
      <c r="B3339" s="17" t="s">
        <v>5885</v>
      </c>
      <c r="C3339" s="17" t="s">
        <v>627</v>
      </c>
      <c r="D3339" s="25" t="s">
        <v>5803</v>
      </c>
      <c r="E3339" s="19" t="s">
        <v>5860</v>
      </c>
      <c r="F3339" s="19" t="s">
        <v>3304</v>
      </c>
      <c r="G3339" s="5" t="str">
        <f>HYPERLINK("http://jsmh.umin.jp/journal/40-2/242-243.pdf")</f>
        <v>http://jsmh.umin.jp/journal/40-2/242-243.pdf</v>
      </c>
      <c r="H3339" s="43" t="str">
        <f t="shared" si="232"/>
        <v>http://dl.ndl.go.jp/info:ndljp/pid/3359343</v>
      </c>
    </row>
    <row r="3340" spans="1:8" ht="30" customHeight="1" x14ac:dyDescent="0.15">
      <c r="A3340" s="16" t="s">
        <v>2990</v>
      </c>
      <c r="B3340" s="17" t="s">
        <v>5886</v>
      </c>
      <c r="C3340" s="17" t="s">
        <v>2465</v>
      </c>
      <c r="D3340" s="25" t="s">
        <v>5803</v>
      </c>
      <c r="E3340" s="19" t="s">
        <v>5860</v>
      </c>
      <c r="F3340" s="19" t="s">
        <v>4024</v>
      </c>
      <c r="G3340" s="5" t="str">
        <f>HYPERLINK("http://jsmh.umin.jp/journal/40-2/243-244.pdf")</f>
        <v>http://jsmh.umin.jp/journal/40-2/243-244.pdf</v>
      </c>
      <c r="H3340" s="43" t="str">
        <f t="shared" si="232"/>
        <v>http://dl.ndl.go.jp/info:ndljp/pid/3359343</v>
      </c>
    </row>
    <row r="3341" spans="1:8" ht="30" customHeight="1" x14ac:dyDescent="0.15">
      <c r="A3341" s="16" t="s">
        <v>2990</v>
      </c>
      <c r="B3341" s="17" t="s">
        <v>5887</v>
      </c>
      <c r="C3341" s="17" t="s">
        <v>4039</v>
      </c>
      <c r="D3341" s="25" t="s">
        <v>5803</v>
      </c>
      <c r="E3341" s="19" t="s">
        <v>5860</v>
      </c>
      <c r="F3341" s="19" t="s">
        <v>3464</v>
      </c>
      <c r="G3341" s="5" t="str">
        <f>HYPERLINK("http://jsmh.umin.jp/journal/40-2/245-247.pdf")</f>
        <v>http://jsmh.umin.jp/journal/40-2/245-247.pdf</v>
      </c>
      <c r="H3341" s="43" t="str">
        <f t="shared" si="232"/>
        <v>http://dl.ndl.go.jp/info:ndljp/pid/3359343</v>
      </c>
    </row>
    <row r="3342" spans="1:8" ht="30" customHeight="1" x14ac:dyDescent="0.15">
      <c r="A3342" s="16" t="s">
        <v>2990</v>
      </c>
      <c r="B3342" s="17" t="s">
        <v>5888</v>
      </c>
      <c r="C3342" s="17" t="s">
        <v>830</v>
      </c>
      <c r="D3342" s="25" t="s">
        <v>5803</v>
      </c>
      <c r="E3342" s="19" t="s">
        <v>5860</v>
      </c>
      <c r="F3342" s="19" t="s">
        <v>5889</v>
      </c>
      <c r="G3342" s="5" t="str">
        <f>HYPERLINK("http://jsmh.umin.jp/journal/40-2/245.pdf")</f>
        <v>http://jsmh.umin.jp/journal/40-2/245.pdf</v>
      </c>
      <c r="H3342" s="43" t="str">
        <f t="shared" si="232"/>
        <v>http://dl.ndl.go.jp/info:ndljp/pid/3359343</v>
      </c>
    </row>
    <row r="3343" spans="1:8" ht="30" customHeight="1" x14ac:dyDescent="0.15">
      <c r="A3343" s="16" t="s">
        <v>17</v>
      </c>
      <c r="B3343" s="17" t="s">
        <v>10231</v>
      </c>
      <c r="C3343" s="17" t="s">
        <v>2937</v>
      </c>
      <c r="D3343" s="25" t="s">
        <v>5803</v>
      </c>
      <c r="E3343" s="19" t="s">
        <v>5890</v>
      </c>
      <c r="F3343" s="19" t="s">
        <v>5891</v>
      </c>
      <c r="G3343" s="5" t="str">
        <f>HYPERLINK("http://jsmh.umin.jp/journal/40-3/255-279.pdf")</f>
        <v>http://jsmh.umin.jp/journal/40-3/255-279.pdf</v>
      </c>
      <c r="H3343" s="42" t="str">
        <f t="shared" ref="H3343:H3363" si="233">HYPERLINK("http://dl.ndl.go.jp/info:ndljp/pid/3359344")</f>
        <v>http://dl.ndl.go.jp/info:ndljp/pid/3359344</v>
      </c>
    </row>
    <row r="3344" spans="1:8" ht="30" customHeight="1" x14ac:dyDescent="0.15">
      <c r="A3344" s="16" t="s">
        <v>17</v>
      </c>
      <c r="B3344" s="17" t="s">
        <v>5892</v>
      </c>
      <c r="C3344" s="17" t="s">
        <v>10156</v>
      </c>
      <c r="D3344" s="25" t="s">
        <v>5803</v>
      </c>
      <c r="E3344" s="19" t="s">
        <v>5890</v>
      </c>
      <c r="F3344" s="19" t="s">
        <v>5893</v>
      </c>
      <c r="G3344" s="5" t="str">
        <f>HYPERLINK("http://jsmh.umin.jp/journal/40-3/281-292.pdf")</f>
        <v>http://jsmh.umin.jp/journal/40-3/281-292.pdf</v>
      </c>
      <c r="H3344" s="43" t="str">
        <f t="shared" si="233"/>
        <v>http://dl.ndl.go.jp/info:ndljp/pid/3359344</v>
      </c>
    </row>
    <row r="3345" spans="1:8" ht="30" customHeight="1" x14ac:dyDescent="0.15">
      <c r="A3345" s="16" t="s">
        <v>3387</v>
      </c>
      <c r="B3345" s="17" t="s">
        <v>5894</v>
      </c>
      <c r="C3345" s="17" t="s">
        <v>4988</v>
      </c>
      <c r="D3345" s="25" t="s">
        <v>5803</v>
      </c>
      <c r="E3345" s="19" t="s">
        <v>5890</v>
      </c>
      <c r="F3345" s="19" t="s">
        <v>5895</v>
      </c>
      <c r="G3345" s="5" t="str">
        <f>HYPERLINK("http://jsmh.umin.jp/journal/40-3/293-304.pdf")</f>
        <v>http://jsmh.umin.jp/journal/40-3/293-304.pdf</v>
      </c>
      <c r="H3345" s="43" t="str">
        <f t="shared" si="233"/>
        <v>http://dl.ndl.go.jp/info:ndljp/pid/3359344</v>
      </c>
    </row>
    <row r="3346" spans="1:8" ht="30" customHeight="1" x14ac:dyDescent="0.15">
      <c r="A3346" s="16" t="s">
        <v>3387</v>
      </c>
      <c r="B3346" s="17" t="s">
        <v>5896</v>
      </c>
      <c r="C3346" s="17" t="s">
        <v>10232</v>
      </c>
      <c r="D3346" s="25" t="s">
        <v>5803</v>
      </c>
      <c r="E3346" s="19" t="s">
        <v>5890</v>
      </c>
      <c r="F3346" s="19" t="s">
        <v>5897</v>
      </c>
      <c r="G3346" s="5" t="str">
        <f>HYPERLINK("http://jsmh.umin.jp/journal/40-3/305-313.pdf")</f>
        <v>http://jsmh.umin.jp/journal/40-3/305-313.pdf</v>
      </c>
      <c r="H3346" s="43" t="str">
        <f t="shared" si="233"/>
        <v>http://dl.ndl.go.jp/info:ndljp/pid/3359344</v>
      </c>
    </row>
    <row r="3347" spans="1:8" ht="30" customHeight="1" x14ac:dyDescent="0.15">
      <c r="A3347" s="16" t="s">
        <v>692</v>
      </c>
      <c r="B3347" s="17" t="s">
        <v>5898</v>
      </c>
      <c r="C3347" s="17" t="s">
        <v>4870</v>
      </c>
      <c r="D3347" s="25" t="s">
        <v>5803</v>
      </c>
      <c r="E3347" s="19" t="s">
        <v>5890</v>
      </c>
      <c r="F3347" s="19" t="s">
        <v>5899</v>
      </c>
      <c r="G3347" s="5" t="str">
        <f>HYPERLINK("http://jsmh.umin.jp/journal/40-3/315-322.pdf")</f>
        <v>http://jsmh.umin.jp/journal/40-3/315-322.pdf</v>
      </c>
      <c r="H3347" s="43" t="str">
        <f t="shared" si="233"/>
        <v>http://dl.ndl.go.jp/info:ndljp/pid/3359344</v>
      </c>
    </row>
    <row r="3348" spans="1:8" ht="30" customHeight="1" x14ac:dyDescent="0.15">
      <c r="A3348" s="16" t="s">
        <v>558</v>
      </c>
      <c r="B3348" s="17" t="s">
        <v>5900</v>
      </c>
      <c r="C3348" s="17" t="s">
        <v>479</v>
      </c>
      <c r="D3348" s="25" t="s">
        <v>5803</v>
      </c>
      <c r="E3348" s="19" t="s">
        <v>5890</v>
      </c>
      <c r="F3348" s="19" t="s">
        <v>2458</v>
      </c>
      <c r="G3348" s="5" t="str">
        <f>HYPERLINK("http://jsmh.umin.jp/journal/40-3/326.pdf")</f>
        <v>http://jsmh.umin.jp/journal/40-3/326.pdf</v>
      </c>
      <c r="H3348" s="43" t="str">
        <f t="shared" si="233"/>
        <v>http://dl.ndl.go.jp/info:ndljp/pid/3359344</v>
      </c>
    </row>
    <row r="3349" spans="1:8" ht="30" customHeight="1" x14ac:dyDescent="0.15">
      <c r="A3349" s="16" t="s">
        <v>3720</v>
      </c>
      <c r="B3349" s="17" t="s">
        <v>5901</v>
      </c>
      <c r="C3349" s="17" t="s">
        <v>2465</v>
      </c>
      <c r="D3349" s="25" t="s">
        <v>5803</v>
      </c>
      <c r="E3349" s="19" t="s">
        <v>5890</v>
      </c>
      <c r="F3349" s="19" t="s">
        <v>1600</v>
      </c>
      <c r="G3349" s="5" t="str">
        <f>HYPERLINK("http://jsmh.umin.jp/journal/40-3/327-328.pdf")</f>
        <v>http://jsmh.umin.jp/journal/40-3/327-328.pdf</v>
      </c>
      <c r="H3349" s="43" t="str">
        <f t="shared" si="233"/>
        <v>http://dl.ndl.go.jp/info:ndljp/pid/3359344</v>
      </c>
    </row>
    <row r="3350" spans="1:8" ht="30" customHeight="1" x14ac:dyDescent="0.15">
      <c r="A3350" s="16" t="s">
        <v>3720</v>
      </c>
      <c r="B3350" s="17" t="s">
        <v>5902</v>
      </c>
      <c r="C3350" s="17" t="s">
        <v>4085</v>
      </c>
      <c r="D3350" s="25" t="s">
        <v>5803</v>
      </c>
      <c r="E3350" s="19" t="s">
        <v>5890</v>
      </c>
      <c r="F3350" s="19" t="s">
        <v>3891</v>
      </c>
      <c r="G3350" s="5" t="str">
        <f>HYPERLINK("http://jsmh.umin.jp/journal/40-3/328-329.pdf")</f>
        <v>http://jsmh.umin.jp/journal/40-3/328-329.pdf</v>
      </c>
      <c r="H3350" s="43" t="str">
        <f t="shared" si="233"/>
        <v>http://dl.ndl.go.jp/info:ndljp/pid/3359344</v>
      </c>
    </row>
    <row r="3351" spans="1:8" ht="30" customHeight="1" x14ac:dyDescent="0.15">
      <c r="A3351" s="16" t="s">
        <v>3720</v>
      </c>
      <c r="B3351" s="17" t="s">
        <v>5903</v>
      </c>
      <c r="C3351" s="17" t="s">
        <v>48</v>
      </c>
      <c r="D3351" s="25" t="s">
        <v>5803</v>
      </c>
      <c r="E3351" s="19" t="s">
        <v>5890</v>
      </c>
      <c r="F3351" s="19" t="s">
        <v>2987</v>
      </c>
      <c r="G3351" s="5" t="str">
        <f>HYPERLINK("http://jsmh.umin.jp/journal/40-3/330-331.pdf")</f>
        <v>http://jsmh.umin.jp/journal/40-3/330-331.pdf</v>
      </c>
      <c r="H3351" s="43" t="str">
        <f t="shared" si="233"/>
        <v>http://dl.ndl.go.jp/info:ndljp/pid/3359344</v>
      </c>
    </row>
    <row r="3352" spans="1:8" ht="30" customHeight="1" x14ac:dyDescent="0.15">
      <c r="A3352" s="16" t="s">
        <v>3720</v>
      </c>
      <c r="B3352" s="17" t="s">
        <v>5904</v>
      </c>
      <c r="C3352" s="17" t="s">
        <v>4085</v>
      </c>
      <c r="D3352" s="25" t="s">
        <v>5803</v>
      </c>
      <c r="E3352" s="19" t="s">
        <v>5890</v>
      </c>
      <c r="F3352" s="19" t="s">
        <v>1609</v>
      </c>
      <c r="G3352" s="5" t="str">
        <f>HYPERLINK("http://jsmh.umin.jp/journal/40-3/331-332.pdf")</f>
        <v>http://jsmh.umin.jp/journal/40-3/331-332.pdf</v>
      </c>
      <c r="H3352" s="43" t="str">
        <f t="shared" si="233"/>
        <v>http://dl.ndl.go.jp/info:ndljp/pid/3359344</v>
      </c>
    </row>
    <row r="3353" spans="1:8" ht="30" customHeight="1" x14ac:dyDescent="0.15">
      <c r="A3353" s="16" t="s">
        <v>3720</v>
      </c>
      <c r="B3353" s="17" t="s">
        <v>5905</v>
      </c>
      <c r="C3353" s="17" t="s">
        <v>3655</v>
      </c>
      <c r="D3353" s="25" t="s">
        <v>5803</v>
      </c>
      <c r="E3353" s="19" t="s">
        <v>5890</v>
      </c>
      <c r="F3353" s="19" t="s">
        <v>1619</v>
      </c>
      <c r="G3353" s="5" t="str">
        <f>HYPERLINK("http://jsmh.umin.jp/journal/40-3/333-334.pdf")</f>
        <v>http://jsmh.umin.jp/journal/40-3/333-334.pdf</v>
      </c>
      <c r="H3353" s="43" t="str">
        <f t="shared" si="233"/>
        <v>http://dl.ndl.go.jp/info:ndljp/pid/3359344</v>
      </c>
    </row>
    <row r="3354" spans="1:8" ht="30" customHeight="1" x14ac:dyDescent="0.15">
      <c r="A3354" s="16" t="s">
        <v>2990</v>
      </c>
      <c r="B3354" s="17" t="s">
        <v>5906</v>
      </c>
      <c r="C3354" s="17" t="s">
        <v>3196</v>
      </c>
      <c r="D3354" s="25" t="s">
        <v>5803</v>
      </c>
      <c r="E3354" s="19" t="s">
        <v>5890</v>
      </c>
      <c r="F3354" s="19" t="s">
        <v>5907</v>
      </c>
      <c r="G3354" s="5" t="str">
        <f>HYPERLINK("http://jsmh.umin.jp/journal/40-3/334-336.pdf")</f>
        <v>http://jsmh.umin.jp/journal/40-3/334-336.pdf</v>
      </c>
      <c r="H3354" s="43" t="str">
        <f t="shared" si="233"/>
        <v>http://dl.ndl.go.jp/info:ndljp/pid/3359344</v>
      </c>
    </row>
    <row r="3355" spans="1:8" ht="30" customHeight="1" x14ac:dyDescent="0.15">
      <c r="A3355" s="16" t="s">
        <v>2990</v>
      </c>
      <c r="B3355" s="17" t="s">
        <v>10233</v>
      </c>
      <c r="C3355" s="17" t="s">
        <v>4585</v>
      </c>
      <c r="D3355" s="25" t="s">
        <v>5803</v>
      </c>
      <c r="E3355" s="19" t="s">
        <v>5890</v>
      </c>
      <c r="F3355" s="19" t="s">
        <v>4887</v>
      </c>
      <c r="G3355" s="5" t="str">
        <f>HYPERLINK("http://jsmh.umin.jp/journal/40-3/336-337.pdf")</f>
        <v>http://jsmh.umin.jp/journal/40-3/336-337.pdf</v>
      </c>
      <c r="H3355" s="43" t="str">
        <f t="shared" si="233"/>
        <v>http://dl.ndl.go.jp/info:ndljp/pid/3359344</v>
      </c>
    </row>
    <row r="3356" spans="1:8" ht="30" customHeight="1" x14ac:dyDescent="0.15">
      <c r="A3356" s="16" t="s">
        <v>2990</v>
      </c>
      <c r="B3356" s="17" t="s">
        <v>5908</v>
      </c>
      <c r="C3356" s="17" t="s">
        <v>5080</v>
      </c>
      <c r="D3356" s="25" t="s">
        <v>5803</v>
      </c>
      <c r="E3356" s="19" t="s">
        <v>5890</v>
      </c>
      <c r="F3356" s="19" t="s">
        <v>4889</v>
      </c>
      <c r="G3356" s="5" t="str">
        <f>HYPERLINK("http://jsmh.umin.jp/journal/40-3/337-338.pdf")</f>
        <v>http://jsmh.umin.jp/journal/40-3/337-338.pdf</v>
      </c>
      <c r="H3356" s="43" t="str">
        <f t="shared" si="233"/>
        <v>http://dl.ndl.go.jp/info:ndljp/pid/3359344</v>
      </c>
    </row>
    <row r="3357" spans="1:8" ht="30" customHeight="1" x14ac:dyDescent="0.15">
      <c r="A3357" s="16" t="s">
        <v>2990</v>
      </c>
      <c r="B3357" s="17" t="s">
        <v>5909</v>
      </c>
      <c r="C3357" s="17" t="s">
        <v>5910</v>
      </c>
      <c r="D3357" s="25" t="s">
        <v>5803</v>
      </c>
      <c r="E3357" s="19" t="s">
        <v>5890</v>
      </c>
      <c r="F3357" s="19" t="s">
        <v>3148</v>
      </c>
      <c r="G3357" s="5" t="str">
        <f>HYPERLINK("http://jsmh.umin.jp/journal/40-3/338-340.pdf")</f>
        <v>http://jsmh.umin.jp/journal/40-3/338-340.pdf</v>
      </c>
      <c r="H3357" s="43" t="str">
        <f t="shared" si="233"/>
        <v>http://dl.ndl.go.jp/info:ndljp/pid/3359344</v>
      </c>
    </row>
    <row r="3358" spans="1:8" ht="30" customHeight="1" x14ac:dyDescent="0.15">
      <c r="A3358" s="16" t="s">
        <v>2990</v>
      </c>
      <c r="B3358" s="17" t="s">
        <v>10234</v>
      </c>
      <c r="C3358" s="17" t="s">
        <v>444</v>
      </c>
      <c r="D3358" s="25" t="s">
        <v>5803</v>
      </c>
      <c r="E3358" s="19" t="s">
        <v>5890</v>
      </c>
      <c r="F3358" s="19" t="s">
        <v>3150</v>
      </c>
      <c r="G3358" s="5" t="str">
        <f>HYPERLINK("http://jsmh.umin.jp/journal/40-3/340-342.pdf")</f>
        <v>http://jsmh.umin.jp/journal/40-3/340-342.pdf</v>
      </c>
      <c r="H3358" s="43" t="str">
        <f t="shared" si="233"/>
        <v>http://dl.ndl.go.jp/info:ndljp/pid/3359344</v>
      </c>
    </row>
    <row r="3359" spans="1:8" ht="30" customHeight="1" x14ac:dyDescent="0.15">
      <c r="A3359" s="16" t="s">
        <v>2990</v>
      </c>
      <c r="B3359" s="17" t="s">
        <v>5911</v>
      </c>
      <c r="C3359" s="17" t="s">
        <v>1457</v>
      </c>
      <c r="D3359" s="25" t="s">
        <v>5803</v>
      </c>
      <c r="E3359" s="19" t="s">
        <v>5890</v>
      </c>
      <c r="F3359" s="19" t="s">
        <v>4900</v>
      </c>
      <c r="G3359" s="5" t="str">
        <f>HYPERLINK("http://jsmh.umin.jp/journal/40-3/342-343.pdf")</f>
        <v>http://jsmh.umin.jp/journal/40-3/342-343.pdf</v>
      </c>
      <c r="H3359" s="43" t="str">
        <f t="shared" si="233"/>
        <v>http://dl.ndl.go.jp/info:ndljp/pid/3359344</v>
      </c>
    </row>
    <row r="3360" spans="1:8" ht="30" customHeight="1" x14ac:dyDescent="0.15">
      <c r="A3360" s="16" t="s">
        <v>2990</v>
      </c>
      <c r="B3360" s="17" t="s">
        <v>5912</v>
      </c>
      <c r="C3360" s="17" t="s">
        <v>1803</v>
      </c>
      <c r="D3360" s="25" t="s">
        <v>5803</v>
      </c>
      <c r="E3360" s="19" t="s">
        <v>5890</v>
      </c>
      <c r="F3360" s="19" t="s">
        <v>3152</v>
      </c>
      <c r="G3360" s="5" t="str">
        <f>HYPERLINK("http://jsmh.umin.jp/journal/40-3/343-344.pdf")</f>
        <v>http://jsmh.umin.jp/journal/40-3/343-344.pdf</v>
      </c>
      <c r="H3360" s="43" t="str">
        <f t="shared" si="233"/>
        <v>http://dl.ndl.go.jp/info:ndljp/pid/3359344</v>
      </c>
    </row>
    <row r="3361" spans="1:8" ht="30" customHeight="1" x14ac:dyDescent="0.15">
      <c r="A3361" s="16" t="s">
        <v>2990</v>
      </c>
      <c r="B3361" s="17" t="s">
        <v>5913</v>
      </c>
      <c r="C3361" s="17" t="s">
        <v>1097</v>
      </c>
      <c r="D3361" s="25" t="s">
        <v>5803</v>
      </c>
      <c r="E3361" s="19" t="s">
        <v>5890</v>
      </c>
      <c r="F3361" s="19" t="s">
        <v>5135</v>
      </c>
      <c r="G3361" s="5" t="str">
        <f>HYPERLINK("http://jsmh.umin.jp/journal/40-3/344-345.pdf")</f>
        <v>http://jsmh.umin.jp/journal/40-3/344-345.pdf</v>
      </c>
      <c r="H3361" s="43" t="str">
        <f t="shared" si="233"/>
        <v>http://dl.ndl.go.jp/info:ndljp/pid/3359344</v>
      </c>
    </row>
    <row r="3362" spans="1:8" ht="30" customHeight="1" x14ac:dyDescent="0.15">
      <c r="A3362" s="16" t="s">
        <v>2990</v>
      </c>
      <c r="B3362" s="17" t="s">
        <v>5914</v>
      </c>
      <c r="C3362" s="17" t="s">
        <v>1823</v>
      </c>
      <c r="D3362" s="25" t="s">
        <v>5803</v>
      </c>
      <c r="E3362" s="19" t="s">
        <v>5890</v>
      </c>
      <c r="F3362" s="19" t="s">
        <v>5137</v>
      </c>
      <c r="G3362" s="5" t="str">
        <f>HYPERLINK("http://jsmh.umin.jp/journal/40-3/345-346.pdf")</f>
        <v>http://jsmh.umin.jp/journal/40-3/345-346.pdf</v>
      </c>
      <c r="H3362" s="43" t="str">
        <f t="shared" si="233"/>
        <v>http://dl.ndl.go.jp/info:ndljp/pid/3359344</v>
      </c>
    </row>
    <row r="3363" spans="1:8" ht="30" customHeight="1" x14ac:dyDescent="0.15">
      <c r="A3363" s="16"/>
      <c r="B3363" s="17" t="s">
        <v>5915</v>
      </c>
      <c r="C3363" s="17"/>
      <c r="D3363" s="25" t="s">
        <v>5803</v>
      </c>
      <c r="E3363" s="19" t="s">
        <v>5890</v>
      </c>
      <c r="F3363" s="19" t="s">
        <v>5916</v>
      </c>
      <c r="G3363" s="5" t="str">
        <f>HYPERLINK("http://jsmh.umin.jp/journal/40-3/348-391.pdf")</f>
        <v>http://jsmh.umin.jp/journal/40-3/348-391.pdf</v>
      </c>
      <c r="H3363" s="43" t="str">
        <f t="shared" si="233"/>
        <v>http://dl.ndl.go.jp/info:ndljp/pid/3359344</v>
      </c>
    </row>
    <row r="3364" spans="1:8" ht="30" customHeight="1" x14ac:dyDescent="0.15">
      <c r="A3364" s="16" t="s">
        <v>17</v>
      </c>
      <c r="B3364" s="17" t="s">
        <v>10235</v>
      </c>
      <c r="C3364" s="17" t="s">
        <v>3644</v>
      </c>
      <c r="D3364" s="25" t="s">
        <v>5803</v>
      </c>
      <c r="E3364" s="19" t="s">
        <v>5917</v>
      </c>
      <c r="F3364" s="19" t="s">
        <v>5918</v>
      </c>
      <c r="G3364" s="5" t="str">
        <f>HYPERLINK("http://jsmh.umin.jp/journal/40-4/399-412.pdf")</f>
        <v>http://jsmh.umin.jp/journal/40-4/399-412.pdf</v>
      </c>
      <c r="H3364" s="42" t="str">
        <f t="shared" ref="H3364:H3381" si="234">HYPERLINK("http://dl.ndl.go.jp/info:ndljp/pid/3359345")</f>
        <v>http://dl.ndl.go.jp/info:ndljp/pid/3359345</v>
      </c>
    </row>
    <row r="3365" spans="1:8" ht="30" customHeight="1" x14ac:dyDescent="0.15">
      <c r="A3365" s="16" t="s">
        <v>17</v>
      </c>
      <c r="B3365" s="17" t="s">
        <v>10236</v>
      </c>
      <c r="C3365" s="17" t="s">
        <v>2937</v>
      </c>
      <c r="D3365" s="25" t="s">
        <v>5803</v>
      </c>
      <c r="E3365" s="19" t="s">
        <v>5917</v>
      </c>
      <c r="F3365" s="19" t="s">
        <v>5919</v>
      </c>
      <c r="G3365" s="5" t="str">
        <f>HYPERLINK("http://jsmh.umin.jp/journal/40-4/413-434.pdf")</f>
        <v>http://jsmh.umin.jp/journal/40-4/413-434.pdf</v>
      </c>
      <c r="H3365" s="43" t="str">
        <f t="shared" si="234"/>
        <v>http://dl.ndl.go.jp/info:ndljp/pid/3359345</v>
      </c>
    </row>
    <row r="3366" spans="1:8" ht="30" customHeight="1" x14ac:dyDescent="0.15">
      <c r="A3366" s="16" t="s">
        <v>17</v>
      </c>
      <c r="B3366" s="17" t="s">
        <v>10237</v>
      </c>
      <c r="C3366" s="17" t="s">
        <v>5920</v>
      </c>
      <c r="D3366" s="25" t="s">
        <v>5803</v>
      </c>
      <c r="E3366" s="19" t="s">
        <v>5917</v>
      </c>
      <c r="F3366" s="19" t="s">
        <v>3739</v>
      </c>
      <c r="G3366" s="5" t="str">
        <f>HYPERLINK("http://jsmh.umin.jp/journal/40-4/435-446.pdf")</f>
        <v>http://jsmh.umin.jp/journal/40-4/435-446.pdf</v>
      </c>
      <c r="H3366" s="43" t="str">
        <f t="shared" si="234"/>
        <v>http://dl.ndl.go.jp/info:ndljp/pid/3359345</v>
      </c>
    </row>
    <row r="3367" spans="1:8" ht="30" customHeight="1" x14ac:dyDescent="0.15">
      <c r="A3367" s="16" t="s">
        <v>3387</v>
      </c>
      <c r="B3367" s="17" t="s">
        <v>5921</v>
      </c>
      <c r="C3367" s="17" t="s">
        <v>5720</v>
      </c>
      <c r="D3367" s="25" t="s">
        <v>5803</v>
      </c>
      <c r="E3367" s="19" t="s">
        <v>5917</v>
      </c>
      <c r="F3367" s="19" t="s">
        <v>5922</v>
      </c>
      <c r="G3367" s="5" t="str">
        <f>HYPERLINK("http://jsmh.umin.jp/journal/40-4/447-465.pdf")</f>
        <v>http://jsmh.umin.jp/journal/40-4/447-465.pdf</v>
      </c>
      <c r="H3367" s="43" t="str">
        <f t="shared" si="234"/>
        <v>http://dl.ndl.go.jp/info:ndljp/pid/3359345</v>
      </c>
    </row>
    <row r="3368" spans="1:8" ht="30" customHeight="1" x14ac:dyDescent="0.15">
      <c r="A3368" s="16" t="s">
        <v>692</v>
      </c>
      <c r="B3368" s="17" t="s">
        <v>5923</v>
      </c>
      <c r="C3368" s="17" t="s">
        <v>5924</v>
      </c>
      <c r="D3368" s="25" t="s">
        <v>5803</v>
      </c>
      <c r="E3368" s="19" t="s">
        <v>5917</v>
      </c>
      <c r="F3368" s="19" t="s">
        <v>5925</v>
      </c>
      <c r="G3368" s="5" t="str">
        <f>HYPERLINK("http://jsmh.umin.jp/journal/40-4/467-478.pdf")</f>
        <v>http://jsmh.umin.jp/journal/40-4/467-478.pdf</v>
      </c>
      <c r="H3368" s="43" t="str">
        <f t="shared" si="234"/>
        <v>http://dl.ndl.go.jp/info:ndljp/pid/3359345</v>
      </c>
    </row>
    <row r="3369" spans="1:8" ht="30" customHeight="1" x14ac:dyDescent="0.15">
      <c r="A3369" s="16" t="s">
        <v>692</v>
      </c>
      <c r="B3369" s="17" t="s">
        <v>5926</v>
      </c>
      <c r="C3369" s="17" t="s">
        <v>4870</v>
      </c>
      <c r="D3369" s="25" t="s">
        <v>5803</v>
      </c>
      <c r="E3369" s="19" t="s">
        <v>5917</v>
      </c>
      <c r="F3369" s="19" t="s">
        <v>5927</v>
      </c>
      <c r="G3369" s="5" t="str">
        <f>HYPERLINK("http://jsmh.umin.jp/journal/40-4/479-488.pdf")</f>
        <v>http://jsmh.umin.jp/journal/40-4/479-488.pdf</v>
      </c>
      <c r="H3369" s="43" t="str">
        <f t="shared" si="234"/>
        <v>http://dl.ndl.go.jp/info:ndljp/pid/3359345</v>
      </c>
    </row>
    <row r="3370" spans="1:8" ht="30" customHeight="1" x14ac:dyDescent="0.15">
      <c r="A3370" s="16" t="s">
        <v>558</v>
      </c>
      <c r="B3370" s="17" t="s">
        <v>5928</v>
      </c>
      <c r="C3370" s="17" t="s">
        <v>2233</v>
      </c>
      <c r="D3370" s="25" t="s">
        <v>5803</v>
      </c>
      <c r="E3370" s="19" t="s">
        <v>5917</v>
      </c>
      <c r="F3370" s="19" t="s">
        <v>3554</v>
      </c>
      <c r="G3370" s="5" t="str">
        <f>HYPERLINK("http://jsmh.umin.jp/journal/40-4/489-491.pdf")</f>
        <v>http://jsmh.umin.jp/journal/40-4/489-491.pdf</v>
      </c>
      <c r="H3370" s="43" t="str">
        <f t="shared" si="234"/>
        <v>http://dl.ndl.go.jp/info:ndljp/pid/3359345</v>
      </c>
    </row>
    <row r="3371" spans="1:8" ht="30" customHeight="1" x14ac:dyDescent="0.15">
      <c r="A3371" s="16" t="s">
        <v>558</v>
      </c>
      <c r="B3371" s="17" t="s">
        <v>5929</v>
      </c>
      <c r="C3371" s="17" t="s">
        <v>4039</v>
      </c>
      <c r="D3371" s="25" t="s">
        <v>5803</v>
      </c>
      <c r="E3371" s="19" t="s">
        <v>5917</v>
      </c>
      <c r="F3371" s="19" t="s">
        <v>5930</v>
      </c>
      <c r="G3371" s="5" t="str">
        <f>HYPERLINK("http://jsmh.umin.jp/journal/40-4/491-492.pdf")</f>
        <v>http://jsmh.umin.jp/journal/40-4/491-492.pdf</v>
      </c>
      <c r="H3371" s="43" t="str">
        <f t="shared" si="234"/>
        <v>http://dl.ndl.go.jp/info:ndljp/pid/3359345</v>
      </c>
    </row>
    <row r="3372" spans="1:8" ht="30" customHeight="1" x14ac:dyDescent="0.15">
      <c r="A3372" s="16" t="s">
        <v>3720</v>
      </c>
      <c r="B3372" s="17" t="s">
        <v>5931</v>
      </c>
      <c r="C3372" s="17" t="s">
        <v>48</v>
      </c>
      <c r="D3372" s="25" t="s">
        <v>5803</v>
      </c>
      <c r="E3372" s="19" t="s">
        <v>5917</v>
      </c>
      <c r="F3372" s="19" t="s">
        <v>5932</v>
      </c>
      <c r="G3372" s="5" t="str">
        <f>HYPERLINK("http://jsmh.umin.jp/journal/40-4/492-493.pdf")</f>
        <v>http://jsmh.umin.jp/journal/40-4/492-493.pdf</v>
      </c>
      <c r="H3372" s="43" t="str">
        <f t="shared" si="234"/>
        <v>http://dl.ndl.go.jp/info:ndljp/pid/3359345</v>
      </c>
    </row>
    <row r="3373" spans="1:8" ht="30" customHeight="1" x14ac:dyDescent="0.15">
      <c r="A3373" s="16" t="s">
        <v>3720</v>
      </c>
      <c r="B3373" s="17" t="s">
        <v>5933</v>
      </c>
      <c r="C3373" s="17" t="s">
        <v>4039</v>
      </c>
      <c r="D3373" s="25" t="s">
        <v>5803</v>
      </c>
      <c r="E3373" s="19" t="s">
        <v>5917</v>
      </c>
      <c r="F3373" s="19" t="s">
        <v>5934</v>
      </c>
      <c r="G3373" s="5" t="str">
        <f>HYPERLINK("http://jsmh.umin.jp/journal/40-4/493-495.pdf")</f>
        <v>http://jsmh.umin.jp/journal/40-4/493-495.pdf</v>
      </c>
      <c r="H3373" s="43" t="str">
        <f t="shared" si="234"/>
        <v>http://dl.ndl.go.jp/info:ndljp/pid/3359345</v>
      </c>
    </row>
    <row r="3374" spans="1:8" ht="30" customHeight="1" x14ac:dyDescent="0.15">
      <c r="A3374" s="16" t="s">
        <v>3720</v>
      </c>
      <c r="B3374" s="17" t="s">
        <v>5935</v>
      </c>
      <c r="C3374" s="17" t="s">
        <v>4351</v>
      </c>
      <c r="D3374" s="25" t="s">
        <v>5803</v>
      </c>
      <c r="E3374" s="19" t="s">
        <v>5917</v>
      </c>
      <c r="F3374" s="19" t="s">
        <v>3934</v>
      </c>
      <c r="G3374" s="5" t="str">
        <f>HYPERLINK("http://jsmh.umin.jp/journal/40-4/496.pdf")</f>
        <v>http://jsmh.umin.jp/journal/40-4/496.pdf</v>
      </c>
      <c r="H3374" s="43" t="str">
        <f t="shared" si="234"/>
        <v>http://dl.ndl.go.jp/info:ndljp/pid/3359345</v>
      </c>
    </row>
    <row r="3375" spans="1:8" ht="30" customHeight="1" x14ac:dyDescent="0.15">
      <c r="A3375" s="16" t="s">
        <v>2990</v>
      </c>
      <c r="B3375" s="17" t="s">
        <v>5936</v>
      </c>
      <c r="C3375" s="17" t="s">
        <v>5119</v>
      </c>
      <c r="D3375" s="25" t="s">
        <v>5803</v>
      </c>
      <c r="E3375" s="19" t="s">
        <v>5917</v>
      </c>
      <c r="F3375" s="19" t="s">
        <v>5937</v>
      </c>
      <c r="G3375" s="5" t="str">
        <f>HYPERLINK("http://jsmh.umin.jp/journal/40-4/497-498.pdf")</f>
        <v>http://jsmh.umin.jp/journal/40-4/497-498.pdf</v>
      </c>
      <c r="H3375" s="43" t="str">
        <f t="shared" si="234"/>
        <v>http://dl.ndl.go.jp/info:ndljp/pid/3359345</v>
      </c>
    </row>
    <row r="3376" spans="1:8" ht="30" customHeight="1" x14ac:dyDescent="0.15">
      <c r="A3376" s="16" t="s">
        <v>2990</v>
      </c>
      <c r="B3376" s="17" t="s">
        <v>10238</v>
      </c>
      <c r="C3376" s="17" t="s">
        <v>5471</v>
      </c>
      <c r="D3376" s="25" t="s">
        <v>5803</v>
      </c>
      <c r="E3376" s="19" t="s">
        <v>5917</v>
      </c>
      <c r="F3376" s="19" t="s">
        <v>5938</v>
      </c>
      <c r="G3376" s="5" t="str">
        <f>HYPERLINK("http://jsmh.umin.jp/journal/40-4/498-499.pdf")</f>
        <v>http://jsmh.umin.jp/journal/40-4/498-499.pdf</v>
      </c>
      <c r="H3376" s="43" t="str">
        <f t="shared" si="234"/>
        <v>http://dl.ndl.go.jp/info:ndljp/pid/3359345</v>
      </c>
    </row>
    <row r="3377" spans="1:8" ht="30" customHeight="1" x14ac:dyDescent="0.15">
      <c r="A3377" s="16" t="s">
        <v>2990</v>
      </c>
      <c r="B3377" s="17" t="s">
        <v>5939</v>
      </c>
      <c r="C3377" s="17" t="s">
        <v>5940</v>
      </c>
      <c r="D3377" s="25" t="s">
        <v>5803</v>
      </c>
      <c r="E3377" s="19" t="s">
        <v>5917</v>
      </c>
      <c r="F3377" s="19" t="s">
        <v>5941</v>
      </c>
      <c r="G3377" s="5" t="str">
        <f>HYPERLINK("http://jsmh.umin.jp/journal/40-4/499-501.pdf")</f>
        <v>http://jsmh.umin.jp/journal/40-4/499-501.pdf</v>
      </c>
      <c r="H3377" s="43" t="str">
        <f t="shared" si="234"/>
        <v>http://dl.ndl.go.jp/info:ndljp/pid/3359345</v>
      </c>
    </row>
    <row r="3378" spans="1:8" ht="30" customHeight="1" x14ac:dyDescent="0.15">
      <c r="A3378" s="16" t="s">
        <v>2990</v>
      </c>
      <c r="B3378" s="17" t="s">
        <v>5942</v>
      </c>
      <c r="C3378" s="17" t="s">
        <v>2485</v>
      </c>
      <c r="D3378" s="25" t="s">
        <v>5803</v>
      </c>
      <c r="E3378" s="19" t="s">
        <v>5917</v>
      </c>
      <c r="F3378" s="19" t="s">
        <v>5160</v>
      </c>
      <c r="G3378" s="5" t="str">
        <f>HYPERLINK("http://jsmh.umin.jp/journal/40-4/501-502.pdf")</f>
        <v>http://jsmh.umin.jp/journal/40-4/501-502.pdf</v>
      </c>
      <c r="H3378" s="43" t="str">
        <f t="shared" si="234"/>
        <v>http://dl.ndl.go.jp/info:ndljp/pid/3359345</v>
      </c>
    </row>
    <row r="3379" spans="1:8" ht="30" customHeight="1" x14ac:dyDescent="0.15">
      <c r="A3379" s="16" t="s">
        <v>2990</v>
      </c>
      <c r="B3379" s="17" t="s">
        <v>5943</v>
      </c>
      <c r="C3379" s="17" t="s">
        <v>5944</v>
      </c>
      <c r="D3379" s="25" t="s">
        <v>5803</v>
      </c>
      <c r="E3379" s="19" t="s">
        <v>5917</v>
      </c>
      <c r="F3379" s="19" t="s">
        <v>5945</v>
      </c>
      <c r="G3379" s="5" t="str">
        <f>HYPERLINK("http://jsmh.umin.jp/journal/40-4/503-504.pdf")</f>
        <v>http://jsmh.umin.jp/journal/40-4/503-504.pdf</v>
      </c>
      <c r="H3379" s="43" t="str">
        <f t="shared" si="234"/>
        <v>http://dl.ndl.go.jp/info:ndljp/pid/3359345</v>
      </c>
    </row>
    <row r="3380" spans="1:8" ht="30" customHeight="1" x14ac:dyDescent="0.15">
      <c r="A3380" s="16" t="s">
        <v>2990</v>
      </c>
      <c r="B3380" s="17" t="s">
        <v>5946</v>
      </c>
      <c r="C3380" s="17" t="s">
        <v>5825</v>
      </c>
      <c r="D3380" s="25" t="s">
        <v>5803</v>
      </c>
      <c r="E3380" s="19" t="s">
        <v>5917</v>
      </c>
      <c r="F3380" s="19" t="s">
        <v>5947</v>
      </c>
      <c r="G3380" s="5" t="str">
        <f>HYPERLINK("http://jsmh.umin.jp/journal/40-4/504-506.pdf")</f>
        <v>http://jsmh.umin.jp/journal/40-4/504-506.pdf</v>
      </c>
      <c r="H3380" s="43" t="str">
        <f t="shared" si="234"/>
        <v>http://dl.ndl.go.jp/info:ndljp/pid/3359345</v>
      </c>
    </row>
    <row r="3381" spans="1:8" ht="30" customHeight="1" x14ac:dyDescent="0.15">
      <c r="A3381" s="16" t="s">
        <v>2990</v>
      </c>
      <c r="B3381" s="17" t="s">
        <v>5948</v>
      </c>
      <c r="C3381" s="17" t="s">
        <v>3655</v>
      </c>
      <c r="D3381" s="25" t="s">
        <v>5803</v>
      </c>
      <c r="E3381" s="19" t="s">
        <v>5917</v>
      </c>
      <c r="F3381" s="19" t="s">
        <v>5949</v>
      </c>
      <c r="G3381" s="5" t="str">
        <f>HYPERLINK("http://jsmh.umin.jp/journal/40-4/506-507.pdf")</f>
        <v>http://jsmh.umin.jp/journal/40-4/506-507.pdf</v>
      </c>
      <c r="H3381" s="43" t="str">
        <f t="shared" si="234"/>
        <v>http://dl.ndl.go.jp/info:ndljp/pid/3359345</v>
      </c>
    </row>
    <row r="3382" spans="1:8" ht="30" customHeight="1" x14ac:dyDescent="0.15">
      <c r="A3382" s="16" t="s">
        <v>17</v>
      </c>
      <c r="B3382" s="17" t="s">
        <v>5950</v>
      </c>
      <c r="C3382" s="17" t="s">
        <v>5080</v>
      </c>
      <c r="D3382" s="18" t="s">
        <v>5951</v>
      </c>
      <c r="E3382" s="19" t="s">
        <v>5952</v>
      </c>
      <c r="F3382" s="19" t="s">
        <v>5953</v>
      </c>
      <c r="G3382" s="5" t="str">
        <f>HYPERLINK("http://jsmh.umin.jp/journal/41-1/3-28.pdf")</f>
        <v>http://jsmh.umin.jp/journal/41-1/3-28.pdf</v>
      </c>
      <c r="H3382" s="42" t="str">
        <f t="shared" ref="H3382:H3395" si="235">HYPERLINK("http://dl.ndl.go.jp/info:ndljp/pid/3359346")</f>
        <v>http://dl.ndl.go.jp/info:ndljp/pid/3359346</v>
      </c>
    </row>
    <row r="3383" spans="1:8" ht="30" customHeight="1" x14ac:dyDescent="0.15">
      <c r="A3383" s="16" t="s">
        <v>17</v>
      </c>
      <c r="B3383" s="17" t="s">
        <v>5954</v>
      </c>
      <c r="C3383" s="17" t="s">
        <v>5955</v>
      </c>
      <c r="D3383" s="25" t="s">
        <v>5951</v>
      </c>
      <c r="E3383" s="19" t="s">
        <v>5952</v>
      </c>
      <c r="F3383" s="19" t="s">
        <v>1804</v>
      </c>
      <c r="G3383" s="5" t="str">
        <f>HYPERLINK("http://jsmh.umin.jp/journal/41-1/29-40.pdf")</f>
        <v>http://jsmh.umin.jp/journal/41-1/29-40.pdf</v>
      </c>
      <c r="H3383" s="43" t="str">
        <f t="shared" si="235"/>
        <v>http://dl.ndl.go.jp/info:ndljp/pid/3359346</v>
      </c>
    </row>
    <row r="3384" spans="1:8" ht="30" customHeight="1" x14ac:dyDescent="0.15">
      <c r="A3384" s="16" t="s">
        <v>17</v>
      </c>
      <c r="B3384" s="17" t="s">
        <v>5956</v>
      </c>
      <c r="C3384" s="17" t="s">
        <v>4988</v>
      </c>
      <c r="D3384" s="25" t="s">
        <v>5951</v>
      </c>
      <c r="E3384" s="19" t="s">
        <v>5952</v>
      </c>
      <c r="F3384" s="19" t="s">
        <v>5957</v>
      </c>
      <c r="G3384" s="5" t="str">
        <f>HYPERLINK("http://jsmh.umin.jp/journal/41-1/41-73.pdf")</f>
        <v>http://jsmh.umin.jp/journal/41-1/41-73.pdf</v>
      </c>
      <c r="H3384" s="43" t="str">
        <f t="shared" si="235"/>
        <v>http://dl.ndl.go.jp/info:ndljp/pid/3359346</v>
      </c>
    </row>
    <row r="3385" spans="1:8" ht="30" customHeight="1" x14ac:dyDescent="0.15">
      <c r="A3385" s="16" t="s">
        <v>3387</v>
      </c>
      <c r="B3385" s="17" t="s">
        <v>5958</v>
      </c>
      <c r="C3385" s="17" t="s">
        <v>3839</v>
      </c>
      <c r="D3385" s="25" t="s">
        <v>5951</v>
      </c>
      <c r="E3385" s="19" t="s">
        <v>5952</v>
      </c>
      <c r="F3385" s="19" t="s">
        <v>5959</v>
      </c>
      <c r="G3385" s="5" t="str">
        <f>HYPERLINK("http://jsmh.umin.jp/journal/41-1/75-111.pdf")</f>
        <v>http://jsmh.umin.jp/journal/41-1/75-111.pdf</v>
      </c>
      <c r="H3385" s="43" t="str">
        <f t="shared" si="235"/>
        <v>http://dl.ndl.go.jp/info:ndljp/pid/3359346</v>
      </c>
    </row>
    <row r="3386" spans="1:8" ht="30" customHeight="1" x14ac:dyDescent="0.15">
      <c r="A3386" s="16" t="s">
        <v>3387</v>
      </c>
      <c r="B3386" s="17" t="s">
        <v>5960</v>
      </c>
      <c r="C3386" s="17" t="s">
        <v>5961</v>
      </c>
      <c r="D3386" s="25" t="s">
        <v>5951</v>
      </c>
      <c r="E3386" s="19" t="s">
        <v>5952</v>
      </c>
      <c r="F3386" s="19" t="s">
        <v>5962</v>
      </c>
      <c r="G3386" s="5" t="str">
        <f>HYPERLINK("http://jsmh.umin.jp/journal/41-1/113-119.pdf")</f>
        <v>http://jsmh.umin.jp/journal/41-1/113-119.pdf</v>
      </c>
      <c r="H3386" s="43" t="str">
        <f t="shared" si="235"/>
        <v>http://dl.ndl.go.jp/info:ndljp/pid/3359346</v>
      </c>
    </row>
    <row r="3387" spans="1:8" ht="30" customHeight="1" x14ac:dyDescent="0.15">
      <c r="A3387" s="16" t="s">
        <v>692</v>
      </c>
      <c r="B3387" s="17" t="s">
        <v>5963</v>
      </c>
      <c r="C3387" s="17" t="s">
        <v>4870</v>
      </c>
      <c r="D3387" s="25" t="s">
        <v>5951</v>
      </c>
      <c r="E3387" s="19" t="s">
        <v>5952</v>
      </c>
      <c r="F3387" s="19" t="s">
        <v>5964</v>
      </c>
      <c r="G3387" s="5" t="str">
        <f>HYPERLINK("http://jsmh.umin.jp/journal/41-1/121-129.pdf")</f>
        <v>http://jsmh.umin.jp/journal/41-1/121-129.pdf</v>
      </c>
      <c r="H3387" s="43" t="str">
        <f t="shared" si="235"/>
        <v>http://dl.ndl.go.jp/info:ndljp/pid/3359346</v>
      </c>
    </row>
    <row r="3388" spans="1:8" ht="30" customHeight="1" x14ac:dyDescent="0.15">
      <c r="A3388" s="16" t="s">
        <v>3223</v>
      </c>
      <c r="B3388" s="17" t="s">
        <v>5965</v>
      </c>
      <c r="C3388" s="17" t="s">
        <v>2325</v>
      </c>
      <c r="D3388" s="25" t="s">
        <v>5951</v>
      </c>
      <c r="E3388" s="19" t="s">
        <v>5952</v>
      </c>
      <c r="F3388" s="19" t="s">
        <v>5966</v>
      </c>
      <c r="G3388" s="5" t="str">
        <f>HYPERLINK("http://jsmh.umin.jp/journal/41-1/131-133.pdf")</f>
        <v>http://jsmh.umin.jp/journal/41-1/131-133.pdf</v>
      </c>
      <c r="H3388" s="43" t="str">
        <f t="shared" si="235"/>
        <v>http://dl.ndl.go.jp/info:ndljp/pid/3359346</v>
      </c>
    </row>
    <row r="3389" spans="1:8" ht="30" customHeight="1" x14ac:dyDescent="0.15">
      <c r="A3389" s="16" t="s">
        <v>558</v>
      </c>
      <c r="B3389" s="17" t="s">
        <v>5967</v>
      </c>
      <c r="C3389" s="17" t="s">
        <v>479</v>
      </c>
      <c r="D3389" s="25" t="s">
        <v>5951</v>
      </c>
      <c r="E3389" s="19" t="s">
        <v>5952</v>
      </c>
      <c r="F3389" s="19" t="s">
        <v>2425</v>
      </c>
      <c r="G3389" s="5" t="str">
        <f>HYPERLINK("http://jsmh.umin.jp/journal/41-1/134-135.pdf")</f>
        <v>http://jsmh.umin.jp/journal/41-1/134-135.pdf</v>
      </c>
      <c r="H3389" s="43" t="str">
        <f t="shared" si="235"/>
        <v>http://dl.ndl.go.jp/info:ndljp/pid/3359346</v>
      </c>
    </row>
    <row r="3390" spans="1:8" ht="30" customHeight="1" x14ac:dyDescent="0.15">
      <c r="A3390" s="16" t="s">
        <v>3720</v>
      </c>
      <c r="B3390" s="17" t="s">
        <v>5968</v>
      </c>
      <c r="C3390" s="17" t="s">
        <v>444</v>
      </c>
      <c r="D3390" s="25" t="s">
        <v>5951</v>
      </c>
      <c r="E3390" s="19" t="s">
        <v>5952</v>
      </c>
      <c r="F3390" s="19" t="s">
        <v>1345</v>
      </c>
      <c r="G3390" s="5" t="str">
        <f>HYPERLINK("http://jsmh.umin.jp/journal/41-1/135-136.pdf")</f>
        <v>http://jsmh.umin.jp/journal/41-1/135-136.pdf</v>
      </c>
      <c r="H3390" s="43" t="str">
        <f t="shared" si="235"/>
        <v>http://dl.ndl.go.jp/info:ndljp/pid/3359346</v>
      </c>
    </row>
    <row r="3391" spans="1:8" ht="30" customHeight="1" x14ac:dyDescent="0.15">
      <c r="A3391" s="16" t="s">
        <v>3720</v>
      </c>
      <c r="B3391" s="17" t="s">
        <v>5969</v>
      </c>
      <c r="C3391" s="17" t="s">
        <v>5825</v>
      </c>
      <c r="D3391" s="25" t="s">
        <v>5951</v>
      </c>
      <c r="E3391" s="19" t="s">
        <v>5952</v>
      </c>
      <c r="F3391" s="19" t="s">
        <v>1511</v>
      </c>
      <c r="G3391" s="5" t="str">
        <f>HYPERLINK("http://jsmh.umin.jp/journal/41-1/136-138.pdf")</f>
        <v>http://jsmh.umin.jp/journal/41-1/136-138.pdf</v>
      </c>
      <c r="H3391" s="43" t="str">
        <f t="shared" si="235"/>
        <v>http://dl.ndl.go.jp/info:ndljp/pid/3359346</v>
      </c>
    </row>
    <row r="3392" spans="1:8" ht="30" customHeight="1" x14ac:dyDescent="0.15">
      <c r="A3392" s="16" t="s">
        <v>3720</v>
      </c>
      <c r="B3392" s="17" t="s">
        <v>5970</v>
      </c>
      <c r="C3392" s="17" t="s">
        <v>2937</v>
      </c>
      <c r="D3392" s="25" t="s">
        <v>5951</v>
      </c>
      <c r="E3392" s="19" t="s">
        <v>5952</v>
      </c>
      <c r="F3392" s="19" t="s">
        <v>2228</v>
      </c>
      <c r="G3392" s="5" t="str">
        <f>HYPERLINK("http://jsmh.umin.jp/journal/41-1/138-139.pdf")</f>
        <v>http://jsmh.umin.jp/journal/41-1/138-139.pdf</v>
      </c>
      <c r="H3392" s="43" t="str">
        <f t="shared" si="235"/>
        <v>http://dl.ndl.go.jp/info:ndljp/pid/3359346</v>
      </c>
    </row>
    <row r="3393" spans="1:8" ht="30" customHeight="1" x14ac:dyDescent="0.15">
      <c r="A3393" s="16" t="s">
        <v>2990</v>
      </c>
      <c r="B3393" s="17" t="s">
        <v>5971</v>
      </c>
      <c r="C3393" s="17" t="s">
        <v>5020</v>
      </c>
      <c r="D3393" s="25" t="s">
        <v>5951</v>
      </c>
      <c r="E3393" s="19" t="s">
        <v>5952</v>
      </c>
      <c r="F3393" s="19" t="s">
        <v>3792</v>
      </c>
      <c r="G3393" s="5" t="str">
        <f>HYPERLINK("http://jsmh.umin.jp/journal/41-1/139-141.pdf")</f>
        <v>http://jsmh.umin.jp/journal/41-1/139-141.pdf</v>
      </c>
      <c r="H3393" s="43" t="str">
        <f t="shared" si="235"/>
        <v>http://dl.ndl.go.jp/info:ndljp/pid/3359346</v>
      </c>
    </row>
    <row r="3394" spans="1:8" ht="30" customHeight="1" x14ac:dyDescent="0.15">
      <c r="A3394" s="16" t="s">
        <v>2990</v>
      </c>
      <c r="B3394" s="17" t="s">
        <v>5972</v>
      </c>
      <c r="C3394" s="17" t="s">
        <v>5973</v>
      </c>
      <c r="D3394" s="25" t="s">
        <v>5951</v>
      </c>
      <c r="E3394" s="19" t="s">
        <v>5952</v>
      </c>
      <c r="F3394" s="19" t="s">
        <v>2758</v>
      </c>
      <c r="G3394" s="5" t="str">
        <f>HYPERLINK("http://jsmh.umin.jp/journal/41-1/141-142.pdf")</f>
        <v>http://jsmh.umin.jp/journal/41-1/141-142.pdf</v>
      </c>
      <c r="H3394" s="43" t="str">
        <f t="shared" si="235"/>
        <v>http://dl.ndl.go.jp/info:ndljp/pid/3359346</v>
      </c>
    </row>
    <row r="3395" spans="1:8" ht="30" customHeight="1" x14ac:dyDescent="0.15">
      <c r="A3395" s="16" t="s">
        <v>2990</v>
      </c>
      <c r="B3395" s="17" t="s">
        <v>5974</v>
      </c>
      <c r="C3395" s="17" t="s">
        <v>4894</v>
      </c>
      <c r="D3395" s="25" t="s">
        <v>5951</v>
      </c>
      <c r="E3395" s="19" t="s">
        <v>5952</v>
      </c>
      <c r="F3395" s="19" t="s">
        <v>3794</v>
      </c>
      <c r="G3395" s="5" t="str">
        <f>HYPERLINK("http://jsmh.umin.jp/journal/41-1/142-144.pdf")</f>
        <v>http://jsmh.umin.jp/journal/41-1/142-144.pdf</v>
      </c>
      <c r="H3395" s="43" t="str">
        <f t="shared" si="235"/>
        <v>http://dl.ndl.go.jp/info:ndljp/pid/3359346</v>
      </c>
    </row>
    <row r="3396" spans="1:8" ht="30" customHeight="1" x14ac:dyDescent="0.15">
      <c r="A3396" s="16" t="s">
        <v>5975</v>
      </c>
      <c r="B3396" s="17" t="s">
        <v>5976</v>
      </c>
      <c r="C3396" s="17" t="s">
        <v>5977</v>
      </c>
      <c r="D3396" s="25" t="s">
        <v>5951</v>
      </c>
      <c r="E3396" s="19" t="s">
        <v>5978</v>
      </c>
      <c r="F3396" s="19" t="s">
        <v>5979</v>
      </c>
      <c r="G3396" s="5" t="str">
        <f>HYPERLINK("http://jsmh.umin.jp/journal/41-2/158-162.pdf")</f>
        <v>http://jsmh.umin.jp/journal/41-2/158-162.pdf</v>
      </c>
      <c r="H3396" s="42" t="str">
        <f t="shared" ref="H3396:H3427" si="236">HYPERLINK("http://dl.ndl.go.jp/info:ndljp/pid/3359347")</f>
        <v>http://dl.ndl.go.jp/info:ndljp/pid/3359347</v>
      </c>
    </row>
    <row r="3397" spans="1:8" ht="30" customHeight="1" x14ac:dyDescent="0.15">
      <c r="A3397" s="16" t="s">
        <v>5980</v>
      </c>
      <c r="B3397" s="17" t="s">
        <v>5981</v>
      </c>
      <c r="C3397" s="17" t="s">
        <v>5982</v>
      </c>
      <c r="D3397" s="25" t="s">
        <v>5951</v>
      </c>
      <c r="E3397" s="19" t="s">
        <v>5978</v>
      </c>
      <c r="F3397" s="19" t="s">
        <v>231</v>
      </c>
      <c r="G3397" s="5" t="str">
        <f>HYPERLINK("http://jsmh.umin.jp/journal/41-2/163-167.pdf")</f>
        <v>http://jsmh.umin.jp/journal/41-2/163-167.pdf</v>
      </c>
      <c r="H3397" s="43" t="str">
        <f t="shared" si="236"/>
        <v>http://dl.ndl.go.jp/info:ndljp/pid/3359347</v>
      </c>
    </row>
    <row r="3398" spans="1:8" ht="30" customHeight="1" x14ac:dyDescent="0.15">
      <c r="A3398" s="16" t="s">
        <v>5980</v>
      </c>
      <c r="B3398" s="17" t="s">
        <v>5983</v>
      </c>
      <c r="C3398" s="17" t="s">
        <v>10163</v>
      </c>
      <c r="D3398" s="25" t="s">
        <v>5951</v>
      </c>
      <c r="E3398" s="19" t="s">
        <v>5978</v>
      </c>
      <c r="F3398" s="19" t="s">
        <v>5984</v>
      </c>
      <c r="G3398" s="5" t="str">
        <f>HYPERLINK("http://jsmh.umin.jp/journal/41-2/168-174.pdf")</f>
        <v>http://jsmh.umin.jp/journal/41-2/168-174.pdf</v>
      </c>
      <c r="H3398" s="43" t="str">
        <f t="shared" si="236"/>
        <v>http://dl.ndl.go.jp/info:ndljp/pid/3359347</v>
      </c>
    </row>
    <row r="3399" spans="1:8" ht="30" customHeight="1" x14ac:dyDescent="0.15">
      <c r="A3399" s="16" t="s">
        <v>5980</v>
      </c>
      <c r="B3399" s="17" t="s">
        <v>5985</v>
      </c>
      <c r="C3399" s="17" t="s">
        <v>5986</v>
      </c>
      <c r="D3399" s="25" t="s">
        <v>5951</v>
      </c>
      <c r="E3399" s="19" t="s">
        <v>5978</v>
      </c>
      <c r="F3399" s="19" t="s">
        <v>5987</v>
      </c>
      <c r="G3399" s="5" t="str">
        <f>HYPERLINK("http://jsmh.umin.jp/journal/41-2/175-181.pdf")</f>
        <v>http://jsmh.umin.jp/journal/41-2/175-181.pdf</v>
      </c>
      <c r="H3399" s="43" t="str">
        <f t="shared" si="236"/>
        <v>http://dl.ndl.go.jp/info:ndljp/pid/3359347</v>
      </c>
    </row>
    <row r="3400" spans="1:8" ht="30" customHeight="1" x14ac:dyDescent="0.15">
      <c r="A3400" s="16" t="s">
        <v>1855</v>
      </c>
      <c r="B3400" s="17" t="s">
        <v>5988</v>
      </c>
      <c r="C3400" s="17" t="s">
        <v>5300</v>
      </c>
      <c r="D3400" s="25" t="s">
        <v>5951</v>
      </c>
      <c r="E3400" s="19" t="s">
        <v>5978</v>
      </c>
      <c r="F3400" s="19" t="s">
        <v>1715</v>
      </c>
      <c r="G3400" s="5" t="str">
        <f>HYPERLINK("http://jsmh.umin.jp/journal/41-2/182-183.pdf")</f>
        <v>http://jsmh.umin.jp/journal/41-2/182-183.pdf</v>
      </c>
      <c r="H3400" s="43" t="str">
        <f t="shared" si="236"/>
        <v>http://dl.ndl.go.jp/info:ndljp/pid/3359347</v>
      </c>
    </row>
    <row r="3401" spans="1:8" ht="30" customHeight="1" x14ac:dyDescent="0.15">
      <c r="A3401" s="16" t="s">
        <v>1855</v>
      </c>
      <c r="B3401" s="17" t="s">
        <v>5989</v>
      </c>
      <c r="C3401" s="17" t="s">
        <v>925</v>
      </c>
      <c r="D3401" s="25" t="s">
        <v>5951</v>
      </c>
      <c r="E3401" s="19" t="s">
        <v>5978</v>
      </c>
      <c r="F3401" s="19" t="s">
        <v>3984</v>
      </c>
      <c r="G3401" s="5" t="str">
        <f>HYPERLINK("http://jsmh.umin.jp/journal/41-2/184-185.pdf")</f>
        <v>http://jsmh.umin.jp/journal/41-2/184-185.pdf</v>
      </c>
      <c r="H3401" s="43" t="str">
        <f t="shared" si="236"/>
        <v>http://dl.ndl.go.jp/info:ndljp/pid/3359347</v>
      </c>
    </row>
    <row r="3402" spans="1:8" ht="30" customHeight="1" x14ac:dyDescent="0.15">
      <c r="A3402" s="16" t="s">
        <v>1855</v>
      </c>
      <c r="B3402" s="17" t="s">
        <v>10239</v>
      </c>
      <c r="C3402" s="17" t="s">
        <v>1972</v>
      </c>
      <c r="D3402" s="25" t="s">
        <v>5951</v>
      </c>
      <c r="E3402" s="19" t="s">
        <v>5978</v>
      </c>
      <c r="F3402" s="19" t="s">
        <v>1721</v>
      </c>
      <c r="G3402" s="5" t="str">
        <f>HYPERLINK("http://jsmh.umin.jp/journal/41-2/186-187.pdf")</f>
        <v>http://jsmh.umin.jp/journal/41-2/186-187.pdf</v>
      </c>
      <c r="H3402" s="43" t="str">
        <f t="shared" si="236"/>
        <v>http://dl.ndl.go.jp/info:ndljp/pid/3359347</v>
      </c>
    </row>
    <row r="3403" spans="1:8" ht="30" customHeight="1" x14ac:dyDescent="0.15">
      <c r="A3403" s="16" t="s">
        <v>1855</v>
      </c>
      <c r="B3403" s="17" t="s">
        <v>5990</v>
      </c>
      <c r="C3403" s="17" t="s">
        <v>5991</v>
      </c>
      <c r="D3403" s="25" t="s">
        <v>5951</v>
      </c>
      <c r="E3403" s="19" t="s">
        <v>5978</v>
      </c>
      <c r="F3403" s="19" t="s">
        <v>2580</v>
      </c>
      <c r="G3403" s="5" t="str">
        <f>HYPERLINK("http://jsmh.umin.jp/journal/41-2/188-189.pdf")</f>
        <v>http://jsmh.umin.jp/journal/41-2/188-189.pdf</v>
      </c>
      <c r="H3403" s="43" t="str">
        <f t="shared" si="236"/>
        <v>http://dl.ndl.go.jp/info:ndljp/pid/3359347</v>
      </c>
    </row>
    <row r="3404" spans="1:8" ht="30" customHeight="1" x14ac:dyDescent="0.15">
      <c r="A3404" s="16" t="s">
        <v>1855</v>
      </c>
      <c r="B3404" s="17" t="s">
        <v>5992</v>
      </c>
      <c r="C3404" s="17" t="s">
        <v>5075</v>
      </c>
      <c r="D3404" s="25" t="s">
        <v>5951</v>
      </c>
      <c r="E3404" s="19" t="s">
        <v>5978</v>
      </c>
      <c r="F3404" s="19" t="s">
        <v>976</v>
      </c>
      <c r="G3404" s="5" t="str">
        <f>HYPERLINK("http://jsmh.umin.jp/journal/41-2/190-191.pdf")</f>
        <v>http://jsmh.umin.jp/journal/41-2/190-191.pdf</v>
      </c>
      <c r="H3404" s="43" t="str">
        <f t="shared" si="236"/>
        <v>http://dl.ndl.go.jp/info:ndljp/pid/3359347</v>
      </c>
    </row>
    <row r="3405" spans="1:8" ht="30" customHeight="1" x14ac:dyDescent="0.15">
      <c r="A3405" s="16" t="s">
        <v>1855</v>
      </c>
      <c r="B3405" s="17" t="s">
        <v>5993</v>
      </c>
      <c r="C3405" s="17" t="s">
        <v>5986</v>
      </c>
      <c r="D3405" s="25" t="s">
        <v>5951</v>
      </c>
      <c r="E3405" s="19" t="s">
        <v>5978</v>
      </c>
      <c r="F3405" s="19" t="s">
        <v>986</v>
      </c>
      <c r="G3405" s="5" t="str">
        <f>HYPERLINK("http://jsmh.umin.jp/journal/41-2/192-193.pdf")</f>
        <v>http://jsmh.umin.jp/journal/41-2/192-193.pdf</v>
      </c>
      <c r="H3405" s="43" t="str">
        <f t="shared" si="236"/>
        <v>http://dl.ndl.go.jp/info:ndljp/pid/3359347</v>
      </c>
    </row>
    <row r="3406" spans="1:8" ht="30" customHeight="1" x14ac:dyDescent="0.15">
      <c r="A3406" s="16" t="s">
        <v>1855</v>
      </c>
      <c r="B3406" s="17" t="s">
        <v>5994</v>
      </c>
      <c r="C3406" s="17" t="s">
        <v>5516</v>
      </c>
      <c r="D3406" s="25" t="s">
        <v>5951</v>
      </c>
      <c r="E3406" s="19" t="s">
        <v>5978</v>
      </c>
      <c r="F3406" s="19" t="s">
        <v>993</v>
      </c>
      <c r="G3406" s="5" t="str">
        <f>HYPERLINK("http://jsmh.umin.jp/journal/41-2/194-195.pdf")</f>
        <v>http://jsmh.umin.jp/journal/41-2/194-195.pdf</v>
      </c>
      <c r="H3406" s="43" t="str">
        <f t="shared" si="236"/>
        <v>http://dl.ndl.go.jp/info:ndljp/pid/3359347</v>
      </c>
    </row>
    <row r="3407" spans="1:8" ht="30" customHeight="1" x14ac:dyDescent="0.15">
      <c r="A3407" s="16" t="s">
        <v>1855</v>
      </c>
      <c r="B3407" s="17" t="s">
        <v>5995</v>
      </c>
      <c r="C3407" s="17" t="s">
        <v>5848</v>
      </c>
      <c r="D3407" s="25" t="s">
        <v>5951</v>
      </c>
      <c r="E3407" s="19" t="s">
        <v>5978</v>
      </c>
      <c r="F3407" s="19" t="s">
        <v>999</v>
      </c>
      <c r="G3407" s="5" t="str">
        <f>HYPERLINK("http://jsmh.umin.jp/journal/41-2/196-197.pdf")</f>
        <v>http://jsmh.umin.jp/journal/41-2/196-197.pdf</v>
      </c>
      <c r="H3407" s="43" t="str">
        <f t="shared" si="236"/>
        <v>http://dl.ndl.go.jp/info:ndljp/pid/3359347</v>
      </c>
    </row>
    <row r="3408" spans="1:8" ht="30" customHeight="1" x14ac:dyDescent="0.15">
      <c r="A3408" s="16" t="s">
        <v>1855</v>
      </c>
      <c r="B3408" s="17" t="s">
        <v>5996</v>
      </c>
      <c r="C3408" s="17" t="s">
        <v>3644</v>
      </c>
      <c r="D3408" s="25" t="s">
        <v>5951</v>
      </c>
      <c r="E3408" s="19" t="s">
        <v>5978</v>
      </c>
      <c r="F3408" s="19" t="s">
        <v>1740</v>
      </c>
      <c r="G3408" s="5" t="str">
        <f>HYPERLINK("http://jsmh.umin.jp/journal/41-2/198-199.pdf")</f>
        <v>http://jsmh.umin.jp/journal/41-2/198-199.pdf</v>
      </c>
      <c r="H3408" s="43" t="str">
        <f t="shared" si="236"/>
        <v>http://dl.ndl.go.jp/info:ndljp/pid/3359347</v>
      </c>
    </row>
    <row r="3409" spans="1:8" ht="30" customHeight="1" x14ac:dyDescent="0.15">
      <c r="A3409" s="16" t="s">
        <v>1855</v>
      </c>
      <c r="B3409" s="17" t="s">
        <v>5997</v>
      </c>
      <c r="C3409" s="17" t="s">
        <v>479</v>
      </c>
      <c r="D3409" s="25" t="s">
        <v>5951</v>
      </c>
      <c r="E3409" s="19" t="s">
        <v>5978</v>
      </c>
      <c r="F3409" s="19" t="s">
        <v>1743</v>
      </c>
      <c r="G3409" s="5" t="str">
        <f>HYPERLINK("http://jsmh.umin.jp/journal/41-2/200-201.pdf")</f>
        <v>http://jsmh.umin.jp/journal/41-2/200-201.pdf</v>
      </c>
      <c r="H3409" s="43" t="str">
        <f t="shared" si="236"/>
        <v>http://dl.ndl.go.jp/info:ndljp/pid/3359347</v>
      </c>
    </row>
    <row r="3410" spans="1:8" ht="30" customHeight="1" x14ac:dyDescent="0.15">
      <c r="A3410" s="16" t="s">
        <v>1855</v>
      </c>
      <c r="B3410" s="17" t="s">
        <v>5998</v>
      </c>
      <c r="C3410" s="17" t="s">
        <v>5084</v>
      </c>
      <c r="D3410" s="25" t="s">
        <v>5951</v>
      </c>
      <c r="E3410" s="19" t="s">
        <v>5978</v>
      </c>
      <c r="F3410" s="19" t="s">
        <v>1748</v>
      </c>
      <c r="G3410" s="5" t="str">
        <f>HYPERLINK("http://jsmh.umin.jp/journal/41-2/202-203.pdf")</f>
        <v>http://jsmh.umin.jp/journal/41-2/202-203.pdf</v>
      </c>
      <c r="H3410" s="43" t="str">
        <f t="shared" si="236"/>
        <v>http://dl.ndl.go.jp/info:ndljp/pid/3359347</v>
      </c>
    </row>
    <row r="3411" spans="1:8" ht="30" customHeight="1" x14ac:dyDescent="0.15">
      <c r="A3411" s="16" t="s">
        <v>5999</v>
      </c>
      <c r="B3411" s="17" t="s">
        <v>6000</v>
      </c>
      <c r="C3411" s="17" t="s">
        <v>6001</v>
      </c>
      <c r="D3411" s="25" t="s">
        <v>5951</v>
      </c>
      <c r="E3411" s="19" t="s">
        <v>5978</v>
      </c>
      <c r="F3411" s="19" t="s">
        <v>256</v>
      </c>
      <c r="G3411" s="5" t="str">
        <f>HYPERLINK("http://jsmh.umin.jp/journal/41-2/204-205.pdf")</f>
        <v>http://jsmh.umin.jp/journal/41-2/204-205.pdf</v>
      </c>
      <c r="H3411" s="43" t="str">
        <f t="shared" si="236"/>
        <v>http://dl.ndl.go.jp/info:ndljp/pid/3359347</v>
      </c>
    </row>
    <row r="3412" spans="1:8" ht="30" customHeight="1" x14ac:dyDescent="0.15">
      <c r="A3412" s="16" t="s">
        <v>1855</v>
      </c>
      <c r="B3412" s="17" t="s">
        <v>6002</v>
      </c>
      <c r="C3412" s="17" t="s">
        <v>5825</v>
      </c>
      <c r="D3412" s="25" t="s">
        <v>5951</v>
      </c>
      <c r="E3412" s="19" t="s">
        <v>5978</v>
      </c>
      <c r="F3412" s="19" t="s">
        <v>3271</v>
      </c>
      <c r="G3412" s="5" t="str">
        <f>HYPERLINK("http://jsmh.umin.jp/journal/41-2/206-207.pdf")</f>
        <v>http://jsmh.umin.jp/journal/41-2/206-207.pdf</v>
      </c>
      <c r="H3412" s="43" t="str">
        <f t="shared" si="236"/>
        <v>http://dl.ndl.go.jp/info:ndljp/pid/3359347</v>
      </c>
    </row>
    <row r="3413" spans="1:8" ht="30" customHeight="1" x14ac:dyDescent="0.15">
      <c r="A3413" s="16" t="s">
        <v>1855</v>
      </c>
      <c r="B3413" s="17" t="s">
        <v>6003</v>
      </c>
      <c r="C3413" s="17" t="s">
        <v>6004</v>
      </c>
      <c r="D3413" s="25" t="s">
        <v>5951</v>
      </c>
      <c r="E3413" s="19" t="s">
        <v>5978</v>
      </c>
      <c r="F3413" s="19" t="s">
        <v>4193</v>
      </c>
      <c r="G3413" s="5" t="str">
        <f>HYPERLINK("http://jsmh.umin.jp/journal/41-2/208-209.pdf")</f>
        <v>http://jsmh.umin.jp/journal/41-2/208-209.pdf</v>
      </c>
      <c r="H3413" s="43" t="str">
        <f t="shared" si="236"/>
        <v>http://dl.ndl.go.jp/info:ndljp/pid/3359347</v>
      </c>
    </row>
    <row r="3414" spans="1:8" ht="30" customHeight="1" x14ac:dyDescent="0.15">
      <c r="A3414" s="16" t="s">
        <v>1855</v>
      </c>
      <c r="B3414" s="17" t="s">
        <v>6005</v>
      </c>
      <c r="C3414" s="17" t="s">
        <v>2937</v>
      </c>
      <c r="D3414" s="25" t="s">
        <v>5951</v>
      </c>
      <c r="E3414" s="19" t="s">
        <v>5978</v>
      </c>
      <c r="F3414" s="19" t="s">
        <v>271</v>
      </c>
      <c r="G3414" s="5" t="str">
        <f>HYPERLINK("http://jsmh.umin.jp/journal/41-2/210-211.pdf")</f>
        <v>http://jsmh.umin.jp/journal/41-2/210-211.pdf</v>
      </c>
      <c r="H3414" s="43" t="str">
        <f t="shared" si="236"/>
        <v>http://dl.ndl.go.jp/info:ndljp/pid/3359347</v>
      </c>
    </row>
    <row r="3415" spans="1:8" ht="30" customHeight="1" x14ac:dyDescent="0.15">
      <c r="A3415" s="16" t="s">
        <v>1855</v>
      </c>
      <c r="B3415" s="17" t="s">
        <v>6006</v>
      </c>
      <c r="C3415" s="17" t="s">
        <v>6007</v>
      </c>
      <c r="D3415" s="25" t="s">
        <v>5951</v>
      </c>
      <c r="E3415" s="19" t="s">
        <v>5978</v>
      </c>
      <c r="F3415" s="19" t="s">
        <v>274</v>
      </c>
      <c r="G3415" s="5" t="str">
        <f>HYPERLINK("http://jsmh.umin.jp/journal/41-2/212-213.pdf")</f>
        <v>http://jsmh.umin.jp/journal/41-2/212-213.pdf</v>
      </c>
      <c r="H3415" s="43" t="str">
        <f t="shared" si="236"/>
        <v>http://dl.ndl.go.jp/info:ndljp/pid/3359347</v>
      </c>
    </row>
    <row r="3416" spans="1:8" ht="30" customHeight="1" x14ac:dyDescent="0.15">
      <c r="A3416" s="16" t="s">
        <v>1855</v>
      </c>
      <c r="B3416" s="17" t="s">
        <v>6008</v>
      </c>
      <c r="C3416" s="17" t="s">
        <v>5606</v>
      </c>
      <c r="D3416" s="25" t="s">
        <v>5951</v>
      </c>
      <c r="E3416" s="19" t="s">
        <v>5978</v>
      </c>
      <c r="F3416" s="19" t="s">
        <v>281</v>
      </c>
      <c r="G3416" s="5" t="str">
        <f>HYPERLINK("http://jsmh.umin.jp/journal/41-2/214-215.pdf")</f>
        <v>http://jsmh.umin.jp/journal/41-2/214-215.pdf</v>
      </c>
      <c r="H3416" s="43" t="str">
        <f t="shared" si="236"/>
        <v>http://dl.ndl.go.jp/info:ndljp/pid/3359347</v>
      </c>
    </row>
    <row r="3417" spans="1:8" ht="30" customHeight="1" x14ac:dyDescent="0.15">
      <c r="A3417" s="16" t="s">
        <v>1855</v>
      </c>
      <c r="B3417" s="17" t="s">
        <v>6009</v>
      </c>
      <c r="C3417" s="17" t="s">
        <v>2386</v>
      </c>
      <c r="D3417" s="25" t="s">
        <v>5951</v>
      </c>
      <c r="E3417" s="19" t="s">
        <v>5978</v>
      </c>
      <c r="F3417" s="19" t="s">
        <v>292</v>
      </c>
      <c r="G3417" s="5" t="str">
        <f>HYPERLINK("http://jsmh.umin.jp/journal/41-2/216-217.pdf")</f>
        <v>http://jsmh.umin.jp/journal/41-2/216-217.pdf</v>
      </c>
      <c r="H3417" s="43" t="str">
        <f t="shared" si="236"/>
        <v>http://dl.ndl.go.jp/info:ndljp/pid/3359347</v>
      </c>
    </row>
    <row r="3418" spans="1:8" ht="30" customHeight="1" x14ac:dyDescent="0.15">
      <c r="A3418" s="16" t="s">
        <v>1855</v>
      </c>
      <c r="B3418" s="17" t="s">
        <v>6010</v>
      </c>
      <c r="C3418" s="17" t="s">
        <v>627</v>
      </c>
      <c r="D3418" s="25" t="s">
        <v>5951</v>
      </c>
      <c r="E3418" s="19" t="s">
        <v>5978</v>
      </c>
      <c r="F3418" s="19" t="s">
        <v>298</v>
      </c>
      <c r="G3418" s="5" t="str">
        <f>HYPERLINK("http://jsmh.umin.jp/journal/41-2/218-219.pdf")</f>
        <v>http://jsmh.umin.jp/journal/41-2/218-219.pdf</v>
      </c>
      <c r="H3418" s="43" t="str">
        <f t="shared" si="236"/>
        <v>http://dl.ndl.go.jp/info:ndljp/pid/3359347</v>
      </c>
    </row>
    <row r="3419" spans="1:8" ht="30" customHeight="1" x14ac:dyDescent="0.15">
      <c r="A3419" s="16" t="s">
        <v>1855</v>
      </c>
      <c r="B3419" s="17" t="s">
        <v>6011</v>
      </c>
      <c r="C3419" s="17" t="s">
        <v>5080</v>
      </c>
      <c r="D3419" s="25" t="s">
        <v>5951</v>
      </c>
      <c r="E3419" s="19" t="s">
        <v>5978</v>
      </c>
      <c r="F3419" s="19" t="s">
        <v>5443</v>
      </c>
      <c r="G3419" s="5" t="str">
        <f>HYPERLINK("http://jsmh.umin.jp/journal/41-2/220-221.pdf")</f>
        <v>http://jsmh.umin.jp/journal/41-2/220-221.pdf</v>
      </c>
      <c r="H3419" s="43" t="str">
        <f t="shared" si="236"/>
        <v>http://dl.ndl.go.jp/info:ndljp/pid/3359347</v>
      </c>
    </row>
    <row r="3420" spans="1:8" ht="30" customHeight="1" x14ac:dyDescent="0.15">
      <c r="A3420" s="16" t="s">
        <v>1855</v>
      </c>
      <c r="B3420" s="17" t="s">
        <v>6012</v>
      </c>
      <c r="C3420" s="17" t="s">
        <v>790</v>
      </c>
      <c r="D3420" s="25" t="s">
        <v>5951</v>
      </c>
      <c r="E3420" s="19" t="s">
        <v>5978</v>
      </c>
      <c r="F3420" s="19" t="s">
        <v>1390</v>
      </c>
      <c r="G3420" s="5" t="str">
        <f>HYPERLINK("http://jsmh.umin.jp/journal/41-2/222-223.pdf")</f>
        <v>http://jsmh.umin.jp/journal/41-2/222-223.pdf</v>
      </c>
      <c r="H3420" s="43" t="str">
        <f t="shared" si="236"/>
        <v>http://dl.ndl.go.jp/info:ndljp/pid/3359347</v>
      </c>
    </row>
    <row r="3421" spans="1:8" ht="30" customHeight="1" x14ac:dyDescent="0.15">
      <c r="A3421" s="16" t="s">
        <v>1855</v>
      </c>
      <c r="B3421" s="17" t="s">
        <v>6013</v>
      </c>
      <c r="C3421" s="17" t="s">
        <v>6014</v>
      </c>
      <c r="D3421" s="25" t="s">
        <v>5951</v>
      </c>
      <c r="E3421" s="19" t="s">
        <v>5978</v>
      </c>
      <c r="F3421" s="19" t="s">
        <v>1393</v>
      </c>
      <c r="G3421" s="5" t="str">
        <f>HYPERLINK("http://jsmh.umin.jp/journal/41-2/224-225.pdf")</f>
        <v>http://jsmh.umin.jp/journal/41-2/224-225.pdf</v>
      </c>
      <c r="H3421" s="43" t="str">
        <f t="shared" si="236"/>
        <v>http://dl.ndl.go.jp/info:ndljp/pid/3359347</v>
      </c>
    </row>
    <row r="3422" spans="1:8" ht="30" customHeight="1" x14ac:dyDescent="0.15">
      <c r="A3422" s="16" t="s">
        <v>1855</v>
      </c>
      <c r="B3422" s="17" t="s">
        <v>6015</v>
      </c>
      <c r="C3422" s="17" t="s">
        <v>6016</v>
      </c>
      <c r="D3422" s="25" t="s">
        <v>5951</v>
      </c>
      <c r="E3422" s="19" t="s">
        <v>5978</v>
      </c>
      <c r="F3422" s="19" t="s">
        <v>1861</v>
      </c>
      <c r="G3422" s="5" t="str">
        <f>HYPERLINK("http://jsmh.umin.jp/journal/41-2/226-227.pdf")</f>
        <v>http://jsmh.umin.jp/journal/41-2/226-227.pdf</v>
      </c>
      <c r="H3422" s="43" t="str">
        <f t="shared" si="236"/>
        <v>http://dl.ndl.go.jp/info:ndljp/pid/3359347</v>
      </c>
    </row>
    <row r="3423" spans="1:8" ht="30" customHeight="1" x14ac:dyDescent="0.15">
      <c r="A3423" s="16" t="s">
        <v>1855</v>
      </c>
      <c r="B3423" s="17" t="s">
        <v>6017</v>
      </c>
      <c r="C3423" s="17" t="s">
        <v>1929</v>
      </c>
      <c r="D3423" s="25" t="s">
        <v>5951</v>
      </c>
      <c r="E3423" s="19" t="s">
        <v>5978</v>
      </c>
      <c r="F3423" s="19" t="s">
        <v>108</v>
      </c>
      <c r="G3423" s="5" t="str">
        <f>HYPERLINK("http://jsmh.umin.jp/journal/41-2/228-229.pdf")</f>
        <v>http://jsmh.umin.jp/journal/41-2/228-229.pdf</v>
      </c>
      <c r="H3423" s="43" t="str">
        <f t="shared" si="236"/>
        <v>http://dl.ndl.go.jp/info:ndljp/pid/3359347</v>
      </c>
    </row>
    <row r="3424" spans="1:8" ht="30" customHeight="1" x14ac:dyDescent="0.15">
      <c r="A3424" s="16" t="s">
        <v>1855</v>
      </c>
      <c r="B3424" s="17" t="s">
        <v>6018</v>
      </c>
      <c r="C3424" s="17" t="s">
        <v>4988</v>
      </c>
      <c r="D3424" s="25" t="s">
        <v>5951</v>
      </c>
      <c r="E3424" s="19" t="s">
        <v>5978</v>
      </c>
      <c r="F3424" s="19" t="s">
        <v>119</v>
      </c>
      <c r="G3424" s="5" t="str">
        <f>HYPERLINK("http://jsmh.umin.jp/journal/41-2/230-231.pdf")</f>
        <v>http://jsmh.umin.jp/journal/41-2/230-231.pdf</v>
      </c>
      <c r="H3424" s="43" t="str">
        <f t="shared" si="236"/>
        <v>http://dl.ndl.go.jp/info:ndljp/pid/3359347</v>
      </c>
    </row>
    <row r="3425" spans="1:8" ht="30" customHeight="1" x14ac:dyDescent="0.15">
      <c r="A3425" s="16" t="s">
        <v>1855</v>
      </c>
      <c r="B3425" s="17" t="s">
        <v>6019</v>
      </c>
      <c r="C3425" s="17" t="s">
        <v>4848</v>
      </c>
      <c r="D3425" s="25" t="s">
        <v>5951</v>
      </c>
      <c r="E3425" s="19" t="s">
        <v>5978</v>
      </c>
      <c r="F3425" s="19" t="s">
        <v>124</v>
      </c>
      <c r="G3425" s="5" t="str">
        <f>HYPERLINK("http://jsmh.umin.jp/journal/41-2/232-233.pdf")</f>
        <v>http://jsmh.umin.jp/journal/41-2/232-233.pdf</v>
      </c>
      <c r="H3425" s="43" t="str">
        <f t="shared" si="236"/>
        <v>http://dl.ndl.go.jp/info:ndljp/pid/3359347</v>
      </c>
    </row>
    <row r="3426" spans="1:8" ht="30" customHeight="1" x14ac:dyDescent="0.15">
      <c r="A3426" s="16" t="s">
        <v>1855</v>
      </c>
      <c r="B3426" s="17" t="s">
        <v>6020</v>
      </c>
      <c r="C3426" s="17" t="s">
        <v>5018</v>
      </c>
      <c r="D3426" s="25" t="s">
        <v>5951</v>
      </c>
      <c r="E3426" s="19" t="s">
        <v>5978</v>
      </c>
      <c r="F3426" s="19" t="s">
        <v>132</v>
      </c>
      <c r="G3426" s="5" t="str">
        <f>HYPERLINK("http://jsmh.umin.jp/journal/41-2/234-235.pdf")</f>
        <v>http://jsmh.umin.jp/journal/41-2/234-235.pdf</v>
      </c>
      <c r="H3426" s="43" t="str">
        <f t="shared" si="236"/>
        <v>http://dl.ndl.go.jp/info:ndljp/pid/3359347</v>
      </c>
    </row>
    <row r="3427" spans="1:8" ht="30" customHeight="1" x14ac:dyDescent="0.15">
      <c r="A3427" s="16" t="s">
        <v>1855</v>
      </c>
      <c r="B3427" s="17" t="s">
        <v>6021</v>
      </c>
      <c r="C3427" s="17" t="s">
        <v>3482</v>
      </c>
      <c r="D3427" s="25" t="s">
        <v>5951</v>
      </c>
      <c r="E3427" s="19" t="s">
        <v>5978</v>
      </c>
      <c r="F3427" s="19" t="s">
        <v>140</v>
      </c>
      <c r="G3427" s="5" t="str">
        <f>HYPERLINK("http://jsmh.umin.jp/journal/41-2/236-237.pdf")</f>
        <v>http://jsmh.umin.jp/journal/41-2/236-237.pdf</v>
      </c>
      <c r="H3427" s="43" t="str">
        <f t="shared" si="236"/>
        <v>http://dl.ndl.go.jp/info:ndljp/pid/3359347</v>
      </c>
    </row>
    <row r="3428" spans="1:8" ht="30" customHeight="1" x14ac:dyDescent="0.15">
      <c r="A3428" s="16" t="s">
        <v>1855</v>
      </c>
      <c r="B3428" s="17" t="s">
        <v>6022</v>
      </c>
      <c r="C3428" s="17" t="s">
        <v>5430</v>
      </c>
      <c r="D3428" s="25" t="s">
        <v>5951</v>
      </c>
      <c r="E3428" s="19" t="s">
        <v>5978</v>
      </c>
      <c r="F3428" s="19" t="s">
        <v>145</v>
      </c>
      <c r="G3428" s="5" t="str">
        <f>HYPERLINK("http://jsmh.umin.jp/journal/41-2/238-239.pdf")</f>
        <v>http://jsmh.umin.jp/journal/41-2/238-239.pdf</v>
      </c>
      <c r="H3428" s="43" t="str">
        <f t="shared" ref="H3428:H3459" si="237">HYPERLINK("http://dl.ndl.go.jp/info:ndljp/pid/3359347")</f>
        <v>http://dl.ndl.go.jp/info:ndljp/pid/3359347</v>
      </c>
    </row>
    <row r="3429" spans="1:8" ht="30" customHeight="1" x14ac:dyDescent="0.15">
      <c r="A3429" s="16" t="s">
        <v>1855</v>
      </c>
      <c r="B3429" s="17" t="s">
        <v>6023</v>
      </c>
      <c r="C3429" s="17" t="s">
        <v>1097</v>
      </c>
      <c r="D3429" s="25" t="s">
        <v>5951</v>
      </c>
      <c r="E3429" s="19" t="s">
        <v>5978</v>
      </c>
      <c r="F3429" s="19" t="s">
        <v>3458</v>
      </c>
      <c r="G3429" s="5" t="str">
        <f>HYPERLINK("http://jsmh.umin.jp/journal/41-2/240-241.pdf")</f>
        <v>http://jsmh.umin.jp/journal/41-2/240-241.pdf</v>
      </c>
      <c r="H3429" s="43" t="str">
        <f t="shared" si="237"/>
        <v>http://dl.ndl.go.jp/info:ndljp/pid/3359347</v>
      </c>
    </row>
    <row r="3430" spans="1:8" ht="30" customHeight="1" x14ac:dyDescent="0.15">
      <c r="A3430" s="16" t="s">
        <v>1855</v>
      </c>
      <c r="B3430" s="17" t="s">
        <v>6024</v>
      </c>
      <c r="C3430" s="17" t="s">
        <v>1070</v>
      </c>
      <c r="D3430" s="25" t="s">
        <v>5951</v>
      </c>
      <c r="E3430" s="19" t="s">
        <v>5978</v>
      </c>
      <c r="F3430" s="19" t="s">
        <v>3304</v>
      </c>
      <c r="G3430" s="5" t="str">
        <f>HYPERLINK("http://jsmh.umin.jp/journal/41-2/242-243.pdf")</f>
        <v>http://jsmh.umin.jp/journal/41-2/242-243.pdf</v>
      </c>
      <c r="H3430" s="43" t="str">
        <f t="shared" si="237"/>
        <v>http://dl.ndl.go.jp/info:ndljp/pid/3359347</v>
      </c>
    </row>
    <row r="3431" spans="1:8" ht="30" customHeight="1" x14ac:dyDescent="0.15">
      <c r="A3431" s="16" t="s">
        <v>1855</v>
      </c>
      <c r="B3431" s="17" t="s">
        <v>6025</v>
      </c>
      <c r="C3431" s="17" t="s">
        <v>66</v>
      </c>
      <c r="D3431" s="25" t="s">
        <v>5951</v>
      </c>
      <c r="E3431" s="19" t="s">
        <v>5978</v>
      </c>
      <c r="F3431" s="19" t="s">
        <v>3307</v>
      </c>
      <c r="G3431" s="5" t="str">
        <f>HYPERLINK("http://jsmh.umin.jp/journal/41-2/244-245.pdf")</f>
        <v>http://jsmh.umin.jp/journal/41-2/244-245.pdf</v>
      </c>
      <c r="H3431" s="43" t="str">
        <f t="shared" si="237"/>
        <v>http://dl.ndl.go.jp/info:ndljp/pid/3359347</v>
      </c>
    </row>
    <row r="3432" spans="1:8" ht="30" customHeight="1" x14ac:dyDescent="0.15">
      <c r="A3432" s="16" t="s">
        <v>1855</v>
      </c>
      <c r="B3432" s="17" t="s">
        <v>6026</v>
      </c>
      <c r="C3432" s="17" t="s">
        <v>2881</v>
      </c>
      <c r="D3432" s="25" t="s">
        <v>5951</v>
      </c>
      <c r="E3432" s="19" t="s">
        <v>5978</v>
      </c>
      <c r="F3432" s="19" t="s">
        <v>3309</v>
      </c>
      <c r="G3432" s="5" t="str">
        <f>HYPERLINK("http://jsmh.umin.jp/journal/41-2/246-247.pdf")</f>
        <v>http://jsmh.umin.jp/journal/41-2/246-247.pdf</v>
      </c>
      <c r="H3432" s="43" t="str">
        <f t="shared" si="237"/>
        <v>http://dl.ndl.go.jp/info:ndljp/pid/3359347</v>
      </c>
    </row>
    <row r="3433" spans="1:8" ht="30" customHeight="1" x14ac:dyDescent="0.15">
      <c r="A3433" s="16" t="s">
        <v>1855</v>
      </c>
      <c r="B3433" s="17" t="s">
        <v>6027</v>
      </c>
      <c r="C3433" s="17" t="s">
        <v>5625</v>
      </c>
      <c r="D3433" s="25" t="s">
        <v>5951</v>
      </c>
      <c r="E3433" s="19" t="s">
        <v>5978</v>
      </c>
      <c r="F3433" s="19" t="s">
        <v>3310</v>
      </c>
      <c r="G3433" s="5" t="str">
        <f>HYPERLINK("http://jsmh.umin.jp/journal/41-2/248-249.pdf")</f>
        <v>http://jsmh.umin.jp/journal/41-2/248-249.pdf</v>
      </c>
      <c r="H3433" s="43" t="str">
        <f t="shared" si="237"/>
        <v>http://dl.ndl.go.jp/info:ndljp/pid/3359347</v>
      </c>
    </row>
    <row r="3434" spans="1:8" ht="30" customHeight="1" x14ac:dyDescent="0.15">
      <c r="A3434" s="16" t="s">
        <v>1855</v>
      </c>
      <c r="B3434" s="17" t="s">
        <v>6028</v>
      </c>
      <c r="C3434" s="17" t="s">
        <v>5474</v>
      </c>
      <c r="D3434" s="25" t="s">
        <v>5951</v>
      </c>
      <c r="E3434" s="19" t="s">
        <v>5978</v>
      </c>
      <c r="F3434" s="19" t="s">
        <v>3313</v>
      </c>
      <c r="G3434" s="5" t="str">
        <f>HYPERLINK("http://jsmh.umin.jp/journal/41-2/250-251.pdf")</f>
        <v>http://jsmh.umin.jp/journal/41-2/250-251.pdf</v>
      </c>
      <c r="H3434" s="43" t="str">
        <f t="shared" si="237"/>
        <v>http://dl.ndl.go.jp/info:ndljp/pid/3359347</v>
      </c>
    </row>
    <row r="3435" spans="1:8" ht="30" customHeight="1" x14ac:dyDescent="0.15">
      <c r="A3435" s="16" t="s">
        <v>1855</v>
      </c>
      <c r="B3435" s="17" t="s">
        <v>6029</v>
      </c>
      <c r="C3435" s="17" t="s">
        <v>6030</v>
      </c>
      <c r="D3435" s="25" t="s">
        <v>5951</v>
      </c>
      <c r="E3435" s="19" t="s">
        <v>5978</v>
      </c>
      <c r="F3435" s="19" t="s">
        <v>4220</v>
      </c>
      <c r="G3435" s="5" t="str">
        <f>HYPERLINK("http://jsmh.umin.jp/journal/41-2/252-253.pdf")</f>
        <v>http://jsmh.umin.jp/journal/41-2/252-253.pdf</v>
      </c>
      <c r="H3435" s="43" t="str">
        <f t="shared" si="237"/>
        <v>http://dl.ndl.go.jp/info:ndljp/pid/3359347</v>
      </c>
    </row>
    <row r="3436" spans="1:8" ht="30" customHeight="1" x14ac:dyDescent="0.15">
      <c r="A3436" s="16" t="s">
        <v>1855</v>
      </c>
      <c r="B3436" s="17" t="s">
        <v>6031</v>
      </c>
      <c r="C3436" s="17" t="s">
        <v>6032</v>
      </c>
      <c r="D3436" s="25" t="s">
        <v>5951</v>
      </c>
      <c r="E3436" s="19" t="s">
        <v>5978</v>
      </c>
      <c r="F3436" s="19" t="s">
        <v>3320</v>
      </c>
      <c r="G3436" s="5" t="str">
        <f>HYPERLINK("http://jsmh.umin.jp/journal/41-2/254-255.pdf")</f>
        <v>http://jsmh.umin.jp/journal/41-2/254-255.pdf</v>
      </c>
      <c r="H3436" s="43" t="str">
        <f t="shared" si="237"/>
        <v>http://dl.ndl.go.jp/info:ndljp/pid/3359347</v>
      </c>
    </row>
    <row r="3437" spans="1:8" ht="30" customHeight="1" x14ac:dyDescent="0.15">
      <c r="A3437" s="16" t="s">
        <v>1855</v>
      </c>
      <c r="B3437" s="17" t="s">
        <v>6033</v>
      </c>
      <c r="C3437" s="17" t="s">
        <v>6034</v>
      </c>
      <c r="D3437" s="25" t="s">
        <v>5951</v>
      </c>
      <c r="E3437" s="19" t="s">
        <v>5978</v>
      </c>
      <c r="F3437" s="19" t="s">
        <v>3325</v>
      </c>
      <c r="G3437" s="5" t="str">
        <f>HYPERLINK("http://jsmh.umin.jp/journal/41-2/256-257.pdf")</f>
        <v>http://jsmh.umin.jp/journal/41-2/256-257.pdf</v>
      </c>
      <c r="H3437" s="43" t="str">
        <f t="shared" si="237"/>
        <v>http://dl.ndl.go.jp/info:ndljp/pid/3359347</v>
      </c>
    </row>
    <row r="3438" spans="1:8" ht="30" customHeight="1" x14ac:dyDescent="0.15">
      <c r="A3438" s="16" t="s">
        <v>1855</v>
      </c>
      <c r="B3438" s="17" t="s">
        <v>6035</v>
      </c>
      <c r="C3438" s="17" t="s">
        <v>10140</v>
      </c>
      <c r="D3438" s="25" t="s">
        <v>5951</v>
      </c>
      <c r="E3438" s="19" t="s">
        <v>5978</v>
      </c>
      <c r="F3438" s="19" t="s">
        <v>1011</v>
      </c>
      <c r="G3438" s="5" t="str">
        <f>HYPERLINK("http://jsmh.umin.jp/journal/41-2/258-259.pdf")</f>
        <v>http://jsmh.umin.jp/journal/41-2/258-259.pdf</v>
      </c>
      <c r="H3438" s="43" t="str">
        <f t="shared" si="237"/>
        <v>http://dl.ndl.go.jp/info:ndljp/pid/3359347</v>
      </c>
    </row>
    <row r="3439" spans="1:8" ht="30" customHeight="1" x14ac:dyDescent="0.15">
      <c r="A3439" s="16" t="s">
        <v>1855</v>
      </c>
      <c r="B3439" s="17" t="s">
        <v>6036</v>
      </c>
      <c r="C3439" s="17" t="s">
        <v>6037</v>
      </c>
      <c r="D3439" s="25" t="s">
        <v>5951</v>
      </c>
      <c r="E3439" s="19" t="s">
        <v>5978</v>
      </c>
      <c r="F3439" s="19" t="s">
        <v>5477</v>
      </c>
      <c r="G3439" s="5" t="str">
        <f>HYPERLINK("http://jsmh.umin.jp/journal/41-2/260-261.pdf")</f>
        <v>http://jsmh.umin.jp/journal/41-2/260-261.pdf</v>
      </c>
      <c r="H3439" s="43" t="str">
        <f t="shared" si="237"/>
        <v>http://dl.ndl.go.jp/info:ndljp/pid/3359347</v>
      </c>
    </row>
    <row r="3440" spans="1:8" ht="30" customHeight="1" x14ac:dyDescent="0.15">
      <c r="A3440" s="16" t="s">
        <v>1855</v>
      </c>
      <c r="B3440" s="17" t="s">
        <v>6038</v>
      </c>
      <c r="C3440" s="17" t="s">
        <v>6039</v>
      </c>
      <c r="D3440" s="25" t="s">
        <v>5951</v>
      </c>
      <c r="E3440" s="19" t="s">
        <v>5978</v>
      </c>
      <c r="F3440" s="19" t="s">
        <v>4399</v>
      </c>
      <c r="G3440" s="5" t="str">
        <f>HYPERLINK("http://jsmh.umin.jp/journal/41-2/262-263.pdf")</f>
        <v>http://jsmh.umin.jp/journal/41-2/262-263.pdf</v>
      </c>
      <c r="H3440" s="43" t="str">
        <f t="shared" si="237"/>
        <v>http://dl.ndl.go.jp/info:ndljp/pid/3359347</v>
      </c>
    </row>
    <row r="3441" spans="1:8" ht="30" customHeight="1" x14ac:dyDescent="0.15">
      <c r="A3441" s="16" t="s">
        <v>1855</v>
      </c>
      <c r="B3441" s="17" t="s">
        <v>6040</v>
      </c>
      <c r="C3441" s="17" t="s">
        <v>4085</v>
      </c>
      <c r="D3441" s="25" t="s">
        <v>5951</v>
      </c>
      <c r="E3441" s="19" t="s">
        <v>5978</v>
      </c>
      <c r="F3441" s="19" t="s">
        <v>1026</v>
      </c>
      <c r="G3441" s="5" t="str">
        <f>HYPERLINK("http://jsmh.umin.jp/journal/41-2/264-265.pdf")</f>
        <v>http://jsmh.umin.jp/journal/41-2/264-265.pdf</v>
      </c>
      <c r="H3441" s="43" t="str">
        <f t="shared" si="237"/>
        <v>http://dl.ndl.go.jp/info:ndljp/pid/3359347</v>
      </c>
    </row>
    <row r="3442" spans="1:8" ht="30" customHeight="1" x14ac:dyDescent="0.15">
      <c r="A3442" s="16" t="s">
        <v>1855</v>
      </c>
      <c r="B3442" s="17" t="s">
        <v>6041</v>
      </c>
      <c r="C3442" s="17" t="s">
        <v>672</v>
      </c>
      <c r="D3442" s="25" t="s">
        <v>5951</v>
      </c>
      <c r="E3442" s="19" t="s">
        <v>5978</v>
      </c>
      <c r="F3442" s="19" t="s">
        <v>6042</v>
      </c>
      <c r="G3442" s="5" t="str">
        <f>HYPERLINK("http://jsmh.umin.jp/journal/41-2/266-267.pdf")</f>
        <v>http://jsmh.umin.jp/journal/41-2/266-267.pdf</v>
      </c>
      <c r="H3442" s="43" t="str">
        <f t="shared" si="237"/>
        <v>http://dl.ndl.go.jp/info:ndljp/pid/3359347</v>
      </c>
    </row>
    <row r="3443" spans="1:8" ht="30" customHeight="1" x14ac:dyDescent="0.15">
      <c r="A3443" s="16" t="s">
        <v>1855</v>
      </c>
      <c r="B3443" s="17" t="s">
        <v>6043</v>
      </c>
      <c r="C3443" s="17" t="s">
        <v>1923</v>
      </c>
      <c r="D3443" s="25" t="s">
        <v>5951</v>
      </c>
      <c r="E3443" s="19" t="s">
        <v>5978</v>
      </c>
      <c r="F3443" s="19" t="s">
        <v>3486</v>
      </c>
      <c r="G3443" s="5" t="str">
        <f>HYPERLINK("http://jsmh.umin.jp/journal/41-2/268-269.pdf")</f>
        <v>http://jsmh.umin.jp/journal/41-2/268-269.pdf</v>
      </c>
      <c r="H3443" s="43" t="str">
        <f t="shared" si="237"/>
        <v>http://dl.ndl.go.jp/info:ndljp/pid/3359347</v>
      </c>
    </row>
    <row r="3444" spans="1:8" ht="30" customHeight="1" x14ac:dyDescent="0.15">
      <c r="A3444" s="16" t="s">
        <v>1855</v>
      </c>
      <c r="B3444" s="17" t="s">
        <v>6044</v>
      </c>
      <c r="C3444" s="17" t="s">
        <v>6045</v>
      </c>
      <c r="D3444" s="25" t="s">
        <v>5951</v>
      </c>
      <c r="E3444" s="19" t="s">
        <v>5978</v>
      </c>
      <c r="F3444" s="19" t="s">
        <v>1893</v>
      </c>
      <c r="G3444" s="5" t="str">
        <f>HYPERLINK("http://jsmh.umin.jp/journal/41-2/270-271.pdf")</f>
        <v>http://jsmh.umin.jp/journal/41-2/270-271.pdf</v>
      </c>
      <c r="H3444" s="43" t="str">
        <f t="shared" si="237"/>
        <v>http://dl.ndl.go.jp/info:ndljp/pid/3359347</v>
      </c>
    </row>
    <row r="3445" spans="1:8" ht="30" customHeight="1" x14ac:dyDescent="0.15">
      <c r="A3445" s="16" t="s">
        <v>1855</v>
      </c>
      <c r="B3445" s="17" t="s">
        <v>6046</v>
      </c>
      <c r="C3445" s="17" t="s">
        <v>444</v>
      </c>
      <c r="D3445" s="25" t="s">
        <v>5951</v>
      </c>
      <c r="E3445" s="19" t="s">
        <v>5978</v>
      </c>
      <c r="F3445" s="19" t="s">
        <v>1895</v>
      </c>
      <c r="G3445" s="5" t="str">
        <f>HYPERLINK("http://jsmh.umin.jp/journal/41-2/272-273.pdf")</f>
        <v>http://jsmh.umin.jp/journal/41-2/272-273.pdf</v>
      </c>
      <c r="H3445" s="43" t="str">
        <f t="shared" si="237"/>
        <v>http://dl.ndl.go.jp/info:ndljp/pid/3359347</v>
      </c>
    </row>
    <row r="3446" spans="1:8" ht="30" customHeight="1" x14ac:dyDescent="0.15">
      <c r="A3446" s="16" t="s">
        <v>1855</v>
      </c>
      <c r="B3446" s="17" t="s">
        <v>6047</v>
      </c>
      <c r="C3446" s="17" t="s">
        <v>6048</v>
      </c>
      <c r="D3446" s="25" t="s">
        <v>5951</v>
      </c>
      <c r="E3446" s="19" t="s">
        <v>5978</v>
      </c>
      <c r="F3446" s="19" t="s">
        <v>1899</v>
      </c>
      <c r="G3446" s="5" t="str">
        <f>HYPERLINK("http://jsmh.umin.jp/journal/41-2/274-275.pdf")</f>
        <v>http://jsmh.umin.jp/journal/41-2/274-275.pdf</v>
      </c>
      <c r="H3446" s="43" t="str">
        <f t="shared" si="237"/>
        <v>http://dl.ndl.go.jp/info:ndljp/pid/3359347</v>
      </c>
    </row>
    <row r="3447" spans="1:8" ht="30" customHeight="1" x14ac:dyDescent="0.15">
      <c r="A3447" s="16" t="s">
        <v>1855</v>
      </c>
      <c r="B3447" s="17" t="s">
        <v>10240</v>
      </c>
      <c r="C3447" s="17" t="s">
        <v>905</v>
      </c>
      <c r="D3447" s="25" t="s">
        <v>5951</v>
      </c>
      <c r="E3447" s="19" t="s">
        <v>5978</v>
      </c>
      <c r="F3447" s="19" t="s">
        <v>5706</v>
      </c>
      <c r="G3447" s="5" t="str">
        <f>HYPERLINK("http://jsmh.umin.jp/journal/41-2/276-277.pdf")</f>
        <v>http://jsmh.umin.jp/journal/41-2/276-277.pdf</v>
      </c>
      <c r="H3447" s="43" t="str">
        <f t="shared" si="237"/>
        <v>http://dl.ndl.go.jp/info:ndljp/pid/3359347</v>
      </c>
    </row>
    <row r="3448" spans="1:8" ht="30" customHeight="1" x14ac:dyDescent="0.15">
      <c r="A3448" s="16" t="s">
        <v>1855</v>
      </c>
      <c r="B3448" s="17" t="s">
        <v>6049</v>
      </c>
      <c r="C3448" s="17" t="s">
        <v>5015</v>
      </c>
      <c r="D3448" s="25" t="s">
        <v>5951</v>
      </c>
      <c r="E3448" s="19" t="s">
        <v>5978</v>
      </c>
      <c r="F3448" s="19" t="s">
        <v>6050</v>
      </c>
      <c r="G3448" s="5" t="str">
        <f>HYPERLINK("http://jsmh.umin.jp/journal/41-2/278-279.pdf")</f>
        <v>http://jsmh.umin.jp/journal/41-2/278-279.pdf</v>
      </c>
      <c r="H3448" s="43" t="str">
        <f t="shared" si="237"/>
        <v>http://dl.ndl.go.jp/info:ndljp/pid/3359347</v>
      </c>
    </row>
    <row r="3449" spans="1:8" ht="30" customHeight="1" x14ac:dyDescent="0.15">
      <c r="A3449" s="16" t="s">
        <v>1855</v>
      </c>
      <c r="B3449" s="17" t="s">
        <v>6051</v>
      </c>
      <c r="C3449" s="17" t="s">
        <v>48</v>
      </c>
      <c r="D3449" s="25" t="s">
        <v>5951</v>
      </c>
      <c r="E3449" s="19" t="s">
        <v>5978</v>
      </c>
      <c r="F3449" s="19" t="s">
        <v>1910</v>
      </c>
      <c r="G3449" s="5" t="str">
        <f>HYPERLINK("http://jsmh.umin.jp/journal/41-2/280-281.pdf")</f>
        <v>http://jsmh.umin.jp/journal/41-2/280-281.pdf</v>
      </c>
      <c r="H3449" s="43" t="str">
        <f t="shared" si="237"/>
        <v>http://dl.ndl.go.jp/info:ndljp/pid/3359347</v>
      </c>
    </row>
    <row r="3450" spans="1:8" ht="30" customHeight="1" x14ac:dyDescent="0.15">
      <c r="A3450" s="16" t="s">
        <v>1855</v>
      </c>
      <c r="B3450" s="17" t="s">
        <v>6052</v>
      </c>
      <c r="C3450" s="17" t="s">
        <v>5654</v>
      </c>
      <c r="D3450" s="25" t="s">
        <v>5951</v>
      </c>
      <c r="E3450" s="19" t="s">
        <v>5978</v>
      </c>
      <c r="F3450" s="19" t="s">
        <v>2122</v>
      </c>
      <c r="G3450" s="5" t="str">
        <f>HYPERLINK("http://jsmh.umin.jp/journal/41-2/282-283.pdf")</f>
        <v>http://jsmh.umin.jp/journal/41-2/282-283.pdf</v>
      </c>
      <c r="H3450" s="43" t="str">
        <f t="shared" si="237"/>
        <v>http://dl.ndl.go.jp/info:ndljp/pid/3359347</v>
      </c>
    </row>
    <row r="3451" spans="1:8" ht="30" customHeight="1" x14ac:dyDescent="0.15">
      <c r="A3451" s="16" t="s">
        <v>1855</v>
      </c>
      <c r="B3451" s="17" t="s">
        <v>6053</v>
      </c>
      <c r="C3451" s="17" t="s">
        <v>3196</v>
      </c>
      <c r="D3451" s="25" t="s">
        <v>5951</v>
      </c>
      <c r="E3451" s="19" t="s">
        <v>5978</v>
      </c>
      <c r="F3451" s="19" t="s">
        <v>1918</v>
      </c>
      <c r="G3451" s="5" t="str">
        <f>HYPERLINK("http://jsmh.umin.jp/journal/41-2/284-285.pdf")</f>
        <v>http://jsmh.umin.jp/journal/41-2/284-285.pdf</v>
      </c>
      <c r="H3451" s="43" t="str">
        <f t="shared" si="237"/>
        <v>http://dl.ndl.go.jp/info:ndljp/pid/3359347</v>
      </c>
    </row>
    <row r="3452" spans="1:8" ht="30" customHeight="1" x14ac:dyDescent="0.15">
      <c r="A3452" s="16" t="s">
        <v>1855</v>
      </c>
      <c r="B3452" s="17" t="s">
        <v>6054</v>
      </c>
      <c r="C3452" s="17" t="s">
        <v>1147</v>
      </c>
      <c r="D3452" s="25" t="s">
        <v>5951</v>
      </c>
      <c r="E3452" s="19" t="s">
        <v>5978</v>
      </c>
      <c r="F3452" s="19" t="s">
        <v>1920</v>
      </c>
      <c r="G3452" s="5" t="str">
        <f>HYPERLINK("http://jsmh.umin.jp/journal/41-2/286-287.pdf")</f>
        <v>http://jsmh.umin.jp/journal/41-2/286-287.pdf</v>
      </c>
      <c r="H3452" s="43" t="str">
        <f t="shared" si="237"/>
        <v>http://dl.ndl.go.jp/info:ndljp/pid/3359347</v>
      </c>
    </row>
    <row r="3453" spans="1:8" ht="30" customHeight="1" x14ac:dyDescent="0.15">
      <c r="A3453" s="16" t="s">
        <v>1855</v>
      </c>
      <c r="B3453" s="17" t="s">
        <v>6055</v>
      </c>
      <c r="C3453" s="17" t="s">
        <v>5837</v>
      </c>
      <c r="D3453" s="25" t="s">
        <v>5951</v>
      </c>
      <c r="E3453" s="19" t="s">
        <v>5978</v>
      </c>
      <c r="F3453" s="19" t="s">
        <v>3352</v>
      </c>
      <c r="G3453" s="5" t="str">
        <f>HYPERLINK("http://jsmh.umin.jp/journal/41-2/288-289.pdf")</f>
        <v>http://jsmh.umin.jp/journal/41-2/288-289.pdf</v>
      </c>
      <c r="H3453" s="43" t="str">
        <f t="shared" si="237"/>
        <v>http://dl.ndl.go.jp/info:ndljp/pid/3359347</v>
      </c>
    </row>
    <row r="3454" spans="1:8" ht="30" customHeight="1" x14ac:dyDescent="0.15">
      <c r="A3454" s="16" t="s">
        <v>1855</v>
      </c>
      <c r="B3454" s="17" t="s">
        <v>6056</v>
      </c>
      <c r="C3454" s="17" t="s">
        <v>4026</v>
      </c>
      <c r="D3454" s="25" t="s">
        <v>5951</v>
      </c>
      <c r="E3454" s="19" t="s">
        <v>5978</v>
      </c>
      <c r="F3454" s="19" t="s">
        <v>3504</v>
      </c>
      <c r="G3454" s="5" t="str">
        <f>HYPERLINK("http://jsmh.umin.jp/journal/41-2/290-291.pdf")</f>
        <v>http://jsmh.umin.jp/journal/41-2/290-291.pdf</v>
      </c>
      <c r="H3454" s="43" t="str">
        <f t="shared" si="237"/>
        <v>http://dl.ndl.go.jp/info:ndljp/pid/3359347</v>
      </c>
    </row>
    <row r="3455" spans="1:8" ht="30" customHeight="1" x14ac:dyDescent="0.15">
      <c r="A3455" s="16" t="s">
        <v>1855</v>
      </c>
      <c r="B3455" s="17" t="s">
        <v>6057</v>
      </c>
      <c r="C3455" s="17" t="s">
        <v>2465</v>
      </c>
      <c r="D3455" s="25" t="s">
        <v>5951</v>
      </c>
      <c r="E3455" s="19" t="s">
        <v>5978</v>
      </c>
      <c r="F3455" s="19" t="s">
        <v>1930</v>
      </c>
      <c r="G3455" s="5" t="str">
        <f>HYPERLINK("http://jsmh.umin.jp/journal/41-2/292-293.pdf")</f>
        <v>http://jsmh.umin.jp/journal/41-2/292-293.pdf</v>
      </c>
      <c r="H3455" s="43" t="str">
        <f t="shared" si="237"/>
        <v>http://dl.ndl.go.jp/info:ndljp/pid/3359347</v>
      </c>
    </row>
    <row r="3456" spans="1:8" ht="30" customHeight="1" x14ac:dyDescent="0.15">
      <c r="A3456" s="16" t="s">
        <v>1855</v>
      </c>
      <c r="B3456" s="17" t="s">
        <v>6058</v>
      </c>
      <c r="C3456" s="17" t="s">
        <v>10156</v>
      </c>
      <c r="D3456" s="25" t="s">
        <v>5951</v>
      </c>
      <c r="E3456" s="19" t="s">
        <v>5978</v>
      </c>
      <c r="F3456" s="19" t="s">
        <v>5308</v>
      </c>
      <c r="G3456" s="5" t="str">
        <f>HYPERLINK("http://jsmh.umin.jp/journal/41-2/294-295.pdf")</f>
        <v>http://jsmh.umin.jp/journal/41-2/294-295.pdf</v>
      </c>
      <c r="H3456" s="43" t="str">
        <f t="shared" si="237"/>
        <v>http://dl.ndl.go.jp/info:ndljp/pid/3359347</v>
      </c>
    </row>
    <row r="3457" spans="1:8" ht="30" customHeight="1" x14ac:dyDescent="0.15">
      <c r="A3457" s="16" t="s">
        <v>1855</v>
      </c>
      <c r="B3457" s="17" t="s">
        <v>6059</v>
      </c>
      <c r="C3457" s="17" t="s">
        <v>1764</v>
      </c>
      <c r="D3457" s="25" t="s">
        <v>5951</v>
      </c>
      <c r="E3457" s="19" t="s">
        <v>5978</v>
      </c>
      <c r="F3457" s="19" t="s">
        <v>1936</v>
      </c>
      <c r="G3457" s="5" t="str">
        <f>HYPERLINK("http://jsmh.umin.jp/journal/41-2/296-297.pdf")</f>
        <v>http://jsmh.umin.jp/journal/41-2/296-297.pdf</v>
      </c>
      <c r="H3457" s="43" t="str">
        <f t="shared" si="237"/>
        <v>http://dl.ndl.go.jp/info:ndljp/pid/3359347</v>
      </c>
    </row>
    <row r="3458" spans="1:8" ht="30" customHeight="1" x14ac:dyDescent="0.15">
      <c r="A3458" s="16" t="s">
        <v>1855</v>
      </c>
      <c r="B3458" s="17" t="s">
        <v>6060</v>
      </c>
      <c r="C3458" s="17" t="s">
        <v>4517</v>
      </c>
      <c r="D3458" s="25" t="s">
        <v>5951</v>
      </c>
      <c r="E3458" s="19" t="s">
        <v>5978</v>
      </c>
      <c r="F3458" s="19" t="s">
        <v>5311</v>
      </c>
      <c r="G3458" s="5" t="str">
        <f>HYPERLINK("http://jsmh.umin.jp/journal/41-2/298-299.pdf")</f>
        <v>http://jsmh.umin.jp/journal/41-2/298-299.pdf</v>
      </c>
      <c r="H3458" s="43" t="str">
        <f t="shared" si="237"/>
        <v>http://dl.ndl.go.jp/info:ndljp/pid/3359347</v>
      </c>
    </row>
    <row r="3459" spans="1:8" ht="30" customHeight="1" x14ac:dyDescent="0.15">
      <c r="A3459" s="16" t="s">
        <v>1855</v>
      </c>
      <c r="B3459" s="17" t="s">
        <v>6061</v>
      </c>
      <c r="C3459" s="17" t="s">
        <v>5833</v>
      </c>
      <c r="D3459" s="25" t="s">
        <v>5951</v>
      </c>
      <c r="E3459" s="19" t="s">
        <v>5978</v>
      </c>
      <c r="F3459" s="19" t="s">
        <v>6062</v>
      </c>
      <c r="G3459" s="5" t="str">
        <f>HYPERLINK("http://jsmh.umin.jp/journal/41-2/300-301.pdf")</f>
        <v>http://jsmh.umin.jp/journal/41-2/300-301.pdf</v>
      </c>
      <c r="H3459" s="43" t="str">
        <f t="shared" si="237"/>
        <v>http://dl.ndl.go.jp/info:ndljp/pid/3359347</v>
      </c>
    </row>
    <row r="3460" spans="1:8" ht="30" customHeight="1" x14ac:dyDescent="0.15">
      <c r="A3460" s="16" t="s">
        <v>1855</v>
      </c>
      <c r="B3460" s="17" t="s">
        <v>6063</v>
      </c>
      <c r="C3460" s="17" t="s">
        <v>1932</v>
      </c>
      <c r="D3460" s="25" t="s">
        <v>5951</v>
      </c>
      <c r="E3460" s="19" t="s">
        <v>5978</v>
      </c>
      <c r="F3460" s="19" t="s">
        <v>1421</v>
      </c>
      <c r="G3460" s="5" t="str">
        <f>HYPERLINK("http://jsmh.umin.jp/journal/41-2/302-303.pdf")</f>
        <v>http://jsmh.umin.jp/journal/41-2/302-303.pdf</v>
      </c>
      <c r="H3460" s="43" t="str">
        <f t="shared" ref="H3460:H3465" si="238">HYPERLINK("http://dl.ndl.go.jp/info:ndljp/pid/3359347")</f>
        <v>http://dl.ndl.go.jp/info:ndljp/pid/3359347</v>
      </c>
    </row>
    <row r="3461" spans="1:8" ht="30" customHeight="1" x14ac:dyDescent="0.15">
      <c r="A3461" s="16" t="s">
        <v>1855</v>
      </c>
      <c r="B3461" s="17" t="s">
        <v>6064</v>
      </c>
      <c r="C3461" s="17" t="s">
        <v>2325</v>
      </c>
      <c r="D3461" s="25" t="s">
        <v>5951</v>
      </c>
      <c r="E3461" s="19" t="s">
        <v>5978</v>
      </c>
      <c r="F3461" s="19" t="s">
        <v>1426</v>
      </c>
      <c r="G3461" s="5" t="str">
        <f>HYPERLINK("http://jsmh.umin.jp/journal/41-2/304-305.pdf")</f>
        <v>http://jsmh.umin.jp/journal/41-2/304-305.pdf</v>
      </c>
      <c r="H3461" s="43" t="str">
        <f t="shared" si="238"/>
        <v>http://dl.ndl.go.jp/info:ndljp/pid/3359347</v>
      </c>
    </row>
    <row r="3462" spans="1:8" ht="30" customHeight="1" x14ac:dyDescent="0.15">
      <c r="A3462" s="16" t="s">
        <v>1855</v>
      </c>
      <c r="B3462" s="17" t="s">
        <v>6065</v>
      </c>
      <c r="C3462" s="17" t="s">
        <v>5955</v>
      </c>
      <c r="D3462" s="25" t="s">
        <v>5951</v>
      </c>
      <c r="E3462" s="19" t="s">
        <v>5978</v>
      </c>
      <c r="F3462" s="19" t="s">
        <v>6066</v>
      </c>
      <c r="G3462" s="5" t="str">
        <f>HYPERLINK("http://jsmh.umin.jp/journal/41-2/306-307.pdf")</f>
        <v>http://jsmh.umin.jp/journal/41-2/306-307.pdf</v>
      </c>
      <c r="H3462" s="43" t="str">
        <f t="shared" si="238"/>
        <v>http://dl.ndl.go.jp/info:ndljp/pid/3359347</v>
      </c>
    </row>
    <row r="3463" spans="1:8" ht="30" customHeight="1" x14ac:dyDescent="0.15">
      <c r="A3463" s="16" t="s">
        <v>1855</v>
      </c>
      <c r="B3463" s="17" t="s">
        <v>6067</v>
      </c>
      <c r="C3463" s="17" t="s">
        <v>6068</v>
      </c>
      <c r="D3463" s="25" t="s">
        <v>5951</v>
      </c>
      <c r="E3463" s="19" t="s">
        <v>5978</v>
      </c>
      <c r="F3463" s="19" t="s">
        <v>1432</v>
      </c>
      <c r="G3463" s="5" t="str">
        <f>HYPERLINK("http://jsmh.umin.jp/journal/41-2/308-309.pdf")</f>
        <v>http://jsmh.umin.jp/journal/41-2/308-309.pdf</v>
      </c>
      <c r="H3463" s="43" t="str">
        <f t="shared" si="238"/>
        <v>http://dl.ndl.go.jp/info:ndljp/pid/3359347</v>
      </c>
    </row>
    <row r="3464" spans="1:8" ht="30" customHeight="1" x14ac:dyDescent="0.15">
      <c r="A3464" s="16" t="s">
        <v>1855</v>
      </c>
      <c r="B3464" s="17" t="s">
        <v>6069</v>
      </c>
      <c r="C3464" s="17" t="s">
        <v>6070</v>
      </c>
      <c r="D3464" s="25" t="s">
        <v>5951</v>
      </c>
      <c r="E3464" s="19" t="s">
        <v>5978</v>
      </c>
      <c r="F3464" s="19" t="s">
        <v>6071</v>
      </c>
      <c r="G3464" s="5" t="str">
        <f>HYPERLINK("http://jsmh.umin.jp/journal/41-2/310-311.pdf")</f>
        <v>http://jsmh.umin.jp/journal/41-2/310-311.pdf</v>
      </c>
      <c r="H3464" s="43" t="str">
        <f t="shared" si="238"/>
        <v>http://dl.ndl.go.jp/info:ndljp/pid/3359347</v>
      </c>
    </row>
    <row r="3465" spans="1:8" ht="30" customHeight="1" x14ac:dyDescent="0.15">
      <c r="A3465" s="16" t="s">
        <v>1855</v>
      </c>
      <c r="B3465" s="17" t="s">
        <v>6072</v>
      </c>
      <c r="C3465" s="17" t="s">
        <v>3998</v>
      </c>
      <c r="D3465" s="25" t="s">
        <v>5951</v>
      </c>
      <c r="E3465" s="19" t="s">
        <v>5978</v>
      </c>
      <c r="F3465" s="19" t="s">
        <v>6073</v>
      </c>
      <c r="G3465" s="5" t="str">
        <f>HYPERLINK("http://jsmh.umin.jp/journal/41-2/312-313.pdf")</f>
        <v>http://jsmh.umin.jp/journal/41-2/312-313.pdf</v>
      </c>
      <c r="H3465" s="43" t="str">
        <f t="shared" si="238"/>
        <v>http://dl.ndl.go.jp/info:ndljp/pid/3359347</v>
      </c>
    </row>
    <row r="3466" spans="1:8" ht="30" customHeight="1" x14ac:dyDescent="0.15">
      <c r="A3466" s="16" t="s">
        <v>17</v>
      </c>
      <c r="B3466" s="17" t="s">
        <v>6074</v>
      </c>
      <c r="C3466" s="17" t="s">
        <v>2465</v>
      </c>
      <c r="D3466" s="25" t="s">
        <v>5951</v>
      </c>
      <c r="E3466" s="23" t="s">
        <v>6075</v>
      </c>
      <c r="F3466" s="19" t="s">
        <v>6076</v>
      </c>
      <c r="G3466" s="5" t="str">
        <f>HYPERLINK("http://jsmh.umin.jp/journal/41-3/321-348.pdf")</f>
        <v>http://jsmh.umin.jp/journal/41-3/321-348.pdf</v>
      </c>
      <c r="H3466" s="42" t="str">
        <f t="shared" ref="H3466:H3488" si="239">HYPERLINK("http://dl.ndl.go.jp/info:ndljp/pid/3359348")</f>
        <v>http://dl.ndl.go.jp/info:ndljp/pid/3359348</v>
      </c>
    </row>
    <row r="3467" spans="1:8" ht="30" customHeight="1" x14ac:dyDescent="0.15">
      <c r="A3467" s="16" t="s">
        <v>17</v>
      </c>
      <c r="B3467" s="17" t="s">
        <v>6077</v>
      </c>
      <c r="C3467" s="17" t="s">
        <v>6078</v>
      </c>
      <c r="D3467" s="25" t="s">
        <v>5951</v>
      </c>
      <c r="E3467" s="19" t="s">
        <v>6075</v>
      </c>
      <c r="F3467" s="19" t="s">
        <v>6079</v>
      </c>
      <c r="G3467" s="5" t="str">
        <f>HYPERLINK("http://jsmh.umin.jp/journal/41-3/349-368.pdf")</f>
        <v>http://jsmh.umin.jp/journal/41-3/349-368.pdf</v>
      </c>
      <c r="H3467" s="43" t="str">
        <f t="shared" si="239"/>
        <v>http://dl.ndl.go.jp/info:ndljp/pid/3359348</v>
      </c>
    </row>
    <row r="3468" spans="1:8" ht="30" customHeight="1" x14ac:dyDescent="0.15">
      <c r="A3468" s="16" t="s">
        <v>3387</v>
      </c>
      <c r="B3468" s="17" t="s">
        <v>6080</v>
      </c>
      <c r="C3468" s="17" t="s">
        <v>6081</v>
      </c>
      <c r="D3468" s="25" t="s">
        <v>5951</v>
      </c>
      <c r="E3468" s="19" t="s">
        <v>6075</v>
      </c>
      <c r="F3468" s="19" t="s">
        <v>6082</v>
      </c>
      <c r="G3468" s="5" t="str">
        <f>HYPERLINK("http://jsmh.umin.jp/journal/41-3/369-394.pdf")</f>
        <v>http://jsmh.umin.jp/journal/41-3/369-394.pdf</v>
      </c>
      <c r="H3468" s="43" t="str">
        <f t="shared" si="239"/>
        <v>http://dl.ndl.go.jp/info:ndljp/pid/3359348</v>
      </c>
    </row>
    <row r="3469" spans="1:8" ht="30" customHeight="1" x14ac:dyDescent="0.15">
      <c r="A3469" s="16" t="s">
        <v>3387</v>
      </c>
      <c r="B3469" s="17" t="s">
        <v>6083</v>
      </c>
      <c r="C3469" s="17" t="s">
        <v>5542</v>
      </c>
      <c r="D3469" s="25" t="s">
        <v>5951</v>
      </c>
      <c r="E3469" s="19" t="s">
        <v>6075</v>
      </c>
      <c r="F3469" s="19" t="s">
        <v>6084</v>
      </c>
      <c r="G3469" s="5" t="str">
        <f>HYPERLINK("http://jsmh.umin.jp/journal/41-3/395-402.pdf")</f>
        <v>http://jsmh.umin.jp/journal/41-3/395-402.pdf</v>
      </c>
      <c r="H3469" s="43" t="str">
        <f t="shared" si="239"/>
        <v>http://dl.ndl.go.jp/info:ndljp/pid/3359348</v>
      </c>
    </row>
    <row r="3470" spans="1:8" ht="30" customHeight="1" x14ac:dyDescent="0.15">
      <c r="A3470" s="16" t="s">
        <v>692</v>
      </c>
      <c r="B3470" s="17" t="s">
        <v>6085</v>
      </c>
      <c r="C3470" s="17" t="s">
        <v>6086</v>
      </c>
      <c r="D3470" s="25" t="s">
        <v>5951</v>
      </c>
      <c r="E3470" s="19" t="s">
        <v>6075</v>
      </c>
      <c r="F3470" s="19" t="s">
        <v>6087</v>
      </c>
      <c r="G3470" s="5" t="str">
        <f>HYPERLINK("http://jsmh.umin.jp/journal/41-3/403-420.pdf")</f>
        <v>http://jsmh.umin.jp/journal/41-3/403-420.pdf</v>
      </c>
      <c r="H3470" s="43" t="str">
        <f t="shared" si="239"/>
        <v>http://dl.ndl.go.jp/info:ndljp/pid/3359348</v>
      </c>
    </row>
    <row r="3471" spans="1:8" ht="30" customHeight="1" x14ac:dyDescent="0.15">
      <c r="A3471" s="16" t="s">
        <v>6088</v>
      </c>
      <c r="B3471" s="17" t="s">
        <v>6089</v>
      </c>
      <c r="C3471" s="17" t="s">
        <v>6090</v>
      </c>
      <c r="D3471" s="25" t="s">
        <v>5951</v>
      </c>
      <c r="E3471" s="19" t="s">
        <v>6075</v>
      </c>
      <c r="F3471" s="19" t="s">
        <v>4451</v>
      </c>
      <c r="G3471" s="5" t="str">
        <f>HYPERLINK("http://jsmh.umin.jp/journal/41-3/421-422.pdf")</f>
        <v>http://jsmh.umin.jp/journal/41-3/421-422.pdf</v>
      </c>
      <c r="H3471" s="43" t="str">
        <f t="shared" si="239"/>
        <v>http://dl.ndl.go.jp/info:ndljp/pid/3359348</v>
      </c>
    </row>
    <row r="3472" spans="1:8" ht="30" customHeight="1" x14ac:dyDescent="0.15">
      <c r="A3472" s="16" t="s">
        <v>6088</v>
      </c>
      <c r="B3472" s="17" t="s">
        <v>6091</v>
      </c>
      <c r="C3472" s="17" t="s">
        <v>3167</v>
      </c>
      <c r="D3472" s="25" t="s">
        <v>5951</v>
      </c>
      <c r="E3472" s="19" t="s">
        <v>6075</v>
      </c>
      <c r="F3472" s="19" t="s">
        <v>1988</v>
      </c>
      <c r="G3472" s="5" t="str">
        <f>HYPERLINK("http://jsmh.umin.jp/journal/41-3/422-423.pdf")</f>
        <v>http://jsmh.umin.jp/journal/41-3/422-423.pdf</v>
      </c>
      <c r="H3472" s="43" t="str">
        <f t="shared" si="239"/>
        <v>http://dl.ndl.go.jp/info:ndljp/pid/3359348</v>
      </c>
    </row>
    <row r="3473" spans="1:8" ht="30" customHeight="1" x14ac:dyDescent="0.15">
      <c r="A3473" s="16" t="s">
        <v>6088</v>
      </c>
      <c r="B3473" s="17" t="s">
        <v>10241</v>
      </c>
      <c r="C3473" s="17" t="s">
        <v>5733</v>
      </c>
      <c r="D3473" s="25" t="s">
        <v>5951</v>
      </c>
      <c r="E3473" s="19" t="s">
        <v>6075</v>
      </c>
      <c r="F3473" s="19" t="s">
        <v>1990</v>
      </c>
      <c r="G3473" s="5" t="str">
        <f>HYPERLINK("http://jsmh.umin.jp/journal/41-3/423-424.pdf")</f>
        <v>http://jsmh.umin.jp/journal/41-3/423-424.pdf</v>
      </c>
      <c r="H3473" s="43" t="str">
        <f t="shared" si="239"/>
        <v>http://dl.ndl.go.jp/info:ndljp/pid/3359348</v>
      </c>
    </row>
    <row r="3474" spans="1:8" ht="30" customHeight="1" x14ac:dyDescent="0.15">
      <c r="A3474" s="16" t="s">
        <v>6088</v>
      </c>
      <c r="B3474" s="17" t="s">
        <v>6092</v>
      </c>
      <c r="C3474" s="17" t="s">
        <v>479</v>
      </c>
      <c r="D3474" s="25" t="s">
        <v>5951</v>
      </c>
      <c r="E3474" s="19" t="s">
        <v>6075</v>
      </c>
      <c r="F3474" s="19" t="s">
        <v>6093</v>
      </c>
      <c r="G3474" s="5" t="str">
        <f>HYPERLINK("http://jsmh.umin.jp/journal/41-3/424.pdf")</f>
        <v>http://jsmh.umin.jp/journal/41-3/424.pdf</v>
      </c>
      <c r="H3474" s="43" t="str">
        <f t="shared" si="239"/>
        <v>http://dl.ndl.go.jp/info:ndljp/pid/3359348</v>
      </c>
    </row>
    <row r="3475" spans="1:8" ht="30" customHeight="1" x14ac:dyDescent="0.15">
      <c r="A3475" s="16" t="s">
        <v>3720</v>
      </c>
      <c r="B3475" s="17" t="s">
        <v>6094</v>
      </c>
      <c r="C3475" s="17" t="s">
        <v>2937</v>
      </c>
      <c r="D3475" s="25" t="s">
        <v>5951</v>
      </c>
      <c r="E3475" s="19" t="s">
        <v>6075</v>
      </c>
      <c r="F3475" s="19" t="s">
        <v>1992</v>
      </c>
      <c r="G3475" s="5" t="str">
        <f>HYPERLINK("http://jsmh.umin.jp/journal/41-3/425-426.pdf")</f>
        <v>http://jsmh.umin.jp/journal/41-3/425-426.pdf</v>
      </c>
      <c r="H3475" s="43" t="str">
        <f t="shared" si="239"/>
        <v>http://dl.ndl.go.jp/info:ndljp/pid/3359348</v>
      </c>
    </row>
    <row r="3476" spans="1:8" ht="30" customHeight="1" x14ac:dyDescent="0.15">
      <c r="A3476" s="16" t="s">
        <v>3720</v>
      </c>
      <c r="B3476" s="17" t="s">
        <v>6095</v>
      </c>
      <c r="C3476" s="17" t="s">
        <v>5940</v>
      </c>
      <c r="D3476" s="25" t="s">
        <v>5951</v>
      </c>
      <c r="E3476" s="19" t="s">
        <v>6075</v>
      </c>
      <c r="F3476" s="19" t="s">
        <v>6096</v>
      </c>
      <c r="G3476" s="5" t="str">
        <f>HYPERLINK("http://jsmh.umin.jp/journal/41-3/426-428.pdf")</f>
        <v>http://jsmh.umin.jp/journal/41-3/426-428.pdf</v>
      </c>
      <c r="H3476" s="43" t="str">
        <f t="shared" si="239"/>
        <v>http://dl.ndl.go.jp/info:ndljp/pid/3359348</v>
      </c>
    </row>
    <row r="3477" spans="1:8" ht="30" customHeight="1" x14ac:dyDescent="0.15">
      <c r="A3477" s="16" t="s">
        <v>3720</v>
      </c>
      <c r="B3477" s="17" t="s">
        <v>6097</v>
      </c>
      <c r="C3477" s="17" t="s">
        <v>2553</v>
      </c>
      <c r="D3477" s="25" t="s">
        <v>5951</v>
      </c>
      <c r="E3477" s="19" t="s">
        <v>6075</v>
      </c>
      <c r="F3477" s="19" t="s">
        <v>6098</v>
      </c>
      <c r="G3477" s="5" t="str">
        <f>HYPERLINK("http://jsmh.umin.jp/journal/41-3/428-430.pdf")</f>
        <v>http://jsmh.umin.jp/journal/41-3/428-430.pdf</v>
      </c>
      <c r="H3477" s="43" t="str">
        <f t="shared" si="239"/>
        <v>http://dl.ndl.go.jp/info:ndljp/pid/3359348</v>
      </c>
    </row>
    <row r="3478" spans="1:8" ht="30" customHeight="1" x14ac:dyDescent="0.15">
      <c r="A3478" s="16" t="s">
        <v>3720</v>
      </c>
      <c r="B3478" s="17" t="s">
        <v>6099</v>
      </c>
      <c r="C3478" s="17" t="s">
        <v>2485</v>
      </c>
      <c r="D3478" s="25" t="s">
        <v>5951</v>
      </c>
      <c r="E3478" s="19" t="s">
        <v>6075</v>
      </c>
      <c r="F3478" s="19" t="s">
        <v>6100</v>
      </c>
      <c r="G3478" s="5" t="str">
        <f>HYPERLINK("http://jsmh.umin.jp/journal/41-3/430-431.pdf")</f>
        <v>http://jsmh.umin.jp/journal/41-3/430-431.pdf</v>
      </c>
      <c r="H3478" s="43" t="str">
        <f t="shared" si="239"/>
        <v>http://dl.ndl.go.jp/info:ndljp/pid/3359348</v>
      </c>
    </row>
    <row r="3479" spans="1:8" ht="30" customHeight="1" x14ac:dyDescent="0.15">
      <c r="A3479" s="16" t="s">
        <v>3720</v>
      </c>
      <c r="B3479" s="17" t="s">
        <v>6101</v>
      </c>
      <c r="C3479" s="17" t="s">
        <v>6004</v>
      </c>
      <c r="D3479" s="25" t="s">
        <v>5951</v>
      </c>
      <c r="E3479" s="19" t="s">
        <v>6075</v>
      </c>
      <c r="F3479" s="19" t="s">
        <v>6102</v>
      </c>
      <c r="G3479" s="5" t="str">
        <f>HYPERLINK("http://jsmh.umin.jp/journal/41-3/432-433.pdf")</f>
        <v>http://jsmh.umin.jp/journal/41-3/432-433.pdf</v>
      </c>
      <c r="H3479" s="43" t="str">
        <f t="shared" si="239"/>
        <v>http://dl.ndl.go.jp/info:ndljp/pid/3359348</v>
      </c>
    </row>
    <row r="3480" spans="1:8" ht="30" customHeight="1" x14ac:dyDescent="0.15">
      <c r="A3480" s="16" t="s">
        <v>3720</v>
      </c>
      <c r="B3480" s="17" t="s">
        <v>6103</v>
      </c>
      <c r="C3480" s="17" t="s">
        <v>6104</v>
      </c>
      <c r="D3480" s="25" t="s">
        <v>5951</v>
      </c>
      <c r="E3480" s="19" t="s">
        <v>6075</v>
      </c>
      <c r="F3480" s="19" t="s">
        <v>6105</v>
      </c>
      <c r="G3480" s="5" t="str">
        <f>HYPERLINK("http://jsmh.umin.jp/journal/41-3/433-435.pdf")</f>
        <v>http://jsmh.umin.jp/journal/41-3/433-435.pdf</v>
      </c>
      <c r="H3480" s="43" t="str">
        <f t="shared" si="239"/>
        <v>http://dl.ndl.go.jp/info:ndljp/pid/3359348</v>
      </c>
    </row>
    <row r="3481" spans="1:8" ht="30" customHeight="1" x14ac:dyDescent="0.15">
      <c r="A3481" s="16" t="s">
        <v>3720</v>
      </c>
      <c r="B3481" s="17" t="s">
        <v>6106</v>
      </c>
      <c r="C3481" s="17" t="s">
        <v>2465</v>
      </c>
      <c r="D3481" s="25" t="s">
        <v>5951</v>
      </c>
      <c r="E3481" s="19" t="s">
        <v>6075</v>
      </c>
      <c r="F3481" s="19" t="s">
        <v>6107</v>
      </c>
      <c r="G3481" s="5" t="str">
        <f>HYPERLINK("http://jsmh.umin.jp/journal/41-3/436-437.pdf")</f>
        <v>http://jsmh.umin.jp/journal/41-3/436-437.pdf</v>
      </c>
      <c r="H3481" s="43" t="str">
        <f t="shared" si="239"/>
        <v>http://dl.ndl.go.jp/info:ndljp/pid/3359348</v>
      </c>
    </row>
    <row r="3482" spans="1:8" ht="30" customHeight="1" x14ac:dyDescent="0.15">
      <c r="A3482" s="16" t="s">
        <v>3720</v>
      </c>
      <c r="B3482" s="17" t="s">
        <v>6108</v>
      </c>
      <c r="C3482" s="17" t="s">
        <v>4988</v>
      </c>
      <c r="D3482" s="25" t="s">
        <v>5951</v>
      </c>
      <c r="E3482" s="19" t="s">
        <v>6075</v>
      </c>
      <c r="F3482" s="19" t="s">
        <v>6109</v>
      </c>
      <c r="G3482" s="5" t="str">
        <f>HYPERLINK("http://jsmh.umin.jp/journal/41-3/437-438.pdf")</f>
        <v>http://jsmh.umin.jp/journal/41-3/437-438.pdf</v>
      </c>
      <c r="H3482" s="43" t="str">
        <f t="shared" si="239"/>
        <v>http://dl.ndl.go.jp/info:ndljp/pid/3359348</v>
      </c>
    </row>
    <row r="3483" spans="1:8" ht="30" customHeight="1" x14ac:dyDescent="0.15">
      <c r="A3483" s="16" t="s">
        <v>2990</v>
      </c>
      <c r="B3483" s="17" t="s">
        <v>10242</v>
      </c>
      <c r="C3483" s="17" t="s">
        <v>5106</v>
      </c>
      <c r="D3483" s="25" t="s">
        <v>5951</v>
      </c>
      <c r="E3483" s="19" t="s">
        <v>6075</v>
      </c>
      <c r="F3483" s="19" t="s">
        <v>6110</v>
      </c>
      <c r="G3483" s="5" t="str">
        <f>HYPERLINK("http://jsmh.umin.jp/journal/41-3/439-440.pdf")</f>
        <v>http://jsmh.umin.jp/journal/41-3/439-440.pdf</v>
      </c>
      <c r="H3483" s="43" t="str">
        <f t="shared" si="239"/>
        <v>http://dl.ndl.go.jp/info:ndljp/pid/3359348</v>
      </c>
    </row>
    <row r="3484" spans="1:8" ht="30" customHeight="1" x14ac:dyDescent="0.15">
      <c r="A3484" s="16" t="s">
        <v>2990</v>
      </c>
      <c r="B3484" s="17" t="s">
        <v>6111</v>
      </c>
      <c r="C3484" s="17" t="s">
        <v>5516</v>
      </c>
      <c r="D3484" s="25" t="s">
        <v>5951</v>
      </c>
      <c r="E3484" s="19" t="s">
        <v>6075</v>
      </c>
      <c r="F3484" s="19" t="s">
        <v>6112</v>
      </c>
      <c r="G3484" s="5" t="str">
        <f>HYPERLINK("http://jsmh.umin.jp/journal/41-3/440-441.pdf")</f>
        <v>http://jsmh.umin.jp/journal/41-3/440-441.pdf</v>
      </c>
      <c r="H3484" s="43" t="str">
        <f t="shared" si="239"/>
        <v>http://dl.ndl.go.jp/info:ndljp/pid/3359348</v>
      </c>
    </row>
    <row r="3485" spans="1:8" ht="30" customHeight="1" x14ac:dyDescent="0.15">
      <c r="A3485" s="16" t="s">
        <v>2990</v>
      </c>
      <c r="B3485" s="17" t="s">
        <v>6113</v>
      </c>
      <c r="C3485" s="17" t="s">
        <v>1823</v>
      </c>
      <c r="D3485" s="25" t="s">
        <v>5951</v>
      </c>
      <c r="E3485" s="19" t="s">
        <v>6075</v>
      </c>
      <c r="F3485" s="19" t="s">
        <v>6114</v>
      </c>
      <c r="G3485" s="5" t="str">
        <f>HYPERLINK("http://jsmh.umin.jp/journal/41-3/442-443.pdf")</f>
        <v>http://jsmh.umin.jp/journal/41-3/442-443.pdf</v>
      </c>
      <c r="H3485" s="43" t="str">
        <f t="shared" si="239"/>
        <v>http://dl.ndl.go.jp/info:ndljp/pid/3359348</v>
      </c>
    </row>
    <row r="3486" spans="1:8" ht="30" customHeight="1" x14ac:dyDescent="0.15">
      <c r="A3486" s="16" t="s">
        <v>2990</v>
      </c>
      <c r="B3486" s="17" t="s">
        <v>6115</v>
      </c>
      <c r="C3486" s="17" t="s">
        <v>5625</v>
      </c>
      <c r="D3486" s="25" t="s">
        <v>5951</v>
      </c>
      <c r="E3486" s="19" t="s">
        <v>6075</v>
      </c>
      <c r="F3486" s="19" t="s">
        <v>6116</v>
      </c>
      <c r="G3486" s="5" t="str">
        <f>HYPERLINK("http://jsmh.umin.jp/journal/41-3/443-444.pdf")</f>
        <v>http://jsmh.umin.jp/journal/41-3/443-444.pdf</v>
      </c>
      <c r="H3486" s="43" t="str">
        <f t="shared" si="239"/>
        <v>http://dl.ndl.go.jp/info:ndljp/pid/3359348</v>
      </c>
    </row>
    <row r="3487" spans="1:8" ht="30" customHeight="1" x14ac:dyDescent="0.15">
      <c r="A3487" s="16" t="s">
        <v>2990</v>
      </c>
      <c r="B3487" s="17" t="s">
        <v>6117</v>
      </c>
      <c r="C3487" s="17" t="s">
        <v>3655</v>
      </c>
      <c r="D3487" s="25" t="s">
        <v>5951</v>
      </c>
      <c r="E3487" s="19" t="s">
        <v>6075</v>
      </c>
      <c r="F3487" s="19" t="s">
        <v>6118</v>
      </c>
      <c r="G3487" s="5" t="str">
        <f>HYPERLINK("http://jsmh.umin.jp/journal/41-3/444-445.pdf")</f>
        <v>http://jsmh.umin.jp/journal/41-3/444-445.pdf</v>
      </c>
      <c r="H3487" s="43" t="str">
        <f t="shared" si="239"/>
        <v>http://dl.ndl.go.jp/info:ndljp/pid/3359348</v>
      </c>
    </row>
    <row r="3488" spans="1:8" ht="30" customHeight="1" x14ac:dyDescent="0.15">
      <c r="A3488" s="16" t="s">
        <v>6119</v>
      </c>
      <c r="B3488" s="17" t="s">
        <v>6120</v>
      </c>
      <c r="C3488" s="17" t="s">
        <v>6121</v>
      </c>
      <c r="D3488" s="25" t="s">
        <v>5951</v>
      </c>
      <c r="E3488" s="19" t="s">
        <v>6075</v>
      </c>
      <c r="F3488" s="19" t="s">
        <v>6122</v>
      </c>
      <c r="G3488" s="5" t="str">
        <f>HYPERLINK("http://jsmh.umin.jp/journal/41-3/449-489.pdf")</f>
        <v>http://jsmh.umin.jp/journal/41-3/449-489.pdf</v>
      </c>
      <c r="H3488" s="43" t="str">
        <f t="shared" si="239"/>
        <v>http://dl.ndl.go.jp/info:ndljp/pid/3359348</v>
      </c>
    </row>
    <row r="3489" spans="1:8" ht="30" customHeight="1" x14ac:dyDescent="0.15">
      <c r="A3489" s="16" t="s">
        <v>17</v>
      </c>
      <c r="B3489" s="17" t="s">
        <v>6123</v>
      </c>
      <c r="C3489" s="17" t="s">
        <v>3644</v>
      </c>
      <c r="D3489" s="25" t="s">
        <v>5951</v>
      </c>
      <c r="E3489" s="19" t="s">
        <v>6124</v>
      </c>
      <c r="F3489" s="19" t="s">
        <v>6125</v>
      </c>
      <c r="G3489" s="5" t="str">
        <f>HYPERLINK("http://jsmh.umin.jp/journal/41-4/497-521.pdf")</f>
        <v>http://jsmh.umin.jp/journal/41-4/497-521.pdf</v>
      </c>
      <c r="H3489" s="42" t="str">
        <f t="shared" ref="H3489:H3511" si="240">HYPERLINK("http://dl.ndl.go.jp/info:ndljp/pid/3359349")</f>
        <v>http://dl.ndl.go.jp/info:ndljp/pid/3359349</v>
      </c>
    </row>
    <row r="3490" spans="1:8" ht="30" customHeight="1" x14ac:dyDescent="0.15">
      <c r="A3490" s="16" t="s">
        <v>17</v>
      </c>
      <c r="B3490" s="17" t="s">
        <v>6126</v>
      </c>
      <c r="C3490" s="17" t="s">
        <v>5300</v>
      </c>
      <c r="D3490" s="25" t="s">
        <v>5951</v>
      </c>
      <c r="E3490" s="19" t="s">
        <v>6124</v>
      </c>
      <c r="F3490" s="19" t="s">
        <v>6127</v>
      </c>
      <c r="G3490" s="5" t="str">
        <f>HYPERLINK("http://jsmh.umin.jp/journal/41-4/523-548.pdf")</f>
        <v>http://jsmh.umin.jp/journal/41-4/523-548.pdf</v>
      </c>
      <c r="H3490" s="43" t="str">
        <f t="shared" si="240"/>
        <v>http://dl.ndl.go.jp/info:ndljp/pid/3359349</v>
      </c>
    </row>
    <row r="3491" spans="1:8" ht="30" customHeight="1" x14ac:dyDescent="0.15">
      <c r="A3491" s="16" t="s">
        <v>17</v>
      </c>
      <c r="B3491" s="17" t="s">
        <v>6128</v>
      </c>
      <c r="C3491" s="17" t="s">
        <v>6129</v>
      </c>
      <c r="D3491" s="25" t="s">
        <v>5951</v>
      </c>
      <c r="E3491" s="19" t="s">
        <v>6124</v>
      </c>
      <c r="F3491" s="19" t="s">
        <v>6130</v>
      </c>
      <c r="G3491" s="5" t="str">
        <f>HYPERLINK("http://jsmh.umin.jp/journal/41-4/549-565.pdf")</f>
        <v>http://jsmh.umin.jp/journal/41-4/549-565.pdf</v>
      </c>
      <c r="H3491" s="43" t="str">
        <f t="shared" si="240"/>
        <v>http://dl.ndl.go.jp/info:ndljp/pid/3359349</v>
      </c>
    </row>
    <row r="3492" spans="1:8" ht="30" customHeight="1" x14ac:dyDescent="0.15">
      <c r="A3492" s="16" t="s">
        <v>3387</v>
      </c>
      <c r="B3492" s="17" t="s">
        <v>6131</v>
      </c>
      <c r="C3492" s="17" t="s">
        <v>2465</v>
      </c>
      <c r="D3492" s="25" t="s">
        <v>5951</v>
      </c>
      <c r="E3492" s="19" t="s">
        <v>6124</v>
      </c>
      <c r="F3492" s="19" t="s">
        <v>6132</v>
      </c>
      <c r="G3492" s="5" t="str">
        <f>HYPERLINK("http://jsmh.umin.jp/journal/41-4/567-592.pdf")</f>
        <v>http://jsmh.umin.jp/journal/41-4/567-592.pdf</v>
      </c>
      <c r="H3492" s="43" t="str">
        <f t="shared" si="240"/>
        <v>http://dl.ndl.go.jp/info:ndljp/pid/3359349</v>
      </c>
    </row>
    <row r="3493" spans="1:8" ht="30" customHeight="1" x14ac:dyDescent="0.15">
      <c r="A3493" s="16" t="s">
        <v>692</v>
      </c>
      <c r="B3493" s="17" t="s">
        <v>6133</v>
      </c>
      <c r="C3493" s="17" t="s">
        <v>6134</v>
      </c>
      <c r="D3493" s="25" t="s">
        <v>5951</v>
      </c>
      <c r="E3493" s="19" t="s">
        <v>6124</v>
      </c>
      <c r="F3493" s="19" t="s">
        <v>6135</v>
      </c>
      <c r="G3493" s="5" t="str">
        <f>HYPERLINK("http://jsmh.umin.jp/journal/41-4/593-604.pdf")</f>
        <v>http://jsmh.umin.jp/journal/41-4/593-604.pdf</v>
      </c>
      <c r="H3493" s="43" t="str">
        <f t="shared" si="240"/>
        <v>http://dl.ndl.go.jp/info:ndljp/pid/3359349</v>
      </c>
    </row>
    <row r="3494" spans="1:8" ht="30" customHeight="1" x14ac:dyDescent="0.15">
      <c r="A3494" s="16" t="s">
        <v>692</v>
      </c>
      <c r="B3494" s="17" t="s">
        <v>6136</v>
      </c>
      <c r="C3494" s="17" t="s">
        <v>4867</v>
      </c>
      <c r="D3494" s="25" t="s">
        <v>5951</v>
      </c>
      <c r="E3494" s="19" t="s">
        <v>6124</v>
      </c>
      <c r="F3494" s="19" t="s">
        <v>6137</v>
      </c>
      <c r="G3494" s="5" t="str">
        <f>HYPERLINK("http://jsmh.umin.jp/journal/41-4/605-615.pdf")</f>
        <v>http://jsmh.umin.jp/journal/41-4/605-615.pdf</v>
      </c>
      <c r="H3494" s="43" t="str">
        <f t="shared" si="240"/>
        <v>http://dl.ndl.go.jp/info:ndljp/pid/3359349</v>
      </c>
    </row>
    <row r="3495" spans="1:8" ht="30" customHeight="1" x14ac:dyDescent="0.15">
      <c r="A3495" s="16" t="s">
        <v>3223</v>
      </c>
      <c r="B3495" s="17" t="s">
        <v>6138</v>
      </c>
      <c r="C3495" s="17" t="s">
        <v>6139</v>
      </c>
      <c r="D3495" s="25" t="s">
        <v>5951</v>
      </c>
      <c r="E3495" s="19" t="s">
        <v>6124</v>
      </c>
      <c r="F3495" s="19" t="s">
        <v>6140</v>
      </c>
      <c r="G3495" s="5" t="str">
        <f>HYPERLINK("http://jsmh.umin.jp/journal/41-4/617-618.pdf")</f>
        <v>http://jsmh.umin.jp/journal/41-4/617-618.pdf</v>
      </c>
      <c r="H3495" s="43" t="str">
        <f t="shared" si="240"/>
        <v>http://dl.ndl.go.jp/info:ndljp/pid/3359349</v>
      </c>
    </row>
    <row r="3496" spans="1:8" ht="30" customHeight="1" x14ac:dyDescent="0.15">
      <c r="A3496" s="16" t="s">
        <v>558</v>
      </c>
      <c r="B3496" s="17" t="s">
        <v>6141</v>
      </c>
      <c r="C3496" s="17" t="s">
        <v>2746</v>
      </c>
      <c r="D3496" s="25" t="s">
        <v>5951</v>
      </c>
      <c r="E3496" s="19" t="s">
        <v>6124</v>
      </c>
      <c r="F3496" s="19" t="s">
        <v>6142</v>
      </c>
      <c r="G3496" s="5" t="str">
        <f>HYPERLINK("http://jsmh.umin.jp/journal/41-4/619-620.pdf")</f>
        <v>http://jsmh.umin.jp/journal/41-4/619-620.pdf</v>
      </c>
      <c r="H3496" s="43" t="str">
        <f t="shared" si="240"/>
        <v>http://dl.ndl.go.jp/info:ndljp/pid/3359349</v>
      </c>
    </row>
    <row r="3497" spans="1:8" ht="30" customHeight="1" x14ac:dyDescent="0.15">
      <c r="A3497" s="16" t="s">
        <v>558</v>
      </c>
      <c r="B3497" s="17" t="s">
        <v>10243</v>
      </c>
      <c r="C3497" s="17" t="s">
        <v>6143</v>
      </c>
      <c r="D3497" s="25" t="s">
        <v>5951</v>
      </c>
      <c r="E3497" s="19" t="s">
        <v>6124</v>
      </c>
      <c r="F3497" s="19" t="s">
        <v>6144</v>
      </c>
      <c r="G3497" s="5" t="str">
        <f>HYPERLINK("http://jsmh.umin.jp/journal/41-4/620-623.pdf")</f>
        <v>http://jsmh.umin.jp/journal/41-4/620-623.pdf</v>
      </c>
      <c r="H3497" s="43" t="str">
        <f t="shared" si="240"/>
        <v>http://dl.ndl.go.jp/info:ndljp/pid/3359349</v>
      </c>
    </row>
    <row r="3498" spans="1:8" ht="30" customHeight="1" x14ac:dyDescent="0.15">
      <c r="A3498" s="16" t="s">
        <v>558</v>
      </c>
      <c r="B3498" s="17" t="s">
        <v>6145</v>
      </c>
      <c r="C3498" s="17"/>
      <c r="D3498" s="25" t="s">
        <v>5951</v>
      </c>
      <c r="E3498" s="19" t="s">
        <v>6124</v>
      </c>
      <c r="F3498" s="19" t="s">
        <v>6146</v>
      </c>
      <c r="G3498" s="5" t="str">
        <f>HYPERLINK("http://jsmh.umin.jp/journal/41-4/623.pdf")</f>
        <v>http://jsmh.umin.jp/journal/41-4/623.pdf</v>
      </c>
      <c r="H3498" s="43" t="str">
        <f t="shared" si="240"/>
        <v>http://dl.ndl.go.jp/info:ndljp/pid/3359349</v>
      </c>
    </row>
    <row r="3499" spans="1:8" ht="30" customHeight="1" x14ac:dyDescent="0.15">
      <c r="A3499" s="16" t="s">
        <v>558</v>
      </c>
      <c r="B3499" s="17" t="s">
        <v>6147</v>
      </c>
      <c r="C3499" s="17"/>
      <c r="D3499" s="25" t="s">
        <v>5951</v>
      </c>
      <c r="E3499" s="19" t="s">
        <v>6124</v>
      </c>
      <c r="F3499" s="19" t="s">
        <v>6146</v>
      </c>
      <c r="G3499" s="5" t="str">
        <f>HYPERLINK("http://jsmh.umin.jp/journal/41-4/623.pdf")</f>
        <v>http://jsmh.umin.jp/journal/41-4/623.pdf</v>
      </c>
      <c r="H3499" s="43" t="str">
        <f t="shared" si="240"/>
        <v>http://dl.ndl.go.jp/info:ndljp/pid/3359349</v>
      </c>
    </row>
    <row r="3500" spans="1:8" ht="30" customHeight="1" x14ac:dyDescent="0.15">
      <c r="A3500" s="16" t="s">
        <v>3720</v>
      </c>
      <c r="B3500" s="17" t="s">
        <v>10244</v>
      </c>
      <c r="C3500" s="17" t="s">
        <v>10245</v>
      </c>
      <c r="D3500" s="25" t="s">
        <v>5951</v>
      </c>
      <c r="E3500" s="19" t="s">
        <v>6124</v>
      </c>
      <c r="F3500" s="19" t="s">
        <v>6148</v>
      </c>
      <c r="G3500" s="5" t="str">
        <f>HYPERLINK("http://jsmh.umin.jp/journal/41-4/624-628.pdf")</f>
        <v>http://jsmh.umin.jp/journal/41-4/624-628.pdf</v>
      </c>
      <c r="H3500" s="43" t="str">
        <f t="shared" si="240"/>
        <v>http://dl.ndl.go.jp/info:ndljp/pid/3359349</v>
      </c>
    </row>
    <row r="3501" spans="1:8" ht="30" customHeight="1" x14ac:dyDescent="0.15">
      <c r="A3501" s="16" t="s">
        <v>3720</v>
      </c>
      <c r="B3501" s="17" t="s">
        <v>10246</v>
      </c>
      <c r="C3501" s="17" t="s">
        <v>6149</v>
      </c>
      <c r="D3501" s="25" t="s">
        <v>5951</v>
      </c>
      <c r="E3501" s="19" t="s">
        <v>6124</v>
      </c>
      <c r="F3501" s="19" t="s">
        <v>6150</v>
      </c>
      <c r="G3501" s="5" t="str">
        <f>HYPERLINK("http://jsmh.umin.jp/journal/41-4/628.pdf")</f>
        <v>http://jsmh.umin.jp/journal/41-4/628.pdf</v>
      </c>
      <c r="H3501" s="43" t="str">
        <f t="shared" si="240"/>
        <v>http://dl.ndl.go.jp/info:ndljp/pid/3359349</v>
      </c>
    </row>
    <row r="3502" spans="1:8" ht="30" customHeight="1" x14ac:dyDescent="0.15">
      <c r="A3502" s="16" t="s">
        <v>3720</v>
      </c>
      <c r="B3502" s="17" t="s">
        <v>6151</v>
      </c>
      <c r="C3502" s="17" t="s">
        <v>4085</v>
      </c>
      <c r="D3502" s="25" t="s">
        <v>5951</v>
      </c>
      <c r="E3502" s="19" t="s">
        <v>6124</v>
      </c>
      <c r="F3502" s="19" t="s">
        <v>6152</v>
      </c>
      <c r="G3502" s="5" t="str">
        <f>HYPERLINK("http://jsmh.umin.jp/journal/41-4/629-630.pdf")</f>
        <v>http://jsmh.umin.jp/journal/41-4/629-630.pdf</v>
      </c>
      <c r="H3502" s="43" t="str">
        <f t="shared" si="240"/>
        <v>http://dl.ndl.go.jp/info:ndljp/pid/3359349</v>
      </c>
    </row>
    <row r="3503" spans="1:8" ht="30" customHeight="1" x14ac:dyDescent="0.15">
      <c r="A3503" s="16" t="s">
        <v>3720</v>
      </c>
      <c r="B3503" s="17" t="s">
        <v>6153</v>
      </c>
      <c r="C3503" s="17" t="s">
        <v>1803</v>
      </c>
      <c r="D3503" s="25" t="s">
        <v>5951</v>
      </c>
      <c r="E3503" s="19" t="s">
        <v>6124</v>
      </c>
      <c r="F3503" s="19" t="s">
        <v>6154</v>
      </c>
      <c r="G3503" s="5" t="str">
        <f>HYPERLINK("http://jsmh.umin.jp/journal/41-4/629.pdf")</f>
        <v>http://jsmh.umin.jp/journal/41-4/629.pdf</v>
      </c>
      <c r="H3503" s="43" t="str">
        <f t="shared" si="240"/>
        <v>http://dl.ndl.go.jp/info:ndljp/pid/3359349</v>
      </c>
    </row>
    <row r="3504" spans="1:8" ht="30" customHeight="1" x14ac:dyDescent="0.15">
      <c r="A3504" s="16" t="s">
        <v>3720</v>
      </c>
      <c r="B3504" s="17" t="s">
        <v>6155</v>
      </c>
      <c r="C3504" s="17" t="s">
        <v>2553</v>
      </c>
      <c r="D3504" s="25" t="s">
        <v>5951</v>
      </c>
      <c r="E3504" s="19" t="s">
        <v>6124</v>
      </c>
      <c r="F3504" s="19" t="s">
        <v>6156</v>
      </c>
      <c r="G3504" s="5" t="str">
        <f>HYPERLINK("http://jsmh.umin.jp/journal/41-4/630-632.pdf")</f>
        <v>http://jsmh.umin.jp/journal/41-4/630-632.pdf</v>
      </c>
      <c r="H3504" s="43" t="str">
        <f t="shared" si="240"/>
        <v>http://dl.ndl.go.jp/info:ndljp/pid/3359349</v>
      </c>
    </row>
    <row r="3505" spans="1:8" ht="30" customHeight="1" x14ac:dyDescent="0.15">
      <c r="A3505" s="16" t="s">
        <v>2990</v>
      </c>
      <c r="B3505" s="17" t="s">
        <v>6157</v>
      </c>
      <c r="C3505" s="17" t="s">
        <v>2465</v>
      </c>
      <c r="D3505" s="25" t="s">
        <v>5951</v>
      </c>
      <c r="E3505" s="19" t="s">
        <v>6124</v>
      </c>
      <c r="F3505" s="19" t="s">
        <v>6158</v>
      </c>
      <c r="G3505" s="5" t="str">
        <f>HYPERLINK("http://jsmh.umin.jp/journal/41-4/632-634.pdf")</f>
        <v>http://jsmh.umin.jp/journal/41-4/632-634.pdf</v>
      </c>
      <c r="H3505" s="43" t="str">
        <f t="shared" si="240"/>
        <v>http://dl.ndl.go.jp/info:ndljp/pid/3359349</v>
      </c>
    </row>
    <row r="3506" spans="1:8" ht="30" customHeight="1" x14ac:dyDescent="0.15">
      <c r="A3506" s="16" t="s">
        <v>2990</v>
      </c>
      <c r="B3506" s="17" t="s">
        <v>6159</v>
      </c>
      <c r="C3506" s="17" t="s">
        <v>2325</v>
      </c>
      <c r="D3506" s="25" t="s">
        <v>5951</v>
      </c>
      <c r="E3506" s="19" t="s">
        <v>6124</v>
      </c>
      <c r="F3506" s="19" t="s">
        <v>4725</v>
      </c>
      <c r="G3506" s="5" t="str">
        <f>HYPERLINK("http://jsmh.umin.jp/journal/41-4/634-635.pdf")</f>
        <v>http://jsmh.umin.jp/journal/41-4/634-635.pdf</v>
      </c>
      <c r="H3506" s="43" t="str">
        <f t="shared" si="240"/>
        <v>http://dl.ndl.go.jp/info:ndljp/pid/3359349</v>
      </c>
    </row>
    <row r="3507" spans="1:8" ht="30" customHeight="1" x14ac:dyDescent="0.15">
      <c r="A3507" s="16" t="s">
        <v>2990</v>
      </c>
      <c r="B3507" s="17" t="s">
        <v>6160</v>
      </c>
      <c r="C3507" s="17" t="s">
        <v>2325</v>
      </c>
      <c r="D3507" s="25" t="s">
        <v>5951</v>
      </c>
      <c r="E3507" s="19" t="s">
        <v>6124</v>
      </c>
      <c r="F3507" s="19" t="s">
        <v>6161</v>
      </c>
      <c r="G3507" s="5" t="str">
        <f>HYPERLINK("http://jsmh.umin.jp/journal/41-4/635-636.pdf")</f>
        <v>http://jsmh.umin.jp/journal/41-4/635-636.pdf</v>
      </c>
      <c r="H3507" s="43" t="str">
        <f t="shared" si="240"/>
        <v>http://dl.ndl.go.jp/info:ndljp/pid/3359349</v>
      </c>
    </row>
    <row r="3508" spans="1:8" ht="30" customHeight="1" x14ac:dyDescent="0.15">
      <c r="A3508" s="16" t="s">
        <v>2990</v>
      </c>
      <c r="B3508" s="17" t="s">
        <v>6162</v>
      </c>
      <c r="C3508" s="17" t="s">
        <v>5516</v>
      </c>
      <c r="D3508" s="25" t="s">
        <v>5951</v>
      </c>
      <c r="E3508" s="19" t="s">
        <v>6124</v>
      </c>
      <c r="F3508" s="19" t="s">
        <v>4731</v>
      </c>
      <c r="G3508" s="5" t="str">
        <f>HYPERLINK("http://jsmh.umin.jp/journal/41-4/637-638.pdf")</f>
        <v>http://jsmh.umin.jp/journal/41-4/637-638.pdf</v>
      </c>
      <c r="H3508" s="43" t="str">
        <f t="shared" si="240"/>
        <v>http://dl.ndl.go.jp/info:ndljp/pid/3359349</v>
      </c>
    </row>
    <row r="3509" spans="1:8" ht="30" customHeight="1" x14ac:dyDescent="0.15">
      <c r="A3509" s="16" t="s">
        <v>2990</v>
      </c>
      <c r="B3509" s="17" t="s">
        <v>6163</v>
      </c>
      <c r="C3509" s="17" t="s">
        <v>10163</v>
      </c>
      <c r="D3509" s="25" t="s">
        <v>5951</v>
      </c>
      <c r="E3509" s="19" t="s">
        <v>6124</v>
      </c>
      <c r="F3509" s="19" t="s">
        <v>4734</v>
      </c>
      <c r="G3509" s="5" t="str">
        <f>HYPERLINK("http://jsmh.umin.jp/journal/41-4/638-639.pdf")</f>
        <v>http://jsmh.umin.jp/journal/41-4/638-639.pdf</v>
      </c>
      <c r="H3509" s="43" t="str">
        <f t="shared" si="240"/>
        <v>http://dl.ndl.go.jp/info:ndljp/pid/3359349</v>
      </c>
    </row>
    <row r="3510" spans="1:8" ht="30" customHeight="1" x14ac:dyDescent="0.15">
      <c r="A3510" s="16" t="s">
        <v>2990</v>
      </c>
      <c r="B3510" s="17" t="s">
        <v>6164</v>
      </c>
      <c r="C3510" s="17" t="s">
        <v>273</v>
      </c>
      <c r="D3510" s="25" t="s">
        <v>5951</v>
      </c>
      <c r="E3510" s="19" t="s">
        <v>6124</v>
      </c>
      <c r="F3510" s="19" t="s">
        <v>6165</v>
      </c>
      <c r="G3510" s="5" t="str">
        <f>HYPERLINK("http://jsmh.umin.jp/journal/41-4/640-641.pdf")</f>
        <v>http://jsmh.umin.jp/journal/41-4/640-641.pdf</v>
      </c>
      <c r="H3510" s="43" t="str">
        <f t="shared" si="240"/>
        <v>http://dl.ndl.go.jp/info:ndljp/pid/3359349</v>
      </c>
    </row>
    <row r="3511" spans="1:8" ht="30" customHeight="1" x14ac:dyDescent="0.15">
      <c r="A3511" s="16" t="s">
        <v>2990</v>
      </c>
      <c r="B3511" s="17" t="s">
        <v>10247</v>
      </c>
      <c r="C3511" s="17" t="s">
        <v>3010</v>
      </c>
      <c r="D3511" s="25" t="s">
        <v>5951</v>
      </c>
      <c r="E3511" s="19" t="s">
        <v>6124</v>
      </c>
      <c r="F3511" s="19" t="s">
        <v>6166</v>
      </c>
      <c r="G3511" s="5" t="str">
        <f>HYPERLINK("http://jsmh.umin.jp/journal/41-4/641-642.pdf")</f>
        <v>http://jsmh.umin.jp/journal/41-4/641-642.pdf</v>
      </c>
      <c r="H3511" s="43" t="str">
        <f t="shared" si="240"/>
        <v>http://dl.ndl.go.jp/info:ndljp/pid/3359349</v>
      </c>
    </row>
    <row r="3512" spans="1:8" ht="30" customHeight="1" x14ac:dyDescent="0.15">
      <c r="A3512" s="16" t="s">
        <v>17</v>
      </c>
      <c r="B3512" s="17" t="s">
        <v>10248</v>
      </c>
      <c r="C3512" s="17" t="s">
        <v>2937</v>
      </c>
      <c r="D3512" s="18" t="s">
        <v>6167</v>
      </c>
      <c r="E3512" s="19" t="s">
        <v>6168</v>
      </c>
      <c r="F3512" s="19" t="s">
        <v>6169</v>
      </c>
      <c r="G3512" s="5" t="str">
        <f>HYPERLINK("http://jsmh.umin.jp/journal/42-1/3-27.pdf")</f>
        <v>http://jsmh.umin.jp/journal/42-1/3-27.pdf</v>
      </c>
      <c r="H3512" s="42" t="str">
        <f t="shared" ref="H3512:H3533" si="241">HYPERLINK("http://dl.ndl.go.jp/info:ndljp/pid/3359350")</f>
        <v>http://dl.ndl.go.jp/info:ndljp/pid/3359350</v>
      </c>
    </row>
    <row r="3513" spans="1:8" ht="30" customHeight="1" x14ac:dyDescent="0.15">
      <c r="A3513" s="16" t="s">
        <v>17</v>
      </c>
      <c r="B3513" s="17" t="s">
        <v>6170</v>
      </c>
      <c r="C3513" s="17" t="s">
        <v>2465</v>
      </c>
      <c r="D3513" s="25" t="s">
        <v>6167</v>
      </c>
      <c r="E3513" s="19" t="s">
        <v>6168</v>
      </c>
      <c r="F3513" s="19" t="s">
        <v>6171</v>
      </c>
      <c r="G3513" s="5" t="str">
        <f>HYPERLINK("http://jsmh.umin.jp/journal/42-1/29-48.pdf")</f>
        <v>http://jsmh.umin.jp/journal/42-1/29-48.pdf</v>
      </c>
      <c r="H3513" s="43" t="str">
        <f t="shared" si="241"/>
        <v>http://dl.ndl.go.jp/info:ndljp/pid/3359350</v>
      </c>
    </row>
    <row r="3514" spans="1:8" ht="30" customHeight="1" x14ac:dyDescent="0.15">
      <c r="A3514" s="16" t="s">
        <v>17</v>
      </c>
      <c r="B3514" s="17" t="s">
        <v>6172</v>
      </c>
      <c r="C3514" s="17" t="s">
        <v>5955</v>
      </c>
      <c r="D3514" s="25" t="s">
        <v>6167</v>
      </c>
      <c r="E3514" s="19" t="s">
        <v>6168</v>
      </c>
      <c r="F3514" s="19" t="s">
        <v>6173</v>
      </c>
      <c r="G3514" s="5" t="str">
        <f>HYPERLINK("http://jsmh.umin.jp/journal/42-1/49-59.pdf")</f>
        <v>http://jsmh.umin.jp/journal/42-1/49-59.pdf</v>
      </c>
      <c r="H3514" s="43" t="str">
        <f t="shared" si="241"/>
        <v>http://dl.ndl.go.jp/info:ndljp/pid/3359350</v>
      </c>
    </row>
    <row r="3515" spans="1:8" ht="30" customHeight="1" x14ac:dyDescent="0.15">
      <c r="A3515" s="16" t="s">
        <v>17</v>
      </c>
      <c r="B3515" s="17" t="s">
        <v>6174</v>
      </c>
      <c r="C3515" s="17" t="s">
        <v>6175</v>
      </c>
      <c r="D3515" s="25" t="s">
        <v>6167</v>
      </c>
      <c r="E3515" s="19" t="s">
        <v>6168</v>
      </c>
      <c r="F3515" s="19" t="s">
        <v>6176</v>
      </c>
      <c r="G3515" s="5" t="str">
        <f>HYPERLINK("http://jsmh.umin.jp/journal/42-1/61-76.pdf")</f>
        <v>http://jsmh.umin.jp/journal/42-1/61-76.pdf</v>
      </c>
      <c r="H3515" s="43" t="str">
        <f t="shared" si="241"/>
        <v>http://dl.ndl.go.jp/info:ndljp/pid/3359350</v>
      </c>
    </row>
    <row r="3516" spans="1:8" ht="30" customHeight="1" x14ac:dyDescent="0.15">
      <c r="A3516" s="16" t="s">
        <v>17</v>
      </c>
      <c r="B3516" s="17" t="s">
        <v>6177</v>
      </c>
      <c r="C3516" s="17" t="s">
        <v>5471</v>
      </c>
      <c r="D3516" s="25" t="s">
        <v>6167</v>
      </c>
      <c r="E3516" s="19" t="s">
        <v>6168</v>
      </c>
      <c r="F3516" s="19" t="s">
        <v>6178</v>
      </c>
      <c r="G3516" s="5" t="str">
        <f>HYPERLINK("http://jsmh.umin.jp/journal/42-1/77-86.pdf")</f>
        <v>http://jsmh.umin.jp/journal/42-1/77-86.pdf</v>
      </c>
      <c r="H3516" s="43" t="str">
        <f t="shared" si="241"/>
        <v>http://dl.ndl.go.jp/info:ndljp/pid/3359350</v>
      </c>
    </row>
    <row r="3517" spans="1:8" ht="30" customHeight="1" x14ac:dyDescent="0.15">
      <c r="A3517" s="16" t="s">
        <v>692</v>
      </c>
      <c r="B3517" s="17" t="s">
        <v>6179</v>
      </c>
      <c r="C3517" s="17" t="s">
        <v>4867</v>
      </c>
      <c r="D3517" s="25" t="s">
        <v>6167</v>
      </c>
      <c r="E3517" s="19" t="s">
        <v>6168</v>
      </c>
      <c r="F3517" s="19" t="s">
        <v>6180</v>
      </c>
      <c r="G3517" s="5" t="str">
        <f>HYPERLINK("http://jsmh.umin.jp/journal/42-1/87-93.pdf")</f>
        <v>http://jsmh.umin.jp/journal/42-1/87-93.pdf</v>
      </c>
      <c r="H3517" s="43" t="str">
        <f t="shared" si="241"/>
        <v>http://dl.ndl.go.jp/info:ndljp/pid/3359350</v>
      </c>
    </row>
    <row r="3518" spans="1:8" ht="30" customHeight="1" x14ac:dyDescent="0.15">
      <c r="A3518" s="16" t="s">
        <v>692</v>
      </c>
      <c r="B3518" s="17" t="s">
        <v>6181</v>
      </c>
      <c r="C3518" s="17" t="s">
        <v>4870</v>
      </c>
      <c r="D3518" s="25" t="s">
        <v>6167</v>
      </c>
      <c r="E3518" s="19" t="s">
        <v>6168</v>
      </c>
      <c r="F3518" s="19" t="s">
        <v>6182</v>
      </c>
      <c r="G3518" s="5" t="str">
        <f>HYPERLINK("http://jsmh.umin.jp/journal/42-1/95-104.pdf")</f>
        <v>http://jsmh.umin.jp/journal/42-1/95-104.pdf</v>
      </c>
      <c r="H3518" s="43" t="str">
        <f t="shared" si="241"/>
        <v>http://dl.ndl.go.jp/info:ndljp/pid/3359350</v>
      </c>
    </row>
    <row r="3519" spans="1:8" ht="30" customHeight="1" x14ac:dyDescent="0.15">
      <c r="A3519" s="16" t="s">
        <v>6088</v>
      </c>
      <c r="B3519" s="17" t="s">
        <v>6183</v>
      </c>
      <c r="C3519" s="17" t="s">
        <v>479</v>
      </c>
      <c r="D3519" s="25" t="s">
        <v>6167</v>
      </c>
      <c r="E3519" s="19" t="s">
        <v>6168</v>
      </c>
      <c r="F3519" s="19" t="s">
        <v>6184</v>
      </c>
      <c r="G3519" s="5" t="str">
        <f>HYPERLINK("http://jsmh.umin.jp/journal/42-1/105.pdf")</f>
        <v>http://jsmh.umin.jp/journal/42-1/105.pdf</v>
      </c>
      <c r="H3519" s="43" t="str">
        <f t="shared" si="241"/>
        <v>http://dl.ndl.go.jp/info:ndljp/pid/3359350</v>
      </c>
    </row>
    <row r="3520" spans="1:8" ht="30" customHeight="1" x14ac:dyDescent="0.15">
      <c r="A3520" s="16" t="s">
        <v>3720</v>
      </c>
      <c r="B3520" s="17" t="s">
        <v>6185</v>
      </c>
      <c r="C3520" s="17" t="s">
        <v>6186</v>
      </c>
      <c r="D3520" s="25" t="s">
        <v>6167</v>
      </c>
      <c r="E3520" s="19" t="s">
        <v>6168</v>
      </c>
      <c r="F3520" s="19" t="s">
        <v>189</v>
      </c>
      <c r="G3520" s="5" t="str">
        <f>HYPERLINK("http://jsmh.umin.jp/journal/42-1/106-107.pdf")</f>
        <v>http://jsmh.umin.jp/journal/42-1/106-107.pdf</v>
      </c>
      <c r="H3520" s="43" t="str">
        <f t="shared" si="241"/>
        <v>http://dl.ndl.go.jp/info:ndljp/pid/3359350</v>
      </c>
    </row>
    <row r="3521" spans="1:8" ht="30" customHeight="1" x14ac:dyDescent="0.15">
      <c r="A3521" s="16" t="s">
        <v>3720</v>
      </c>
      <c r="B3521" s="17" t="s">
        <v>6187</v>
      </c>
      <c r="C3521" s="17" t="s">
        <v>209</v>
      </c>
      <c r="D3521" s="25" t="s">
        <v>6167</v>
      </c>
      <c r="E3521" s="19" t="s">
        <v>6168</v>
      </c>
      <c r="F3521" s="19" t="s">
        <v>194</v>
      </c>
      <c r="G3521" s="5" t="str">
        <f>HYPERLINK("http://jsmh.umin.jp/journal/42-1/107-108.pdf")</f>
        <v>http://jsmh.umin.jp/journal/42-1/107-108.pdf</v>
      </c>
      <c r="H3521" s="43" t="str">
        <f t="shared" si="241"/>
        <v>http://dl.ndl.go.jp/info:ndljp/pid/3359350</v>
      </c>
    </row>
    <row r="3522" spans="1:8" ht="30" customHeight="1" x14ac:dyDescent="0.15">
      <c r="A3522" s="16" t="s">
        <v>3720</v>
      </c>
      <c r="B3522" s="17" t="s">
        <v>6188</v>
      </c>
      <c r="C3522" s="17" t="s">
        <v>6189</v>
      </c>
      <c r="D3522" s="25" t="s">
        <v>6167</v>
      </c>
      <c r="E3522" s="19" t="s">
        <v>6168</v>
      </c>
      <c r="F3522" s="19" t="s">
        <v>196</v>
      </c>
      <c r="G3522" s="5" t="str">
        <f>HYPERLINK("http://jsmh.umin.jp/journal/42-1/109-110.pdf")</f>
        <v>http://jsmh.umin.jp/journal/42-1/109-110.pdf</v>
      </c>
      <c r="H3522" s="43" t="str">
        <f t="shared" si="241"/>
        <v>http://dl.ndl.go.jp/info:ndljp/pid/3359350</v>
      </c>
    </row>
    <row r="3523" spans="1:8" ht="30" customHeight="1" x14ac:dyDescent="0.15">
      <c r="A3523" s="16" t="s">
        <v>3720</v>
      </c>
      <c r="B3523" s="17" t="s">
        <v>6190</v>
      </c>
      <c r="C3523" s="17" t="s">
        <v>6191</v>
      </c>
      <c r="D3523" s="25" t="s">
        <v>6167</v>
      </c>
      <c r="E3523" s="19" t="s">
        <v>6168</v>
      </c>
      <c r="F3523" s="19" t="s">
        <v>6192</v>
      </c>
      <c r="G3523" s="5" t="str">
        <f>HYPERLINK("http://jsmh.umin.jp/journal/42-1/111-113.pdf")</f>
        <v>http://jsmh.umin.jp/journal/42-1/111-113.pdf</v>
      </c>
      <c r="H3523" s="43" t="str">
        <f t="shared" si="241"/>
        <v>http://dl.ndl.go.jp/info:ndljp/pid/3359350</v>
      </c>
    </row>
    <row r="3524" spans="1:8" ht="30" customHeight="1" x14ac:dyDescent="0.15">
      <c r="A3524" s="16" t="s">
        <v>3720</v>
      </c>
      <c r="B3524" s="17" t="s">
        <v>6193</v>
      </c>
      <c r="C3524" s="17" t="s">
        <v>4085</v>
      </c>
      <c r="D3524" s="25" t="s">
        <v>6167</v>
      </c>
      <c r="E3524" s="19" t="s">
        <v>6168</v>
      </c>
      <c r="F3524" s="19" t="s">
        <v>2396</v>
      </c>
      <c r="G3524" s="5" t="str">
        <f>HYPERLINK("http://jsmh.umin.jp/journal/42-1/114-115.pdf")</f>
        <v>http://jsmh.umin.jp/journal/42-1/114-115.pdf</v>
      </c>
      <c r="H3524" s="43" t="str">
        <f t="shared" si="241"/>
        <v>http://dl.ndl.go.jp/info:ndljp/pid/3359350</v>
      </c>
    </row>
    <row r="3525" spans="1:8" ht="30" customHeight="1" x14ac:dyDescent="0.15">
      <c r="A3525" s="16" t="s">
        <v>3720</v>
      </c>
      <c r="B3525" s="17" t="s">
        <v>6194</v>
      </c>
      <c r="C3525" s="17" t="s">
        <v>2937</v>
      </c>
      <c r="D3525" s="25" t="s">
        <v>6167</v>
      </c>
      <c r="E3525" s="19" t="s">
        <v>6168</v>
      </c>
      <c r="F3525" s="19" t="s">
        <v>3610</v>
      </c>
      <c r="G3525" s="5" t="str">
        <f>HYPERLINK("http://jsmh.umin.jp/journal/42-1/115-117.pdf")</f>
        <v>http://jsmh.umin.jp/journal/42-1/115-117.pdf</v>
      </c>
      <c r="H3525" s="43" t="str">
        <f t="shared" si="241"/>
        <v>http://dl.ndl.go.jp/info:ndljp/pid/3359350</v>
      </c>
    </row>
    <row r="3526" spans="1:8" ht="30" customHeight="1" x14ac:dyDescent="0.15">
      <c r="A3526" s="16" t="s">
        <v>2990</v>
      </c>
      <c r="B3526" s="17" t="s">
        <v>6195</v>
      </c>
      <c r="C3526" s="17" t="s">
        <v>3644</v>
      </c>
      <c r="D3526" s="25" t="s">
        <v>6167</v>
      </c>
      <c r="E3526" s="19" t="s">
        <v>6168</v>
      </c>
      <c r="F3526" s="19" t="s">
        <v>2402</v>
      </c>
      <c r="G3526" s="5" t="str">
        <f>HYPERLINK("http://jsmh.umin.jp/journal/42-1/117-118.pdf")</f>
        <v>http://jsmh.umin.jp/journal/42-1/117-118.pdf</v>
      </c>
      <c r="H3526" s="43" t="str">
        <f t="shared" si="241"/>
        <v>http://dl.ndl.go.jp/info:ndljp/pid/3359350</v>
      </c>
    </row>
    <row r="3527" spans="1:8" ht="30" customHeight="1" x14ac:dyDescent="0.15">
      <c r="A3527" s="16" t="s">
        <v>2990</v>
      </c>
      <c r="B3527" s="17" t="s">
        <v>6196</v>
      </c>
      <c r="C3527" s="17" t="s">
        <v>6197</v>
      </c>
      <c r="D3527" s="25" t="s">
        <v>6167</v>
      </c>
      <c r="E3527" s="19" t="s">
        <v>6168</v>
      </c>
      <c r="F3527" s="19" t="s">
        <v>6198</v>
      </c>
      <c r="G3527" s="5" t="str">
        <f>HYPERLINK("http://jsmh.umin.jp/journal/42-1/118-120.pdf")</f>
        <v>http://jsmh.umin.jp/journal/42-1/118-120.pdf</v>
      </c>
      <c r="H3527" s="43" t="str">
        <f t="shared" si="241"/>
        <v>http://dl.ndl.go.jp/info:ndljp/pid/3359350</v>
      </c>
    </row>
    <row r="3528" spans="1:8" ht="30" customHeight="1" x14ac:dyDescent="0.15">
      <c r="A3528" s="16" t="s">
        <v>2990</v>
      </c>
      <c r="B3528" s="17" t="s">
        <v>10249</v>
      </c>
      <c r="C3528" s="17" t="s">
        <v>4039</v>
      </c>
      <c r="D3528" s="25" t="s">
        <v>6167</v>
      </c>
      <c r="E3528" s="19" t="s">
        <v>6168</v>
      </c>
      <c r="F3528" s="19" t="s">
        <v>4596</v>
      </c>
      <c r="G3528" s="5" t="str">
        <f>HYPERLINK("http://jsmh.umin.jp/journal/42-1/120-122.pdf")</f>
        <v>http://jsmh.umin.jp/journal/42-1/120-122.pdf</v>
      </c>
      <c r="H3528" s="43" t="str">
        <f t="shared" si="241"/>
        <v>http://dl.ndl.go.jp/info:ndljp/pid/3359350</v>
      </c>
    </row>
    <row r="3529" spans="1:8" ht="30" customHeight="1" x14ac:dyDescent="0.15">
      <c r="A3529" s="16" t="s">
        <v>2990</v>
      </c>
      <c r="B3529" s="17" t="s">
        <v>6199</v>
      </c>
      <c r="C3529" s="17" t="s">
        <v>1097</v>
      </c>
      <c r="D3529" s="25" t="s">
        <v>6167</v>
      </c>
      <c r="E3529" s="19" t="s">
        <v>6168</v>
      </c>
      <c r="F3529" s="19" t="s">
        <v>6200</v>
      </c>
      <c r="G3529" s="5" t="str">
        <f>HYPERLINK("http://jsmh.umin.jp/journal/42-1/123-124.pdf")</f>
        <v>http://jsmh.umin.jp/journal/42-1/123-124.pdf</v>
      </c>
      <c r="H3529" s="43" t="str">
        <f t="shared" si="241"/>
        <v>http://dl.ndl.go.jp/info:ndljp/pid/3359350</v>
      </c>
    </row>
    <row r="3530" spans="1:8" ht="30" customHeight="1" x14ac:dyDescent="0.15">
      <c r="A3530" s="16" t="s">
        <v>2990</v>
      </c>
      <c r="B3530" s="17" t="s">
        <v>10250</v>
      </c>
      <c r="C3530" s="17" t="s">
        <v>4085</v>
      </c>
      <c r="D3530" s="25" t="s">
        <v>6167</v>
      </c>
      <c r="E3530" s="19" t="s">
        <v>6168</v>
      </c>
      <c r="F3530" s="19" t="s">
        <v>6201</v>
      </c>
      <c r="G3530" s="5" t="str">
        <f>HYPERLINK("http://jsmh.umin.jp/journal/42-1/124-126.pdf")</f>
        <v>http://jsmh.umin.jp/journal/42-1/124-126.pdf</v>
      </c>
      <c r="H3530" s="43" t="str">
        <f t="shared" si="241"/>
        <v>http://dl.ndl.go.jp/info:ndljp/pid/3359350</v>
      </c>
    </row>
    <row r="3531" spans="1:8" ht="30" customHeight="1" x14ac:dyDescent="0.15">
      <c r="A3531" s="16" t="s">
        <v>2990</v>
      </c>
      <c r="B3531" s="17" t="s">
        <v>6202</v>
      </c>
      <c r="C3531" s="17" t="s">
        <v>2937</v>
      </c>
      <c r="D3531" s="25" t="s">
        <v>6167</v>
      </c>
      <c r="E3531" s="19" t="s">
        <v>6168</v>
      </c>
      <c r="F3531" s="19" t="s">
        <v>2414</v>
      </c>
      <c r="G3531" s="5" t="str">
        <f>HYPERLINK("http://jsmh.umin.jp/journal/42-1/126-127.pdf")</f>
        <v>http://jsmh.umin.jp/journal/42-1/126-127.pdf</v>
      </c>
      <c r="H3531" s="43" t="str">
        <f t="shared" si="241"/>
        <v>http://dl.ndl.go.jp/info:ndljp/pid/3359350</v>
      </c>
    </row>
    <row r="3532" spans="1:8" ht="30" customHeight="1" x14ac:dyDescent="0.15">
      <c r="A3532" s="16" t="s">
        <v>2990</v>
      </c>
      <c r="B3532" s="17" t="s">
        <v>6203</v>
      </c>
      <c r="C3532" s="17" t="s">
        <v>10251</v>
      </c>
      <c r="D3532" s="25" t="s">
        <v>6167</v>
      </c>
      <c r="E3532" s="19" t="s">
        <v>6168</v>
      </c>
      <c r="F3532" s="19" t="s">
        <v>3625</v>
      </c>
      <c r="G3532" s="5" t="str">
        <f>HYPERLINK("http://jsmh.umin.jp/journal/42-1/127-129.pdf")</f>
        <v>http://jsmh.umin.jp/journal/42-1/127-129.pdf</v>
      </c>
      <c r="H3532" s="43" t="str">
        <f t="shared" si="241"/>
        <v>http://dl.ndl.go.jp/info:ndljp/pid/3359350</v>
      </c>
    </row>
    <row r="3533" spans="1:8" ht="30" customHeight="1" x14ac:dyDescent="0.15">
      <c r="A3533" s="16" t="s">
        <v>2990</v>
      </c>
      <c r="B3533" s="17" t="s">
        <v>6204</v>
      </c>
      <c r="C3533" s="17" t="s">
        <v>5955</v>
      </c>
      <c r="D3533" s="25" t="s">
        <v>6167</v>
      </c>
      <c r="E3533" s="19" t="s">
        <v>6168</v>
      </c>
      <c r="F3533" s="19" t="s">
        <v>4603</v>
      </c>
      <c r="G3533" s="5" t="str">
        <f>HYPERLINK("http://jsmh.umin.jp/journal/42-1/129-130.pdf")</f>
        <v>http://jsmh.umin.jp/journal/42-1/129-130.pdf</v>
      </c>
      <c r="H3533" s="43" t="str">
        <f t="shared" si="241"/>
        <v>http://dl.ndl.go.jp/info:ndljp/pid/3359350</v>
      </c>
    </row>
    <row r="3534" spans="1:8" ht="30" customHeight="1" x14ac:dyDescent="0.15">
      <c r="A3534" s="16" t="s">
        <v>499</v>
      </c>
      <c r="B3534" s="17" t="s">
        <v>6205</v>
      </c>
      <c r="C3534" s="17" t="s">
        <v>6206</v>
      </c>
      <c r="D3534" s="25" t="s">
        <v>6167</v>
      </c>
      <c r="E3534" s="19" t="s">
        <v>6207</v>
      </c>
      <c r="F3534" s="19" t="s">
        <v>6208</v>
      </c>
      <c r="G3534" s="5" t="str">
        <f>HYPERLINK("http://jsmh.umin.jp/journal/42-2/144-149.pdf")</f>
        <v>http://jsmh.umin.jp/journal/42-2/144-149.pdf</v>
      </c>
      <c r="H3534" s="42" t="str">
        <f t="shared" ref="H3534:H3565" si="242">HYPERLINK("http://dl.ndl.go.jp/info:ndljp/pid/3359351")</f>
        <v>http://dl.ndl.go.jp/info:ndljp/pid/3359351</v>
      </c>
    </row>
    <row r="3535" spans="1:8" ht="30" customHeight="1" x14ac:dyDescent="0.15">
      <c r="A3535" s="16" t="s">
        <v>88</v>
      </c>
      <c r="B3535" s="17" t="s">
        <v>6209</v>
      </c>
      <c r="C3535" s="17" t="s">
        <v>6210</v>
      </c>
      <c r="D3535" s="25" t="s">
        <v>6167</v>
      </c>
      <c r="E3535" s="19" t="s">
        <v>6207</v>
      </c>
      <c r="F3535" s="19" t="s">
        <v>6211</v>
      </c>
      <c r="G3535" s="5" t="str">
        <f>HYPERLINK("http://jsmh.umin.jp/journal/42-2/150-155.pdf")</f>
        <v>http://jsmh.umin.jp/journal/42-2/150-155.pdf</v>
      </c>
      <c r="H3535" s="43" t="str">
        <f t="shared" si="242"/>
        <v>http://dl.ndl.go.jp/info:ndljp/pid/3359351</v>
      </c>
    </row>
    <row r="3536" spans="1:8" ht="30" customHeight="1" x14ac:dyDescent="0.15">
      <c r="A3536" s="16" t="s">
        <v>88</v>
      </c>
      <c r="B3536" s="17" t="s">
        <v>6212</v>
      </c>
      <c r="C3536" s="17" t="s">
        <v>3024</v>
      </c>
      <c r="D3536" s="25" t="s">
        <v>6167</v>
      </c>
      <c r="E3536" s="19" t="s">
        <v>6207</v>
      </c>
      <c r="F3536" s="19" t="s">
        <v>6213</v>
      </c>
      <c r="G3536" s="5" t="str">
        <f>HYPERLINK("http://jsmh.umin.jp/journal/42-2/156-159.pdf")</f>
        <v>http://jsmh.umin.jp/journal/42-2/156-159.pdf</v>
      </c>
      <c r="H3536" s="43" t="str">
        <f t="shared" si="242"/>
        <v>http://dl.ndl.go.jp/info:ndljp/pid/3359351</v>
      </c>
    </row>
    <row r="3537" spans="1:8" ht="30" customHeight="1" x14ac:dyDescent="0.15">
      <c r="A3537" s="16" t="s">
        <v>1855</v>
      </c>
      <c r="B3537" s="17" t="s">
        <v>6214</v>
      </c>
      <c r="C3537" s="17" t="s">
        <v>2828</v>
      </c>
      <c r="D3537" s="25" t="s">
        <v>6167</v>
      </c>
      <c r="E3537" s="19" t="s">
        <v>6207</v>
      </c>
      <c r="F3537" s="19" t="s">
        <v>2546</v>
      </c>
      <c r="G3537" s="5" t="str">
        <f>HYPERLINK("http://jsmh.umin.jp/journal/42-2/160-161.pdf")</f>
        <v>http://jsmh.umin.jp/journal/42-2/160-161.pdf</v>
      </c>
      <c r="H3537" s="43" t="str">
        <f t="shared" si="242"/>
        <v>http://dl.ndl.go.jp/info:ndljp/pid/3359351</v>
      </c>
    </row>
    <row r="3538" spans="1:8" ht="30" customHeight="1" x14ac:dyDescent="0.15">
      <c r="A3538" s="16" t="s">
        <v>1855</v>
      </c>
      <c r="B3538" s="17" t="s">
        <v>6215</v>
      </c>
      <c r="C3538" s="17" t="s">
        <v>2937</v>
      </c>
      <c r="D3538" s="25" t="s">
        <v>6167</v>
      </c>
      <c r="E3538" s="19" t="s">
        <v>6207</v>
      </c>
      <c r="F3538" s="19" t="s">
        <v>3658</v>
      </c>
      <c r="G3538" s="5" t="str">
        <f>HYPERLINK("http://jsmh.umin.jp/journal/42-2/162-163.pdf")</f>
        <v>http://jsmh.umin.jp/journal/42-2/162-163.pdf</v>
      </c>
      <c r="H3538" s="43" t="str">
        <f t="shared" si="242"/>
        <v>http://dl.ndl.go.jp/info:ndljp/pid/3359351</v>
      </c>
    </row>
    <row r="3539" spans="1:8" ht="30" customHeight="1" x14ac:dyDescent="0.15">
      <c r="A3539" s="16" t="s">
        <v>1855</v>
      </c>
      <c r="B3539" s="17" t="s">
        <v>6216</v>
      </c>
      <c r="C3539" s="17" t="s">
        <v>6217</v>
      </c>
      <c r="D3539" s="25" t="s">
        <v>6167</v>
      </c>
      <c r="E3539" s="19" t="s">
        <v>6207</v>
      </c>
      <c r="F3539" s="19" t="s">
        <v>2041</v>
      </c>
      <c r="G3539" s="5" t="str">
        <f>HYPERLINK("http://jsmh.umin.jp/journal/42-2/164-165.pdf")</f>
        <v>http://jsmh.umin.jp/journal/42-2/164-165.pdf</v>
      </c>
      <c r="H3539" s="43" t="str">
        <f t="shared" si="242"/>
        <v>http://dl.ndl.go.jp/info:ndljp/pid/3359351</v>
      </c>
    </row>
    <row r="3540" spans="1:8" ht="30" customHeight="1" x14ac:dyDescent="0.15">
      <c r="A3540" s="16" t="s">
        <v>1855</v>
      </c>
      <c r="B3540" s="17" t="s">
        <v>6218</v>
      </c>
      <c r="C3540" s="17" t="s">
        <v>5625</v>
      </c>
      <c r="D3540" s="25" t="s">
        <v>6167</v>
      </c>
      <c r="E3540" s="19" t="s">
        <v>6207</v>
      </c>
      <c r="F3540" s="19" t="s">
        <v>2776</v>
      </c>
      <c r="G3540" s="5" t="str">
        <f>HYPERLINK("http://jsmh.umin.jp/journal/42-2/166-167.pdf")</f>
        <v>http://jsmh.umin.jp/journal/42-2/166-167.pdf</v>
      </c>
      <c r="H3540" s="43" t="str">
        <f t="shared" si="242"/>
        <v>http://dl.ndl.go.jp/info:ndljp/pid/3359351</v>
      </c>
    </row>
    <row r="3541" spans="1:8" ht="30" customHeight="1" x14ac:dyDescent="0.15">
      <c r="A3541" s="16" t="s">
        <v>1855</v>
      </c>
      <c r="B3541" s="17" t="s">
        <v>6219</v>
      </c>
      <c r="C3541" s="17" t="s">
        <v>6220</v>
      </c>
      <c r="D3541" s="25" t="s">
        <v>6167</v>
      </c>
      <c r="E3541" s="19" t="s">
        <v>6207</v>
      </c>
      <c r="F3541" s="19" t="s">
        <v>6221</v>
      </c>
      <c r="G3541" s="5" t="str">
        <f>HYPERLINK("http://jsmh.umin.jp/journal/42-2/168-169.pdf")</f>
        <v>http://jsmh.umin.jp/journal/42-2/168-169.pdf</v>
      </c>
      <c r="H3541" s="43" t="str">
        <f t="shared" si="242"/>
        <v>http://dl.ndl.go.jp/info:ndljp/pid/3359351</v>
      </c>
    </row>
    <row r="3542" spans="1:8" ht="30" customHeight="1" x14ac:dyDescent="0.15">
      <c r="A3542" s="16" t="s">
        <v>1855</v>
      </c>
      <c r="B3542" s="17" t="s">
        <v>10665</v>
      </c>
      <c r="C3542" s="17" t="s">
        <v>2773</v>
      </c>
      <c r="D3542" s="25" t="s">
        <v>6167</v>
      </c>
      <c r="E3542" s="19" t="s">
        <v>6207</v>
      </c>
      <c r="F3542" s="19" t="s">
        <v>4826</v>
      </c>
      <c r="G3542" s="5" t="str">
        <f>HYPERLINK("http://jsmh.umin.jp/journal/42-2/170-171.pdf")</f>
        <v>http://jsmh.umin.jp/journal/42-2/170-171.pdf</v>
      </c>
      <c r="H3542" s="43" t="str">
        <f t="shared" si="242"/>
        <v>http://dl.ndl.go.jp/info:ndljp/pid/3359351</v>
      </c>
    </row>
    <row r="3543" spans="1:8" ht="30" customHeight="1" x14ac:dyDescent="0.15">
      <c r="A3543" s="16" t="s">
        <v>1855</v>
      </c>
      <c r="B3543" s="17" t="s">
        <v>6222</v>
      </c>
      <c r="C3543" s="17" t="s">
        <v>5615</v>
      </c>
      <c r="D3543" s="25" t="s">
        <v>6167</v>
      </c>
      <c r="E3543" s="19" t="s">
        <v>6207</v>
      </c>
      <c r="F3543" s="19" t="s">
        <v>6223</v>
      </c>
      <c r="G3543" s="5" t="str">
        <f>HYPERLINK("http://jsmh.umin.jp/journal/42-2/172-173.pdf")</f>
        <v>http://jsmh.umin.jp/journal/42-2/172-173.pdf</v>
      </c>
      <c r="H3543" s="43" t="str">
        <f t="shared" si="242"/>
        <v>http://dl.ndl.go.jp/info:ndljp/pid/3359351</v>
      </c>
    </row>
    <row r="3544" spans="1:8" ht="30" customHeight="1" x14ac:dyDescent="0.15">
      <c r="A3544" s="16" t="s">
        <v>1855</v>
      </c>
      <c r="B3544" s="17" t="s">
        <v>6224</v>
      </c>
      <c r="C3544" s="17" t="s">
        <v>5471</v>
      </c>
      <c r="D3544" s="25" t="s">
        <v>6167</v>
      </c>
      <c r="E3544" s="19" t="s">
        <v>6207</v>
      </c>
      <c r="F3544" s="19" t="s">
        <v>2922</v>
      </c>
      <c r="G3544" s="5" t="str">
        <f>HYPERLINK("http://jsmh.umin.jp/journal/42-2/174-175.pdf")</f>
        <v>http://jsmh.umin.jp/journal/42-2/174-175.pdf</v>
      </c>
      <c r="H3544" s="43" t="str">
        <f t="shared" si="242"/>
        <v>http://dl.ndl.go.jp/info:ndljp/pid/3359351</v>
      </c>
    </row>
    <row r="3545" spans="1:8" ht="30" customHeight="1" x14ac:dyDescent="0.15">
      <c r="A3545" s="16" t="s">
        <v>1855</v>
      </c>
      <c r="B3545" s="17" t="s">
        <v>6225</v>
      </c>
      <c r="C3545" s="17" t="s">
        <v>6226</v>
      </c>
      <c r="D3545" s="25" t="s">
        <v>6167</v>
      </c>
      <c r="E3545" s="19" t="s">
        <v>6207</v>
      </c>
      <c r="F3545" s="19" t="s">
        <v>74</v>
      </c>
      <c r="G3545" s="5" t="str">
        <f>HYPERLINK("http://jsmh.umin.jp/journal/42-2/176-177.pdf")</f>
        <v>http://jsmh.umin.jp/journal/42-2/176-177.pdf</v>
      </c>
      <c r="H3545" s="43" t="str">
        <f t="shared" si="242"/>
        <v>http://dl.ndl.go.jp/info:ndljp/pid/3359351</v>
      </c>
    </row>
    <row r="3546" spans="1:8" ht="30" customHeight="1" x14ac:dyDescent="0.15">
      <c r="A3546" s="16" t="s">
        <v>1855</v>
      </c>
      <c r="B3546" s="17" t="s">
        <v>6227</v>
      </c>
      <c r="C3546" s="17" t="s">
        <v>6228</v>
      </c>
      <c r="D3546" s="25" t="s">
        <v>6167</v>
      </c>
      <c r="E3546" s="19" t="s">
        <v>6207</v>
      </c>
      <c r="F3546" s="19" t="s">
        <v>3667</v>
      </c>
      <c r="G3546" s="5" t="str">
        <f>HYPERLINK("http://jsmh.umin.jp/journal/42-2/178-179.pdf")</f>
        <v>http://jsmh.umin.jp/journal/42-2/178-179.pdf</v>
      </c>
      <c r="H3546" s="43" t="str">
        <f t="shared" si="242"/>
        <v>http://dl.ndl.go.jp/info:ndljp/pid/3359351</v>
      </c>
    </row>
    <row r="3547" spans="1:8" ht="30" customHeight="1" x14ac:dyDescent="0.15">
      <c r="A3547" s="16" t="s">
        <v>1855</v>
      </c>
      <c r="B3547" s="17" t="s">
        <v>6229</v>
      </c>
      <c r="C3547" s="17" t="s">
        <v>2553</v>
      </c>
      <c r="D3547" s="25" t="s">
        <v>6167</v>
      </c>
      <c r="E3547" s="19" t="s">
        <v>6207</v>
      </c>
      <c r="F3547" s="19" t="s">
        <v>1713</v>
      </c>
      <c r="G3547" s="5" t="str">
        <f>HYPERLINK("http://jsmh.umin.jp/journal/42-2/180-181.pdf")</f>
        <v>http://jsmh.umin.jp/journal/42-2/180-181.pdf</v>
      </c>
      <c r="H3547" s="43" t="str">
        <f t="shared" si="242"/>
        <v>http://dl.ndl.go.jp/info:ndljp/pid/3359351</v>
      </c>
    </row>
    <row r="3548" spans="1:8" ht="30" customHeight="1" x14ac:dyDescent="0.15">
      <c r="A3548" s="16" t="s">
        <v>1855</v>
      </c>
      <c r="B3548" s="17" t="s">
        <v>6230</v>
      </c>
      <c r="C3548" s="17" t="s">
        <v>6231</v>
      </c>
      <c r="D3548" s="25" t="s">
        <v>6167</v>
      </c>
      <c r="E3548" s="19" t="s">
        <v>6207</v>
      </c>
      <c r="F3548" s="19" t="s">
        <v>1715</v>
      </c>
      <c r="G3548" s="5" t="str">
        <f>HYPERLINK("http://jsmh.umin.jp/journal/42-2/182-183.pdf")</f>
        <v>http://jsmh.umin.jp/journal/42-2/182-183.pdf</v>
      </c>
      <c r="H3548" s="43" t="str">
        <f t="shared" si="242"/>
        <v>http://dl.ndl.go.jp/info:ndljp/pid/3359351</v>
      </c>
    </row>
    <row r="3549" spans="1:8" ht="30" customHeight="1" x14ac:dyDescent="0.15">
      <c r="A3549" s="16" t="s">
        <v>1855</v>
      </c>
      <c r="B3549" s="17" t="s">
        <v>6232</v>
      </c>
      <c r="C3549" s="17" t="s">
        <v>6233</v>
      </c>
      <c r="D3549" s="25" t="s">
        <v>6167</v>
      </c>
      <c r="E3549" s="19" t="s">
        <v>6207</v>
      </c>
      <c r="F3549" s="19" t="s">
        <v>3984</v>
      </c>
      <c r="G3549" s="5" t="str">
        <f>HYPERLINK("http://jsmh.umin.jp/journal/42-2/184-185.pdf")</f>
        <v>http://jsmh.umin.jp/journal/42-2/184-185.pdf</v>
      </c>
      <c r="H3549" s="43" t="str">
        <f t="shared" si="242"/>
        <v>http://dl.ndl.go.jp/info:ndljp/pid/3359351</v>
      </c>
    </row>
    <row r="3550" spans="1:8" ht="30" customHeight="1" x14ac:dyDescent="0.15">
      <c r="A3550" s="16" t="s">
        <v>1855</v>
      </c>
      <c r="B3550" s="17" t="s">
        <v>6234</v>
      </c>
      <c r="C3550" s="17" t="s">
        <v>5516</v>
      </c>
      <c r="D3550" s="25" t="s">
        <v>6167</v>
      </c>
      <c r="E3550" s="19" t="s">
        <v>6207</v>
      </c>
      <c r="F3550" s="19" t="s">
        <v>1721</v>
      </c>
      <c r="G3550" s="5" t="str">
        <f>HYPERLINK("http://jsmh.umin.jp/journal/42-2/186-187.pdf")</f>
        <v>http://jsmh.umin.jp/journal/42-2/186-187.pdf</v>
      </c>
      <c r="H3550" s="43" t="str">
        <f t="shared" si="242"/>
        <v>http://dl.ndl.go.jp/info:ndljp/pid/3359351</v>
      </c>
    </row>
    <row r="3551" spans="1:8" ht="30" customHeight="1" x14ac:dyDescent="0.15">
      <c r="A3551" s="16" t="s">
        <v>1855</v>
      </c>
      <c r="B3551" s="17" t="s">
        <v>6235</v>
      </c>
      <c r="C3551" s="17" t="s">
        <v>5837</v>
      </c>
      <c r="D3551" s="25" t="s">
        <v>6167</v>
      </c>
      <c r="E3551" s="19" t="s">
        <v>6207</v>
      </c>
      <c r="F3551" s="19" t="s">
        <v>2580</v>
      </c>
      <c r="G3551" s="5" t="str">
        <f>HYPERLINK("http://jsmh.umin.jp/journal/42-2/188-189.pdf")</f>
        <v>http://jsmh.umin.jp/journal/42-2/188-189.pdf</v>
      </c>
      <c r="H3551" s="43" t="str">
        <f t="shared" si="242"/>
        <v>http://dl.ndl.go.jp/info:ndljp/pid/3359351</v>
      </c>
    </row>
    <row r="3552" spans="1:8" ht="30" customHeight="1" x14ac:dyDescent="0.15">
      <c r="A3552" s="16" t="s">
        <v>1855</v>
      </c>
      <c r="B3552" s="17" t="s">
        <v>10252</v>
      </c>
      <c r="C3552" s="17" t="s">
        <v>6236</v>
      </c>
      <c r="D3552" s="25" t="s">
        <v>6167</v>
      </c>
      <c r="E3552" s="19" t="s">
        <v>6207</v>
      </c>
      <c r="F3552" s="19" t="s">
        <v>976</v>
      </c>
      <c r="G3552" s="5" t="str">
        <f>HYPERLINK("http://jsmh.umin.jp/journal/42-2/190-191.pdf")</f>
        <v>http://jsmh.umin.jp/journal/42-2/190-191.pdf</v>
      </c>
      <c r="H3552" s="43" t="str">
        <f t="shared" si="242"/>
        <v>http://dl.ndl.go.jp/info:ndljp/pid/3359351</v>
      </c>
    </row>
    <row r="3553" spans="1:8" ht="30" customHeight="1" x14ac:dyDescent="0.15">
      <c r="A3553" s="16" t="s">
        <v>1855</v>
      </c>
      <c r="B3553" s="17" t="s">
        <v>6237</v>
      </c>
      <c r="C3553" s="17" t="s">
        <v>790</v>
      </c>
      <c r="D3553" s="25" t="s">
        <v>6167</v>
      </c>
      <c r="E3553" s="19" t="s">
        <v>6207</v>
      </c>
      <c r="F3553" s="19" t="s">
        <v>986</v>
      </c>
      <c r="G3553" s="5" t="str">
        <f>HYPERLINK("http://jsmh.umin.jp/journal/42-2/192-193.pdf")</f>
        <v>http://jsmh.umin.jp/journal/42-2/192-193.pdf</v>
      </c>
      <c r="H3553" s="43" t="str">
        <f t="shared" si="242"/>
        <v>http://dl.ndl.go.jp/info:ndljp/pid/3359351</v>
      </c>
    </row>
    <row r="3554" spans="1:8" ht="30" customHeight="1" x14ac:dyDescent="0.15">
      <c r="A3554" s="16" t="s">
        <v>1855</v>
      </c>
      <c r="B3554" s="17" t="s">
        <v>10253</v>
      </c>
      <c r="C3554" s="17" t="s">
        <v>6189</v>
      </c>
      <c r="D3554" s="25" t="s">
        <v>6167</v>
      </c>
      <c r="E3554" s="19" t="s">
        <v>6207</v>
      </c>
      <c r="F3554" s="19" t="s">
        <v>993</v>
      </c>
      <c r="G3554" s="5" t="str">
        <f>HYPERLINK("http://jsmh.umin.jp/journal/42-2/194-195.pdf")</f>
        <v>http://jsmh.umin.jp/journal/42-2/194-195.pdf</v>
      </c>
      <c r="H3554" s="43" t="str">
        <f t="shared" si="242"/>
        <v>http://dl.ndl.go.jp/info:ndljp/pid/3359351</v>
      </c>
    </row>
    <row r="3555" spans="1:8" ht="30" customHeight="1" x14ac:dyDescent="0.15">
      <c r="A3555" s="16" t="s">
        <v>1855</v>
      </c>
      <c r="B3555" s="17" t="s">
        <v>6238</v>
      </c>
      <c r="C3555" s="17" t="s">
        <v>6239</v>
      </c>
      <c r="D3555" s="25" t="s">
        <v>6167</v>
      </c>
      <c r="E3555" s="19" t="s">
        <v>6207</v>
      </c>
      <c r="F3555" s="19" t="s">
        <v>999</v>
      </c>
      <c r="G3555" s="5" t="str">
        <f>HYPERLINK("http://jsmh.umin.jp/journal/42-2/196-197.pdf")</f>
        <v>http://jsmh.umin.jp/journal/42-2/196-197.pdf</v>
      </c>
      <c r="H3555" s="43" t="str">
        <f t="shared" si="242"/>
        <v>http://dl.ndl.go.jp/info:ndljp/pid/3359351</v>
      </c>
    </row>
    <row r="3556" spans="1:8" ht="30" customHeight="1" x14ac:dyDescent="0.15">
      <c r="A3556" s="16" t="s">
        <v>1855</v>
      </c>
      <c r="B3556" s="17" t="s">
        <v>6240</v>
      </c>
      <c r="C3556" s="17" t="s">
        <v>6241</v>
      </c>
      <c r="D3556" s="25" t="s">
        <v>6167</v>
      </c>
      <c r="E3556" s="19" t="s">
        <v>6207</v>
      </c>
      <c r="F3556" s="19" t="s">
        <v>1740</v>
      </c>
      <c r="G3556" s="5" t="str">
        <f>HYPERLINK("http://jsmh.umin.jp/journal/42-2/198-199.pdf")</f>
        <v>http://jsmh.umin.jp/journal/42-2/198-199.pdf</v>
      </c>
      <c r="H3556" s="43" t="str">
        <f t="shared" si="242"/>
        <v>http://dl.ndl.go.jp/info:ndljp/pid/3359351</v>
      </c>
    </row>
    <row r="3557" spans="1:8" ht="30" customHeight="1" x14ac:dyDescent="0.15">
      <c r="A3557" s="16" t="s">
        <v>1855</v>
      </c>
      <c r="B3557" s="17" t="s">
        <v>6242</v>
      </c>
      <c r="C3557" s="17" t="s">
        <v>2891</v>
      </c>
      <c r="D3557" s="25" t="s">
        <v>6167</v>
      </c>
      <c r="E3557" s="19" t="s">
        <v>6207</v>
      </c>
      <c r="F3557" s="19" t="s">
        <v>1743</v>
      </c>
      <c r="G3557" s="5" t="str">
        <f>HYPERLINK("http://jsmh.umin.jp/journal/42-2/200-201.pdf")</f>
        <v>http://jsmh.umin.jp/journal/42-2/200-201.pdf</v>
      </c>
      <c r="H3557" s="43" t="str">
        <f t="shared" si="242"/>
        <v>http://dl.ndl.go.jp/info:ndljp/pid/3359351</v>
      </c>
    </row>
    <row r="3558" spans="1:8" ht="30" customHeight="1" x14ac:dyDescent="0.15">
      <c r="A3558" s="16" t="s">
        <v>1855</v>
      </c>
      <c r="B3558" s="17" t="s">
        <v>6243</v>
      </c>
      <c r="C3558" s="17" t="s">
        <v>3644</v>
      </c>
      <c r="D3558" s="25" t="s">
        <v>6167</v>
      </c>
      <c r="E3558" s="19" t="s">
        <v>6207</v>
      </c>
      <c r="F3558" s="19" t="s">
        <v>1748</v>
      </c>
      <c r="G3558" s="5" t="str">
        <f>HYPERLINK("http://jsmh.umin.jp/journal/42-2/202-203.pdf")</f>
        <v>http://jsmh.umin.jp/journal/42-2/202-203.pdf</v>
      </c>
      <c r="H3558" s="43" t="str">
        <f t="shared" si="242"/>
        <v>http://dl.ndl.go.jp/info:ndljp/pid/3359351</v>
      </c>
    </row>
    <row r="3559" spans="1:8" ht="30" customHeight="1" x14ac:dyDescent="0.15">
      <c r="A3559" s="16" t="s">
        <v>1855</v>
      </c>
      <c r="B3559" s="17" t="s">
        <v>6244</v>
      </c>
      <c r="C3559" s="17" t="s">
        <v>2465</v>
      </c>
      <c r="D3559" s="25" t="s">
        <v>6167</v>
      </c>
      <c r="E3559" s="19" t="s">
        <v>6207</v>
      </c>
      <c r="F3559" s="19" t="s">
        <v>256</v>
      </c>
      <c r="G3559" s="5" t="str">
        <f>HYPERLINK("http://jsmh.umin.jp/journal/42-2/204-205.pdf")</f>
        <v>http://jsmh.umin.jp/journal/42-2/204-205.pdf</v>
      </c>
      <c r="H3559" s="43" t="str">
        <f t="shared" si="242"/>
        <v>http://dl.ndl.go.jp/info:ndljp/pid/3359351</v>
      </c>
    </row>
    <row r="3560" spans="1:8" ht="30" customHeight="1" x14ac:dyDescent="0.15">
      <c r="A3560" s="16" t="s">
        <v>1855</v>
      </c>
      <c r="B3560" s="17" t="s">
        <v>6245</v>
      </c>
      <c r="C3560" s="17" t="s">
        <v>2386</v>
      </c>
      <c r="D3560" s="25" t="s">
        <v>6167</v>
      </c>
      <c r="E3560" s="19" t="s">
        <v>6207</v>
      </c>
      <c r="F3560" s="19" t="s">
        <v>3271</v>
      </c>
      <c r="G3560" s="5" t="str">
        <f>HYPERLINK("http://jsmh.umin.jp/journal/42-2/206-207.pdf")</f>
        <v>http://jsmh.umin.jp/journal/42-2/206-207.pdf</v>
      </c>
      <c r="H3560" s="43" t="str">
        <f t="shared" si="242"/>
        <v>http://dl.ndl.go.jp/info:ndljp/pid/3359351</v>
      </c>
    </row>
    <row r="3561" spans="1:8" ht="30" customHeight="1" x14ac:dyDescent="0.15">
      <c r="A3561" s="16" t="s">
        <v>1855</v>
      </c>
      <c r="B3561" s="17" t="s">
        <v>10254</v>
      </c>
      <c r="C3561" s="17" t="s">
        <v>6004</v>
      </c>
      <c r="D3561" s="25" t="s">
        <v>6167</v>
      </c>
      <c r="E3561" s="19" t="s">
        <v>6207</v>
      </c>
      <c r="F3561" s="19" t="s">
        <v>4193</v>
      </c>
      <c r="G3561" s="5" t="str">
        <f>HYPERLINK("http://jsmh.umin.jp/journal/42-2/208-209.pdf")</f>
        <v>http://jsmh.umin.jp/journal/42-2/208-209.pdf</v>
      </c>
      <c r="H3561" s="43" t="str">
        <f t="shared" si="242"/>
        <v>http://dl.ndl.go.jp/info:ndljp/pid/3359351</v>
      </c>
    </row>
    <row r="3562" spans="1:8" ht="30" customHeight="1" x14ac:dyDescent="0.15">
      <c r="A3562" s="16" t="s">
        <v>1855</v>
      </c>
      <c r="B3562" s="17" t="s">
        <v>6246</v>
      </c>
      <c r="C3562" s="17" t="s">
        <v>6247</v>
      </c>
      <c r="D3562" s="25" t="s">
        <v>6167</v>
      </c>
      <c r="E3562" s="19" t="s">
        <v>6207</v>
      </c>
      <c r="F3562" s="19" t="s">
        <v>271</v>
      </c>
      <c r="G3562" s="5" t="str">
        <f>HYPERLINK("http://jsmh.umin.jp/journal/42-2/210-211.pdf")</f>
        <v>http://jsmh.umin.jp/journal/42-2/210-211.pdf</v>
      </c>
      <c r="H3562" s="43" t="str">
        <f t="shared" si="242"/>
        <v>http://dl.ndl.go.jp/info:ndljp/pid/3359351</v>
      </c>
    </row>
    <row r="3563" spans="1:8" ht="30" customHeight="1" x14ac:dyDescent="0.15">
      <c r="A3563" s="16" t="s">
        <v>1855</v>
      </c>
      <c r="B3563" s="17" t="s">
        <v>6248</v>
      </c>
      <c r="C3563" s="17" t="s">
        <v>4848</v>
      </c>
      <c r="D3563" s="25" t="s">
        <v>6167</v>
      </c>
      <c r="E3563" s="19" t="s">
        <v>6207</v>
      </c>
      <c r="F3563" s="19" t="s">
        <v>274</v>
      </c>
      <c r="G3563" s="5" t="str">
        <f>HYPERLINK("http://jsmh.umin.jp/journal/42-2/212-213.pdf")</f>
        <v>http://jsmh.umin.jp/journal/42-2/212-213.pdf</v>
      </c>
      <c r="H3563" s="43" t="str">
        <f t="shared" si="242"/>
        <v>http://dl.ndl.go.jp/info:ndljp/pid/3359351</v>
      </c>
    </row>
    <row r="3564" spans="1:8" ht="30" customHeight="1" x14ac:dyDescent="0.15">
      <c r="A3564" s="16" t="s">
        <v>1855</v>
      </c>
      <c r="B3564" s="17" t="s">
        <v>6249</v>
      </c>
      <c r="C3564" s="17" t="s">
        <v>48</v>
      </c>
      <c r="D3564" s="25" t="s">
        <v>6167</v>
      </c>
      <c r="E3564" s="19" t="s">
        <v>6207</v>
      </c>
      <c r="F3564" s="19" t="s">
        <v>281</v>
      </c>
      <c r="G3564" s="5" t="str">
        <f>HYPERLINK("http://jsmh.umin.jp/journal/42-2/214-215.pdf")</f>
        <v>http://jsmh.umin.jp/journal/42-2/214-215.pdf</v>
      </c>
      <c r="H3564" s="43" t="str">
        <f t="shared" si="242"/>
        <v>http://dl.ndl.go.jp/info:ndljp/pid/3359351</v>
      </c>
    </row>
    <row r="3565" spans="1:8" ht="30" customHeight="1" x14ac:dyDescent="0.15">
      <c r="A3565" s="16" t="s">
        <v>1855</v>
      </c>
      <c r="B3565" s="17" t="s">
        <v>6250</v>
      </c>
      <c r="C3565" s="17" t="s">
        <v>1972</v>
      </c>
      <c r="D3565" s="25" t="s">
        <v>6167</v>
      </c>
      <c r="E3565" s="19" t="s">
        <v>6207</v>
      </c>
      <c r="F3565" s="19" t="s">
        <v>292</v>
      </c>
      <c r="G3565" s="5" t="str">
        <f>HYPERLINK("http://jsmh.umin.jp/journal/42-2/216-217.pdf")</f>
        <v>http://jsmh.umin.jp/journal/42-2/216-217.pdf</v>
      </c>
      <c r="H3565" s="43" t="str">
        <f t="shared" si="242"/>
        <v>http://dl.ndl.go.jp/info:ndljp/pid/3359351</v>
      </c>
    </row>
    <row r="3566" spans="1:8" ht="30" customHeight="1" x14ac:dyDescent="0.15">
      <c r="A3566" s="16" t="s">
        <v>1855</v>
      </c>
      <c r="B3566" s="17" t="s">
        <v>6251</v>
      </c>
      <c r="C3566" s="17" t="s">
        <v>6252</v>
      </c>
      <c r="D3566" s="25" t="s">
        <v>6167</v>
      </c>
      <c r="E3566" s="19" t="s">
        <v>6207</v>
      </c>
      <c r="F3566" s="19" t="s">
        <v>298</v>
      </c>
      <c r="G3566" s="5" t="str">
        <f>HYPERLINK("http://jsmh.umin.jp/journal/42-2/218-219.pdf")</f>
        <v>http://jsmh.umin.jp/journal/42-2/218-219.pdf</v>
      </c>
      <c r="H3566" s="43" t="str">
        <f t="shared" ref="H3566:H3594" si="243">HYPERLINK("http://dl.ndl.go.jp/info:ndljp/pid/3359351")</f>
        <v>http://dl.ndl.go.jp/info:ndljp/pid/3359351</v>
      </c>
    </row>
    <row r="3567" spans="1:8" ht="30" customHeight="1" x14ac:dyDescent="0.15">
      <c r="A3567" s="16" t="s">
        <v>1855</v>
      </c>
      <c r="B3567" s="17" t="s">
        <v>6253</v>
      </c>
      <c r="C3567" s="17" t="s">
        <v>1764</v>
      </c>
      <c r="D3567" s="25" t="s">
        <v>6167</v>
      </c>
      <c r="E3567" s="19" t="s">
        <v>6207</v>
      </c>
      <c r="F3567" s="19" t="s">
        <v>5443</v>
      </c>
      <c r="G3567" s="5" t="str">
        <f>HYPERLINK("http://jsmh.umin.jp/journal/42-2/220-221.pdf")</f>
        <v>http://jsmh.umin.jp/journal/42-2/220-221.pdf</v>
      </c>
      <c r="H3567" s="43" t="str">
        <f t="shared" si="243"/>
        <v>http://dl.ndl.go.jp/info:ndljp/pid/3359351</v>
      </c>
    </row>
    <row r="3568" spans="1:8" ht="30" customHeight="1" x14ac:dyDescent="0.15">
      <c r="A3568" s="16" t="s">
        <v>1855</v>
      </c>
      <c r="B3568" s="17" t="s">
        <v>6254</v>
      </c>
      <c r="C3568" s="17" t="s">
        <v>5955</v>
      </c>
      <c r="D3568" s="25" t="s">
        <v>6167</v>
      </c>
      <c r="E3568" s="19" t="s">
        <v>6207</v>
      </c>
      <c r="F3568" s="19" t="s">
        <v>1390</v>
      </c>
      <c r="G3568" s="5" t="str">
        <f>HYPERLINK("http://jsmh.umin.jp/journal/42-2/222-223.pdf")</f>
        <v>http://jsmh.umin.jp/journal/42-2/222-223.pdf</v>
      </c>
      <c r="H3568" s="43" t="str">
        <f t="shared" si="243"/>
        <v>http://dl.ndl.go.jp/info:ndljp/pid/3359351</v>
      </c>
    </row>
    <row r="3569" spans="1:8" ht="30" customHeight="1" x14ac:dyDescent="0.15">
      <c r="A3569" s="16" t="s">
        <v>1855</v>
      </c>
      <c r="B3569" s="17" t="s">
        <v>6255</v>
      </c>
      <c r="C3569" s="17" t="s">
        <v>5300</v>
      </c>
      <c r="D3569" s="25" t="s">
        <v>6167</v>
      </c>
      <c r="E3569" s="19" t="s">
        <v>6207</v>
      </c>
      <c r="F3569" s="19" t="s">
        <v>1393</v>
      </c>
      <c r="G3569" s="5" t="str">
        <f>HYPERLINK("http://jsmh.umin.jp/journal/42-2/224-225.pdf")</f>
        <v>http://jsmh.umin.jp/journal/42-2/224-225.pdf</v>
      </c>
      <c r="H3569" s="43" t="str">
        <f t="shared" si="243"/>
        <v>http://dl.ndl.go.jp/info:ndljp/pid/3359351</v>
      </c>
    </row>
    <row r="3570" spans="1:8" ht="30" customHeight="1" x14ac:dyDescent="0.15">
      <c r="A3570" s="16" t="s">
        <v>1855</v>
      </c>
      <c r="B3570" s="17" t="s">
        <v>6256</v>
      </c>
      <c r="C3570" s="17" t="s">
        <v>1929</v>
      </c>
      <c r="D3570" s="25" t="s">
        <v>6167</v>
      </c>
      <c r="E3570" s="19" t="s">
        <v>6207</v>
      </c>
      <c r="F3570" s="19" t="s">
        <v>1861</v>
      </c>
      <c r="G3570" s="5" t="str">
        <f>HYPERLINK("http://jsmh.umin.jp/journal/42-2/226-227.pdf")</f>
        <v>http://jsmh.umin.jp/journal/42-2/226-227.pdf</v>
      </c>
      <c r="H3570" s="43" t="str">
        <f t="shared" si="243"/>
        <v>http://dl.ndl.go.jp/info:ndljp/pid/3359351</v>
      </c>
    </row>
    <row r="3571" spans="1:8" ht="30" customHeight="1" x14ac:dyDescent="0.15">
      <c r="A3571" s="16" t="s">
        <v>1855</v>
      </c>
      <c r="B3571" s="17" t="s">
        <v>6257</v>
      </c>
      <c r="C3571" s="17" t="s">
        <v>6258</v>
      </c>
      <c r="D3571" s="25" t="s">
        <v>6167</v>
      </c>
      <c r="E3571" s="19" t="s">
        <v>6207</v>
      </c>
      <c r="F3571" s="19" t="s">
        <v>108</v>
      </c>
      <c r="G3571" s="5" t="str">
        <f>HYPERLINK("http://jsmh.umin.jp/journal/42-2/228-229.pdf")</f>
        <v>http://jsmh.umin.jp/journal/42-2/228-229.pdf</v>
      </c>
      <c r="H3571" s="43" t="str">
        <f t="shared" si="243"/>
        <v>http://dl.ndl.go.jp/info:ndljp/pid/3359351</v>
      </c>
    </row>
    <row r="3572" spans="1:8" ht="30" customHeight="1" x14ac:dyDescent="0.15">
      <c r="A3572" s="16" t="s">
        <v>1855</v>
      </c>
      <c r="B3572" s="17" t="s">
        <v>6259</v>
      </c>
      <c r="C3572" s="17" t="s">
        <v>5606</v>
      </c>
      <c r="D3572" s="25" t="s">
        <v>6167</v>
      </c>
      <c r="E3572" s="19" t="s">
        <v>6207</v>
      </c>
      <c r="F3572" s="19" t="s">
        <v>119</v>
      </c>
      <c r="G3572" s="5" t="str">
        <f>HYPERLINK("http://jsmh.umin.jp/journal/42-2/230-231.pdf")</f>
        <v>http://jsmh.umin.jp/journal/42-2/230-231.pdf</v>
      </c>
      <c r="H3572" s="43" t="str">
        <f t="shared" si="243"/>
        <v>http://dl.ndl.go.jp/info:ndljp/pid/3359351</v>
      </c>
    </row>
    <row r="3573" spans="1:8" ht="30" customHeight="1" x14ac:dyDescent="0.15">
      <c r="A3573" s="16" t="s">
        <v>1855</v>
      </c>
      <c r="B3573" s="17" t="s">
        <v>6260</v>
      </c>
      <c r="C3573" s="17" t="s">
        <v>6261</v>
      </c>
      <c r="D3573" s="25" t="s">
        <v>6167</v>
      </c>
      <c r="E3573" s="19" t="s">
        <v>6207</v>
      </c>
      <c r="F3573" s="19" t="s">
        <v>124</v>
      </c>
      <c r="G3573" s="5" t="str">
        <f>HYPERLINK("http://jsmh.umin.jp/journal/42-2/232-233.pdf")</f>
        <v>http://jsmh.umin.jp/journal/42-2/232-233.pdf</v>
      </c>
      <c r="H3573" s="43" t="str">
        <f t="shared" si="243"/>
        <v>http://dl.ndl.go.jp/info:ndljp/pid/3359351</v>
      </c>
    </row>
    <row r="3574" spans="1:8" ht="30" customHeight="1" x14ac:dyDescent="0.15">
      <c r="A3574" s="16" t="s">
        <v>1855</v>
      </c>
      <c r="B3574" s="17" t="s">
        <v>6262</v>
      </c>
      <c r="C3574" s="17" t="s">
        <v>5015</v>
      </c>
      <c r="D3574" s="25" t="s">
        <v>6167</v>
      </c>
      <c r="E3574" s="19" t="s">
        <v>6207</v>
      </c>
      <c r="F3574" s="19" t="s">
        <v>132</v>
      </c>
      <c r="G3574" s="5" t="str">
        <f>HYPERLINK("http://jsmh.umin.jp/journal/42-2/234-235.pdf")</f>
        <v>http://jsmh.umin.jp/journal/42-2/234-235.pdf</v>
      </c>
      <c r="H3574" s="43" t="str">
        <f t="shared" si="243"/>
        <v>http://dl.ndl.go.jp/info:ndljp/pid/3359351</v>
      </c>
    </row>
    <row r="3575" spans="1:8" ht="30" customHeight="1" x14ac:dyDescent="0.15">
      <c r="A3575" s="16" t="s">
        <v>1855</v>
      </c>
      <c r="B3575" s="17" t="s">
        <v>10255</v>
      </c>
      <c r="C3575" s="17" t="s">
        <v>1082</v>
      </c>
      <c r="D3575" s="25" t="s">
        <v>6167</v>
      </c>
      <c r="E3575" s="19" t="s">
        <v>6207</v>
      </c>
      <c r="F3575" s="19" t="s">
        <v>140</v>
      </c>
      <c r="G3575" s="5" t="str">
        <f>HYPERLINK("http://jsmh.umin.jp/journal/42-2/236-237.pdf")</f>
        <v>http://jsmh.umin.jp/journal/42-2/236-237.pdf</v>
      </c>
      <c r="H3575" s="43" t="str">
        <f t="shared" si="243"/>
        <v>http://dl.ndl.go.jp/info:ndljp/pid/3359351</v>
      </c>
    </row>
    <row r="3576" spans="1:8" ht="30" customHeight="1" x14ac:dyDescent="0.15">
      <c r="A3576" s="16" t="s">
        <v>1855</v>
      </c>
      <c r="B3576" s="17" t="s">
        <v>10256</v>
      </c>
      <c r="C3576" s="17" t="s">
        <v>2697</v>
      </c>
      <c r="D3576" s="25" t="s">
        <v>6167</v>
      </c>
      <c r="E3576" s="19" t="s">
        <v>6207</v>
      </c>
      <c r="F3576" s="19" t="s">
        <v>145</v>
      </c>
      <c r="G3576" s="5" t="str">
        <f>HYPERLINK("http://jsmh.umin.jp/journal/42-2/238-239.pdf")</f>
        <v>http://jsmh.umin.jp/journal/42-2/238-239.pdf</v>
      </c>
      <c r="H3576" s="43" t="str">
        <f t="shared" si="243"/>
        <v>http://dl.ndl.go.jp/info:ndljp/pid/3359351</v>
      </c>
    </row>
    <row r="3577" spans="1:8" ht="30" customHeight="1" x14ac:dyDescent="0.15">
      <c r="A3577" s="16" t="s">
        <v>1855</v>
      </c>
      <c r="B3577" s="17" t="s">
        <v>6263</v>
      </c>
      <c r="C3577" s="17" t="s">
        <v>2325</v>
      </c>
      <c r="D3577" s="25" t="s">
        <v>6167</v>
      </c>
      <c r="E3577" s="19" t="s">
        <v>6207</v>
      </c>
      <c r="F3577" s="19" t="s">
        <v>3458</v>
      </c>
      <c r="G3577" s="5" t="str">
        <f>HYPERLINK("http://jsmh.umin.jp/journal/42-2/240-241.pdf")</f>
        <v>http://jsmh.umin.jp/journal/42-2/240-241.pdf</v>
      </c>
      <c r="H3577" s="43" t="str">
        <f t="shared" si="243"/>
        <v>http://dl.ndl.go.jp/info:ndljp/pid/3359351</v>
      </c>
    </row>
    <row r="3578" spans="1:8" ht="30" customHeight="1" x14ac:dyDescent="0.15">
      <c r="A3578" s="16" t="s">
        <v>1855</v>
      </c>
      <c r="B3578" s="17" t="s">
        <v>6264</v>
      </c>
      <c r="C3578" s="17" t="s">
        <v>479</v>
      </c>
      <c r="D3578" s="25" t="s">
        <v>6167</v>
      </c>
      <c r="E3578" s="19" t="s">
        <v>6207</v>
      </c>
      <c r="F3578" s="19" t="s">
        <v>3304</v>
      </c>
      <c r="G3578" s="5" t="str">
        <f>HYPERLINK("http://jsmh.umin.jp/journal/42-2/242-243.pdf")</f>
        <v>http://jsmh.umin.jp/journal/42-2/242-243.pdf</v>
      </c>
      <c r="H3578" s="43" t="str">
        <f t="shared" si="243"/>
        <v>http://dl.ndl.go.jp/info:ndljp/pid/3359351</v>
      </c>
    </row>
    <row r="3579" spans="1:8" ht="30" customHeight="1" x14ac:dyDescent="0.15">
      <c r="A3579" s="16" t="s">
        <v>1855</v>
      </c>
      <c r="B3579" s="17" t="s">
        <v>6265</v>
      </c>
      <c r="C3579" s="17" t="s">
        <v>5833</v>
      </c>
      <c r="D3579" s="25" t="s">
        <v>6167</v>
      </c>
      <c r="E3579" s="19" t="s">
        <v>6207</v>
      </c>
      <c r="F3579" s="19" t="s">
        <v>3307</v>
      </c>
      <c r="G3579" s="5" t="str">
        <f>HYPERLINK("http://jsmh.umin.jp/journal/42-2/244-245.pdf")</f>
        <v>http://jsmh.umin.jp/journal/42-2/244-245.pdf</v>
      </c>
      <c r="H3579" s="43" t="str">
        <f t="shared" si="243"/>
        <v>http://dl.ndl.go.jp/info:ndljp/pid/3359351</v>
      </c>
    </row>
    <row r="3580" spans="1:8" ht="30" customHeight="1" x14ac:dyDescent="0.15">
      <c r="A3580" s="16" t="s">
        <v>1855</v>
      </c>
      <c r="B3580" s="17" t="s">
        <v>10257</v>
      </c>
      <c r="C3580" s="17" t="s">
        <v>444</v>
      </c>
      <c r="D3580" s="25" t="s">
        <v>6167</v>
      </c>
      <c r="E3580" s="19" t="s">
        <v>6207</v>
      </c>
      <c r="F3580" s="19" t="s">
        <v>3309</v>
      </c>
      <c r="G3580" s="5" t="str">
        <f>HYPERLINK("http://jsmh.umin.jp/journal/42-2/246-247.pdf")</f>
        <v>http://jsmh.umin.jp/journal/42-2/246-247.pdf</v>
      </c>
      <c r="H3580" s="43" t="str">
        <f t="shared" si="243"/>
        <v>http://dl.ndl.go.jp/info:ndljp/pid/3359351</v>
      </c>
    </row>
    <row r="3581" spans="1:8" ht="30" customHeight="1" x14ac:dyDescent="0.15">
      <c r="A3581" s="16" t="s">
        <v>1855</v>
      </c>
      <c r="B3581" s="17" t="s">
        <v>6266</v>
      </c>
      <c r="C3581" s="17" t="s">
        <v>6267</v>
      </c>
      <c r="D3581" s="25" t="s">
        <v>6167</v>
      </c>
      <c r="E3581" s="19" t="s">
        <v>6207</v>
      </c>
      <c r="F3581" s="19" t="s">
        <v>3310</v>
      </c>
      <c r="G3581" s="5" t="str">
        <f>HYPERLINK("http://jsmh.umin.jp/journal/42-2/248-249.pdf")</f>
        <v>http://jsmh.umin.jp/journal/42-2/248-249.pdf</v>
      </c>
      <c r="H3581" s="43" t="str">
        <f t="shared" si="243"/>
        <v>http://dl.ndl.go.jp/info:ndljp/pid/3359351</v>
      </c>
    </row>
    <row r="3582" spans="1:8" ht="30" customHeight="1" x14ac:dyDescent="0.15">
      <c r="A3582" s="16" t="s">
        <v>1855</v>
      </c>
      <c r="B3582" s="17" t="s">
        <v>6268</v>
      </c>
      <c r="C3582" s="17" t="s">
        <v>10156</v>
      </c>
      <c r="D3582" s="25" t="s">
        <v>6167</v>
      </c>
      <c r="E3582" s="19" t="s">
        <v>6207</v>
      </c>
      <c r="F3582" s="19" t="s">
        <v>3313</v>
      </c>
      <c r="G3582" s="5" t="str">
        <f>HYPERLINK("http://jsmh.umin.jp/journal/42-2/250-251.pdf")</f>
        <v>http://jsmh.umin.jp/journal/42-2/250-251.pdf</v>
      </c>
      <c r="H3582" s="43" t="str">
        <f t="shared" si="243"/>
        <v>http://dl.ndl.go.jp/info:ndljp/pid/3359351</v>
      </c>
    </row>
    <row r="3583" spans="1:8" ht="30" customHeight="1" x14ac:dyDescent="0.15">
      <c r="A3583" s="16" t="s">
        <v>1855</v>
      </c>
      <c r="B3583" s="17" t="s">
        <v>6269</v>
      </c>
      <c r="C3583" s="17" t="s">
        <v>4988</v>
      </c>
      <c r="D3583" s="25" t="s">
        <v>6167</v>
      </c>
      <c r="E3583" s="19" t="s">
        <v>6207</v>
      </c>
      <c r="F3583" s="19" t="s">
        <v>4220</v>
      </c>
      <c r="G3583" s="5" t="str">
        <f>HYPERLINK("http://jsmh.umin.jp/journal/42-2/252-253.pdf")</f>
        <v>http://jsmh.umin.jp/journal/42-2/252-253.pdf</v>
      </c>
      <c r="H3583" s="43" t="str">
        <f t="shared" si="243"/>
        <v>http://dl.ndl.go.jp/info:ndljp/pid/3359351</v>
      </c>
    </row>
    <row r="3584" spans="1:8" ht="30" customHeight="1" x14ac:dyDescent="0.15">
      <c r="A3584" s="16" t="s">
        <v>1855</v>
      </c>
      <c r="B3584" s="17" t="s">
        <v>6270</v>
      </c>
      <c r="C3584" s="17" t="s">
        <v>6271</v>
      </c>
      <c r="D3584" s="25" t="s">
        <v>6167</v>
      </c>
      <c r="E3584" s="19" t="s">
        <v>6207</v>
      </c>
      <c r="F3584" s="19" t="s">
        <v>3320</v>
      </c>
      <c r="G3584" s="5" t="str">
        <f>HYPERLINK("http://jsmh.umin.jp/journal/42-2/254-255.pdf")</f>
        <v>http://jsmh.umin.jp/journal/42-2/254-255.pdf</v>
      </c>
      <c r="H3584" s="43" t="str">
        <f t="shared" si="243"/>
        <v>http://dl.ndl.go.jp/info:ndljp/pid/3359351</v>
      </c>
    </row>
    <row r="3585" spans="1:8" ht="30" customHeight="1" x14ac:dyDescent="0.15">
      <c r="A3585" s="16" t="s">
        <v>1855</v>
      </c>
      <c r="B3585" s="17" t="s">
        <v>6272</v>
      </c>
      <c r="C3585" s="17" t="s">
        <v>4324</v>
      </c>
      <c r="D3585" s="25" t="s">
        <v>6167</v>
      </c>
      <c r="E3585" s="19" t="s">
        <v>6207</v>
      </c>
      <c r="F3585" s="19" t="s">
        <v>3325</v>
      </c>
      <c r="G3585" s="5" t="str">
        <f>HYPERLINK("http://jsmh.umin.jp/journal/42-2/256-257.pdf")</f>
        <v>http://jsmh.umin.jp/journal/42-2/256-257.pdf</v>
      </c>
      <c r="H3585" s="43" t="str">
        <f t="shared" si="243"/>
        <v>http://dl.ndl.go.jp/info:ndljp/pid/3359351</v>
      </c>
    </row>
    <row r="3586" spans="1:8" ht="30" customHeight="1" x14ac:dyDescent="0.15">
      <c r="A3586" s="16" t="s">
        <v>1855</v>
      </c>
      <c r="B3586" s="17" t="s">
        <v>6273</v>
      </c>
      <c r="C3586" s="17" t="s">
        <v>6274</v>
      </c>
      <c r="D3586" s="25" t="s">
        <v>6167</v>
      </c>
      <c r="E3586" s="19" t="s">
        <v>6207</v>
      </c>
      <c r="F3586" s="19" t="s">
        <v>1011</v>
      </c>
      <c r="G3586" s="5" t="str">
        <f>HYPERLINK("http://jsmh.umin.jp/journal/42-2/258-259.pdf")</f>
        <v>http://jsmh.umin.jp/journal/42-2/258-259.pdf</v>
      </c>
      <c r="H3586" s="43" t="str">
        <f t="shared" si="243"/>
        <v>http://dl.ndl.go.jp/info:ndljp/pid/3359351</v>
      </c>
    </row>
    <row r="3587" spans="1:8" ht="30" customHeight="1" x14ac:dyDescent="0.15">
      <c r="A3587" s="16" t="s">
        <v>1855</v>
      </c>
      <c r="B3587" s="17" t="s">
        <v>6275</v>
      </c>
      <c r="C3587" s="17" t="s">
        <v>4085</v>
      </c>
      <c r="D3587" s="25" t="s">
        <v>6167</v>
      </c>
      <c r="E3587" s="19" t="s">
        <v>6207</v>
      </c>
      <c r="F3587" s="19" t="s">
        <v>5477</v>
      </c>
      <c r="G3587" s="5" t="str">
        <f>HYPERLINK("http://jsmh.umin.jp/journal/42-2/260-261.pdf")</f>
        <v>http://jsmh.umin.jp/journal/42-2/260-261.pdf</v>
      </c>
      <c r="H3587" s="43" t="str">
        <f t="shared" si="243"/>
        <v>http://dl.ndl.go.jp/info:ndljp/pid/3359351</v>
      </c>
    </row>
    <row r="3588" spans="1:8" ht="30" customHeight="1" x14ac:dyDescent="0.15">
      <c r="A3588" s="16" t="s">
        <v>1855</v>
      </c>
      <c r="B3588" s="17" t="s">
        <v>6276</v>
      </c>
      <c r="C3588" s="17" t="s">
        <v>2881</v>
      </c>
      <c r="D3588" s="25" t="s">
        <v>6167</v>
      </c>
      <c r="E3588" s="19" t="s">
        <v>6207</v>
      </c>
      <c r="F3588" s="19" t="s">
        <v>4399</v>
      </c>
      <c r="G3588" s="5" t="str">
        <f>HYPERLINK("http://jsmh.umin.jp/journal/42-2/262-263.pdf")</f>
        <v>http://jsmh.umin.jp/journal/42-2/262-263.pdf</v>
      </c>
      <c r="H3588" s="43" t="str">
        <f t="shared" si="243"/>
        <v>http://dl.ndl.go.jp/info:ndljp/pid/3359351</v>
      </c>
    </row>
    <row r="3589" spans="1:8" ht="30" customHeight="1" x14ac:dyDescent="0.15">
      <c r="A3589" s="16" t="s">
        <v>1855</v>
      </c>
      <c r="B3589" s="17" t="s">
        <v>6277</v>
      </c>
      <c r="C3589" s="17" t="s">
        <v>5013</v>
      </c>
      <c r="D3589" s="25" t="s">
        <v>6167</v>
      </c>
      <c r="E3589" s="19" t="s">
        <v>6207</v>
      </c>
      <c r="F3589" s="19" t="s">
        <v>1026</v>
      </c>
      <c r="G3589" s="5" t="str">
        <f>HYPERLINK("http://jsmh.umin.jp/journal/42-2/264-265.pdf")</f>
        <v>http://jsmh.umin.jp/journal/42-2/264-265.pdf</v>
      </c>
      <c r="H3589" s="43" t="str">
        <f t="shared" si="243"/>
        <v>http://dl.ndl.go.jp/info:ndljp/pid/3359351</v>
      </c>
    </row>
    <row r="3590" spans="1:8" ht="30" customHeight="1" x14ac:dyDescent="0.15">
      <c r="A3590" s="16" t="s">
        <v>1855</v>
      </c>
      <c r="B3590" s="17" t="s">
        <v>6278</v>
      </c>
      <c r="C3590" s="17" t="s">
        <v>6279</v>
      </c>
      <c r="D3590" s="25" t="s">
        <v>6167</v>
      </c>
      <c r="E3590" s="19" t="s">
        <v>6207</v>
      </c>
      <c r="F3590" s="19" t="s">
        <v>6042</v>
      </c>
      <c r="G3590" s="5" t="str">
        <f>HYPERLINK("http://jsmh.umin.jp/journal/42-2/266-267.pdf")</f>
        <v>http://jsmh.umin.jp/journal/42-2/266-267.pdf</v>
      </c>
      <c r="H3590" s="43" t="str">
        <f t="shared" si="243"/>
        <v>http://dl.ndl.go.jp/info:ndljp/pid/3359351</v>
      </c>
    </row>
    <row r="3591" spans="1:8" ht="30" customHeight="1" x14ac:dyDescent="0.15">
      <c r="A3591" s="16" t="s">
        <v>1855</v>
      </c>
      <c r="B3591" s="17" t="s">
        <v>6280</v>
      </c>
      <c r="C3591" s="17" t="s">
        <v>5084</v>
      </c>
      <c r="D3591" s="25" t="s">
        <v>6167</v>
      </c>
      <c r="E3591" s="19" t="s">
        <v>6207</v>
      </c>
      <c r="F3591" s="19" t="s">
        <v>3486</v>
      </c>
      <c r="G3591" s="5" t="str">
        <f>HYPERLINK("http://jsmh.umin.jp/journal/42-2/268-269.pdf")</f>
        <v>http://jsmh.umin.jp/journal/42-2/268-269.pdf</v>
      </c>
      <c r="H3591" s="43" t="str">
        <f t="shared" si="243"/>
        <v>http://dl.ndl.go.jp/info:ndljp/pid/3359351</v>
      </c>
    </row>
    <row r="3592" spans="1:8" ht="30" customHeight="1" x14ac:dyDescent="0.15">
      <c r="A3592" s="16" t="s">
        <v>1855</v>
      </c>
      <c r="B3592" s="17" t="s">
        <v>6281</v>
      </c>
      <c r="C3592" s="17" t="s">
        <v>6282</v>
      </c>
      <c r="D3592" s="25" t="s">
        <v>6167</v>
      </c>
      <c r="E3592" s="19" t="s">
        <v>6207</v>
      </c>
      <c r="F3592" s="19" t="s">
        <v>1893</v>
      </c>
      <c r="G3592" s="5" t="str">
        <f>HYPERLINK("http://jsmh.umin.jp/journal/42-2/270-271.pdf")</f>
        <v>http://jsmh.umin.jp/journal/42-2/270-271.pdf</v>
      </c>
      <c r="H3592" s="43" t="str">
        <f t="shared" si="243"/>
        <v>http://dl.ndl.go.jp/info:ndljp/pid/3359351</v>
      </c>
    </row>
    <row r="3593" spans="1:8" ht="30" customHeight="1" x14ac:dyDescent="0.15">
      <c r="A3593" s="16" t="s">
        <v>1855</v>
      </c>
      <c r="B3593" s="17" t="s">
        <v>6283</v>
      </c>
      <c r="C3593" s="17" t="s">
        <v>6284</v>
      </c>
      <c r="D3593" s="25" t="s">
        <v>6167</v>
      </c>
      <c r="E3593" s="19" t="s">
        <v>6207</v>
      </c>
      <c r="F3593" s="19" t="s">
        <v>1895</v>
      </c>
      <c r="G3593" s="5" t="str">
        <f>HYPERLINK("http://jsmh.umin.jp/journal/42-2/272-273.pdf")</f>
        <v>http://jsmh.umin.jp/journal/42-2/272-273.pdf</v>
      </c>
      <c r="H3593" s="43" t="str">
        <f t="shared" si="243"/>
        <v>http://dl.ndl.go.jp/info:ndljp/pid/3359351</v>
      </c>
    </row>
    <row r="3594" spans="1:8" ht="30" customHeight="1" x14ac:dyDescent="0.15">
      <c r="A3594" s="16" t="s">
        <v>1855</v>
      </c>
      <c r="B3594" s="17" t="s">
        <v>6285</v>
      </c>
      <c r="C3594" s="17" t="s">
        <v>6286</v>
      </c>
      <c r="D3594" s="25" t="s">
        <v>6167</v>
      </c>
      <c r="E3594" s="19" t="s">
        <v>6207</v>
      </c>
      <c r="F3594" s="19" t="s">
        <v>1899</v>
      </c>
      <c r="G3594" s="5" t="str">
        <f>HYPERLINK("http://jsmh.umin.jp/journal/42-2/274-275.pdf")</f>
        <v>http://jsmh.umin.jp/journal/42-2/274-275.pdf</v>
      </c>
      <c r="H3594" s="43" t="str">
        <f t="shared" si="243"/>
        <v>http://dl.ndl.go.jp/info:ndljp/pid/3359351</v>
      </c>
    </row>
    <row r="3595" spans="1:8" ht="30" customHeight="1" x14ac:dyDescent="0.15">
      <c r="A3595" s="16" t="s">
        <v>17</v>
      </c>
      <c r="B3595" s="17" t="s">
        <v>6287</v>
      </c>
      <c r="C3595" s="17" t="s">
        <v>790</v>
      </c>
      <c r="D3595" s="25" t="s">
        <v>6167</v>
      </c>
      <c r="E3595" s="19" t="s">
        <v>6288</v>
      </c>
      <c r="F3595" s="19" t="s">
        <v>6289</v>
      </c>
      <c r="G3595" s="5" t="str">
        <f>HYPERLINK("http://jsmh.umin.jp/journal/42-3/289-302.pdf")</f>
        <v>http://jsmh.umin.jp/journal/42-3/289-302.pdf</v>
      </c>
      <c r="H3595" s="42" t="str">
        <f t="shared" ref="H3595:H3622" si="244">HYPERLINK("http://dl.ndl.go.jp/info:ndljp/pid/3359352")</f>
        <v>http://dl.ndl.go.jp/info:ndljp/pid/3359352</v>
      </c>
    </row>
    <row r="3596" spans="1:8" ht="30" customHeight="1" x14ac:dyDescent="0.15">
      <c r="A3596" s="16" t="s">
        <v>17</v>
      </c>
      <c r="B3596" s="17" t="s">
        <v>6290</v>
      </c>
      <c r="C3596" s="17" t="s">
        <v>4988</v>
      </c>
      <c r="D3596" s="25" t="s">
        <v>6167</v>
      </c>
      <c r="E3596" s="19" t="s">
        <v>6288</v>
      </c>
      <c r="F3596" s="19" t="s">
        <v>6291</v>
      </c>
      <c r="G3596" s="5" t="str">
        <f>HYPERLINK("http://jsmh.umin.jp/journal/42-3/303-321.pdf")</f>
        <v>http://jsmh.umin.jp/journal/42-3/303-321.pdf</v>
      </c>
      <c r="H3596" s="43" t="str">
        <f t="shared" si="244"/>
        <v>http://dl.ndl.go.jp/info:ndljp/pid/3359352</v>
      </c>
    </row>
    <row r="3597" spans="1:8" ht="30" customHeight="1" x14ac:dyDescent="0.15">
      <c r="A3597" s="16" t="s">
        <v>17</v>
      </c>
      <c r="B3597" s="17" t="s">
        <v>6292</v>
      </c>
      <c r="C3597" s="17" t="s">
        <v>5080</v>
      </c>
      <c r="D3597" s="25" t="s">
        <v>6167</v>
      </c>
      <c r="E3597" s="19" t="s">
        <v>6288</v>
      </c>
      <c r="F3597" s="19" t="s">
        <v>6293</v>
      </c>
      <c r="G3597" s="5" t="str">
        <f>HYPERLINK("http://jsmh.umin.jp/journal/42-3/323-347.pdf")</f>
        <v>http://jsmh.umin.jp/journal/42-3/323-347.pdf</v>
      </c>
      <c r="H3597" s="43" t="str">
        <f t="shared" si="244"/>
        <v>http://dl.ndl.go.jp/info:ndljp/pid/3359352</v>
      </c>
    </row>
    <row r="3598" spans="1:8" ht="30" customHeight="1" x14ac:dyDescent="0.15">
      <c r="A3598" s="16" t="s">
        <v>17</v>
      </c>
      <c r="B3598" s="17" t="s">
        <v>6294</v>
      </c>
      <c r="C3598" s="17" t="s">
        <v>10258</v>
      </c>
      <c r="D3598" s="25" t="s">
        <v>6167</v>
      </c>
      <c r="E3598" s="19" t="s">
        <v>6288</v>
      </c>
      <c r="F3598" s="19" t="s">
        <v>6079</v>
      </c>
      <c r="G3598" s="5" t="str">
        <f>HYPERLINK("http://jsmh.umin.jp/journal/42-3/349-368.pdf")</f>
        <v>http://jsmh.umin.jp/journal/42-3/349-368.pdf</v>
      </c>
      <c r="H3598" s="43" t="str">
        <f t="shared" si="244"/>
        <v>http://dl.ndl.go.jp/info:ndljp/pid/3359352</v>
      </c>
    </row>
    <row r="3599" spans="1:8" ht="30" customHeight="1" x14ac:dyDescent="0.15">
      <c r="A3599" s="16" t="s">
        <v>3387</v>
      </c>
      <c r="B3599" s="17" t="s">
        <v>6295</v>
      </c>
      <c r="C3599" s="17" t="s">
        <v>3839</v>
      </c>
      <c r="D3599" s="25" t="s">
        <v>6167</v>
      </c>
      <c r="E3599" s="19" t="s">
        <v>6288</v>
      </c>
      <c r="F3599" s="19" t="s">
        <v>6296</v>
      </c>
      <c r="G3599" s="5" t="str">
        <f>HYPERLINK("http://jsmh.umin.jp/journal/42-3/369-387.pdf")</f>
        <v>http://jsmh.umin.jp/journal/42-3/369-387.pdf</v>
      </c>
      <c r="H3599" s="43" t="str">
        <f t="shared" si="244"/>
        <v>http://dl.ndl.go.jp/info:ndljp/pid/3359352</v>
      </c>
    </row>
    <row r="3600" spans="1:8" ht="30" customHeight="1" x14ac:dyDescent="0.15">
      <c r="A3600" s="16" t="s">
        <v>4265</v>
      </c>
      <c r="B3600" s="17" t="s">
        <v>6297</v>
      </c>
      <c r="C3600" s="17" t="s">
        <v>3644</v>
      </c>
      <c r="D3600" s="25" t="s">
        <v>6167</v>
      </c>
      <c r="E3600" s="19" t="s">
        <v>6288</v>
      </c>
      <c r="F3600" s="19" t="s">
        <v>6298</v>
      </c>
      <c r="G3600" s="5" t="str">
        <f>HYPERLINK("http://jsmh.umin.jp/journal/42-3/389-398.pdf")</f>
        <v>http://jsmh.umin.jp/journal/42-3/389-398.pdf</v>
      </c>
      <c r="H3600" s="43" t="str">
        <f t="shared" si="244"/>
        <v>http://dl.ndl.go.jp/info:ndljp/pid/3359352</v>
      </c>
    </row>
    <row r="3601" spans="1:8" ht="30" customHeight="1" x14ac:dyDescent="0.15">
      <c r="A3601" s="16" t="s">
        <v>3387</v>
      </c>
      <c r="B3601" s="17" t="s">
        <v>6299</v>
      </c>
      <c r="C3601" s="17" t="s">
        <v>6300</v>
      </c>
      <c r="D3601" s="25" t="s">
        <v>6167</v>
      </c>
      <c r="E3601" s="19" t="s">
        <v>6288</v>
      </c>
      <c r="F3601" s="19" t="s">
        <v>6301</v>
      </c>
      <c r="G3601" s="5" t="str">
        <f>HYPERLINK("http://jsmh.umin.jp/journal/42-3/399-410.pdf")</f>
        <v>http://jsmh.umin.jp/journal/42-3/399-410.pdf</v>
      </c>
      <c r="H3601" s="43" t="str">
        <f t="shared" si="244"/>
        <v>http://dl.ndl.go.jp/info:ndljp/pid/3359352</v>
      </c>
    </row>
    <row r="3602" spans="1:8" ht="30" customHeight="1" x14ac:dyDescent="0.15">
      <c r="A3602" s="16" t="s">
        <v>3223</v>
      </c>
      <c r="B3602" s="17" t="s">
        <v>6302</v>
      </c>
      <c r="C3602" s="17" t="s">
        <v>2325</v>
      </c>
      <c r="D3602" s="25" t="s">
        <v>6167</v>
      </c>
      <c r="E3602" s="19" t="s">
        <v>6288</v>
      </c>
      <c r="F3602" s="19" t="s">
        <v>6303</v>
      </c>
      <c r="G3602" s="5" t="str">
        <f>HYPERLINK("http://jsmh.umin.jp/journal/42-3/411-413.pdf")</f>
        <v>http://jsmh.umin.jp/journal/42-3/411-413.pdf</v>
      </c>
      <c r="H3602" s="43" t="str">
        <f t="shared" si="244"/>
        <v>http://dl.ndl.go.jp/info:ndljp/pid/3359352</v>
      </c>
    </row>
    <row r="3603" spans="1:8" ht="30" customHeight="1" x14ac:dyDescent="0.15">
      <c r="A3603" s="16" t="s">
        <v>3223</v>
      </c>
      <c r="B3603" s="17" t="s">
        <v>6304</v>
      </c>
      <c r="C3603" s="17" t="s">
        <v>444</v>
      </c>
      <c r="D3603" s="25" t="s">
        <v>6167</v>
      </c>
      <c r="E3603" s="19" t="s">
        <v>6288</v>
      </c>
      <c r="F3603" s="19" t="s">
        <v>6305</v>
      </c>
      <c r="G3603" s="5" t="str">
        <f>HYPERLINK("http://jsmh.umin.jp/journal/42-3/414-416.pdf")</f>
        <v>http://jsmh.umin.jp/journal/42-3/414-416.pdf</v>
      </c>
      <c r="H3603" s="43" t="str">
        <f t="shared" si="244"/>
        <v>http://dl.ndl.go.jp/info:ndljp/pid/3359352</v>
      </c>
    </row>
    <row r="3604" spans="1:8" ht="30" customHeight="1" x14ac:dyDescent="0.15">
      <c r="A3604" s="16" t="s">
        <v>3223</v>
      </c>
      <c r="B3604" s="17" t="s">
        <v>6306</v>
      </c>
      <c r="C3604" s="17" t="s">
        <v>830</v>
      </c>
      <c r="D3604" s="25" t="s">
        <v>6167</v>
      </c>
      <c r="E3604" s="19" t="s">
        <v>6288</v>
      </c>
      <c r="F3604" s="19" t="s">
        <v>4445</v>
      </c>
      <c r="G3604" s="5" t="str">
        <f>HYPERLINK("http://jsmh.umin.jp/journal/42-3/417-418.pdf")</f>
        <v>http://jsmh.umin.jp/journal/42-3/417-418.pdf</v>
      </c>
      <c r="H3604" s="43" t="str">
        <f t="shared" si="244"/>
        <v>http://dl.ndl.go.jp/info:ndljp/pid/3359352</v>
      </c>
    </row>
    <row r="3605" spans="1:8" ht="30" customHeight="1" x14ac:dyDescent="0.15">
      <c r="A3605" s="16" t="s">
        <v>3223</v>
      </c>
      <c r="B3605" s="17" t="s">
        <v>6307</v>
      </c>
      <c r="C3605" s="17" t="s">
        <v>1070</v>
      </c>
      <c r="D3605" s="25" t="s">
        <v>6167</v>
      </c>
      <c r="E3605" s="19" t="s">
        <v>6288</v>
      </c>
      <c r="F3605" s="19" t="s">
        <v>4449</v>
      </c>
      <c r="G3605" s="5" t="str">
        <f>HYPERLINK("http://jsmh.umin.jp/journal/42-3/419-420.pdf")</f>
        <v>http://jsmh.umin.jp/journal/42-3/419-420.pdf</v>
      </c>
      <c r="H3605" s="43" t="str">
        <f t="shared" si="244"/>
        <v>http://dl.ndl.go.jp/info:ndljp/pid/3359352</v>
      </c>
    </row>
    <row r="3606" spans="1:8" ht="30" customHeight="1" x14ac:dyDescent="0.15">
      <c r="A3606" s="16" t="s">
        <v>3223</v>
      </c>
      <c r="B3606" s="17" t="s">
        <v>6308</v>
      </c>
      <c r="C3606" s="17" t="s">
        <v>2325</v>
      </c>
      <c r="D3606" s="25" t="s">
        <v>6167</v>
      </c>
      <c r="E3606" s="19" t="s">
        <v>6288</v>
      </c>
      <c r="F3606" s="19" t="s">
        <v>6309</v>
      </c>
      <c r="G3606" s="5" t="str">
        <f>HYPERLINK("http://jsmh.umin.jp/journal/42-3/421-423.pdf")</f>
        <v>http://jsmh.umin.jp/journal/42-3/421-423.pdf</v>
      </c>
      <c r="H3606" s="43" t="str">
        <f t="shared" si="244"/>
        <v>http://dl.ndl.go.jp/info:ndljp/pid/3359352</v>
      </c>
    </row>
    <row r="3607" spans="1:8" ht="30" customHeight="1" x14ac:dyDescent="0.15">
      <c r="A3607" s="16" t="s">
        <v>558</v>
      </c>
      <c r="B3607" s="17" t="s">
        <v>6310</v>
      </c>
      <c r="C3607" s="17" t="s">
        <v>3485</v>
      </c>
      <c r="D3607" s="25" t="s">
        <v>6167</v>
      </c>
      <c r="E3607" s="19" t="s">
        <v>6288</v>
      </c>
      <c r="F3607" s="19" t="s">
        <v>1997</v>
      </c>
      <c r="G3607" s="5" t="str">
        <f>HYPERLINK("http://jsmh.umin.jp/journal/42-3/426-427.pdf")</f>
        <v>http://jsmh.umin.jp/journal/42-3/426-427.pdf</v>
      </c>
      <c r="H3607" s="43" t="str">
        <f t="shared" si="244"/>
        <v>http://dl.ndl.go.jp/info:ndljp/pid/3359352</v>
      </c>
    </row>
    <row r="3608" spans="1:8" ht="30" customHeight="1" x14ac:dyDescent="0.15">
      <c r="A3608" s="16" t="s">
        <v>558</v>
      </c>
      <c r="B3608" s="17" t="s">
        <v>6311</v>
      </c>
      <c r="C3608" s="17" t="s">
        <v>444</v>
      </c>
      <c r="D3608" s="25" t="s">
        <v>6167</v>
      </c>
      <c r="E3608" s="19" t="s">
        <v>6288</v>
      </c>
      <c r="F3608" s="19" t="s">
        <v>6312</v>
      </c>
      <c r="G3608" s="5" t="str">
        <f>HYPERLINK("http://jsmh.umin.jp/journal/42-3/427-430.pdf")</f>
        <v>http://jsmh.umin.jp/journal/42-3/427-430.pdf</v>
      </c>
      <c r="H3608" s="43" t="str">
        <f t="shared" si="244"/>
        <v>http://dl.ndl.go.jp/info:ndljp/pid/3359352</v>
      </c>
    </row>
    <row r="3609" spans="1:8" ht="30" customHeight="1" x14ac:dyDescent="0.15">
      <c r="A3609" s="16" t="s">
        <v>558</v>
      </c>
      <c r="B3609" s="17" t="s">
        <v>6313</v>
      </c>
      <c r="C3609" s="17" t="s">
        <v>479</v>
      </c>
      <c r="D3609" s="25" t="s">
        <v>6167</v>
      </c>
      <c r="E3609" s="19" t="s">
        <v>6288</v>
      </c>
      <c r="F3609" s="19" t="s">
        <v>6100</v>
      </c>
      <c r="G3609" s="5" t="str">
        <f>HYPERLINK("http://jsmh.umin.jp/journal/42-3/430-431.pdf")</f>
        <v>http://jsmh.umin.jp/journal/42-3/430-431.pdf</v>
      </c>
      <c r="H3609" s="43" t="str">
        <f t="shared" si="244"/>
        <v>http://dl.ndl.go.jp/info:ndljp/pid/3359352</v>
      </c>
    </row>
    <row r="3610" spans="1:8" ht="30" customHeight="1" x14ac:dyDescent="0.15">
      <c r="A3610" s="16" t="s">
        <v>558</v>
      </c>
      <c r="B3610" s="17" t="s">
        <v>537</v>
      </c>
      <c r="C3610" s="17"/>
      <c r="D3610" s="25" t="s">
        <v>6167</v>
      </c>
      <c r="E3610" s="19" t="s">
        <v>6288</v>
      </c>
      <c r="F3610" s="19" t="s">
        <v>6314</v>
      </c>
      <c r="G3610" s="5" t="str">
        <f>HYPERLINK("http://jsmh.umin.jp/journal/42-3/431-432.pdf")</f>
        <v>http://jsmh.umin.jp/journal/42-3/431-432.pdf</v>
      </c>
      <c r="H3610" s="43" t="str">
        <f t="shared" si="244"/>
        <v>http://dl.ndl.go.jp/info:ndljp/pid/3359352</v>
      </c>
    </row>
    <row r="3611" spans="1:8" ht="30" customHeight="1" x14ac:dyDescent="0.15">
      <c r="A3611" s="16" t="s">
        <v>3720</v>
      </c>
      <c r="B3611" s="17" t="s">
        <v>6315</v>
      </c>
      <c r="C3611" s="17" t="s">
        <v>2553</v>
      </c>
      <c r="D3611" s="25" t="s">
        <v>6167</v>
      </c>
      <c r="E3611" s="19" t="s">
        <v>6288</v>
      </c>
      <c r="F3611" s="19" t="s">
        <v>6102</v>
      </c>
      <c r="G3611" s="5" t="str">
        <f>HYPERLINK("http://jsmh.umin.jp/journal/42-3/432-433.pdf")</f>
        <v>http://jsmh.umin.jp/journal/42-3/432-433.pdf</v>
      </c>
      <c r="H3611" s="43" t="str">
        <f t="shared" si="244"/>
        <v>http://dl.ndl.go.jp/info:ndljp/pid/3359352</v>
      </c>
    </row>
    <row r="3612" spans="1:8" ht="30" customHeight="1" x14ac:dyDescent="0.15">
      <c r="A3612" s="16" t="s">
        <v>3720</v>
      </c>
      <c r="B3612" s="17" t="s">
        <v>6316</v>
      </c>
      <c r="C3612" s="17" t="s">
        <v>2553</v>
      </c>
      <c r="D3612" s="25" t="s">
        <v>6167</v>
      </c>
      <c r="E3612" s="19" t="s">
        <v>6288</v>
      </c>
      <c r="F3612" s="19" t="s">
        <v>6317</v>
      </c>
      <c r="G3612" s="5" t="str">
        <f>HYPERLINK("http://jsmh.umin.jp/journal/42-3/434-435.pdf")</f>
        <v>http://jsmh.umin.jp/journal/42-3/434-435.pdf</v>
      </c>
      <c r="H3612" s="43" t="str">
        <f t="shared" si="244"/>
        <v>http://dl.ndl.go.jp/info:ndljp/pid/3359352</v>
      </c>
    </row>
    <row r="3613" spans="1:8" ht="30" customHeight="1" x14ac:dyDescent="0.15">
      <c r="A3613" s="16" t="s">
        <v>3720</v>
      </c>
      <c r="B3613" s="17" t="s">
        <v>6318</v>
      </c>
      <c r="C3613" s="17" t="s">
        <v>6319</v>
      </c>
      <c r="D3613" s="25" t="s">
        <v>6167</v>
      </c>
      <c r="E3613" s="19" t="s">
        <v>6288</v>
      </c>
      <c r="F3613" s="19" t="s">
        <v>6320</v>
      </c>
      <c r="G3613" s="5" t="str">
        <f>HYPERLINK("http://jsmh.umin.jp/journal/42-3/435-437.pdf")</f>
        <v>http://jsmh.umin.jp/journal/42-3/435-437.pdf</v>
      </c>
      <c r="H3613" s="43" t="str">
        <f t="shared" si="244"/>
        <v>http://dl.ndl.go.jp/info:ndljp/pid/3359352</v>
      </c>
    </row>
    <row r="3614" spans="1:8" ht="30" customHeight="1" x14ac:dyDescent="0.15">
      <c r="A3614" s="16" t="s">
        <v>3720</v>
      </c>
      <c r="B3614" s="17" t="s">
        <v>6321</v>
      </c>
      <c r="C3614" s="17" t="s">
        <v>5516</v>
      </c>
      <c r="D3614" s="25" t="s">
        <v>6167</v>
      </c>
      <c r="E3614" s="19" t="s">
        <v>6288</v>
      </c>
      <c r="F3614" s="19" t="s">
        <v>6109</v>
      </c>
      <c r="G3614" s="5" t="str">
        <f>HYPERLINK("http://jsmh.umin.jp/journal/42-3/437-438.pdf")</f>
        <v>http://jsmh.umin.jp/journal/42-3/437-438.pdf</v>
      </c>
      <c r="H3614" s="43" t="str">
        <f t="shared" si="244"/>
        <v>http://dl.ndl.go.jp/info:ndljp/pid/3359352</v>
      </c>
    </row>
    <row r="3615" spans="1:8" ht="30" customHeight="1" x14ac:dyDescent="0.15">
      <c r="A3615" s="16" t="s">
        <v>3720</v>
      </c>
      <c r="B3615" s="17" t="s">
        <v>6322</v>
      </c>
      <c r="C3615" s="17" t="s">
        <v>690</v>
      </c>
      <c r="D3615" s="25" t="s">
        <v>6167</v>
      </c>
      <c r="E3615" s="19" t="s">
        <v>6288</v>
      </c>
      <c r="F3615" s="19" t="s">
        <v>6323</v>
      </c>
      <c r="G3615" s="5" t="str">
        <f>HYPERLINK("http://jsmh.umin.jp/journal/42-3/438-440.pdf")</f>
        <v>http://jsmh.umin.jp/journal/42-3/438-440.pdf</v>
      </c>
      <c r="H3615" s="43" t="str">
        <f t="shared" si="244"/>
        <v>http://dl.ndl.go.jp/info:ndljp/pid/3359352</v>
      </c>
    </row>
    <row r="3616" spans="1:8" ht="30" customHeight="1" x14ac:dyDescent="0.15">
      <c r="A3616" s="16" t="s">
        <v>3720</v>
      </c>
      <c r="B3616" s="17" t="s">
        <v>6324</v>
      </c>
      <c r="C3616" s="17" t="s">
        <v>6325</v>
      </c>
      <c r="D3616" s="25" t="s">
        <v>6167</v>
      </c>
      <c r="E3616" s="19" t="s">
        <v>6288</v>
      </c>
      <c r="F3616" s="19" t="s">
        <v>6326</v>
      </c>
      <c r="G3616" s="5" t="str">
        <f>HYPERLINK("http://jsmh.umin.jp/journal/42-3/440-442.pdf")</f>
        <v>http://jsmh.umin.jp/journal/42-3/440-442.pdf</v>
      </c>
      <c r="H3616" s="43" t="str">
        <f t="shared" si="244"/>
        <v>http://dl.ndl.go.jp/info:ndljp/pid/3359352</v>
      </c>
    </row>
    <row r="3617" spans="1:8" ht="30" customHeight="1" x14ac:dyDescent="0.15">
      <c r="A3617" s="16" t="s">
        <v>3720</v>
      </c>
      <c r="B3617" s="17" t="s">
        <v>10259</v>
      </c>
      <c r="C3617" s="17" t="s">
        <v>6327</v>
      </c>
      <c r="D3617" s="25" t="s">
        <v>6167</v>
      </c>
      <c r="E3617" s="19" t="s">
        <v>6288</v>
      </c>
      <c r="F3617" s="19" t="s">
        <v>6114</v>
      </c>
      <c r="G3617" s="5" t="str">
        <f>HYPERLINK("http://jsmh.umin.jp/journal/42-3/442-443.pdf")</f>
        <v>http://jsmh.umin.jp/journal/42-3/442-443.pdf</v>
      </c>
      <c r="H3617" s="43" t="str">
        <f t="shared" si="244"/>
        <v>http://dl.ndl.go.jp/info:ndljp/pid/3359352</v>
      </c>
    </row>
    <row r="3618" spans="1:8" ht="30" customHeight="1" x14ac:dyDescent="0.15">
      <c r="A3618" s="16" t="s">
        <v>2990</v>
      </c>
      <c r="B3618" s="17" t="s">
        <v>6328</v>
      </c>
      <c r="C3618" s="17" t="s">
        <v>2786</v>
      </c>
      <c r="D3618" s="25" t="s">
        <v>6167</v>
      </c>
      <c r="E3618" s="19" t="s">
        <v>6288</v>
      </c>
      <c r="F3618" s="19" t="s">
        <v>6118</v>
      </c>
      <c r="G3618" s="5" t="str">
        <f>HYPERLINK("http://jsmh.umin.jp/journal/42-3/444-445.pdf")</f>
        <v>http://jsmh.umin.jp/journal/42-3/444-445.pdf</v>
      </c>
      <c r="H3618" s="43" t="str">
        <f t="shared" si="244"/>
        <v>http://dl.ndl.go.jp/info:ndljp/pid/3359352</v>
      </c>
    </row>
    <row r="3619" spans="1:8" ht="30" customHeight="1" x14ac:dyDescent="0.15">
      <c r="A3619" s="16" t="s">
        <v>2990</v>
      </c>
      <c r="B3619" s="17" t="s">
        <v>6329</v>
      </c>
      <c r="C3619" s="17" t="s">
        <v>5833</v>
      </c>
      <c r="D3619" s="25" t="s">
        <v>6167</v>
      </c>
      <c r="E3619" s="19" t="s">
        <v>6288</v>
      </c>
      <c r="F3619" s="19" t="s">
        <v>2494</v>
      </c>
      <c r="G3619" s="5" t="str">
        <f>HYPERLINK("http://jsmh.umin.jp/journal/42-3/446-447.pdf")</f>
        <v>http://jsmh.umin.jp/journal/42-3/446-447.pdf</v>
      </c>
      <c r="H3619" s="43" t="str">
        <f t="shared" si="244"/>
        <v>http://dl.ndl.go.jp/info:ndljp/pid/3359352</v>
      </c>
    </row>
    <row r="3620" spans="1:8" ht="30" customHeight="1" x14ac:dyDescent="0.15">
      <c r="A3620" s="16" t="s">
        <v>2990</v>
      </c>
      <c r="B3620" s="17" t="s">
        <v>6330</v>
      </c>
      <c r="C3620" s="17" t="s">
        <v>1803</v>
      </c>
      <c r="D3620" s="25" t="s">
        <v>6167</v>
      </c>
      <c r="E3620" s="19" t="s">
        <v>6288</v>
      </c>
      <c r="F3620" s="19" t="s">
        <v>4089</v>
      </c>
      <c r="G3620" s="5" t="str">
        <f>HYPERLINK("http://jsmh.umin.jp/journal/42-3/447-448.pdf")</f>
        <v>http://jsmh.umin.jp/journal/42-3/447-448.pdf</v>
      </c>
      <c r="H3620" s="43" t="str">
        <f t="shared" si="244"/>
        <v>http://dl.ndl.go.jp/info:ndljp/pid/3359352</v>
      </c>
    </row>
    <row r="3621" spans="1:8" ht="30" customHeight="1" x14ac:dyDescent="0.15">
      <c r="A3621" s="16" t="s">
        <v>2990</v>
      </c>
      <c r="B3621" s="17" t="s">
        <v>6331</v>
      </c>
      <c r="C3621" s="17" t="s">
        <v>5084</v>
      </c>
      <c r="D3621" s="25" t="s">
        <v>6167</v>
      </c>
      <c r="E3621" s="19" t="s">
        <v>6288</v>
      </c>
      <c r="F3621" s="19" t="s">
        <v>4925</v>
      </c>
      <c r="G3621" s="5" t="str">
        <f>HYPERLINK("http://jsmh.umin.jp/journal/42-3/448-449.pdf")</f>
        <v>http://jsmh.umin.jp/journal/42-3/448-449.pdf</v>
      </c>
      <c r="H3621" s="43" t="str">
        <f t="shared" si="244"/>
        <v>http://dl.ndl.go.jp/info:ndljp/pid/3359352</v>
      </c>
    </row>
    <row r="3622" spans="1:8" ht="30" customHeight="1" x14ac:dyDescent="0.15">
      <c r="A3622" s="16"/>
      <c r="B3622" s="17" t="s">
        <v>6332</v>
      </c>
      <c r="C3622" s="17"/>
      <c r="D3622" s="25" t="s">
        <v>6167</v>
      </c>
      <c r="E3622" s="19" t="s">
        <v>6288</v>
      </c>
      <c r="F3622" s="19" t="s">
        <v>6333</v>
      </c>
      <c r="G3622" s="5" t="str">
        <f>HYPERLINK("http://jsmh.umin.jp/journal/42-3/450-493.pdf")</f>
        <v>http://jsmh.umin.jp/journal/42-3/450-493.pdf</v>
      </c>
      <c r="H3622" s="43" t="str">
        <f t="shared" si="244"/>
        <v>http://dl.ndl.go.jp/info:ndljp/pid/3359352</v>
      </c>
    </row>
    <row r="3623" spans="1:8" ht="30" customHeight="1" x14ac:dyDescent="0.15">
      <c r="A3623" s="16" t="s">
        <v>17</v>
      </c>
      <c r="B3623" s="17" t="s">
        <v>6334</v>
      </c>
      <c r="C3623" s="17" t="s">
        <v>3482</v>
      </c>
      <c r="D3623" s="25" t="s">
        <v>6167</v>
      </c>
      <c r="E3623" s="19" t="s">
        <v>6335</v>
      </c>
      <c r="F3623" s="19" t="s">
        <v>6336</v>
      </c>
      <c r="G3623" s="5" t="str">
        <f>HYPERLINK("http://jsmh.umin.jp/journal/42-4/503-520.pdf")</f>
        <v>http://jsmh.umin.jp/journal/42-4/503-520.pdf</v>
      </c>
      <c r="H3623" s="42" t="str">
        <f t="shared" ref="H3623:H3650" si="245">HYPERLINK("http://dl.ndl.go.jp/info:ndljp/pid/3359353")</f>
        <v>http://dl.ndl.go.jp/info:ndljp/pid/3359353</v>
      </c>
    </row>
    <row r="3624" spans="1:8" ht="30" customHeight="1" x14ac:dyDescent="0.15">
      <c r="A3624" s="16" t="s">
        <v>17</v>
      </c>
      <c r="B3624" s="17" t="s">
        <v>6337</v>
      </c>
      <c r="C3624" s="17" t="s">
        <v>5080</v>
      </c>
      <c r="D3624" s="25" t="s">
        <v>6167</v>
      </c>
      <c r="E3624" s="19" t="s">
        <v>6335</v>
      </c>
      <c r="F3624" s="19" t="s">
        <v>6338</v>
      </c>
      <c r="G3624" s="5" t="str">
        <f>HYPERLINK("http://jsmh.umin.jp/journal/42-4/521-546.pdf")</f>
        <v>http://jsmh.umin.jp/journal/42-4/521-546.pdf</v>
      </c>
      <c r="H3624" s="43" t="str">
        <f t="shared" si="245"/>
        <v>http://dl.ndl.go.jp/info:ndljp/pid/3359353</v>
      </c>
    </row>
    <row r="3625" spans="1:8" ht="30" customHeight="1" x14ac:dyDescent="0.15">
      <c r="A3625" s="16" t="s">
        <v>17</v>
      </c>
      <c r="B3625" s="17" t="s">
        <v>6339</v>
      </c>
      <c r="C3625" s="17" t="s">
        <v>4988</v>
      </c>
      <c r="D3625" s="25" t="s">
        <v>6167</v>
      </c>
      <c r="E3625" s="19" t="s">
        <v>6335</v>
      </c>
      <c r="F3625" s="19" t="s">
        <v>6340</v>
      </c>
      <c r="G3625" s="5" t="str">
        <f>HYPERLINK("http://jsmh.umin.jp/journal/42-4/547-562.pdf")</f>
        <v>http://jsmh.umin.jp/journal/42-4/547-562.pdf</v>
      </c>
      <c r="H3625" s="43" t="str">
        <f t="shared" si="245"/>
        <v>http://dl.ndl.go.jp/info:ndljp/pid/3359353</v>
      </c>
    </row>
    <row r="3626" spans="1:8" ht="30" customHeight="1" x14ac:dyDescent="0.15">
      <c r="A3626" s="16" t="s">
        <v>3387</v>
      </c>
      <c r="B3626" s="17" t="s">
        <v>6341</v>
      </c>
      <c r="C3626" s="17" t="s">
        <v>5075</v>
      </c>
      <c r="D3626" s="25" t="s">
        <v>6167</v>
      </c>
      <c r="E3626" s="19" t="s">
        <v>6335</v>
      </c>
      <c r="F3626" s="19" t="s">
        <v>6342</v>
      </c>
      <c r="G3626" s="5" t="str">
        <f>HYPERLINK("http://jsmh.umin.jp/journal/42-4/563-580.pdf")</f>
        <v>http://jsmh.umin.jp/journal/42-4/563-580.pdf</v>
      </c>
      <c r="H3626" s="43" t="str">
        <f t="shared" si="245"/>
        <v>http://dl.ndl.go.jp/info:ndljp/pid/3359353</v>
      </c>
    </row>
    <row r="3627" spans="1:8" ht="30" customHeight="1" x14ac:dyDescent="0.15">
      <c r="A3627" s="16" t="s">
        <v>4265</v>
      </c>
      <c r="B3627" s="17" t="s">
        <v>6343</v>
      </c>
      <c r="C3627" s="17" t="s">
        <v>3644</v>
      </c>
      <c r="D3627" s="25" t="s">
        <v>6167</v>
      </c>
      <c r="E3627" s="19" t="s">
        <v>6335</v>
      </c>
      <c r="F3627" s="19" t="s">
        <v>6344</v>
      </c>
      <c r="G3627" s="5" t="str">
        <f>HYPERLINK("http://jsmh.umin.jp/journal/42-4/581-588.pdf")</f>
        <v>http://jsmh.umin.jp/journal/42-4/581-588.pdf</v>
      </c>
      <c r="H3627" s="43" t="str">
        <f t="shared" si="245"/>
        <v>http://dl.ndl.go.jp/info:ndljp/pid/3359353</v>
      </c>
    </row>
    <row r="3628" spans="1:8" ht="30" customHeight="1" x14ac:dyDescent="0.15">
      <c r="A3628" s="16" t="s">
        <v>692</v>
      </c>
      <c r="B3628" s="17" t="s">
        <v>6345</v>
      </c>
      <c r="C3628" s="17" t="s">
        <v>6300</v>
      </c>
      <c r="D3628" s="25" t="s">
        <v>6167</v>
      </c>
      <c r="E3628" s="19" t="s">
        <v>6335</v>
      </c>
      <c r="F3628" s="19" t="s">
        <v>6346</v>
      </c>
      <c r="G3628" s="5" t="str">
        <f>HYPERLINK("http://jsmh.umin.jp/journal/42-4/589-601.pdf")</f>
        <v>http://jsmh.umin.jp/journal/42-4/589-601.pdf</v>
      </c>
      <c r="H3628" s="43" t="str">
        <f t="shared" si="245"/>
        <v>http://dl.ndl.go.jp/info:ndljp/pid/3359353</v>
      </c>
    </row>
    <row r="3629" spans="1:8" ht="30" customHeight="1" x14ac:dyDescent="0.15">
      <c r="A3629" s="16" t="s">
        <v>692</v>
      </c>
      <c r="B3629" s="17" t="s">
        <v>6347</v>
      </c>
      <c r="C3629" s="17" t="s">
        <v>4870</v>
      </c>
      <c r="D3629" s="25" t="s">
        <v>6167</v>
      </c>
      <c r="E3629" s="19" t="s">
        <v>6335</v>
      </c>
      <c r="F3629" s="19" t="s">
        <v>6348</v>
      </c>
      <c r="G3629" s="5" t="str">
        <f>HYPERLINK("http://jsmh.umin.jp/journal/42-4/603-613.pdf")</f>
        <v>http://jsmh.umin.jp/journal/42-4/603-613.pdf</v>
      </c>
      <c r="H3629" s="43" t="str">
        <f t="shared" si="245"/>
        <v>http://dl.ndl.go.jp/info:ndljp/pid/3359353</v>
      </c>
    </row>
    <row r="3630" spans="1:8" ht="30" customHeight="1" x14ac:dyDescent="0.15">
      <c r="A3630" s="16" t="s">
        <v>692</v>
      </c>
      <c r="B3630" s="17" t="s">
        <v>6349</v>
      </c>
      <c r="C3630" s="17" t="s">
        <v>4867</v>
      </c>
      <c r="D3630" s="25" t="s">
        <v>6167</v>
      </c>
      <c r="E3630" s="19" t="s">
        <v>6335</v>
      </c>
      <c r="F3630" s="19" t="s">
        <v>6350</v>
      </c>
      <c r="G3630" s="5" t="str">
        <f>HYPERLINK("http://jsmh.umin.jp/journal/42-4/615-626.pdf")</f>
        <v>http://jsmh.umin.jp/journal/42-4/615-626.pdf</v>
      </c>
      <c r="H3630" s="43" t="str">
        <f t="shared" si="245"/>
        <v>http://dl.ndl.go.jp/info:ndljp/pid/3359353</v>
      </c>
    </row>
    <row r="3631" spans="1:8" ht="30" customHeight="1" x14ac:dyDescent="0.15">
      <c r="A3631" s="16" t="s">
        <v>3223</v>
      </c>
      <c r="B3631" s="17" t="s">
        <v>6351</v>
      </c>
      <c r="C3631" s="17" t="s">
        <v>5664</v>
      </c>
      <c r="D3631" s="25" t="s">
        <v>6167</v>
      </c>
      <c r="E3631" s="19" t="s">
        <v>6335</v>
      </c>
      <c r="F3631" s="19" t="s">
        <v>6352</v>
      </c>
      <c r="G3631" s="5" t="str">
        <f>HYPERLINK("http://jsmh.umin.jp/journal/42-4/627-629.pdf")</f>
        <v>http://jsmh.umin.jp/journal/42-4/627-629.pdf</v>
      </c>
      <c r="H3631" s="43" t="str">
        <f t="shared" si="245"/>
        <v>http://dl.ndl.go.jp/info:ndljp/pid/3359353</v>
      </c>
    </row>
    <row r="3632" spans="1:8" ht="30" customHeight="1" x14ac:dyDescent="0.15">
      <c r="A3632" s="16" t="s">
        <v>3223</v>
      </c>
      <c r="B3632" s="17" t="s">
        <v>6353</v>
      </c>
      <c r="C3632" s="17" t="s">
        <v>444</v>
      </c>
      <c r="D3632" s="25" t="s">
        <v>6167</v>
      </c>
      <c r="E3632" s="19" t="s">
        <v>6335</v>
      </c>
      <c r="F3632" s="19" t="s">
        <v>6156</v>
      </c>
      <c r="G3632" s="5" t="str">
        <f>HYPERLINK("http://jsmh.umin.jp/journal/42-4/630-632.pdf")</f>
        <v>http://jsmh.umin.jp/journal/42-4/630-632.pdf</v>
      </c>
      <c r="H3632" s="43" t="str">
        <f t="shared" si="245"/>
        <v>http://dl.ndl.go.jp/info:ndljp/pid/3359353</v>
      </c>
    </row>
    <row r="3633" spans="1:8" ht="30" customHeight="1" x14ac:dyDescent="0.15">
      <c r="A3633" s="16" t="s">
        <v>3223</v>
      </c>
      <c r="B3633" s="17" t="s">
        <v>6354</v>
      </c>
      <c r="C3633" s="17" t="s">
        <v>2786</v>
      </c>
      <c r="D3633" s="25" t="s">
        <v>6167</v>
      </c>
      <c r="E3633" s="19" t="s">
        <v>6335</v>
      </c>
      <c r="F3633" s="19" t="s">
        <v>6355</v>
      </c>
      <c r="G3633" s="5" t="str">
        <f>HYPERLINK("http://jsmh.umin.jp/journal/42-4/633-634.pdf")</f>
        <v>http://jsmh.umin.jp/journal/42-4/633-634.pdf</v>
      </c>
      <c r="H3633" s="43" t="str">
        <f t="shared" si="245"/>
        <v>http://dl.ndl.go.jp/info:ndljp/pid/3359353</v>
      </c>
    </row>
    <row r="3634" spans="1:8" ht="30" customHeight="1" x14ac:dyDescent="0.15">
      <c r="A3634" s="16" t="s">
        <v>3223</v>
      </c>
      <c r="B3634" s="17" t="s">
        <v>6356</v>
      </c>
      <c r="C3634" s="17" t="s">
        <v>830</v>
      </c>
      <c r="D3634" s="25" t="s">
        <v>6167</v>
      </c>
      <c r="E3634" s="19" t="s">
        <v>6335</v>
      </c>
      <c r="F3634" s="19" t="s">
        <v>6161</v>
      </c>
      <c r="G3634" s="5" t="str">
        <f>HYPERLINK("http://jsmh.umin.jp/journal/42-4/635-636.pdf")</f>
        <v>http://jsmh.umin.jp/journal/42-4/635-636.pdf</v>
      </c>
      <c r="H3634" s="43" t="str">
        <f t="shared" si="245"/>
        <v>http://dl.ndl.go.jp/info:ndljp/pid/3359353</v>
      </c>
    </row>
    <row r="3635" spans="1:8" ht="30" customHeight="1" x14ac:dyDescent="0.15">
      <c r="A3635" s="16" t="s">
        <v>3223</v>
      </c>
      <c r="B3635" s="17" t="s">
        <v>6357</v>
      </c>
      <c r="C3635" s="17" t="s">
        <v>1070</v>
      </c>
      <c r="D3635" s="25" t="s">
        <v>6167</v>
      </c>
      <c r="E3635" s="19" t="s">
        <v>6335</v>
      </c>
      <c r="F3635" s="19" t="s">
        <v>4731</v>
      </c>
      <c r="G3635" s="5" t="str">
        <f>HYPERLINK("http://jsmh.umin.jp/journal/42-4/637-638.pdf")</f>
        <v>http://jsmh.umin.jp/journal/42-4/637-638.pdf</v>
      </c>
      <c r="H3635" s="43" t="str">
        <f t="shared" si="245"/>
        <v>http://dl.ndl.go.jp/info:ndljp/pid/3359353</v>
      </c>
    </row>
    <row r="3636" spans="1:8" ht="30" customHeight="1" x14ac:dyDescent="0.15">
      <c r="A3636" s="16" t="s">
        <v>3223</v>
      </c>
      <c r="B3636" s="17" t="s">
        <v>6358</v>
      </c>
      <c r="C3636" s="17" t="s">
        <v>2465</v>
      </c>
      <c r="D3636" s="25" t="s">
        <v>6167</v>
      </c>
      <c r="E3636" s="19" t="s">
        <v>6335</v>
      </c>
      <c r="F3636" s="19" t="s">
        <v>6359</v>
      </c>
      <c r="G3636" s="5" t="str">
        <f>HYPERLINK("http://jsmh.umin.jp/journal/42-4/639-641.pdf")</f>
        <v>http://jsmh.umin.jp/journal/42-4/639-641.pdf</v>
      </c>
      <c r="H3636" s="43" t="str">
        <f t="shared" si="245"/>
        <v>http://dl.ndl.go.jp/info:ndljp/pid/3359353</v>
      </c>
    </row>
    <row r="3637" spans="1:8" ht="30" customHeight="1" x14ac:dyDescent="0.15">
      <c r="A3637" s="16" t="s">
        <v>3223</v>
      </c>
      <c r="B3637" s="17" t="s">
        <v>6360</v>
      </c>
      <c r="C3637" s="17" t="s">
        <v>2233</v>
      </c>
      <c r="D3637" s="25" t="s">
        <v>6167</v>
      </c>
      <c r="E3637" s="19" t="s">
        <v>6335</v>
      </c>
      <c r="F3637" s="19" t="s">
        <v>6361</v>
      </c>
      <c r="G3637" s="5" t="str">
        <f>HYPERLINK("http://jsmh.umin.jp/journal/42-4/642-644.pdf")</f>
        <v>http://jsmh.umin.jp/journal/42-4/642-644.pdf</v>
      </c>
      <c r="H3637" s="43" t="str">
        <f t="shared" si="245"/>
        <v>http://dl.ndl.go.jp/info:ndljp/pid/3359353</v>
      </c>
    </row>
    <row r="3638" spans="1:8" ht="30" customHeight="1" x14ac:dyDescent="0.15">
      <c r="A3638" s="16" t="s">
        <v>3223</v>
      </c>
      <c r="B3638" s="17" t="s">
        <v>6362</v>
      </c>
      <c r="C3638" s="17" t="s">
        <v>479</v>
      </c>
      <c r="D3638" s="25" t="s">
        <v>6167</v>
      </c>
      <c r="E3638" s="19" t="s">
        <v>6335</v>
      </c>
      <c r="F3638" s="19" t="s">
        <v>6363</v>
      </c>
      <c r="G3638" s="5" t="str">
        <f>HYPERLINK("http://jsmh.umin.jp/journal/42-4/645-647.pdf")</f>
        <v>http://jsmh.umin.jp/journal/42-4/645-647.pdf</v>
      </c>
      <c r="H3638" s="43" t="str">
        <f t="shared" si="245"/>
        <v>http://dl.ndl.go.jp/info:ndljp/pid/3359353</v>
      </c>
    </row>
    <row r="3639" spans="1:8" ht="30" customHeight="1" x14ac:dyDescent="0.15">
      <c r="A3639" s="16" t="s">
        <v>558</v>
      </c>
      <c r="B3639" s="17" t="s">
        <v>6364</v>
      </c>
      <c r="C3639" s="17" t="s">
        <v>2325</v>
      </c>
      <c r="D3639" s="25" t="s">
        <v>6167</v>
      </c>
      <c r="E3639" s="19" t="s">
        <v>6335</v>
      </c>
      <c r="F3639" s="19" t="s">
        <v>6365</v>
      </c>
      <c r="G3639" s="5" t="str">
        <f>HYPERLINK("http://jsmh.umin.jp/journal/42-4/651-652.pdf")</f>
        <v>http://jsmh.umin.jp/journal/42-4/651-652.pdf</v>
      </c>
      <c r="H3639" s="43" t="str">
        <f t="shared" si="245"/>
        <v>http://dl.ndl.go.jp/info:ndljp/pid/3359353</v>
      </c>
    </row>
    <row r="3640" spans="1:8" ht="30" customHeight="1" x14ac:dyDescent="0.15">
      <c r="A3640" s="16" t="s">
        <v>558</v>
      </c>
      <c r="B3640" s="17" t="s">
        <v>537</v>
      </c>
      <c r="C3640" s="17"/>
      <c r="D3640" s="25" t="s">
        <v>6167</v>
      </c>
      <c r="E3640" s="19" t="s">
        <v>6335</v>
      </c>
      <c r="F3640" s="19" t="s">
        <v>6366</v>
      </c>
      <c r="G3640" s="5" t="str">
        <f>HYPERLINK("http://jsmh.umin.jp/journal/42-4/652-656.pdf")</f>
        <v>http://jsmh.umin.jp/journal/42-4/652-656.pdf</v>
      </c>
      <c r="H3640" s="43" t="str">
        <f t="shared" si="245"/>
        <v>http://dl.ndl.go.jp/info:ndljp/pid/3359353</v>
      </c>
    </row>
    <row r="3641" spans="1:8" ht="30" customHeight="1" x14ac:dyDescent="0.15">
      <c r="A3641" s="16" t="s">
        <v>3720</v>
      </c>
      <c r="B3641" s="17" t="s">
        <v>6367</v>
      </c>
      <c r="C3641" s="17" t="s">
        <v>4085</v>
      </c>
      <c r="D3641" s="25" t="s">
        <v>6167</v>
      </c>
      <c r="E3641" s="19" t="s">
        <v>6335</v>
      </c>
      <c r="F3641" s="19" t="s">
        <v>6368</v>
      </c>
      <c r="G3641" s="5" t="str">
        <f>HYPERLINK("http://jsmh.umin.jp/journal/42-4/656-657.pdf")</f>
        <v>http://jsmh.umin.jp/journal/42-4/656-657.pdf</v>
      </c>
      <c r="H3641" s="43" t="str">
        <f t="shared" si="245"/>
        <v>http://dl.ndl.go.jp/info:ndljp/pid/3359353</v>
      </c>
    </row>
    <row r="3642" spans="1:8" ht="30" customHeight="1" x14ac:dyDescent="0.15">
      <c r="A3642" s="16" t="s">
        <v>3720</v>
      </c>
      <c r="B3642" s="17" t="s">
        <v>6369</v>
      </c>
      <c r="C3642" s="17" t="s">
        <v>6370</v>
      </c>
      <c r="D3642" s="25" t="s">
        <v>6167</v>
      </c>
      <c r="E3642" s="19" t="s">
        <v>6335</v>
      </c>
      <c r="F3642" s="19" t="s">
        <v>6371</v>
      </c>
      <c r="G3642" s="5" t="str">
        <f>HYPERLINK("http://jsmh.umin.jp/journal/42-4/657-659.pdf")</f>
        <v>http://jsmh.umin.jp/journal/42-4/657-659.pdf</v>
      </c>
      <c r="H3642" s="43" t="str">
        <f t="shared" si="245"/>
        <v>http://dl.ndl.go.jp/info:ndljp/pid/3359353</v>
      </c>
    </row>
    <row r="3643" spans="1:8" ht="30" customHeight="1" x14ac:dyDescent="0.15">
      <c r="A3643" s="16" t="s">
        <v>3720</v>
      </c>
      <c r="B3643" s="17" t="s">
        <v>6372</v>
      </c>
      <c r="C3643" s="17" t="s">
        <v>6373</v>
      </c>
      <c r="D3643" s="25" t="s">
        <v>6167</v>
      </c>
      <c r="E3643" s="19" t="s">
        <v>6335</v>
      </c>
      <c r="F3643" s="19" t="s">
        <v>6374</v>
      </c>
      <c r="G3643" s="5" t="str">
        <f>HYPERLINK("http://jsmh.umin.jp/journal/42-4/659-660.pdf")</f>
        <v>http://jsmh.umin.jp/journal/42-4/659-660.pdf</v>
      </c>
      <c r="H3643" s="43" t="str">
        <f t="shared" si="245"/>
        <v>http://dl.ndl.go.jp/info:ndljp/pid/3359353</v>
      </c>
    </row>
    <row r="3644" spans="1:8" ht="30" customHeight="1" x14ac:dyDescent="0.15">
      <c r="A3644" s="16" t="s">
        <v>3720</v>
      </c>
      <c r="B3644" s="17" t="s">
        <v>6375</v>
      </c>
      <c r="C3644" s="17" t="s">
        <v>3839</v>
      </c>
      <c r="D3644" s="25" t="s">
        <v>6167</v>
      </c>
      <c r="E3644" s="19" t="s">
        <v>6335</v>
      </c>
      <c r="F3644" s="19" t="s">
        <v>6376</v>
      </c>
      <c r="G3644" s="5" t="str">
        <f>HYPERLINK("http://jsmh.umin.jp/journal/42-4/660-662.pdf")</f>
        <v>http://jsmh.umin.jp/journal/42-4/660-662.pdf</v>
      </c>
      <c r="H3644" s="43" t="str">
        <f t="shared" si="245"/>
        <v>http://dl.ndl.go.jp/info:ndljp/pid/3359353</v>
      </c>
    </row>
    <row r="3645" spans="1:8" ht="30" customHeight="1" x14ac:dyDescent="0.15">
      <c r="A3645" s="16" t="s">
        <v>2990</v>
      </c>
      <c r="B3645" s="17" t="s">
        <v>6377</v>
      </c>
      <c r="C3645" s="17" t="s">
        <v>479</v>
      </c>
      <c r="D3645" s="25" t="s">
        <v>6167</v>
      </c>
      <c r="E3645" s="19" t="s">
        <v>6335</v>
      </c>
      <c r="F3645" s="19" t="s">
        <v>6378</v>
      </c>
      <c r="G3645" s="5" t="str">
        <f>HYPERLINK("http://jsmh.umin.jp/journal/42-4/662-664.pdf")</f>
        <v>http://jsmh.umin.jp/journal/42-4/662-664.pdf</v>
      </c>
      <c r="H3645" s="43" t="str">
        <f t="shared" si="245"/>
        <v>http://dl.ndl.go.jp/info:ndljp/pid/3359353</v>
      </c>
    </row>
    <row r="3646" spans="1:8" ht="30" customHeight="1" x14ac:dyDescent="0.15">
      <c r="A3646" s="16" t="s">
        <v>2990</v>
      </c>
      <c r="B3646" s="17" t="s">
        <v>6379</v>
      </c>
      <c r="C3646" s="17" t="s">
        <v>4085</v>
      </c>
      <c r="D3646" s="25" t="s">
        <v>6167</v>
      </c>
      <c r="E3646" s="19" t="s">
        <v>6335</v>
      </c>
      <c r="F3646" s="19" t="s">
        <v>6380</v>
      </c>
      <c r="G3646" s="5" t="str">
        <f>HYPERLINK("http://jsmh.umin.jp/journal/42-4/664-665.pdf")</f>
        <v>http://jsmh.umin.jp/journal/42-4/664-665.pdf</v>
      </c>
      <c r="H3646" s="43" t="str">
        <f t="shared" si="245"/>
        <v>http://dl.ndl.go.jp/info:ndljp/pid/3359353</v>
      </c>
    </row>
    <row r="3647" spans="1:8" ht="30" customHeight="1" x14ac:dyDescent="0.15">
      <c r="A3647" s="16" t="s">
        <v>2990</v>
      </c>
      <c r="B3647" s="17" t="s">
        <v>6381</v>
      </c>
      <c r="C3647" s="17" t="s">
        <v>5625</v>
      </c>
      <c r="D3647" s="25" t="s">
        <v>6167</v>
      </c>
      <c r="E3647" s="19" t="s">
        <v>6335</v>
      </c>
      <c r="F3647" s="19" t="s">
        <v>6382</v>
      </c>
      <c r="G3647" s="5" t="str">
        <f>HYPERLINK("http://jsmh.umin.jp/journal/42-4/665-667.pdf")</f>
        <v>http://jsmh.umin.jp/journal/42-4/665-667.pdf</v>
      </c>
      <c r="H3647" s="43" t="str">
        <f t="shared" si="245"/>
        <v>http://dl.ndl.go.jp/info:ndljp/pid/3359353</v>
      </c>
    </row>
    <row r="3648" spans="1:8" ht="30" customHeight="1" x14ac:dyDescent="0.15">
      <c r="A3648" s="16" t="s">
        <v>2990</v>
      </c>
      <c r="B3648" s="17" t="s">
        <v>6383</v>
      </c>
      <c r="C3648" s="17" t="s">
        <v>2092</v>
      </c>
      <c r="D3648" s="25" t="s">
        <v>6167</v>
      </c>
      <c r="E3648" s="19" t="s">
        <v>6335</v>
      </c>
      <c r="F3648" s="19" t="s">
        <v>6384</v>
      </c>
      <c r="G3648" s="5" t="str">
        <f>HYPERLINK("http://jsmh.umin.jp/journal/42-4/667-668.pdf")</f>
        <v>http://jsmh.umin.jp/journal/42-4/667-668.pdf</v>
      </c>
      <c r="H3648" s="43" t="str">
        <f t="shared" si="245"/>
        <v>http://dl.ndl.go.jp/info:ndljp/pid/3359353</v>
      </c>
    </row>
    <row r="3649" spans="1:8" ht="30" customHeight="1" x14ac:dyDescent="0.15">
      <c r="A3649" s="16" t="s">
        <v>2990</v>
      </c>
      <c r="B3649" s="17" t="s">
        <v>6385</v>
      </c>
      <c r="C3649" s="17" t="s">
        <v>4085</v>
      </c>
      <c r="D3649" s="25" t="s">
        <v>6167</v>
      </c>
      <c r="E3649" s="19" t="s">
        <v>6335</v>
      </c>
      <c r="F3649" s="19" t="s">
        <v>6386</v>
      </c>
      <c r="G3649" s="5" t="str">
        <f>HYPERLINK("http://jsmh.umin.jp/journal/42-4/668-669.pdf")</f>
        <v>http://jsmh.umin.jp/journal/42-4/668-669.pdf</v>
      </c>
      <c r="H3649" s="43" t="str">
        <f t="shared" si="245"/>
        <v>http://dl.ndl.go.jp/info:ndljp/pid/3359353</v>
      </c>
    </row>
    <row r="3650" spans="1:8" ht="30" customHeight="1" x14ac:dyDescent="0.15">
      <c r="A3650" s="16" t="s">
        <v>2990</v>
      </c>
      <c r="B3650" s="17" t="s">
        <v>6387</v>
      </c>
      <c r="C3650" s="17" t="s">
        <v>4351</v>
      </c>
      <c r="D3650" s="25" t="s">
        <v>6167</v>
      </c>
      <c r="E3650" s="19" t="s">
        <v>6335</v>
      </c>
      <c r="F3650" s="19" t="s">
        <v>6388</v>
      </c>
      <c r="G3650" s="5" t="str">
        <f>HYPERLINK("http://jsmh.umin.jp/journal/42-4/670-671.pdf")</f>
        <v>http://jsmh.umin.jp/journal/42-4/670-671.pdf</v>
      </c>
      <c r="H3650" s="43" t="str">
        <f t="shared" si="245"/>
        <v>http://dl.ndl.go.jp/info:ndljp/pid/3359353</v>
      </c>
    </row>
    <row r="3651" spans="1:8" ht="30" customHeight="1" x14ac:dyDescent="0.15">
      <c r="A3651" s="16" t="s">
        <v>17</v>
      </c>
      <c r="B3651" s="17" t="s">
        <v>6389</v>
      </c>
      <c r="C3651" s="17" t="s">
        <v>2233</v>
      </c>
      <c r="D3651" s="18" t="s">
        <v>6390</v>
      </c>
      <c r="E3651" s="19" t="s">
        <v>6391</v>
      </c>
      <c r="F3651" s="19" t="s">
        <v>6392</v>
      </c>
      <c r="G3651" s="5" t="str">
        <f>HYPERLINK("http://jsmh.umin.jp/journal/43-1/3-26.pdf")</f>
        <v>http://jsmh.umin.jp/journal/43-1/3-26.pdf</v>
      </c>
      <c r="H3651" s="42" t="str">
        <f t="shared" ref="H3651:H3668" si="246">HYPERLINK("http://dl.ndl.go.jp/info:ndljp/pid/3359354")</f>
        <v>http://dl.ndl.go.jp/info:ndljp/pid/3359354</v>
      </c>
    </row>
    <row r="3652" spans="1:8" ht="30" customHeight="1" x14ac:dyDescent="0.15">
      <c r="A3652" s="16" t="s">
        <v>17</v>
      </c>
      <c r="B3652" s="17" t="s">
        <v>6393</v>
      </c>
      <c r="C3652" s="17" t="s">
        <v>6394</v>
      </c>
      <c r="D3652" s="25" t="s">
        <v>6390</v>
      </c>
      <c r="E3652" s="19" t="s">
        <v>6391</v>
      </c>
      <c r="F3652" s="19" t="s">
        <v>6395</v>
      </c>
      <c r="G3652" s="5" t="str">
        <f>HYPERLINK("http://jsmh.umin.jp/journal/43-1/27-58.pdf")</f>
        <v>http://jsmh.umin.jp/journal/43-1/27-58.pdf</v>
      </c>
      <c r="H3652" s="43" t="str">
        <f t="shared" si="246"/>
        <v>http://dl.ndl.go.jp/info:ndljp/pid/3359354</v>
      </c>
    </row>
    <row r="3653" spans="1:8" ht="30" customHeight="1" x14ac:dyDescent="0.15">
      <c r="A3653" s="16" t="s">
        <v>17</v>
      </c>
      <c r="B3653" s="17" t="s">
        <v>6396</v>
      </c>
      <c r="C3653" s="17" t="s">
        <v>5955</v>
      </c>
      <c r="D3653" s="25" t="s">
        <v>6390</v>
      </c>
      <c r="E3653" s="19" t="s">
        <v>6391</v>
      </c>
      <c r="F3653" s="19" t="s">
        <v>6397</v>
      </c>
      <c r="G3653" s="5" t="str">
        <f>HYPERLINK("http://jsmh.umin.jp/journal/43-1/59-68.pdf")</f>
        <v>http://jsmh.umin.jp/journal/43-1/59-68.pdf</v>
      </c>
      <c r="H3653" s="43" t="str">
        <f t="shared" si="246"/>
        <v>http://dl.ndl.go.jp/info:ndljp/pid/3359354</v>
      </c>
    </row>
    <row r="3654" spans="1:8" ht="30" customHeight="1" x14ac:dyDescent="0.15">
      <c r="A3654" s="16" t="s">
        <v>17</v>
      </c>
      <c r="B3654" s="17" t="s">
        <v>6398</v>
      </c>
      <c r="C3654" s="17" t="s">
        <v>790</v>
      </c>
      <c r="D3654" s="25" t="s">
        <v>6390</v>
      </c>
      <c r="E3654" s="19" t="s">
        <v>6391</v>
      </c>
      <c r="F3654" s="19" t="s">
        <v>6399</v>
      </c>
      <c r="G3654" s="5" t="str">
        <f>HYPERLINK("http://jsmh.umin.jp/journal/43-1/69-84.pdf")</f>
        <v>http://jsmh.umin.jp/journal/43-1/69-84.pdf</v>
      </c>
      <c r="H3654" s="43" t="str">
        <f t="shared" si="246"/>
        <v>http://dl.ndl.go.jp/info:ndljp/pid/3359354</v>
      </c>
    </row>
    <row r="3655" spans="1:8" ht="30" customHeight="1" x14ac:dyDescent="0.15">
      <c r="A3655" s="16" t="s">
        <v>3387</v>
      </c>
      <c r="B3655" s="17" t="s">
        <v>6400</v>
      </c>
      <c r="C3655" s="17" t="s">
        <v>6370</v>
      </c>
      <c r="D3655" s="25" t="s">
        <v>6390</v>
      </c>
      <c r="E3655" s="19" t="s">
        <v>6391</v>
      </c>
      <c r="F3655" s="19" t="s">
        <v>6401</v>
      </c>
      <c r="G3655" s="5" t="str">
        <f>HYPERLINK("http://jsmh.umin.jp/journal/43-1/85-99.pdf")</f>
        <v>http://jsmh.umin.jp/journal/43-1/85-99.pdf</v>
      </c>
      <c r="H3655" s="43" t="str">
        <f t="shared" si="246"/>
        <v>http://dl.ndl.go.jp/info:ndljp/pid/3359354</v>
      </c>
    </row>
    <row r="3656" spans="1:8" ht="30" customHeight="1" x14ac:dyDescent="0.15">
      <c r="A3656" s="16" t="s">
        <v>692</v>
      </c>
      <c r="B3656" s="17" t="s">
        <v>6402</v>
      </c>
      <c r="C3656" s="17" t="s">
        <v>3644</v>
      </c>
      <c r="D3656" s="25" t="s">
        <v>6390</v>
      </c>
      <c r="E3656" s="19" t="s">
        <v>6391</v>
      </c>
      <c r="F3656" s="19" t="s">
        <v>6403</v>
      </c>
      <c r="G3656" s="5" t="str">
        <f>HYPERLINK("http://jsmh.umin.jp/journal/43-1/101-111.pdf")</f>
        <v>http://jsmh.umin.jp/journal/43-1/101-111.pdf</v>
      </c>
      <c r="H3656" s="43" t="str">
        <f t="shared" si="246"/>
        <v>http://dl.ndl.go.jp/info:ndljp/pid/3359354</v>
      </c>
    </row>
    <row r="3657" spans="1:8" ht="30" customHeight="1" x14ac:dyDescent="0.15">
      <c r="A3657" s="16" t="s">
        <v>3223</v>
      </c>
      <c r="B3657" s="17" t="s">
        <v>6404</v>
      </c>
      <c r="C3657" s="17" t="s">
        <v>953</v>
      </c>
      <c r="D3657" s="25" t="s">
        <v>6390</v>
      </c>
      <c r="E3657" s="19" t="s">
        <v>6391</v>
      </c>
      <c r="F3657" s="19" t="s">
        <v>3608</v>
      </c>
      <c r="G3657" s="5" t="str">
        <f>HYPERLINK("http://jsmh.umin.jp/journal/43-1/113-115.pdf")</f>
        <v>http://jsmh.umin.jp/journal/43-1/113-115.pdf</v>
      </c>
      <c r="H3657" s="43" t="str">
        <f t="shared" si="246"/>
        <v>http://dl.ndl.go.jp/info:ndljp/pid/3359354</v>
      </c>
    </row>
    <row r="3658" spans="1:8" ht="30" customHeight="1" x14ac:dyDescent="0.15">
      <c r="A3658" s="16" t="s">
        <v>558</v>
      </c>
      <c r="B3658" s="17" t="s">
        <v>6405</v>
      </c>
      <c r="C3658" s="17" t="s">
        <v>6406</v>
      </c>
      <c r="D3658" s="25" t="s">
        <v>6390</v>
      </c>
      <c r="E3658" s="19" t="s">
        <v>6391</v>
      </c>
      <c r="F3658" s="19" t="s">
        <v>2400</v>
      </c>
      <c r="G3658" s="5" t="str">
        <f>HYPERLINK("http://jsmh.umin.jp/journal/43-1/116-117.pdf")</f>
        <v>http://jsmh.umin.jp/journal/43-1/116-117.pdf</v>
      </c>
      <c r="H3658" s="43" t="str">
        <f t="shared" si="246"/>
        <v>http://dl.ndl.go.jp/info:ndljp/pid/3359354</v>
      </c>
    </row>
    <row r="3659" spans="1:8" ht="30" customHeight="1" x14ac:dyDescent="0.15">
      <c r="A3659" s="16" t="s">
        <v>558</v>
      </c>
      <c r="B3659" s="17" t="s">
        <v>6407</v>
      </c>
      <c r="C3659" s="17"/>
      <c r="D3659" s="25" t="s">
        <v>6390</v>
      </c>
      <c r="E3659" s="19" t="s">
        <v>6391</v>
      </c>
      <c r="F3659" s="19" t="s">
        <v>964</v>
      </c>
      <c r="G3659" s="5" t="str">
        <f>HYPERLINK("http://jsmh.umin.jp/journal/43-1/118-119.pdf")</f>
        <v>http://jsmh.umin.jp/journal/43-1/118-119.pdf</v>
      </c>
      <c r="H3659" s="43" t="str">
        <f t="shared" si="246"/>
        <v>http://dl.ndl.go.jp/info:ndljp/pid/3359354</v>
      </c>
    </row>
    <row r="3660" spans="1:8" ht="30" customHeight="1" x14ac:dyDescent="0.15">
      <c r="A3660" s="16" t="s">
        <v>558</v>
      </c>
      <c r="B3660" s="17" t="s">
        <v>6408</v>
      </c>
      <c r="C3660" s="17" t="s">
        <v>479</v>
      </c>
      <c r="D3660" s="25" t="s">
        <v>6390</v>
      </c>
      <c r="E3660" s="19" t="s">
        <v>6391</v>
      </c>
      <c r="F3660" s="19" t="s">
        <v>6409</v>
      </c>
      <c r="G3660" s="5" t="str">
        <f>HYPERLINK("http://jsmh.umin.jp/journal/43-1/118.pdf")</f>
        <v>http://jsmh.umin.jp/journal/43-1/118.pdf</v>
      </c>
      <c r="H3660" s="43" t="str">
        <f t="shared" si="246"/>
        <v>http://dl.ndl.go.jp/info:ndljp/pid/3359354</v>
      </c>
    </row>
    <row r="3661" spans="1:8" ht="30" customHeight="1" x14ac:dyDescent="0.15">
      <c r="A3661" s="16" t="s">
        <v>3720</v>
      </c>
      <c r="B3661" s="17" t="s">
        <v>6410</v>
      </c>
      <c r="C3661" s="17" t="s">
        <v>1097</v>
      </c>
      <c r="D3661" s="25" t="s">
        <v>6390</v>
      </c>
      <c r="E3661" s="19" t="s">
        <v>6391</v>
      </c>
      <c r="F3661" s="19" t="s">
        <v>967</v>
      </c>
      <c r="G3661" s="5" t="str">
        <f>HYPERLINK("http://jsmh.umin.jp/journal/43-1/119-122.pdf")</f>
        <v>http://jsmh.umin.jp/journal/43-1/119-122.pdf</v>
      </c>
      <c r="H3661" s="43" t="str">
        <f t="shared" si="246"/>
        <v>http://dl.ndl.go.jp/info:ndljp/pid/3359354</v>
      </c>
    </row>
    <row r="3662" spans="1:8" ht="30" customHeight="1" x14ac:dyDescent="0.15">
      <c r="A3662" s="16" t="s">
        <v>3720</v>
      </c>
      <c r="B3662" s="17" t="s">
        <v>6411</v>
      </c>
      <c r="C3662" s="17" t="s">
        <v>4085</v>
      </c>
      <c r="D3662" s="25" t="s">
        <v>6390</v>
      </c>
      <c r="E3662" s="19" t="s">
        <v>6391</v>
      </c>
      <c r="F3662" s="19" t="s">
        <v>6412</v>
      </c>
      <c r="G3662" s="5" t="str">
        <f>HYPERLINK("http://jsmh.umin.jp/journal/43-1/122-124.pdf")</f>
        <v>http://jsmh.umin.jp/journal/43-1/122-124.pdf</v>
      </c>
      <c r="H3662" s="43" t="str">
        <f t="shared" si="246"/>
        <v>http://dl.ndl.go.jp/info:ndljp/pid/3359354</v>
      </c>
    </row>
    <row r="3663" spans="1:8" ht="30" customHeight="1" x14ac:dyDescent="0.15">
      <c r="A3663" s="16" t="s">
        <v>3720</v>
      </c>
      <c r="B3663" s="17" t="s">
        <v>6413</v>
      </c>
      <c r="C3663" s="17" t="s">
        <v>2937</v>
      </c>
      <c r="D3663" s="25" t="s">
        <v>6390</v>
      </c>
      <c r="E3663" s="19" t="s">
        <v>6391</v>
      </c>
      <c r="F3663" s="19" t="s">
        <v>6201</v>
      </c>
      <c r="G3663" s="5" t="str">
        <f>HYPERLINK("http://jsmh.umin.jp/journal/43-1/124-126.pdf")</f>
        <v>http://jsmh.umin.jp/journal/43-1/124-126.pdf</v>
      </c>
      <c r="H3663" s="43" t="str">
        <f t="shared" si="246"/>
        <v>http://dl.ndl.go.jp/info:ndljp/pid/3359354</v>
      </c>
    </row>
    <row r="3664" spans="1:8" ht="30" customHeight="1" x14ac:dyDescent="0.15">
      <c r="A3664" s="16" t="s">
        <v>2990</v>
      </c>
      <c r="B3664" s="17" t="s">
        <v>6414</v>
      </c>
      <c r="C3664" s="17" t="s">
        <v>2465</v>
      </c>
      <c r="D3664" s="25" t="s">
        <v>6390</v>
      </c>
      <c r="E3664" s="19" t="s">
        <v>6391</v>
      </c>
      <c r="F3664" s="19" t="s">
        <v>2210</v>
      </c>
      <c r="G3664" s="5" t="str">
        <f>HYPERLINK("http://jsmh.umin.jp/journal/43-1/126-128.pdf")</f>
        <v>http://jsmh.umin.jp/journal/43-1/126-128.pdf</v>
      </c>
      <c r="H3664" s="43" t="str">
        <f t="shared" si="246"/>
        <v>http://dl.ndl.go.jp/info:ndljp/pid/3359354</v>
      </c>
    </row>
    <row r="3665" spans="1:8" ht="30" customHeight="1" x14ac:dyDescent="0.15">
      <c r="A3665" s="16" t="s">
        <v>2990</v>
      </c>
      <c r="B3665" s="17" t="s">
        <v>6415</v>
      </c>
      <c r="C3665" s="17" t="s">
        <v>5080</v>
      </c>
      <c r="D3665" s="25" t="s">
        <v>6390</v>
      </c>
      <c r="E3665" s="19" t="s">
        <v>6391</v>
      </c>
      <c r="F3665" s="19" t="s">
        <v>4603</v>
      </c>
      <c r="G3665" s="5" t="str">
        <f>HYPERLINK("http://jsmh.umin.jp/journal/43-1/129-130.pdf")</f>
        <v>http://jsmh.umin.jp/journal/43-1/129-130.pdf</v>
      </c>
      <c r="H3665" s="43" t="str">
        <f t="shared" si="246"/>
        <v>http://dl.ndl.go.jp/info:ndljp/pid/3359354</v>
      </c>
    </row>
    <row r="3666" spans="1:8" ht="30" customHeight="1" x14ac:dyDescent="0.15">
      <c r="A3666" s="16" t="s">
        <v>2990</v>
      </c>
      <c r="B3666" s="17" t="s">
        <v>6416</v>
      </c>
      <c r="C3666" s="17" t="s">
        <v>1764</v>
      </c>
      <c r="D3666" s="25" t="s">
        <v>6390</v>
      </c>
      <c r="E3666" s="19" t="s">
        <v>6391</v>
      </c>
      <c r="F3666" s="19" t="s">
        <v>2215</v>
      </c>
      <c r="G3666" s="5" t="str">
        <f>HYPERLINK("http://jsmh.umin.jp/journal/43-1/131-132.pdf")</f>
        <v>http://jsmh.umin.jp/journal/43-1/131-132.pdf</v>
      </c>
      <c r="H3666" s="43" t="str">
        <f t="shared" si="246"/>
        <v>http://dl.ndl.go.jp/info:ndljp/pid/3359354</v>
      </c>
    </row>
    <row r="3667" spans="1:8" ht="30" customHeight="1" x14ac:dyDescent="0.15">
      <c r="A3667" s="16" t="s">
        <v>2990</v>
      </c>
      <c r="B3667" s="17" t="s">
        <v>6417</v>
      </c>
      <c r="C3667" s="17" t="s">
        <v>4085</v>
      </c>
      <c r="D3667" s="25" t="s">
        <v>6390</v>
      </c>
      <c r="E3667" s="19" t="s">
        <v>6391</v>
      </c>
      <c r="F3667" s="19" t="s">
        <v>2217</v>
      </c>
      <c r="G3667" s="5" t="str">
        <f>HYPERLINK("http://jsmh.umin.jp/journal/43-1/132-133.pdf")</f>
        <v>http://jsmh.umin.jp/journal/43-1/132-133.pdf</v>
      </c>
      <c r="H3667" s="43" t="str">
        <f t="shared" si="246"/>
        <v>http://dl.ndl.go.jp/info:ndljp/pid/3359354</v>
      </c>
    </row>
    <row r="3668" spans="1:8" ht="30" customHeight="1" x14ac:dyDescent="0.15">
      <c r="A3668" s="16" t="s">
        <v>2990</v>
      </c>
      <c r="B3668" s="17" t="s">
        <v>6418</v>
      </c>
      <c r="C3668" s="17" t="s">
        <v>1972</v>
      </c>
      <c r="D3668" s="25" t="s">
        <v>6390</v>
      </c>
      <c r="E3668" s="19" t="s">
        <v>6391</v>
      </c>
      <c r="F3668" s="19" t="s">
        <v>3631</v>
      </c>
      <c r="G3668" s="5" t="str">
        <f>HYPERLINK("http://jsmh.umin.jp/journal/43-1/133-135.pdf")</f>
        <v>http://jsmh.umin.jp/journal/43-1/133-135.pdf</v>
      </c>
      <c r="H3668" s="43" t="str">
        <f t="shared" si="246"/>
        <v>http://dl.ndl.go.jp/info:ndljp/pid/3359354</v>
      </c>
    </row>
    <row r="3669" spans="1:8" ht="30" customHeight="1" x14ac:dyDescent="0.15">
      <c r="A3669" s="16" t="s">
        <v>17</v>
      </c>
      <c r="B3669" s="17" t="s">
        <v>6419</v>
      </c>
      <c r="C3669" s="17" t="s">
        <v>4988</v>
      </c>
      <c r="D3669" s="25" t="s">
        <v>6390</v>
      </c>
      <c r="E3669" s="19" t="s">
        <v>6420</v>
      </c>
      <c r="F3669" s="19" t="s">
        <v>6421</v>
      </c>
      <c r="G3669" s="5" t="str">
        <f>HYPERLINK("http://jsmh.umin.jp/journal/43-2/143-168.pdf")</f>
        <v>http://jsmh.umin.jp/journal/43-2/143-168.pdf</v>
      </c>
      <c r="H3669" s="42" t="str">
        <f t="shared" ref="H3669:H3684" si="247">HYPERLINK("http://dl.ndl.go.jp/info:ndljp/pid/3359355")</f>
        <v>http://dl.ndl.go.jp/info:ndljp/pid/3359355</v>
      </c>
    </row>
    <row r="3670" spans="1:8" ht="30" customHeight="1" x14ac:dyDescent="0.15">
      <c r="A3670" s="16" t="s">
        <v>17</v>
      </c>
      <c r="B3670" s="17" t="s">
        <v>6422</v>
      </c>
      <c r="C3670" s="17" t="s">
        <v>3644</v>
      </c>
      <c r="D3670" s="25" t="s">
        <v>6390</v>
      </c>
      <c r="E3670" s="19" t="s">
        <v>6420</v>
      </c>
      <c r="F3670" s="19" t="s">
        <v>6423</v>
      </c>
      <c r="G3670" s="5" t="str">
        <f>HYPERLINK("http://jsmh.umin.jp/journal/43-2/169-186.pdf")</f>
        <v>http://jsmh.umin.jp/journal/43-2/169-186.pdf</v>
      </c>
      <c r="H3670" s="43" t="str">
        <f t="shared" si="247"/>
        <v>http://dl.ndl.go.jp/info:ndljp/pid/3359355</v>
      </c>
    </row>
    <row r="3671" spans="1:8" ht="30" customHeight="1" x14ac:dyDescent="0.15">
      <c r="A3671" s="16" t="s">
        <v>17</v>
      </c>
      <c r="B3671" s="17" t="s">
        <v>6424</v>
      </c>
      <c r="C3671" s="17" t="s">
        <v>6394</v>
      </c>
      <c r="D3671" s="25" t="s">
        <v>6390</v>
      </c>
      <c r="E3671" s="19" t="s">
        <v>6420</v>
      </c>
      <c r="F3671" s="19" t="s">
        <v>6425</v>
      </c>
      <c r="G3671" s="5" t="str">
        <f>HYPERLINK("http://jsmh.umin.jp/journal/43-2/187-209.pdf")</f>
        <v>http://jsmh.umin.jp/journal/43-2/187-209.pdf</v>
      </c>
      <c r="H3671" s="43" t="str">
        <f t="shared" si="247"/>
        <v>http://dl.ndl.go.jp/info:ndljp/pid/3359355</v>
      </c>
    </row>
    <row r="3672" spans="1:8" ht="30" customHeight="1" x14ac:dyDescent="0.15">
      <c r="A3672" s="16" t="s">
        <v>3387</v>
      </c>
      <c r="B3672" s="17" t="s">
        <v>6426</v>
      </c>
      <c r="C3672" s="17" t="s">
        <v>6081</v>
      </c>
      <c r="D3672" s="25" t="s">
        <v>6390</v>
      </c>
      <c r="E3672" s="19" t="s">
        <v>6420</v>
      </c>
      <c r="F3672" s="19" t="s">
        <v>6427</v>
      </c>
      <c r="G3672" s="5" t="str">
        <f>HYPERLINK("http://jsmh.umin.jp/journal/43-2/211-240.pdf")</f>
        <v>http://jsmh.umin.jp/journal/43-2/211-240.pdf</v>
      </c>
      <c r="H3672" s="43" t="str">
        <f t="shared" si="247"/>
        <v>http://dl.ndl.go.jp/info:ndljp/pid/3359355</v>
      </c>
    </row>
    <row r="3673" spans="1:8" ht="30" customHeight="1" x14ac:dyDescent="0.15">
      <c r="A3673" s="16" t="s">
        <v>4265</v>
      </c>
      <c r="B3673" s="17" t="s">
        <v>6428</v>
      </c>
      <c r="C3673" s="17" t="s">
        <v>5080</v>
      </c>
      <c r="D3673" s="25" t="s">
        <v>6390</v>
      </c>
      <c r="E3673" s="19" t="s">
        <v>6420</v>
      </c>
      <c r="F3673" s="19" t="s">
        <v>6429</v>
      </c>
      <c r="G3673" s="5" t="str">
        <f>HYPERLINK("http://jsmh.umin.jp/journal/43-2/241-248.pdf")</f>
        <v>http://jsmh.umin.jp/journal/43-2/241-248.pdf</v>
      </c>
      <c r="H3673" s="43" t="str">
        <f t="shared" si="247"/>
        <v>http://dl.ndl.go.jp/info:ndljp/pid/3359355</v>
      </c>
    </row>
    <row r="3674" spans="1:8" ht="30" customHeight="1" x14ac:dyDescent="0.15">
      <c r="A3674" s="16" t="s">
        <v>4265</v>
      </c>
      <c r="B3674" s="17" t="s">
        <v>6430</v>
      </c>
      <c r="C3674" s="17" t="s">
        <v>1292</v>
      </c>
      <c r="D3674" s="25" t="s">
        <v>6390</v>
      </c>
      <c r="E3674" s="19" t="s">
        <v>6420</v>
      </c>
      <c r="F3674" s="19" t="s">
        <v>6431</v>
      </c>
      <c r="G3674" s="5" t="str">
        <f>HYPERLINK("http://jsmh.umin.jp/journal/43-2/249-254.pdf")</f>
        <v>http://jsmh.umin.jp/journal/43-2/249-254.pdf</v>
      </c>
      <c r="H3674" s="43" t="str">
        <f t="shared" si="247"/>
        <v>http://dl.ndl.go.jp/info:ndljp/pid/3359355</v>
      </c>
    </row>
    <row r="3675" spans="1:8" ht="30" customHeight="1" x14ac:dyDescent="0.15">
      <c r="A3675" s="16" t="s">
        <v>692</v>
      </c>
      <c r="B3675" s="17" t="s">
        <v>6432</v>
      </c>
      <c r="C3675" s="17" t="s">
        <v>6252</v>
      </c>
      <c r="D3675" s="25" t="s">
        <v>6390</v>
      </c>
      <c r="E3675" s="19" t="s">
        <v>6420</v>
      </c>
      <c r="F3675" s="19" t="s">
        <v>6433</v>
      </c>
      <c r="G3675" s="5" t="str">
        <f>HYPERLINK("http://jsmh.umin.jp/journal/43-2/255-269.pdf")</f>
        <v>http://jsmh.umin.jp/journal/43-2/255-269.pdf</v>
      </c>
      <c r="H3675" s="43" t="str">
        <f t="shared" si="247"/>
        <v>http://dl.ndl.go.jp/info:ndljp/pid/3359355</v>
      </c>
    </row>
    <row r="3676" spans="1:8" ht="30" customHeight="1" x14ac:dyDescent="0.15">
      <c r="A3676" s="16" t="s">
        <v>3223</v>
      </c>
      <c r="B3676" s="17" t="s">
        <v>6434</v>
      </c>
      <c r="C3676" s="17" t="s">
        <v>1070</v>
      </c>
      <c r="D3676" s="25" t="s">
        <v>6390</v>
      </c>
      <c r="E3676" s="19" t="s">
        <v>6420</v>
      </c>
      <c r="F3676" s="19" t="s">
        <v>3335</v>
      </c>
      <c r="G3676" s="5" t="str">
        <f>HYPERLINK("http://jsmh.umin.jp/journal/43-2/271-272.pdf")</f>
        <v>http://jsmh.umin.jp/journal/43-2/271-272.pdf</v>
      </c>
      <c r="H3676" s="43" t="str">
        <f t="shared" si="247"/>
        <v>http://dl.ndl.go.jp/info:ndljp/pid/3359355</v>
      </c>
    </row>
    <row r="3677" spans="1:8" ht="30" customHeight="1" x14ac:dyDescent="0.15">
      <c r="A3677" s="16" t="s">
        <v>3535</v>
      </c>
      <c r="B3677" s="17" t="s">
        <v>6435</v>
      </c>
      <c r="C3677" s="17" t="s">
        <v>2465</v>
      </c>
      <c r="D3677" s="25" t="s">
        <v>6390</v>
      </c>
      <c r="E3677" s="19" t="s">
        <v>6420</v>
      </c>
      <c r="F3677" s="19" t="s">
        <v>6436</v>
      </c>
      <c r="G3677" s="5" t="str">
        <f>HYPERLINK("http://jsmh.umin.jp/journal/43-2/273.pdf")</f>
        <v>http://jsmh.umin.jp/journal/43-2/273.pdf</v>
      </c>
      <c r="H3677" s="43" t="str">
        <f t="shared" si="247"/>
        <v>http://dl.ndl.go.jp/info:ndljp/pid/3359355</v>
      </c>
    </row>
    <row r="3678" spans="1:8" ht="30" customHeight="1" x14ac:dyDescent="0.15">
      <c r="A3678" s="16" t="s">
        <v>558</v>
      </c>
      <c r="B3678" s="17" t="s">
        <v>6437</v>
      </c>
      <c r="C3678" s="17"/>
      <c r="D3678" s="25" t="s">
        <v>6390</v>
      </c>
      <c r="E3678" s="19" t="s">
        <v>6420</v>
      </c>
      <c r="F3678" s="19" t="s">
        <v>6438</v>
      </c>
      <c r="G3678" s="5" t="str">
        <f>HYPERLINK("http://jsmh.umin.jp/journal/43-2/274.pdf")</f>
        <v>http://jsmh.umin.jp/journal/43-2/274.pdf</v>
      </c>
      <c r="H3678" s="43" t="str">
        <f t="shared" si="247"/>
        <v>http://dl.ndl.go.jp/info:ndljp/pid/3359355</v>
      </c>
    </row>
    <row r="3679" spans="1:8" ht="30" customHeight="1" x14ac:dyDescent="0.15">
      <c r="A3679" s="16" t="s">
        <v>3720</v>
      </c>
      <c r="B3679" s="17" t="s">
        <v>6439</v>
      </c>
      <c r="C3679" s="17" t="s">
        <v>6300</v>
      </c>
      <c r="D3679" s="25" t="s">
        <v>6390</v>
      </c>
      <c r="E3679" s="19" t="s">
        <v>6420</v>
      </c>
      <c r="F3679" s="19" t="s">
        <v>5490</v>
      </c>
      <c r="G3679" s="5" t="str">
        <f>HYPERLINK("http://jsmh.umin.jp/journal/43-2/275-276.pdf")</f>
        <v>http://jsmh.umin.jp/journal/43-2/275-276.pdf</v>
      </c>
      <c r="H3679" s="43" t="str">
        <f t="shared" si="247"/>
        <v>http://dl.ndl.go.jp/info:ndljp/pid/3359355</v>
      </c>
    </row>
    <row r="3680" spans="1:8" ht="30" customHeight="1" x14ac:dyDescent="0.15">
      <c r="A3680" s="16" t="s">
        <v>2990</v>
      </c>
      <c r="B3680" s="17" t="s">
        <v>6440</v>
      </c>
      <c r="C3680" s="17" t="s">
        <v>6441</v>
      </c>
      <c r="D3680" s="25" t="s">
        <v>6390</v>
      </c>
      <c r="E3680" s="19" t="s">
        <v>6420</v>
      </c>
      <c r="F3680" s="19" t="s">
        <v>1903</v>
      </c>
      <c r="G3680" s="5" t="str">
        <f>HYPERLINK("http://jsmh.umin.jp/journal/43-2/277-278.pdf")</f>
        <v>http://jsmh.umin.jp/journal/43-2/277-278.pdf</v>
      </c>
      <c r="H3680" s="43" t="str">
        <f t="shared" si="247"/>
        <v>http://dl.ndl.go.jp/info:ndljp/pid/3359355</v>
      </c>
    </row>
    <row r="3681" spans="1:8" ht="30" customHeight="1" x14ac:dyDescent="0.15">
      <c r="A3681" s="16" t="s">
        <v>2990</v>
      </c>
      <c r="B3681" s="17" t="s">
        <v>6442</v>
      </c>
      <c r="C3681" s="17" t="s">
        <v>10260</v>
      </c>
      <c r="D3681" s="25" t="s">
        <v>6390</v>
      </c>
      <c r="E3681" s="19" t="s">
        <v>6420</v>
      </c>
      <c r="F3681" s="19" t="s">
        <v>1907</v>
      </c>
      <c r="G3681" s="5" t="str">
        <f>HYPERLINK("http://jsmh.umin.jp/journal/43-2/279-280.pdf")</f>
        <v>http://jsmh.umin.jp/journal/43-2/279-280.pdf</v>
      </c>
      <c r="H3681" s="43" t="str">
        <f t="shared" si="247"/>
        <v>http://dl.ndl.go.jp/info:ndljp/pid/3359355</v>
      </c>
    </row>
    <row r="3682" spans="1:8" ht="30" customHeight="1" x14ac:dyDescent="0.15">
      <c r="A3682" s="16" t="s">
        <v>2990</v>
      </c>
      <c r="B3682" s="17" t="s">
        <v>6443</v>
      </c>
      <c r="C3682" s="17" t="s">
        <v>1994</v>
      </c>
      <c r="D3682" s="25" t="s">
        <v>6390</v>
      </c>
      <c r="E3682" s="19" t="s">
        <v>6420</v>
      </c>
      <c r="F3682" s="19" t="s">
        <v>1910</v>
      </c>
      <c r="G3682" s="5" t="str">
        <f>HYPERLINK("http://jsmh.umin.jp/journal/43-2/280-281.pdf")</f>
        <v>http://jsmh.umin.jp/journal/43-2/280-281.pdf</v>
      </c>
      <c r="H3682" s="43" t="str">
        <f t="shared" si="247"/>
        <v>http://dl.ndl.go.jp/info:ndljp/pid/3359355</v>
      </c>
    </row>
    <row r="3683" spans="1:8" ht="30" customHeight="1" x14ac:dyDescent="0.15">
      <c r="A3683" s="16" t="s">
        <v>558</v>
      </c>
      <c r="B3683" s="17" t="s">
        <v>6444</v>
      </c>
      <c r="C3683" s="17"/>
      <c r="D3683" s="25" t="s">
        <v>6390</v>
      </c>
      <c r="E3683" s="19" t="s">
        <v>6420</v>
      </c>
      <c r="F3683" s="19" t="s">
        <v>2122</v>
      </c>
      <c r="G3683" s="5" t="str">
        <f>HYPERLINK("http://jsmh.umin.jp/journal/43-2/282-283.pdf")</f>
        <v>http://jsmh.umin.jp/journal/43-2/282-283.pdf</v>
      </c>
      <c r="H3683" s="43" t="str">
        <f t="shared" si="247"/>
        <v>http://dl.ndl.go.jp/info:ndljp/pid/3359355</v>
      </c>
    </row>
    <row r="3684" spans="1:8" ht="30" customHeight="1" x14ac:dyDescent="0.15">
      <c r="A3684" s="16" t="s">
        <v>692</v>
      </c>
      <c r="B3684" s="17" t="s">
        <v>6445</v>
      </c>
      <c r="C3684" s="17"/>
      <c r="D3684" s="25" t="s">
        <v>6390</v>
      </c>
      <c r="E3684" s="19" t="s">
        <v>6420</v>
      </c>
      <c r="F3684" s="19" t="s">
        <v>6446</v>
      </c>
      <c r="G3684" s="5" t="str">
        <f>HYPERLINK("http://jsmh.umin.jp/journal/43-2/284-327.pdf")</f>
        <v>http://jsmh.umin.jp/journal/43-2/284-327.pdf</v>
      </c>
      <c r="H3684" s="43" t="str">
        <f t="shared" si="247"/>
        <v>http://dl.ndl.go.jp/info:ndljp/pid/3359355</v>
      </c>
    </row>
    <row r="3685" spans="1:8" ht="30" customHeight="1" x14ac:dyDescent="0.15">
      <c r="A3685" s="16" t="s">
        <v>1855</v>
      </c>
      <c r="B3685" s="17" t="s">
        <v>6447</v>
      </c>
      <c r="C3685" s="17" t="s">
        <v>6448</v>
      </c>
      <c r="D3685" s="25" t="s">
        <v>6390</v>
      </c>
      <c r="E3685" s="19" t="s">
        <v>6449</v>
      </c>
      <c r="F3685" s="19" t="s">
        <v>6450</v>
      </c>
      <c r="G3685" s="5" t="str">
        <f>HYPERLINK("http://jsmh.umin.jp/journal/43-3/238-254.pdf")</f>
        <v>http://jsmh.umin.jp/journal/43-3/238-254.pdf</v>
      </c>
      <c r="H3685" s="42" t="str">
        <f t="shared" ref="H3685:H3716" si="248">HYPERLINK("http://dl.ndl.go.jp/info:ndljp/pid/3359356")</f>
        <v>http://dl.ndl.go.jp/info:ndljp/pid/3359356</v>
      </c>
    </row>
    <row r="3686" spans="1:8" ht="30" customHeight="1" x14ac:dyDescent="0.15">
      <c r="A3686" s="16" t="s">
        <v>1855</v>
      </c>
      <c r="B3686" s="17" t="s">
        <v>6451</v>
      </c>
      <c r="C3686" s="17" t="s">
        <v>6452</v>
      </c>
      <c r="D3686" s="25" t="s">
        <v>6390</v>
      </c>
      <c r="E3686" s="19" t="s">
        <v>6449</v>
      </c>
      <c r="F3686" s="19" t="s">
        <v>6453</v>
      </c>
      <c r="G3686" s="5" t="str">
        <f>HYPERLINK("http://jsmh.umin.jp/journal/43-3/255-263.pdf")</f>
        <v>http://jsmh.umin.jp/journal/43-3/255-263.pdf</v>
      </c>
      <c r="H3686" s="43" t="str">
        <f t="shared" si="248"/>
        <v>http://dl.ndl.go.jp/info:ndljp/pid/3359356</v>
      </c>
    </row>
    <row r="3687" spans="1:8" ht="30" customHeight="1" x14ac:dyDescent="0.15">
      <c r="A3687" s="16" t="s">
        <v>1855</v>
      </c>
      <c r="B3687" s="17" t="s">
        <v>6454</v>
      </c>
      <c r="C3687" s="17" t="s">
        <v>6455</v>
      </c>
      <c r="D3687" s="25" t="s">
        <v>6390</v>
      </c>
      <c r="E3687" s="19" t="s">
        <v>6449</v>
      </c>
      <c r="F3687" s="19" t="s">
        <v>6456</v>
      </c>
      <c r="G3687" s="5" t="str">
        <f>HYPERLINK("http://jsmh.umin.jp/journal/43-3/264-277.pdf")</f>
        <v>http://jsmh.umin.jp/journal/43-3/264-277.pdf</v>
      </c>
      <c r="H3687" s="43" t="str">
        <f t="shared" si="248"/>
        <v>http://dl.ndl.go.jp/info:ndljp/pid/3359356</v>
      </c>
    </row>
    <row r="3688" spans="1:8" ht="30" customHeight="1" x14ac:dyDescent="0.15">
      <c r="A3688" s="16" t="s">
        <v>1855</v>
      </c>
      <c r="B3688" s="17" t="s">
        <v>6457</v>
      </c>
      <c r="C3688" s="17" t="s">
        <v>2881</v>
      </c>
      <c r="D3688" s="25" t="s">
        <v>6390</v>
      </c>
      <c r="E3688" s="19" t="s">
        <v>6449</v>
      </c>
      <c r="F3688" s="19" t="s">
        <v>6050</v>
      </c>
      <c r="G3688" s="5" t="str">
        <f>HYPERLINK("http://jsmh.umin.jp/journal/43-3/278-279.pdf")</f>
        <v>http://jsmh.umin.jp/journal/43-3/278-279.pdf</v>
      </c>
      <c r="H3688" s="43" t="str">
        <f t="shared" si="248"/>
        <v>http://dl.ndl.go.jp/info:ndljp/pid/3359356</v>
      </c>
    </row>
    <row r="3689" spans="1:8" ht="30" customHeight="1" x14ac:dyDescent="0.15">
      <c r="A3689" s="16" t="s">
        <v>1855</v>
      </c>
      <c r="B3689" s="17" t="s">
        <v>6458</v>
      </c>
      <c r="C3689" s="17" t="s">
        <v>48</v>
      </c>
      <c r="D3689" s="25" t="s">
        <v>6390</v>
      </c>
      <c r="E3689" s="19" t="s">
        <v>6449</v>
      </c>
      <c r="F3689" s="19" t="s">
        <v>1910</v>
      </c>
      <c r="G3689" s="5" t="str">
        <f>HYPERLINK("http://jsmh.umin.jp/journal/43-3/280-281.pdf")</f>
        <v>http://jsmh.umin.jp/journal/43-3/280-281.pdf</v>
      </c>
      <c r="H3689" s="43" t="str">
        <f t="shared" si="248"/>
        <v>http://dl.ndl.go.jp/info:ndljp/pid/3359356</v>
      </c>
    </row>
    <row r="3690" spans="1:8" ht="30" customHeight="1" x14ac:dyDescent="0.15">
      <c r="A3690" s="16" t="s">
        <v>1855</v>
      </c>
      <c r="B3690" s="17" t="s">
        <v>6459</v>
      </c>
      <c r="C3690" s="17" t="s">
        <v>6460</v>
      </c>
      <c r="D3690" s="25" t="s">
        <v>6390</v>
      </c>
      <c r="E3690" s="19" t="s">
        <v>6449</v>
      </c>
      <c r="F3690" s="19" t="s">
        <v>2122</v>
      </c>
      <c r="G3690" s="5" t="str">
        <f>HYPERLINK("http://jsmh.umin.jp/journal/43-3/282-283.pdf")</f>
        <v>http://jsmh.umin.jp/journal/43-3/282-283.pdf</v>
      </c>
      <c r="H3690" s="43" t="str">
        <f t="shared" si="248"/>
        <v>http://dl.ndl.go.jp/info:ndljp/pid/3359356</v>
      </c>
    </row>
    <row r="3691" spans="1:8" ht="30" customHeight="1" x14ac:dyDescent="0.15">
      <c r="A3691" s="16" t="s">
        <v>1855</v>
      </c>
      <c r="B3691" s="17" t="s">
        <v>6461</v>
      </c>
      <c r="C3691" s="17" t="s">
        <v>5471</v>
      </c>
      <c r="D3691" s="25" t="s">
        <v>6390</v>
      </c>
      <c r="E3691" s="19" t="s">
        <v>6449</v>
      </c>
      <c r="F3691" s="19" t="s">
        <v>1918</v>
      </c>
      <c r="G3691" s="5" t="str">
        <f>HYPERLINK("http://jsmh.umin.jp/journal/43-3/284-285.pdf")</f>
        <v>http://jsmh.umin.jp/journal/43-3/284-285.pdf</v>
      </c>
      <c r="H3691" s="43" t="str">
        <f t="shared" si="248"/>
        <v>http://dl.ndl.go.jp/info:ndljp/pid/3359356</v>
      </c>
    </row>
    <row r="3692" spans="1:8" ht="30" customHeight="1" x14ac:dyDescent="0.15">
      <c r="A3692" s="16" t="s">
        <v>1855</v>
      </c>
      <c r="B3692" s="17" t="s">
        <v>6462</v>
      </c>
      <c r="C3692" s="17" t="s">
        <v>6463</v>
      </c>
      <c r="D3692" s="25" t="s">
        <v>6390</v>
      </c>
      <c r="E3692" s="19" t="s">
        <v>6449</v>
      </c>
      <c r="F3692" s="19" t="s">
        <v>1920</v>
      </c>
      <c r="G3692" s="5" t="str">
        <f>HYPERLINK("http://jsmh.umin.jp/journal/43-3/286-287.pdf")</f>
        <v>http://jsmh.umin.jp/journal/43-3/286-287.pdf</v>
      </c>
      <c r="H3692" s="43" t="str">
        <f t="shared" si="248"/>
        <v>http://dl.ndl.go.jp/info:ndljp/pid/3359356</v>
      </c>
    </row>
    <row r="3693" spans="1:8" ht="30" customHeight="1" x14ac:dyDescent="0.15">
      <c r="A3693" s="16" t="s">
        <v>1855</v>
      </c>
      <c r="B3693" s="17" t="s">
        <v>6464</v>
      </c>
      <c r="C3693" s="17" t="s">
        <v>2937</v>
      </c>
      <c r="D3693" s="25" t="s">
        <v>6390</v>
      </c>
      <c r="E3693" s="19" t="s">
        <v>6449</v>
      </c>
      <c r="F3693" s="19" t="s">
        <v>3352</v>
      </c>
      <c r="G3693" s="5" t="str">
        <f>HYPERLINK("http://jsmh.umin.jp/journal/43-3/288-289.pdf")</f>
        <v>http://jsmh.umin.jp/journal/43-3/288-289.pdf</v>
      </c>
      <c r="H3693" s="43" t="str">
        <f t="shared" si="248"/>
        <v>http://dl.ndl.go.jp/info:ndljp/pid/3359356</v>
      </c>
    </row>
    <row r="3694" spans="1:8" ht="30" customHeight="1" x14ac:dyDescent="0.15">
      <c r="A3694" s="16" t="s">
        <v>1855</v>
      </c>
      <c r="B3694" s="17" t="s">
        <v>10261</v>
      </c>
      <c r="C3694" s="17" t="s">
        <v>6465</v>
      </c>
      <c r="D3694" s="25" t="s">
        <v>6390</v>
      </c>
      <c r="E3694" s="19" t="s">
        <v>6449</v>
      </c>
      <c r="F3694" s="19" t="s">
        <v>3504</v>
      </c>
      <c r="G3694" s="5" t="str">
        <f>HYPERLINK("http://jsmh.umin.jp/journal/43-3/290-291.pdf")</f>
        <v>http://jsmh.umin.jp/journal/43-3/290-291.pdf</v>
      </c>
      <c r="H3694" s="43" t="str">
        <f t="shared" si="248"/>
        <v>http://dl.ndl.go.jp/info:ndljp/pid/3359356</v>
      </c>
    </row>
    <row r="3695" spans="1:8" ht="30" customHeight="1" x14ac:dyDescent="0.15">
      <c r="A3695" s="16" t="s">
        <v>1855</v>
      </c>
      <c r="B3695" s="17" t="s">
        <v>6466</v>
      </c>
      <c r="C3695" s="17" t="s">
        <v>6467</v>
      </c>
      <c r="D3695" s="25" t="s">
        <v>6390</v>
      </c>
      <c r="E3695" s="19" t="s">
        <v>6449</v>
      </c>
      <c r="F3695" s="19" t="s">
        <v>1930</v>
      </c>
      <c r="G3695" s="5" t="str">
        <f>HYPERLINK("http://jsmh.umin.jp/journal/43-3/292-293.pdf")</f>
        <v>http://jsmh.umin.jp/journal/43-3/292-293.pdf</v>
      </c>
      <c r="H3695" s="43" t="str">
        <f t="shared" si="248"/>
        <v>http://dl.ndl.go.jp/info:ndljp/pid/3359356</v>
      </c>
    </row>
    <row r="3696" spans="1:8" ht="30" customHeight="1" x14ac:dyDescent="0.15">
      <c r="A3696" s="16" t="s">
        <v>1855</v>
      </c>
      <c r="B3696" s="17" t="s">
        <v>6468</v>
      </c>
      <c r="C3696" s="17" t="s">
        <v>5295</v>
      </c>
      <c r="D3696" s="25" t="s">
        <v>6390</v>
      </c>
      <c r="E3696" s="19" t="s">
        <v>6449</v>
      </c>
      <c r="F3696" s="19" t="s">
        <v>5308</v>
      </c>
      <c r="G3696" s="5" t="str">
        <f>HYPERLINK("http://jsmh.umin.jp/journal/43-3/294-295.pdf")</f>
        <v>http://jsmh.umin.jp/journal/43-3/294-295.pdf</v>
      </c>
      <c r="H3696" s="43" t="str">
        <f t="shared" si="248"/>
        <v>http://dl.ndl.go.jp/info:ndljp/pid/3359356</v>
      </c>
    </row>
    <row r="3697" spans="1:8" ht="30" customHeight="1" x14ac:dyDescent="0.15">
      <c r="A3697" s="16" t="s">
        <v>1855</v>
      </c>
      <c r="B3697" s="17" t="s">
        <v>6469</v>
      </c>
      <c r="C3697" s="17" t="s">
        <v>2325</v>
      </c>
      <c r="D3697" s="25" t="s">
        <v>6390</v>
      </c>
      <c r="E3697" s="19" t="s">
        <v>6449</v>
      </c>
      <c r="F3697" s="19" t="s">
        <v>1936</v>
      </c>
      <c r="G3697" s="5" t="str">
        <f>HYPERLINK("http://jsmh.umin.jp/journal/43-3/296-297.pdf")</f>
        <v>http://jsmh.umin.jp/journal/43-3/296-297.pdf</v>
      </c>
      <c r="H3697" s="43" t="str">
        <f t="shared" si="248"/>
        <v>http://dl.ndl.go.jp/info:ndljp/pid/3359356</v>
      </c>
    </row>
    <row r="3698" spans="1:8" ht="30" customHeight="1" x14ac:dyDescent="0.15">
      <c r="A3698" s="16" t="s">
        <v>1855</v>
      </c>
      <c r="B3698" s="17" t="s">
        <v>6470</v>
      </c>
      <c r="C3698" s="17" t="s">
        <v>10156</v>
      </c>
      <c r="D3698" s="25" t="s">
        <v>6390</v>
      </c>
      <c r="E3698" s="19" t="s">
        <v>6449</v>
      </c>
      <c r="F3698" s="19" t="s">
        <v>5311</v>
      </c>
      <c r="G3698" s="5" t="str">
        <f>HYPERLINK("http://jsmh.umin.jp/journal/43-3/298-299.pdf")</f>
        <v>http://jsmh.umin.jp/journal/43-3/298-299.pdf</v>
      </c>
      <c r="H3698" s="43" t="str">
        <f t="shared" si="248"/>
        <v>http://dl.ndl.go.jp/info:ndljp/pid/3359356</v>
      </c>
    </row>
    <row r="3699" spans="1:8" ht="30" customHeight="1" x14ac:dyDescent="0.15">
      <c r="A3699" s="16" t="s">
        <v>1855</v>
      </c>
      <c r="B3699" s="17" t="s">
        <v>10262</v>
      </c>
      <c r="C3699" s="17" t="s">
        <v>2746</v>
      </c>
      <c r="D3699" s="25" t="s">
        <v>6390</v>
      </c>
      <c r="E3699" s="19" t="s">
        <v>6449</v>
      </c>
      <c r="F3699" s="19" t="s">
        <v>6062</v>
      </c>
      <c r="G3699" s="5" t="str">
        <f>HYPERLINK("http://jsmh.umin.jp/journal/43-3/300-301.pdf")</f>
        <v>http://jsmh.umin.jp/journal/43-3/300-301.pdf</v>
      </c>
      <c r="H3699" s="43" t="str">
        <f t="shared" si="248"/>
        <v>http://dl.ndl.go.jp/info:ndljp/pid/3359356</v>
      </c>
    </row>
    <row r="3700" spans="1:8" ht="30" customHeight="1" x14ac:dyDescent="0.15">
      <c r="A3700" s="16" t="s">
        <v>1855</v>
      </c>
      <c r="B3700" s="17" t="s">
        <v>6471</v>
      </c>
      <c r="C3700" s="17" t="s">
        <v>6472</v>
      </c>
      <c r="D3700" s="25" t="s">
        <v>6390</v>
      </c>
      <c r="E3700" s="19" t="s">
        <v>6449</v>
      </c>
      <c r="F3700" s="19" t="s">
        <v>1421</v>
      </c>
      <c r="G3700" s="5" t="str">
        <f>HYPERLINK("http://jsmh.umin.jp/journal/43-3/302-303.pdf")</f>
        <v>http://jsmh.umin.jp/journal/43-3/302-303.pdf</v>
      </c>
      <c r="H3700" s="43" t="str">
        <f t="shared" si="248"/>
        <v>http://dl.ndl.go.jp/info:ndljp/pid/3359356</v>
      </c>
    </row>
    <row r="3701" spans="1:8" ht="30" customHeight="1" x14ac:dyDescent="0.15">
      <c r="A3701" s="16" t="s">
        <v>1855</v>
      </c>
      <c r="B3701" s="17" t="s">
        <v>6473</v>
      </c>
      <c r="C3701" s="17" t="s">
        <v>1070</v>
      </c>
      <c r="D3701" s="25" t="s">
        <v>6390</v>
      </c>
      <c r="E3701" s="19" t="s">
        <v>6449</v>
      </c>
      <c r="F3701" s="19" t="s">
        <v>1426</v>
      </c>
      <c r="G3701" s="5" t="str">
        <f>HYPERLINK("http://jsmh.umin.jp/journal/43-3/304-305.pdf")</f>
        <v>http://jsmh.umin.jp/journal/43-3/304-305.pdf</v>
      </c>
      <c r="H3701" s="43" t="str">
        <f t="shared" si="248"/>
        <v>http://dl.ndl.go.jp/info:ndljp/pid/3359356</v>
      </c>
    </row>
    <row r="3702" spans="1:8" ht="30" customHeight="1" x14ac:dyDescent="0.15">
      <c r="A3702" s="16" t="s">
        <v>1855</v>
      </c>
      <c r="B3702" s="17" t="s">
        <v>6474</v>
      </c>
      <c r="C3702" s="17" t="s">
        <v>790</v>
      </c>
      <c r="D3702" s="25" t="s">
        <v>6390</v>
      </c>
      <c r="E3702" s="19" t="s">
        <v>6449</v>
      </c>
      <c r="F3702" s="19" t="s">
        <v>6066</v>
      </c>
      <c r="G3702" s="5" t="str">
        <f>HYPERLINK("http://jsmh.umin.jp/journal/43-3/306-307.pdf")</f>
        <v>http://jsmh.umin.jp/journal/43-3/306-307.pdf</v>
      </c>
      <c r="H3702" s="43" t="str">
        <f t="shared" si="248"/>
        <v>http://dl.ndl.go.jp/info:ndljp/pid/3359356</v>
      </c>
    </row>
    <row r="3703" spans="1:8" ht="30" customHeight="1" x14ac:dyDescent="0.15">
      <c r="A3703" s="16" t="s">
        <v>1855</v>
      </c>
      <c r="B3703" s="17" t="s">
        <v>6475</v>
      </c>
      <c r="C3703" s="17" t="s">
        <v>2386</v>
      </c>
      <c r="D3703" s="25" t="s">
        <v>6390</v>
      </c>
      <c r="E3703" s="19" t="s">
        <v>6449</v>
      </c>
      <c r="F3703" s="19" t="s">
        <v>1432</v>
      </c>
      <c r="G3703" s="5" t="str">
        <f>HYPERLINK("http://jsmh.umin.jp/journal/43-3/308-309.pdf")</f>
        <v>http://jsmh.umin.jp/journal/43-3/308-309.pdf</v>
      </c>
      <c r="H3703" s="43" t="str">
        <f t="shared" si="248"/>
        <v>http://dl.ndl.go.jp/info:ndljp/pid/3359356</v>
      </c>
    </row>
    <row r="3704" spans="1:8" ht="30" customHeight="1" x14ac:dyDescent="0.15">
      <c r="A3704" s="16" t="s">
        <v>1855</v>
      </c>
      <c r="B3704" s="17" t="s">
        <v>6476</v>
      </c>
      <c r="C3704" s="17" t="s">
        <v>5084</v>
      </c>
      <c r="D3704" s="25" t="s">
        <v>6390</v>
      </c>
      <c r="E3704" s="19" t="s">
        <v>6449</v>
      </c>
      <c r="F3704" s="19" t="s">
        <v>6071</v>
      </c>
      <c r="G3704" s="5" t="str">
        <f>HYPERLINK("http://jsmh.umin.jp/journal/43-3/310-311.pdf")</f>
        <v>http://jsmh.umin.jp/journal/43-3/310-311.pdf</v>
      </c>
      <c r="H3704" s="43" t="str">
        <f t="shared" si="248"/>
        <v>http://dl.ndl.go.jp/info:ndljp/pid/3359356</v>
      </c>
    </row>
    <row r="3705" spans="1:8" ht="30" customHeight="1" x14ac:dyDescent="0.15">
      <c r="A3705" s="16" t="s">
        <v>1855</v>
      </c>
      <c r="B3705" s="17" t="s">
        <v>6477</v>
      </c>
      <c r="C3705" s="17" t="s">
        <v>6478</v>
      </c>
      <c r="D3705" s="25" t="s">
        <v>6390</v>
      </c>
      <c r="E3705" s="19" t="s">
        <v>6449</v>
      </c>
      <c r="F3705" s="19" t="s">
        <v>6073</v>
      </c>
      <c r="G3705" s="5" t="str">
        <f>HYPERLINK("http://jsmh.umin.jp/journal/43-3/312-313.pdf")</f>
        <v>http://jsmh.umin.jp/journal/43-3/312-313.pdf</v>
      </c>
      <c r="H3705" s="43" t="str">
        <f t="shared" si="248"/>
        <v>http://dl.ndl.go.jp/info:ndljp/pid/3359356</v>
      </c>
    </row>
    <row r="3706" spans="1:8" ht="30" customHeight="1" x14ac:dyDescent="0.15">
      <c r="A3706" s="16" t="s">
        <v>1855</v>
      </c>
      <c r="B3706" s="17" t="s">
        <v>6479</v>
      </c>
      <c r="C3706" s="17" t="s">
        <v>4988</v>
      </c>
      <c r="D3706" s="25" t="s">
        <v>6390</v>
      </c>
      <c r="E3706" s="19" t="s">
        <v>6449</v>
      </c>
      <c r="F3706" s="19" t="s">
        <v>1779</v>
      </c>
      <c r="G3706" s="5" t="str">
        <f>HYPERLINK("http://jsmh.umin.jp/journal/43-3/314-315.pdf")</f>
        <v>http://jsmh.umin.jp/journal/43-3/314-315.pdf</v>
      </c>
      <c r="H3706" s="43" t="str">
        <f t="shared" si="248"/>
        <v>http://dl.ndl.go.jp/info:ndljp/pid/3359356</v>
      </c>
    </row>
    <row r="3707" spans="1:8" ht="30" customHeight="1" x14ac:dyDescent="0.15">
      <c r="A3707" s="16" t="s">
        <v>1855</v>
      </c>
      <c r="B3707" s="17" t="s">
        <v>6480</v>
      </c>
      <c r="C3707" s="17" t="s">
        <v>5018</v>
      </c>
      <c r="D3707" s="25" t="s">
        <v>6390</v>
      </c>
      <c r="E3707" s="19" t="s">
        <v>6449</v>
      </c>
      <c r="F3707" s="19" t="s">
        <v>1786</v>
      </c>
      <c r="G3707" s="5" t="str">
        <f>HYPERLINK("http://jsmh.umin.jp/journal/43-3/316-317.pdf")</f>
        <v>http://jsmh.umin.jp/journal/43-3/316-317.pdf</v>
      </c>
      <c r="H3707" s="43" t="str">
        <f t="shared" si="248"/>
        <v>http://dl.ndl.go.jp/info:ndljp/pid/3359356</v>
      </c>
    </row>
    <row r="3708" spans="1:8" ht="30" customHeight="1" x14ac:dyDescent="0.15">
      <c r="A3708" s="16" t="s">
        <v>1855</v>
      </c>
      <c r="B3708" s="17" t="s">
        <v>6481</v>
      </c>
      <c r="C3708" s="17" t="s">
        <v>5664</v>
      </c>
      <c r="D3708" s="25" t="s">
        <v>6390</v>
      </c>
      <c r="E3708" s="19" t="s">
        <v>6449</v>
      </c>
      <c r="F3708" s="19" t="s">
        <v>5103</v>
      </c>
      <c r="G3708" s="5" t="str">
        <f>HYPERLINK("http://jsmh.umin.jp/journal/43-3/318-319.pdf")</f>
        <v>http://jsmh.umin.jp/journal/43-3/318-319.pdf</v>
      </c>
      <c r="H3708" s="43" t="str">
        <f t="shared" si="248"/>
        <v>http://dl.ndl.go.jp/info:ndljp/pid/3359356</v>
      </c>
    </row>
    <row r="3709" spans="1:8" ht="30" customHeight="1" x14ac:dyDescent="0.15">
      <c r="A3709" s="16" t="s">
        <v>1855</v>
      </c>
      <c r="B3709" s="17" t="s">
        <v>6482</v>
      </c>
      <c r="C3709" s="17" t="s">
        <v>6483</v>
      </c>
      <c r="D3709" s="25" t="s">
        <v>6390</v>
      </c>
      <c r="E3709" s="19" t="s">
        <v>6449</v>
      </c>
      <c r="F3709" s="19" t="s">
        <v>5517</v>
      </c>
      <c r="G3709" s="5" t="str">
        <f>HYPERLINK("http://jsmh.umin.jp/journal/43-3/320-321.pdf")</f>
        <v>http://jsmh.umin.jp/journal/43-3/320-321.pdf</v>
      </c>
      <c r="H3709" s="43" t="str">
        <f t="shared" si="248"/>
        <v>http://dl.ndl.go.jp/info:ndljp/pid/3359356</v>
      </c>
    </row>
    <row r="3710" spans="1:8" ht="30" customHeight="1" x14ac:dyDescent="0.15">
      <c r="A3710" s="16" t="s">
        <v>1855</v>
      </c>
      <c r="B3710" s="17" t="s">
        <v>6484</v>
      </c>
      <c r="C3710" s="17" t="s">
        <v>1972</v>
      </c>
      <c r="D3710" s="25" t="s">
        <v>6390</v>
      </c>
      <c r="E3710" s="19" t="s">
        <v>6449</v>
      </c>
      <c r="F3710" s="19" t="s">
        <v>3129</v>
      </c>
      <c r="G3710" s="5" t="str">
        <f>HYPERLINK("http://jsmh.umin.jp/journal/43-3/322-323.pdf")</f>
        <v>http://jsmh.umin.jp/journal/43-3/322-323.pdf</v>
      </c>
      <c r="H3710" s="43" t="str">
        <f t="shared" si="248"/>
        <v>http://dl.ndl.go.jp/info:ndljp/pid/3359356</v>
      </c>
    </row>
    <row r="3711" spans="1:8" ht="30" customHeight="1" x14ac:dyDescent="0.15">
      <c r="A3711" s="16" t="s">
        <v>1855</v>
      </c>
      <c r="B3711" s="17" t="s">
        <v>6485</v>
      </c>
      <c r="C3711" s="17" t="s">
        <v>6486</v>
      </c>
      <c r="D3711" s="25" t="s">
        <v>6390</v>
      </c>
      <c r="E3711" s="19" t="s">
        <v>6449</v>
      </c>
      <c r="F3711" s="19" t="s">
        <v>3885</v>
      </c>
      <c r="G3711" s="5" t="str">
        <f>HYPERLINK("http://jsmh.umin.jp/journal/43-3/324-325.pdf")</f>
        <v>http://jsmh.umin.jp/journal/43-3/324-325.pdf</v>
      </c>
      <c r="H3711" s="43" t="str">
        <f t="shared" si="248"/>
        <v>http://dl.ndl.go.jp/info:ndljp/pid/3359356</v>
      </c>
    </row>
    <row r="3712" spans="1:8" ht="30" customHeight="1" x14ac:dyDescent="0.15">
      <c r="A3712" s="16" t="s">
        <v>1855</v>
      </c>
      <c r="B3712" s="17" t="s">
        <v>6487</v>
      </c>
      <c r="C3712" s="17" t="s">
        <v>2891</v>
      </c>
      <c r="D3712" s="25" t="s">
        <v>6390</v>
      </c>
      <c r="E3712" s="19" t="s">
        <v>6449</v>
      </c>
      <c r="F3712" s="19" t="s">
        <v>3887</v>
      </c>
      <c r="G3712" s="5" t="str">
        <f>HYPERLINK("http://jsmh.umin.jp/journal/43-3/326-327.pdf")</f>
        <v>http://jsmh.umin.jp/journal/43-3/326-327.pdf</v>
      </c>
      <c r="H3712" s="43" t="str">
        <f t="shared" si="248"/>
        <v>http://dl.ndl.go.jp/info:ndljp/pid/3359356</v>
      </c>
    </row>
    <row r="3713" spans="1:8" ht="30" customHeight="1" x14ac:dyDescent="0.15">
      <c r="A3713" s="16" t="s">
        <v>1855</v>
      </c>
      <c r="B3713" s="17" t="s">
        <v>6488</v>
      </c>
      <c r="C3713" s="17" t="s">
        <v>2071</v>
      </c>
      <c r="D3713" s="25" t="s">
        <v>6390</v>
      </c>
      <c r="E3713" s="19" t="s">
        <v>6449</v>
      </c>
      <c r="F3713" s="19" t="s">
        <v>3891</v>
      </c>
      <c r="G3713" s="5" t="str">
        <f>HYPERLINK("http://jsmh.umin.jp/journal/43-3/328-329.pdf")</f>
        <v>http://jsmh.umin.jp/journal/43-3/328-329.pdf</v>
      </c>
      <c r="H3713" s="43" t="str">
        <f t="shared" si="248"/>
        <v>http://dl.ndl.go.jp/info:ndljp/pid/3359356</v>
      </c>
    </row>
    <row r="3714" spans="1:8" ht="30" customHeight="1" x14ac:dyDescent="0.15">
      <c r="A3714" s="16" t="s">
        <v>1855</v>
      </c>
      <c r="B3714" s="17" t="s">
        <v>10263</v>
      </c>
      <c r="C3714" s="17" t="s">
        <v>6282</v>
      </c>
      <c r="D3714" s="25" t="s">
        <v>6390</v>
      </c>
      <c r="E3714" s="19" t="s">
        <v>6449</v>
      </c>
      <c r="F3714" s="19" t="s">
        <v>2987</v>
      </c>
      <c r="G3714" s="5" t="str">
        <f>HYPERLINK("http://jsmh.umin.jp/journal/43-3/330-331.pdf")</f>
        <v>http://jsmh.umin.jp/journal/43-3/330-331.pdf</v>
      </c>
      <c r="H3714" s="43" t="str">
        <f t="shared" si="248"/>
        <v>http://dl.ndl.go.jp/info:ndljp/pid/3359356</v>
      </c>
    </row>
    <row r="3715" spans="1:8" ht="30" customHeight="1" x14ac:dyDescent="0.15">
      <c r="A3715" s="16" t="s">
        <v>1855</v>
      </c>
      <c r="B3715" s="17" t="s">
        <v>6489</v>
      </c>
      <c r="C3715" s="17" t="s">
        <v>6490</v>
      </c>
      <c r="D3715" s="25" t="s">
        <v>6390</v>
      </c>
      <c r="E3715" s="19" t="s">
        <v>6449</v>
      </c>
      <c r="F3715" s="19" t="s">
        <v>1613</v>
      </c>
      <c r="G3715" s="5" t="str">
        <f>HYPERLINK("http://jsmh.umin.jp/journal/43-3/332-333.pdf")</f>
        <v>http://jsmh.umin.jp/journal/43-3/332-333.pdf</v>
      </c>
      <c r="H3715" s="43" t="str">
        <f t="shared" si="248"/>
        <v>http://dl.ndl.go.jp/info:ndljp/pid/3359356</v>
      </c>
    </row>
    <row r="3716" spans="1:8" ht="30" customHeight="1" x14ac:dyDescent="0.15">
      <c r="A3716" s="16" t="s">
        <v>1855</v>
      </c>
      <c r="B3716" s="17" t="s">
        <v>6491</v>
      </c>
      <c r="C3716" s="17" t="s">
        <v>6492</v>
      </c>
      <c r="D3716" s="25" t="s">
        <v>6390</v>
      </c>
      <c r="E3716" s="19" t="s">
        <v>6449</v>
      </c>
      <c r="F3716" s="19" t="s">
        <v>1625</v>
      </c>
      <c r="G3716" s="5" t="str">
        <f>HYPERLINK("http://jsmh.umin.jp/journal/43-3/334-335.pdf")</f>
        <v>http://jsmh.umin.jp/journal/43-3/334-335.pdf</v>
      </c>
      <c r="H3716" s="43" t="str">
        <f t="shared" si="248"/>
        <v>http://dl.ndl.go.jp/info:ndljp/pid/3359356</v>
      </c>
    </row>
    <row r="3717" spans="1:8" ht="30" customHeight="1" x14ac:dyDescent="0.15">
      <c r="A3717" s="16" t="s">
        <v>1855</v>
      </c>
      <c r="B3717" s="17" t="s">
        <v>6493</v>
      </c>
      <c r="C3717" s="17" t="s">
        <v>3196</v>
      </c>
      <c r="D3717" s="25" t="s">
        <v>6390</v>
      </c>
      <c r="E3717" s="19" t="s">
        <v>6449</v>
      </c>
      <c r="F3717" s="19" t="s">
        <v>4887</v>
      </c>
      <c r="G3717" s="5" t="str">
        <f>HYPERLINK("http://jsmh.umin.jp/journal/43-3/336-337.pdf")</f>
        <v>http://jsmh.umin.jp/journal/43-3/336-337.pdf</v>
      </c>
      <c r="H3717" s="43" t="str">
        <f t="shared" ref="H3717:H3751" si="249">HYPERLINK("http://dl.ndl.go.jp/info:ndljp/pid/3359356")</f>
        <v>http://dl.ndl.go.jp/info:ndljp/pid/3359356</v>
      </c>
    </row>
    <row r="3718" spans="1:8" ht="30" customHeight="1" x14ac:dyDescent="0.15">
      <c r="A3718" s="16" t="s">
        <v>1855</v>
      </c>
      <c r="B3718" s="17" t="s">
        <v>6494</v>
      </c>
      <c r="C3718" s="17" t="s">
        <v>6495</v>
      </c>
      <c r="D3718" s="25" t="s">
        <v>6390</v>
      </c>
      <c r="E3718" s="19" t="s">
        <v>6449</v>
      </c>
      <c r="F3718" s="19" t="s">
        <v>4891</v>
      </c>
      <c r="G3718" s="5" t="str">
        <f>HYPERLINK("http://jsmh.umin.jp/journal/43-3/338-339.pdf")</f>
        <v>http://jsmh.umin.jp/journal/43-3/338-339.pdf</v>
      </c>
      <c r="H3718" s="43" t="str">
        <f t="shared" si="249"/>
        <v>http://dl.ndl.go.jp/info:ndljp/pid/3359356</v>
      </c>
    </row>
    <row r="3719" spans="1:8" ht="30" customHeight="1" x14ac:dyDescent="0.15">
      <c r="A3719" s="16" t="s">
        <v>1855</v>
      </c>
      <c r="B3719" s="17" t="s">
        <v>6496</v>
      </c>
      <c r="C3719" s="17" t="s">
        <v>5625</v>
      </c>
      <c r="D3719" s="25" t="s">
        <v>6390</v>
      </c>
      <c r="E3719" s="19" t="s">
        <v>6449</v>
      </c>
      <c r="F3719" s="19" t="s">
        <v>4895</v>
      </c>
      <c r="G3719" s="5" t="str">
        <f>HYPERLINK("http://jsmh.umin.jp/journal/43-3/340-341.pdf")</f>
        <v>http://jsmh.umin.jp/journal/43-3/340-341.pdf</v>
      </c>
      <c r="H3719" s="43" t="str">
        <f t="shared" si="249"/>
        <v>http://dl.ndl.go.jp/info:ndljp/pid/3359356</v>
      </c>
    </row>
    <row r="3720" spans="1:8" ht="30" customHeight="1" x14ac:dyDescent="0.15">
      <c r="A3720" s="16" t="s">
        <v>1855</v>
      </c>
      <c r="B3720" s="17" t="s">
        <v>6497</v>
      </c>
      <c r="C3720" s="17" t="s">
        <v>6498</v>
      </c>
      <c r="D3720" s="25" t="s">
        <v>6390</v>
      </c>
      <c r="E3720" s="19" t="s">
        <v>6449</v>
      </c>
      <c r="F3720" s="19" t="s">
        <v>4900</v>
      </c>
      <c r="G3720" s="5" t="str">
        <f>HYPERLINK("http://jsmh.umin.jp/journal/43-3/342-343.pdf")</f>
        <v>http://jsmh.umin.jp/journal/43-3/342-343.pdf</v>
      </c>
      <c r="H3720" s="43" t="str">
        <f t="shared" si="249"/>
        <v>http://dl.ndl.go.jp/info:ndljp/pid/3359356</v>
      </c>
    </row>
    <row r="3721" spans="1:8" ht="30" customHeight="1" x14ac:dyDescent="0.15">
      <c r="A3721" s="16" t="s">
        <v>1855</v>
      </c>
      <c r="B3721" s="17" t="s">
        <v>6499</v>
      </c>
      <c r="C3721" s="17" t="s">
        <v>3482</v>
      </c>
      <c r="D3721" s="25" t="s">
        <v>6390</v>
      </c>
      <c r="E3721" s="19" t="s">
        <v>6449</v>
      </c>
      <c r="F3721" s="19" t="s">
        <v>5135</v>
      </c>
      <c r="G3721" s="5" t="str">
        <f>HYPERLINK("http://jsmh.umin.jp/journal/43-3/344-345.pdf")</f>
        <v>http://jsmh.umin.jp/journal/43-3/344-345.pdf</v>
      </c>
      <c r="H3721" s="43" t="str">
        <f t="shared" si="249"/>
        <v>http://dl.ndl.go.jp/info:ndljp/pid/3359356</v>
      </c>
    </row>
    <row r="3722" spans="1:8" ht="30" customHeight="1" x14ac:dyDescent="0.15">
      <c r="A3722" s="16" t="s">
        <v>1855</v>
      </c>
      <c r="B3722" s="17" t="s">
        <v>6500</v>
      </c>
      <c r="C3722" s="17" t="s">
        <v>6501</v>
      </c>
      <c r="D3722" s="25" t="s">
        <v>6390</v>
      </c>
      <c r="E3722" s="19" t="s">
        <v>6449</v>
      </c>
      <c r="F3722" s="19" t="s">
        <v>6502</v>
      </c>
      <c r="G3722" s="5" t="str">
        <f>HYPERLINK("http://jsmh.umin.jp/journal/43-3/346-347.pdf")</f>
        <v>http://jsmh.umin.jp/journal/43-3/346-347.pdf</v>
      </c>
      <c r="H3722" s="43" t="str">
        <f t="shared" si="249"/>
        <v>http://dl.ndl.go.jp/info:ndljp/pid/3359356</v>
      </c>
    </row>
    <row r="3723" spans="1:8" ht="30" customHeight="1" x14ac:dyDescent="0.15">
      <c r="A3723" s="16" t="s">
        <v>1855</v>
      </c>
      <c r="B3723" s="17" t="s">
        <v>6503</v>
      </c>
      <c r="C3723" s="17" t="s">
        <v>6504</v>
      </c>
      <c r="D3723" s="25" t="s">
        <v>6390</v>
      </c>
      <c r="E3723" s="19" t="s">
        <v>6449</v>
      </c>
      <c r="F3723" s="19" t="s">
        <v>4907</v>
      </c>
      <c r="G3723" s="5" t="str">
        <f>HYPERLINK("http://jsmh.umin.jp/journal/43-3/348-349.pdf")</f>
        <v>http://jsmh.umin.jp/journal/43-3/348-349.pdf</v>
      </c>
      <c r="H3723" s="43" t="str">
        <f t="shared" si="249"/>
        <v>http://dl.ndl.go.jp/info:ndljp/pid/3359356</v>
      </c>
    </row>
    <row r="3724" spans="1:8" ht="30" customHeight="1" x14ac:dyDescent="0.15">
      <c r="A3724" s="16" t="s">
        <v>1855</v>
      </c>
      <c r="B3724" s="17" t="s">
        <v>6505</v>
      </c>
      <c r="C3724" s="17" t="s">
        <v>5606</v>
      </c>
      <c r="D3724" s="25" t="s">
        <v>6390</v>
      </c>
      <c r="E3724" s="19" t="s">
        <v>6449</v>
      </c>
      <c r="F3724" s="19" t="s">
        <v>6506</v>
      </c>
      <c r="G3724" s="5" t="str">
        <f>HYPERLINK("http://jsmh.umin.jp/journal/43-3/350-351.pdf")</f>
        <v>http://jsmh.umin.jp/journal/43-3/350-351.pdf</v>
      </c>
      <c r="H3724" s="43" t="str">
        <f t="shared" si="249"/>
        <v>http://dl.ndl.go.jp/info:ndljp/pid/3359356</v>
      </c>
    </row>
    <row r="3725" spans="1:8" ht="30" customHeight="1" x14ac:dyDescent="0.15">
      <c r="A3725" s="16" t="s">
        <v>1855</v>
      </c>
      <c r="B3725" s="17" t="s">
        <v>10264</v>
      </c>
      <c r="C3725" s="17" t="s">
        <v>6507</v>
      </c>
      <c r="D3725" s="25" t="s">
        <v>6390</v>
      </c>
      <c r="E3725" s="19" t="s">
        <v>6449</v>
      </c>
      <c r="F3725" s="19" t="s">
        <v>3163</v>
      </c>
      <c r="G3725" s="5" t="str">
        <f>HYPERLINK("http://jsmh.umin.jp/journal/43-3/352-353.pdf")</f>
        <v>http://jsmh.umin.jp/journal/43-3/352-353.pdf</v>
      </c>
      <c r="H3725" s="43" t="str">
        <f t="shared" si="249"/>
        <v>http://dl.ndl.go.jp/info:ndljp/pid/3359356</v>
      </c>
    </row>
    <row r="3726" spans="1:8" ht="30" customHeight="1" x14ac:dyDescent="0.15">
      <c r="A3726" s="16" t="s">
        <v>1855</v>
      </c>
      <c r="B3726" s="17" t="s">
        <v>6508</v>
      </c>
      <c r="C3726" s="17" t="s">
        <v>6509</v>
      </c>
      <c r="D3726" s="25" t="s">
        <v>6390</v>
      </c>
      <c r="E3726" s="19" t="s">
        <v>6449</v>
      </c>
      <c r="F3726" s="19" t="s">
        <v>6510</v>
      </c>
      <c r="G3726" s="5" t="str">
        <f>HYPERLINK("http://jsmh.umin.jp/journal/43-3/354-355.pdf")</f>
        <v>http://jsmh.umin.jp/journal/43-3/354-355.pdf</v>
      </c>
      <c r="H3726" s="43" t="str">
        <f t="shared" si="249"/>
        <v>http://dl.ndl.go.jp/info:ndljp/pid/3359356</v>
      </c>
    </row>
    <row r="3727" spans="1:8" ht="30" customHeight="1" x14ac:dyDescent="0.15">
      <c r="A3727" s="16" t="s">
        <v>1855</v>
      </c>
      <c r="B3727" s="17" t="s">
        <v>6511</v>
      </c>
      <c r="C3727" s="17" t="s">
        <v>6512</v>
      </c>
      <c r="D3727" s="25" t="s">
        <v>6390</v>
      </c>
      <c r="E3727" s="19" t="s">
        <v>6449</v>
      </c>
      <c r="F3727" s="19" t="s">
        <v>6513</v>
      </c>
      <c r="G3727" s="5" t="str">
        <f>HYPERLINK("http://jsmh.umin.jp/journal/43-3/356-357.pdf")</f>
        <v>http://jsmh.umin.jp/journal/43-3/356-357.pdf</v>
      </c>
      <c r="H3727" s="43" t="str">
        <f t="shared" si="249"/>
        <v>http://dl.ndl.go.jp/info:ndljp/pid/3359356</v>
      </c>
    </row>
    <row r="3728" spans="1:8" ht="30" customHeight="1" x14ac:dyDescent="0.15">
      <c r="A3728" s="16" t="s">
        <v>1855</v>
      </c>
      <c r="B3728" s="17" t="s">
        <v>6514</v>
      </c>
      <c r="C3728" s="17" t="s">
        <v>6515</v>
      </c>
      <c r="D3728" s="25" t="s">
        <v>6390</v>
      </c>
      <c r="E3728" s="19" t="s">
        <v>6449</v>
      </c>
      <c r="F3728" s="19" t="s">
        <v>6516</v>
      </c>
      <c r="G3728" s="5" t="str">
        <f>HYPERLINK("http://jsmh.umin.jp/journal/43-3/358-359.pdf")</f>
        <v>http://jsmh.umin.jp/journal/43-3/358-359.pdf</v>
      </c>
      <c r="H3728" s="43" t="str">
        <f t="shared" si="249"/>
        <v>http://dl.ndl.go.jp/info:ndljp/pid/3359356</v>
      </c>
    </row>
    <row r="3729" spans="1:8" ht="30" customHeight="1" x14ac:dyDescent="0.15">
      <c r="A3729" s="16" t="s">
        <v>1855</v>
      </c>
      <c r="B3729" s="17" t="s">
        <v>6517</v>
      </c>
      <c r="C3729" s="17" t="s">
        <v>1764</v>
      </c>
      <c r="D3729" s="25" t="s">
        <v>6390</v>
      </c>
      <c r="E3729" s="19" t="s">
        <v>6449</v>
      </c>
      <c r="F3729" s="19" t="s">
        <v>6518</v>
      </c>
      <c r="G3729" s="5" t="str">
        <f>HYPERLINK("http://jsmh.umin.jp/journal/43-3/360-361.pdf")</f>
        <v>http://jsmh.umin.jp/journal/43-3/360-361.pdf</v>
      </c>
      <c r="H3729" s="43" t="str">
        <f t="shared" si="249"/>
        <v>http://dl.ndl.go.jp/info:ndljp/pid/3359356</v>
      </c>
    </row>
    <row r="3730" spans="1:8" ht="30" customHeight="1" x14ac:dyDescent="0.15">
      <c r="A3730" s="16" t="s">
        <v>1855</v>
      </c>
      <c r="B3730" s="17" t="s">
        <v>6519</v>
      </c>
      <c r="C3730" s="17" t="s">
        <v>6520</v>
      </c>
      <c r="D3730" s="25" t="s">
        <v>6390</v>
      </c>
      <c r="E3730" s="19" t="s">
        <v>6449</v>
      </c>
      <c r="F3730" s="19" t="s">
        <v>6521</v>
      </c>
      <c r="G3730" s="5" t="str">
        <f>HYPERLINK("http://jsmh.umin.jp/journal/43-3/362-363.pdf")</f>
        <v>http://jsmh.umin.jp/journal/43-3/362-363.pdf</v>
      </c>
      <c r="H3730" s="43" t="str">
        <f t="shared" si="249"/>
        <v>http://dl.ndl.go.jp/info:ndljp/pid/3359356</v>
      </c>
    </row>
    <row r="3731" spans="1:8" ht="30" customHeight="1" x14ac:dyDescent="0.15">
      <c r="A3731" s="16" t="s">
        <v>1855</v>
      </c>
      <c r="B3731" s="17" t="s">
        <v>6522</v>
      </c>
      <c r="C3731" s="17" t="s">
        <v>6523</v>
      </c>
      <c r="D3731" s="25" t="s">
        <v>6390</v>
      </c>
      <c r="E3731" s="19" t="s">
        <v>6449</v>
      </c>
      <c r="F3731" s="19" t="s">
        <v>3181</v>
      </c>
      <c r="G3731" s="5" t="str">
        <f>HYPERLINK("http://jsmh.umin.jp/journal/43-3/364-365.pdf")</f>
        <v>http://jsmh.umin.jp/journal/43-3/364-365.pdf</v>
      </c>
      <c r="H3731" s="43" t="str">
        <f t="shared" si="249"/>
        <v>http://dl.ndl.go.jp/info:ndljp/pid/3359356</v>
      </c>
    </row>
    <row r="3732" spans="1:8" ht="30" customHeight="1" x14ac:dyDescent="0.15">
      <c r="A3732" s="16" t="s">
        <v>1855</v>
      </c>
      <c r="B3732" s="17" t="s">
        <v>6524</v>
      </c>
      <c r="C3732" s="17" t="s">
        <v>6525</v>
      </c>
      <c r="D3732" s="25" t="s">
        <v>6390</v>
      </c>
      <c r="E3732" s="19" t="s">
        <v>6449</v>
      </c>
      <c r="F3732" s="19" t="s">
        <v>3186</v>
      </c>
      <c r="G3732" s="5" t="str">
        <f>HYPERLINK("http://jsmh.umin.jp/journal/43-3/366-367.pdf")</f>
        <v>http://jsmh.umin.jp/journal/43-3/366-367.pdf</v>
      </c>
      <c r="H3732" s="43" t="str">
        <f t="shared" si="249"/>
        <v>http://dl.ndl.go.jp/info:ndljp/pid/3359356</v>
      </c>
    </row>
    <row r="3733" spans="1:8" ht="30" customHeight="1" x14ac:dyDescent="0.15">
      <c r="A3733" s="16" t="s">
        <v>1855</v>
      </c>
      <c r="B3733" s="17" t="s">
        <v>6526</v>
      </c>
      <c r="C3733" s="17" t="s">
        <v>6527</v>
      </c>
      <c r="D3733" s="25" t="s">
        <v>6390</v>
      </c>
      <c r="E3733" s="19" t="s">
        <v>6449</v>
      </c>
      <c r="F3733" s="19" t="s">
        <v>4251</v>
      </c>
      <c r="G3733" s="5" t="str">
        <f>HYPERLINK("http://jsmh.umin.jp/journal/43-3/368-369.pdf")</f>
        <v>http://jsmh.umin.jp/journal/43-3/368-369.pdf</v>
      </c>
      <c r="H3733" s="43" t="str">
        <f t="shared" si="249"/>
        <v>http://dl.ndl.go.jp/info:ndljp/pid/3359356</v>
      </c>
    </row>
    <row r="3734" spans="1:8" ht="30" customHeight="1" x14ac:dyDescent="0.15">
      <c r="A3734" s="16" t="s">
        <v>1855</v>
      </c>
      <c r="B3734" s="17" t="s">
        <v>6528</v>
      </c>
      <c r="C3734" s="17" t="s">
        <v>2828</v>
      </c>
      <c r="D3734" s="25" t="s">
        <v>6390</v>
      </c>
      <c r="E3734" s="19" t="s">
        <v>6449</v>
      </c>
      <c r="F3734" s="19" t="s">
        <v>6529</v>
      </c>
      <c r="G3734" s="5" t="str">
        <f>HYPERLINK("http://jsmh.umin.jp/journal/43-3/370-371.pdf")</f>
        <v>http://jsmh.umin.jp/journal/43-3/370-371.pdf</v>
      </c>
      <c r="H3734" s="43" t="str">
        <f t="shared" si="249"/>
        <v>http://dl.ndl.go.jp/info:ndljp/pid/3359356</v>
      </c>
    </row>
    <row r="3735" spans="1:8" ht="30" customHeight="1" x14ac:dyDescent="0.15">
      <c r="A3735" s="16" t="s">
        <v>1855</v>
      </c>
      <c r="B3735" s="17" t="s">
        <v>6530</v>
      </c>
      <c r="C3735" s="17" t="s">
        <v>6394</v>
      </c>
      <c r="D3735" s="25" t="s">
        <v>6390</v>
      </c>
      <c r="E3735" s="19" t="s">
        <v>6449</v>
      </c>
      <c r="F3735" s="19" t="s">
        <v>3197</v>
      </c>
      <c r="G3735" s="5" t="str">
        <f>HYPERLINK("http://jsmh.umin.jp/journal/43-3/372-373.pdf")</f>
        <v>http://jsmh.umin.jp/journal/43-3/372-373.pdf</v>
      </c>
      <c r="H3735" s="43" t="str">
        <f t="shared" si="249"/>
        <v>http://dl.ndl.go.jp/info:ndljp/pid/3359356</v>
      </c>
    </row>
    <row r="3736" spans="1:8" ht="30" customHeight="1" x14ac:dyDescent="0.15">
      <c r="A3736" s="16" t="s">
        <v>1855</v>
      </c>
      <c r="B3736" s="17" t="s">
        <v>6531</v>
      </c>
      <c r="C3736" s="17" t="s">
        <v>6532</v>
      </c>
      <c r="D3736" s="25" t="s">
        <v>6390</v>
      </c>
      <c r="E3736" s="19" t="s">
        <v>6449</v>
      </c>
      <c r="F3736" s="19" t="s">
        <v>6533</v>
      </c>
      <c r="G3736" s="5" t="str">
        <f>HYPERLINK("http://jsmh.umin.jp/journal/43-3/374-375.pdf")</f>
        <v>http://jsmh.umin.jp/journal/43-3/374-375.pdf</v>
      </c>
      <c r="H3736" s="43" t="str">
        <f t="shared" si="249"/>
        <v>http://dl.ndl.go.jp/info:ndljp/pid/3359356</v>
      </c>
    </row>
    <row r="3737" spans="1:8" ht="30" customHeight="1" x14ac:dyDescent="0.15">
      <c r="A3737" s="16" t="s">
        <v>1855</v>
      </c>
      <c r="B3737" s="17" t="s">
        <v>6534</v>
      </c>
      <c r="C3737" s="17" t="s">
        <v>6104</v>
      </c>
      <c r="D3737" s="25" t="s">
        <v>6390</v>
      </c>
      <c r="E3737" s="19" t="s">
        <v>6449</v>
      </c>
      <c r="F3737" s="19" t="s">
        <v>6535</v>
      </c>
      <c r="G3737" s="5" t="str">
        <f>HYPERLINK("http://jsmh.umin.jp/journal/43-3/376-377.pdf")</f>
        <v>http://jsmh.umin.jp/journal/43-3/376-377.pdf</v>
      </c>
      <c r="H3737" s="43" t="str">
        <f t="shared" si="249"/>
        <v>http://dl.ndl.go.jp/info:ndljp/pid/3359356</v>
      </c>
    </row>
    <row r="3738" spans="1:8" ht="30" customHeight="1" x14ac:dyDescent="0.15">
      <c r="A3738" s="16" t="s">
        <v>1855</v>
      </c>
      <c r="B3738" s="17" t="s">
        <v>6536</v>
      </c>
      <c r="C3738" s="17" t="s">
        <v>3644</v>
      </c>
      <c r="D3738" s="25" t="s">
        <v>6390</v>
      </c>
      <c r="E3738" s="19" t="s">
        <v>6449</v>
      </c>
      <c r="F3738" s="19" t="s">
        <v>6537</v>
      </c>
      <c r="G3738" s="5" t="str">
        <f>HYPERLINK("http://jsmh.umin.jp/journal/43-3/378-379.pdf")</f>
        <v>http://jsmh.umin.jp/journal/43-3/378-379.pdf</v>
      </c>
      <c r="H3738" s="43" t="str">
        <f t="shared" si="249"/>
        <v>http://dl.ndl.go.jp/info:ndljp/pid/3359356</v>
      </c>
    </row>
    <row r="3739" spans="1:8" ht="30" customHeight="1" x14ac:dyDescent="0.15">
      <c r="A3739" s="16" t="s">
        <v>1855</v>
      </c>
      <c r="B3739" s="17" t="s">
        <v>6538</v>
      </c>
      <c r="C3739" s="17" t="s">
        <v>6539</v>
      </c>
      <c r="D3739" s="25" t="s">
        <v>6390</v>
      </c>
      <c r="E3739" s="19" t="s">
        <v>6449</v>
      </c>
      <c r="F3739" s="19" t="s">
        <v>6540</v>
      </c>
      <c r="G3739" s="5" t="str">
        <f>HYPERLINK("http://jsmh.umin.jp/journal/43-3/380-381.pdf")</f>
        <v>http://jsmh.umin.jp/journal/43-3/380-381.pdf</v>
      </c>
      <c r="H3739" s="43" t="str">
        <f t="shared" si="249"/>
        <v>http://dl.ndl.go.jp/info:ndljp/pid/3359356</v>
      </c>
    </row>
    <row r="3740" spans="1:8" ht="30" customHeight="1" x14ac:dyDescent="0.15">
      <c r="A3740" s="16" t="s">
        <v>1855</v>
      </c>
      <c r="B3740" s="17" t="s">
        <v>6541</v>
      </c>
      <c r="C3740" s="17" t="s">
        <v>5516</v>
      </c>
      <c r="D3740" s="25" t="s">
        <v>6390</v>
      </c>
      <c r="E3740" s="19" t="s">
        <v>6449</v>
      </c>
      <c r="F3740" s="19" t="s">
        <v>6542</v>
      </c>
      <c r="G3740" s="5" t="str">
        <f>HYPERLINK("http://jsmh.umin.jp/journal/43-3/382-383.pdf")</f>
        <v>http://jsmh.umin.jp/journal/43-3/382-383.pdf</v>
      </c>
      <c r="H3740" s="43" t="str">
        <f t="shared" si="249"/>
        <v>http://dl.ndl.go.jp/info:ndljp/pid/3359356</v>
      </c>
    </row>
    <row r="3741" spans="1:8" ht="30" customHeight="1" x14ac:dyDescent="0.15">
      <c r="A3741" s="16" t="s">
        <v>1855</v>
      </c>
      <c r="B3741" s="17" t="s">
        <v>6543</v>
      </c>
      <c r="C3741" s="17" t="s">
        <v>6544</v>
      </c>
      <c r="D3741" s="25" t="s">
        <v>6390</v>
      </c>
      <c r="E3741" s="19" t="s">
        <v>6449</v>
      </c>
      <c r="F3741" s="19" t="s">
        <v>1962</v>
      </c>
      <c r="G3741" s="5" t="str">
        <f>HYPERLINK("http://jsmh.umin.jp/journal/43-3/384-385.pdf")</f>
        <v>http://jsmh.umin.jp/journal/43-3/384-385.pdf</v>
      </c>
      <c r="H3741" s="43" t="str">
        <f t="shared" si="249"/>
        <v>http://dl.ndl.go.jp/info:ndljp/pid/3359356</v>
      </c>
    </row>
    <row r="3742" spans="1:8" ht="30" customHeight="1" x14ac:dyDescent="0.15">
      <c r="A3742" s="16" t="s">
        <v>1855</v>
      </c>
      <c r="B3742" s="17" t="s">
        <v>6545</v>
      </c>
      <c r="C3742" s="17" t="s">
        <v>6441</v>
      </c>
      <c r="D3742" s="25" t="s">
        <v>6390</v>
      </c>
      <c r="E3742" s="19" t="s">
        <v>6449</v>
      </c>
      <c r="F3742" s="19" t="s">
        <v>6546</v>
      </c>
      <c r="G3742" s="5" t="str">
        <f>HYPERLINK("http://jsmh.umin.jp/journal/43-3/386-387.pdf")</f>
        <v>http://jsmh.umin.jp/journal/43-3/386-387.pdf</v>
      </c>
      <c r="H3742" s="43" t="str">
        <f t="shared" si="249"/>
        <v>http://dl.ndl.go.jp/info:ndljp/pid/3359356</v>
      </c>
    </row>
    <row r="3743" spans="1:8" ht="30" customHeight="1" x14ac:dyDescent="0.15">
      <c r="A3743" s="16" t="s">
        <v>1855</v>
      </c>
      <c r="B3743" s="17" t="s">
        <v>6547</v>
      </c>
      <c r="C3743" s="17" t="s">
        <v>4085</v>
      </c>
      <c r="D3743" s="25" t="s">
        <v>6390</v>
      </c>
      <c r="E3743" s="19" t="s">
        <v>6449</v>
      </c>
      <c r="F3743" s="19" t="s">
        <v>6548</v>
      </c>
      <c r="G3743" s="5" t="str">
        <f>HYPERLINK("http://jsmh.umin.jp/journal/43-3/388-389.pdf")</f>
        <v>http://jsmh.umin.jp/journal/43-3/388-389.pdf</v>
      </c>
      <c r="H3743" s="43" t="str">
        <f t="shared" si="249"/>
        <v>http://dl.ndl.go.jp/info:ndljp/pid/3359356</v>
      </c>
    </row>
    <row r="3744" spans="1:8" ht="30" customHeight="1" x14ac:dyDescent="0.15">
      <c r="A3744" s="16" t="s">
        <v>1855</v>
      </c>
      <c r="B3744" s="17" t="s">
        <v>6549</v>
      </c>
      <c r="C3744" s="17" t="s">
        <v>6139</v>
      </c>
      <c r="D3744" s="25" t="s">
        <v>6390</v>
      </c>
      <c r="E3744" s="19" t="s">
        <v>6449</v>
      </c>
      <c r="F3744" s="19" t="s">
        <v>2141</v>
      </c>
      <c r="G3744" s="5" t="str">
        <f>HYPERLINK("http://jsmh.umin.jp/journal/43-3/390-391.pdf")</f>
        <v>http://jsmh.umin.jp/journal/43-3/390-391.pdf</v>
      </c>
      <c r="H3744" s="43" t="str">
        <f t="shared" si="249"/>
        <v>http://dl.ndl.go.jp/info:ndljp/pid/3359356</v>
      </c>
    </row>
    <row r="3745" spans="1:8" ht="30" customHeight="1" x14ac:dyDescent="0.15">
      <c r="A3745" s="16" t="s">
        <v>1855</v>
      </c>
      <c r="B3745" s="17" t="s">
        <v>10265</v>
      </c>
      <c r="C3745" s="17" t="s">
        <v>5300</v>
      </c>
      <c r="D3745" s="25" t="s">
        <v>6390</v>
      </c>
      <c r="E3745" s="19" t="s">
        <v>6449</v>
      </c>
      <c r="F3745" s="19" t="s">
        <v>2148</v>
      </c>
      <c r="G3745" s="5" t="str">
        <f>HYPERLINK("http://jsmh.umin.jp/journal/43-3/392-393.pdf")</f>
        <v>http://jsmh.umin.jp/journal/43-3/392-393.pdf</v>
      </c>
      <c r="H3745" s="43" t="str">
        <f t="shared" si="249"/>
        <v>http://dl.ndl.go.jp/info:ndljp/pid/3359356</v>
      </c>
    </row>
    <row r="3746" spans="1:8" ht="30" customHeight="1" x14ac:dyDescent="0.15">
      <c r="A3746" s="16" t="s">
        <v>1855</v>
      </c>
      <c r="B3746" s="17" t="s">
        <v>6550</v>
      </c>
      <c r="C3746" s="17" t="s">
        <v>4848</v>
      </c>
      <c r="D3746" s="25" t="s">
        <v>6390</v>
      </c>
      <c r="E3746" s="19" t="s">
        <v>6449</v>
      </c>
      <c r="F3746" s="19" t="s">
        <v>6551</v>
      </c>
      <c r="G3746" s="5" t="str">
        <f>HYPERLINK("http://jsmh.umin.jp/journal/43-3/394-395.pdf")</f>
        <v>http://jsmh.umin.jp/journal/43-3/394-395.pdf</v>
      </c>
      <c r="H3746" s="43" t="str">
        <f t="shared" si="249"/>
        <v>http://dl.ndl.go.jp/info:ndljp/pid/3359356</v>
      </c>
    </row>
    <row r="3747" spans="1:8" ht="30" customHeight="1" x14ac:dyDescent="0.15">
      <c r="A3747" s="16" t="s">
        <v>1855</v>
      </c>
      <c r="B3747" s="17" t="s">
        <v>10266</v>
      </c>
      <c r="C3747" s="17" t="s">
        <v>10267</v>
      </c>
      <c r="D3747" s="25" t="s">
        <v>6390</v>
      </c>
      <c r="E3747" s="19" t="s">
        <v>6449</v>
      </c>
      <c r="F3747" s="19" t="s">
        <v>2331</v>
      </c>
      <c r="G3747" s="5" t="str">
        <f>HYPERLINK("http://jsmh.umin.jp/journal/43-3/396-397.pdf")</f>
        <v>http://jsmh.umin.jp/journal/43-3/396-397.pdf</v>
      </c>
      <c r="H3747" s="43" t="str">
        <f t="shared" si="249"/>
        <v>http://dl.ndl.go.jp/info:ndljp/pid/3359356</v>
      </c>
    </row>
    <row r="3748" spans="1:8" ht="30" customHeight="1" x14ac:dyDescent="0.15">
      <c r="A3748" s="16" t="s">
        <v>1855</v>
      </c>
      <c r="B3748" s="17" t="s">
        <v>6552</v>
      </c>
      <c r="C3748" s="17" t="s">
        <v>2465</v>
      </c>
      <c r="D3748" s="25" t="s">
        <v>6390</v>
      </c>
      <c r="E3748" s="19" t="s">
        <v>6449</v>
      </c>
      <c r="F3748" s="19" t="s">
        <v>6553</v>
      </c>
      <c r="G3748" s="5" t="str">
        <f>HYPERLINK("http://jsmh.umin.jp/journal/43-3/398-399.pdf")</f>
        <v>http://jsmh.umin.jp/journal/43-3/398-399.pdf</v>
      </c>
      <c r="H3748" s="43" t="str">
        <f t="shared" si="249"/>
        <v>http://dl.ndl.go.jp/info:ndljp/pid/3359356</v>
      </c>
    </row>
    <row r="3749" spans="1:8" ht="30" customHeight="1" x14ac:dyDescent="0.15">
      <c r="A3749" s="16" t="s">
        <v>1855</v>
      </c>
      <c r="B3749" s="17" t="s">
        <v>6554</v>
      </c>
      <c r="C3749" s="17" t="s">
        <v>6555</v>
      </c>
      <c r="D3749" s="25" t="s">
        <v>6390</v>
      </c>
      <c r="E3749" s="19" t="s">
        <v>6449</v>
      </c>
      <c r="F3749" s="19" t="s">
        <v>6556</v>
      </c>
      <c r="G3749" s="5" t="str">
        <f>HYPERLINK("http://jsmh.umin.jp/journal/43-3/400-401.pdf")</f>
        <v>http://jsmh.umin.jp/journal/43-3/400-401.pdf</v>
      </c>
      <c r="H3749" s="43" t="str">
        <f t="shared" si="249"/>
        <v>http://dl.ndl.go.jp/info:ndljp/pid/3359356</v>
      </c>
    </row>
    <row r="3750" spans="1:8" ht="30" customHeight="1" x14ac:dyDescent="0.15">
      <c r="A3750" s="16" t="s">
        <v>1855</v>
      </c>
      <c r="B3750" s="17" t="s">
        <v>6557</v>
      </c>
      <c r="C3750" s="17" t="s">
        <v>10268</v>
      </c>
      <c r="D3750" s="25" t="s">
        <v>6390</v>
      </c>
      <c r="E3750" s="19" t="s">
        <v>6449</v>
      </c>
      <c r="F3750" s="19" t="s">
        <v>6558</v>
      </c>
      <c r="G3750" s="5" t="str">
        <f>HYPERLINK("http://jsmh.umin.jp/journal/43-3/402-403.pdf")</f>
        <v>http://jsmh.umin.jp/journal/43-3/402-403.pdf</v>
      </c>
      <c r="H3750" s="43" t="str">
        <f t="shared" si="249"/>
        <v>http://dl.ndl.go.jp/info:ndljp/pid/3359356</v>
      </c>
    </row>
    <row r="3751" spans="1:8" ht="30" customHeight="1" x14ac:dyDescent="0.15">
      <c r="A3751" s="16" t="s">
        <v>1855</v>
      </c>
      <c r="B3751" s="17" t="s">
        <v>6559</v>
      </c>
      <c r="C3751" s="17" t="s">
        <v>6560</v>
      </c>
      <c r="D3751" s="25" t="s">
        <v>6390</v>
      </c>
      <c r="E3751" s="19" t="s">
        <v>6449</v>
      </c>
      <c r="F3751" s="19" t="s">
        <v>5749</v>
      </c>
      <c r="G3751" s="5" t="str">
        <f>HYPERLINK("http://jsmh.umin.jp/journal/43-3/404-405.pdf")</f>
        <v>http://jsmh.umin.jp/journal/43-3/404-405.pdf</v>
      </c>
      <c r="H3751" s="43" t="str">
        <f t="shared" si="249"/>
        <v>http://dl.ndl.go.jp/info:ndljp/pid/3359356</v>
      </c>
    </row>
    <row r="3752" spans="1:8" ht="30" customHeight="1" x14ac:dyDescent="0.15">
      <c r="A3752" s="16" t="s">
        <v>17</v>
      </c>
      <c r="B3752" s="17" t="s">
        <v>6561</v>
      </c>
      <c r="C3752" s="17" t="s">
        <v>790</v>
      </c>
      <c r="D3752" s="25" t="s">
        <v>6390</v>
      </c>
      <c r="E3752" s="19" t="s">
        <v>6562</v>
      </c>
      <c r="F3752" s="19" t="s">
        <v>6563</v>
      </c>
      <c r="G3752" s="5" t="str">
        <f>HYPERLINK("http://jsmh.umin.jp/journal/43-4/415-422.pdf")</f>
        <v>http://jsmh.umin.jp/journal/43-4/415-422.pdf</v>
      </c>
      <c r="H3752" s="42" t="str">
        <f t="shared" ref="H3752:H3775" si="250">HYPERLINK("http://dl.ndl.go.jp/info:ndljp/pid/3359357")</f>
        <v>http://dl.ndl.go.jp/info:ndljp/pid/3359357</v>
      </c>
    </row>
    <row r="3753" spans="1:8" ht="30" customHeight="1" x14ac:dyDescent="0.15">
      <c r="A3753" s="16" t="s">
        <v>17</v>
      </c>
      <c r="B3753" s="17" t="s">
        <v>6564</v>
      </c>
      <c r="C3753" s="17" t="s">
        <v>6565</v>
      </c>
      <c r="D3753" s="25" t="s">
        <v>6390</v>
      </c>
      <c r="E3753" s="19" t="s">
        <v>6562</v>
      </c>
      <c r="F3753" s="19" t="s">
        <v>6566</v>
      </c>
      <c r="G3753" s="5" t="str">
        <f>HYPERLINK("http://jsmh.umin.jp/journal/43-4/423-457.pdf")</f>
        <v>http://jsmh.umin.jp/journal/43-4/423-457.pdf</v>
      </c>
      <c r="H3753" s="43" t="str">
        <f t="shared" si="250"/>
        <v>http://dl.ndl.go.jp/info:ndljp/pid/3359357</v>
      </c>
    </row>
    <row r="3754" spans="1:8" ht="30" customHeight="1" x14ac:dyDescent="0.15">
      <c r="A3754" s="16" t="s">
        <v>17</v>
      </c>
      <c r="B3754" s="17" t="s">
        <v>6567</v>
      </c>
      <c r="C3754" s="17" t="s">
        <v>6568</v>
      </c>
      <c r="D3754" s="25" t="s">
        <v>6390</v>
      </c>
      <c r="E3754" s="19" t="s">
        <v>6562</v>
      </c>
      <c r="F3754" s="19" t="s">
        <v>6569</v>
      </c>
      <c r="G3754" s="5" t="str">
        <f>HYPERLINK("http://jsmh.umin.jp/journal/43-4/459-478.pdf")</f>
        <v>http://jsmh.umin.jp/journal/43-4/459-478.pdf</v>
      </c>
      <c r="H3754" s="43" t="str">
        <f t="shared" si="250"/>
        <v>http://dl.ndl.go.jp/info:ndljp/pid/3359357</v>
      </c>
    </row>
    <row r="3755" spans="1:8" ht="30" customHeight="1" x14ac:dyDescent="0.15">
      <c r="A3755" s="16" t="s">
        <v>17</v>
      </c>
      <c r="B3755" s="17" t="s">
        <v>6570</v>
      </c>
      <c r="C3755" s="17" t="s">
        <v>2465</v>
      </c>
      <c r="D3755" s="25" t="s">
        <v>6390</v>
      </c>
      <c r="E3755" s="19" t="s">
        <v>6562</v>
      </c>
      <c r="F3755" s="19" t="s">
        <v>6571</v>
      </c>
      <c r="G3755" s="5" t="str">
        <f>HYPERLINK("http://jsmh.umin.jp/journal/43-4/479-502.pdf")</f>
        <v>http://jsmh.umin.jp/journal/43-4/479-502.pdf</v>
      </c>
      <c r="H3755" s="43" t="str">
        <f t="shared" si="250"/>
        <v>http://dl.ndl.go.jp/info:ndljp/pid/3359357</v>
      </c>
    </row>
    <row r="3756" spans="1:8" ht="30" customHeight="1" x14ac:dyDescent="0.15">
      <c r="A3756" s="16" t="s">
        <v>3387</v>
      </c>
      <c r="B3756" s="17" t="s">
        <v>6572</v>
      </c>
      <c r="C3756" s="17" t="s">
        <v>6573</v>
      </c>
      <c r="D3756" s="25" t="s">
        <v>6390</v>
      </c>
      <c r="E3756" s="19" t="s">
        <v>6562</v>
      </c>
      <c r="F3756" s="19" t="s">
        <v>6574</v>
      </c>
      <c r="G3756" s="5" t="str">
        <f>HYPERLINK("http://jsmh.umin.jp/journal/43-4/503-518.pdf")</f>
        <v>http://jsmh.umin.jp/journal/43-4/503-518.pdf</v>
      </c>
      <c r="H3756" s="43" t="str">
        <f t="shared" si="250"/>
        <v>http://dl.ndl.go.jp/info:ndljp/pid/3359357</v>
      </c>
    </row>
    <row r="3757" spans="1:8" ht="30" customHeight="1" x14ac:dyDescent="0.15">
      <c r="A3757" s="16" t="s">
        <v>692</v>
      </c>
      <c r="B3757" s="17" t="s">
        <v>6575</v>
      </c>
      <c r="C3757" s="17"/>
      <c r="D3757" s="25" t="s">
        <v>6390</v>
      </c>
      <c r="E3757" s="19" t="s">
        <v>6562</v>
      </c>
      <c r="F3757" s="19" t="s">
        <v>6576</v>
      </c>
      <c r="G3757" s="5" t="str">
        <f>HYPERLINK("http://jsmh.umin.jp/journal/43-4/519-524.pdf")</f>
        <v>http://jsmh.umin.jp/journal/43-4/519-524.pdf</v>
      </c>
      <c r="H3757" s="43" t="str">
        <f t="shared" si="250"/>
        <v>http://dl.ndl.go.jp/info:ndljp/pid/3359357</v>
      </c>
    </row>
    <row r="3758" spans="1:8" ht="30" customHeight="1" x14ac:dyDescent="0.15">
      <c r="A3758" s="16" t="s">
        <v>692</v>
      </c>
      <c r="B3758" s="17" t="s">
        <v>6577</v>
      </c>
      <c r="C3758" s="17" t="s">
        <v>6300</v>
      </c>
      <c r="D3758" s="25" t="s">
        <v>6390</v>
      </c>
      <c r="E3758" s="19" t="s">
        <v>6562</v>
      </c>
      <c r="F3758" s="19" t="s">
        <v>6578</v>
      </c>
      <c r="G3758" s="5" t="str">
        <f>HYPERLINK("http://jsmh.umin.jp/journal/43-4/525-545.pdf")</f>
        <v>http://jsmh.umin.jp/journal/43-4/525-545.pdf</v>
      </c>
      <c r="H3758" s="43" t="str">
        <f t="shared" si="250"/>
        <v>http://dl.ndl.go.jp/info:ndljp/pid/3359357</v>
      </c>
    </row>
    <row r="3759" spans="1:8" ht="30" customHeight="1" x14ac:dyDescent="0.15">
      <c r="A3759" s="16" t="s">
        <v>3223</v>
      </c>
      <c r="B3759" s="17" t="s">
        <v>6579</v>
      </c>
      <c r="C3759" s="17" t="s">
        <v>479</v>
      </c>
      <c r="D3759" s="25" t="s">
        <v>6390</v>
      </c>
      <c r="E3759" s="19" t="s">
        <v>6562</v>
      </c>
      <c r="F3759" s="19" t="s">
        <v>4707</v>
      </c>
      <c r="G3759" s="5" t="str">
        <f>HYPERLINK("http://jsmh.umin.jp/journal/43-4/546-547.pdf")</f>
        <v>http://jsmh.umin.jp/journal/43-4/546-547.pdf</v>
      </c>
      <c r="H3759" s="43" t="str">
        <f t="shared" si="250"/>
        <v>http://dl.ndl.go.jp/info:ndljp/pid/3359357</v>
      </c>
    </row>
    <row r="3760" spans="1:8" ht="30" customHeight="1" x14ac:dyDescent="0.15">
      <c r="A3760" s="16" t="s">
        <v>558</v>
      </c>
      <c r="B3760" s="17" t="s">
        <v>6580</v>
      </c>
      <c r="C3760" s="17"/>
      <c r="D3760" s="25" t="s">
        <v>6390</v>
      </c>
      <c r="E3760" s="19" t="s">
        <v>6562</v>
      </c>
      <c r="F3760" s="19" t="s">
        <v>6581</v>
      </c>
      <c r="G3760" s="5" t="str">
        <f>HYPERLINK("http://jsmh.umin.jp/journal/43-4/548-549.pdf")</f>
        <v>http://jsmh.umin.jp/journal/43-4/548-549.pdf</v>
      </c>
      <c r="H3760" s="43" t="str">
        <f t="shared" si="250"/>
        <v>http://dl.ndl.go.jp/info:ndljp/pid/3359357</v>
      </c>
    </row>
    <row r="3761" spans="1:8" ht="30" customHeight="1" x14ac:dyDescent="0.15">
      <c r="A3761" s="16" t="s">
        <v>558</v>
      </c>
      <c r="B3761" s="17" t="s">
        <v>6582</v>
      </c>
      <c r="C3761" s="17" t="s">
        <v>479</v>
      </c>
      <c r="D3761" s="25" t="s">
        <v>6390</v>
      </c>
      <c r="E3761" s="19" t="s">
        <v>6562</v>
      </c>
      <c r="F3761" s="19" t="s">
        <v>6583</v>
      </c>
      <c r="G3761" s="5" t="str">
        <f>HYPERLINK("http://jsmh.umin.jp/journal/43-4/548.pdf")</f>
        <v>http://jsmh.umin.jp/journal/43-4/548.pdf</v>
      </c>
      <c r="H3761" s="43" t="str">
        <f t="shared" si="250"/>
        <v>http://dl.ndl.go.jp/info:ndljp/pid/3359357</v>
      </c>
    </row>
    <row r="3762" spans="1:8" ht="30" customHeight="1" x14ac:dyDescent="0.15">
      <c r="A3762" s="16" t="s">
        <v>3720</v>
      </c>
      <c r="B3762" s="17" t="s">
        <v>6584</v>
      </c>
      <c r="C3762" s="17" t="s">
        <v>6585</v>
      </c>
      <c r="D3762" s="25" t="s">
        <v>6390</v>
      </c>
      <c r="E3762" s="19" t="s">
        <v>6562</v>
      </c>
      <c r="F3762" s="19" t="s">
        <v>6586</v>
      </c>
      <c r="G3762" s="5" t="str">
        <f>HYPERLINK("http://jsmh.umin.jp/journal/43-4/549-550.pdf")</f>
        <v>http://jsmh.umin.jp/journal/43-4/549-550.pdf</v>
      </c>
      <c r="H3762" s="43" t="str">
        <f t="shared" si="250"/>
        <v>http://dl.ndl.go.jp/info:ndljp/pid/3359357</v>
      </c>
    </row>
    <row r="3763" spans="1:8" ht="30" customHeight="1" x14ac:dyDescent="0.15">
      <c r="A3763" s="16" t="s">
        <v>3720</v>
      </c>
      <c r="B3763" s="17" t="s">
        <v>6587</v>
      </c>
      <c r="C3763" s="17" t="s">
        <v>6588</v>
      </c>
      <c r="D3763" s="25" t="s">
        <v>6390</v>
      </c>
      <c r="E3763" s="19" t="s">
        <v>6562</v>
      </c>
      <c r="F3763" s="19" t="s">
        <v>6589</v>
      </c>
      <c r="G3763" s="5" t="str">
        <f>HYPERLINK("http://jsmh.umin.jp/journal/43-4/551-552.pdf")</f>
        <v>http://jsmh.umin.jp/journal/43-4/551-552.pdf</v>
      </c>
      <c r="H3763" s="43" t="str">
        <f t="shared" si="250"/>
        <v>http://dl.ndl.go.jp/info:ndljp/pid/3359357</v>
      </c>
    </row>
    <row r="3764" spans="1:8" ht="30" customHeight="1" x14ac:dyDescent="0.15">
      <c r="A3764" s="16" t="s">
        <v>3720</v>
      </c>
      <c r="B3764" s="17" t="s">
        <v>6590</v>
      </c>
      <c r="C3764" s="17" t="s">
        <v>5516</v>
      </c>
      <c r="D3764" s="25" t="s">
        <v>6390</v>
      </c>
      <c r="E3764" s="19" t="s">
        <v>6562</v>
      </c>
      <c r="F3764" s="19" t="s">
        <v>6591</v>
      </c>
      <c r="G3764" s="5" t="str">
        <f>HYPERLINK("http://jsmh.umin.jp/journal/43-4/552-555.pdf")</f>
        <v>http://jsmh.umin.jp/journal/43-4/552-555.pdf</v>
      </c>
      <c r="H3764" s="43" t="str">
        <f t="shared" si="250"/>
        <v>http://dl.ndl.go.jp/info:ndljp/pid/3359357</v>
      </c>
    </row>
    <row r="3765" spans="1:8" ht="30" customHeight="1" x14ac:dyDescent="0.15">
      <c r="A3765" s="16" t="s">
        <v>3720</v>
      </c>
      <c r="B3765" s="17" t="s">
        <v>6592</v>
      </c>
      <c r="C3765" s="17" t="s">
        <v>3644</v>
      </c>
      <c r="D3765" s="25" t="s">
        <v>6390</v>
      </c>
      <c r="E3765" s="19" t="s">
        <v>6562</v>
      </c>
      <c r="F3765" s="19" t="s">
        <v>6593</v>
      </c>
      <c r="G3765" s="5" t="str">
        <f>HYPERLINK("http://jsmh.umin.jp/journal/43-4/555-556.pdf")</f>
        <v>http://jsmh.umin.jp/journal/43-4/555-556.pdf</v>
      </c>
      <c r="H3765" s="43" t="str">
        <f t="shared" si="250"/>
        <v>http://dl.ndl.go.jp/info:ndljp/pid/3359357</v>
      </c>
    </row>
    <row r="3766" spans="1:8" ht="30" customHeight="1" x14ac:dyDescent="0.15">
      <c r="A3766" s="16" t="s">
        <v>3720</v>
      </c>
      <c r="B3766" s="17" t="s">
        <v>6594</v>
      </c>
      <c r="C3766" s="17" t="s">
        <v>4085</v>
      </c>
      <c r="D3766" s="25" t="s">
        <v>6390</v>
      </c>
      <c r="E3766" s="19" t="s">
        <v>6562</v>
      </c>
      <c r="F3766" s="19" t="s">
        <v>6595</v>
      </c>
      <c r="G3766" s="5" t="str">
        <f>HYPERLINK("http://jsmh.umin.jp/journal/43-4/556-557.pdf")</f>
        <v>http://jsmh.umin.jp/journal/43-4/556-557.pdf</v>
      </c>
      <c r="H3766" s="43" t="str">
        <f t="shared" si="250"/>
        <v>http://dl.ndl.go.jp/info:ndljp/pid/3359357</v>
      </c>
    </row>
    <row r="3767" spans="1:8" ht="30" customHeight="1" x14ac:dyDescent="0.15">
      <c r="A3767" s="16" t="s">
        <v>3720</v>
      </c>
      <c r="B3767" s="17" t="s">
        <v>6596</v>
      </c>
      <c r="C3767" s="17" t="s">
        <v>4351</v>
      </c>
      <c r="D3767" s="25" t="s">
        <v>6390</v>
      </c>
      <c r="E3767" s="19" t="s">
        <v>6562</v>
      </c>
      <c r="F3767" s="19" t="s">
        <v>6597</v>
      </c>
      <c r="G3767" s="5" t="str">
        <f>HYPERLINK("http://jsmh.umin.jp/journal/43-4/558.pdf")</f>
        <v>http://jsmh.umin.jp/journal/43-4/558.pdf</v>
      </c>
      <c r="H3767" s="43" t="str">
        <f t="shared" si="250"/>
        <v>http://dl.ndl.go.jp/info:ndljp/pid/3359357</v>
      </c>
    </row>
    <row r="3768" spans="1:8" ht="30" customHeight="1" x14ac:dyDescent="0.15">
      <c r="A3768" s="16" t="s">
        <v>3720</v>
      </c>
      <c r="B3768" s="17" t="s">
        <v>6598</v>
      </c>
      <c r="C3768" s="17" t="s">
        <v>4085</v>
      </c>
      <c r="D3768" s="25" t="s">
        <v>6390</v>
      </c>
      <c r="E3768" s="19" t="s">
        <v>6562</v>
      </c>
      <c r="F3768" s="19" t="s">
        <v>6599</v>
      </c>
      <c r="G3768" s="5" t="str">
        <f>HYPERLINK("http://jsmh.umin.jp/journal/43-4/559-560.pdf")</f>
        <v>http://jsmh.umin.jp/journal/43-4/559-560.pdf</v>
      </c>
      <c r="H3768" s="43" t="str">
        <f t="shared" si="250"/>
        <v>http://dl.ndl.go.jp/info:ndljp/pid/3359357</v>
      </c>
    </row>
    <row r="3769" spans="1:8" ht="30" customHeight="1" x14ac:dyDescent="0.15">
      <c r="A3769" s="16" t="s">
        <v>3720</v>
      </c>
      <c r="B3769" s="17" t="s">
        <v>6600</v>
      </c>
      <c r="C3769" s="17" t="s">
        <v>6601</v>
      </c>
      <c r="D3769" s="25" t="s">
        <v>6390</v>
      </c>
      <c r="E3769" s="19" t="s">
        <v>6562</v>
      </c>
      <c r="F3769" s="19" t="s">
        <v>6602</v>
      </c>
      <c r="G3769" s="5" t="str">
        <f>HYPERLINK("http://jsmh.umin.jp/journal/43-4/560-561.pdf")</f>
        <v>http://jsmh.umin.jp/journal/43-4/560-561.pdf</v>
      </c>
      <c r="H3769" s="43" t="str">
        <f t="shared" si="250"/>
        <v>http://dl.ndl.go.jp/info:ndljp/pid/3359357</v>
      </c>
    </row>
    <row r="3770" spans="1:8" ht="30" customHeight="1" x14ac:dyDescent="0.15">
      <c r="A3770" s="16" t="s">
        <v>3720</v>
      </c>
      <c r="B3770" s="17" t="s">
        <v>6603</v>
      </c>
      <c r="C3770" s="17" t="s">
        <v>6604</v>
      </c>
      <c r="D3770" s="25" t="s">
        <v>6390</v>
      </c>
      <c r="E3770" s="19" t="s">
        <v>6562</v>
      </c>
      <c r="F3770" s="19" t="s">
        <v>6605</v>
      </c>
      <c r="G3770" s="5" t="str">
        <f>HYPERLINK("http://jsmh.umin.jp/journal/43-4/560.pdf")</f>
        <v>http://jsmh.umin.jp/journal/43-4/560.pdf</v>
      </c>
      <c r="H3770" s="43" t="str">
        <f t="shared" si="250"/>
        <v>http://dl.ndl.go.jp/info:ndljp/pid/3359357</v>
      </c>
    </row>
    <row r="3771" spans="1:8" ht="30" customHeight="1" x14ac:dyDescent="0.15">
      <c r="A3771" s="16" t="s">
        <v>3720</v>
      </c>
      <c r="B3771" s="17" t="s">
        <v>6606</v>
      </c>
      <c r="C3771" s="17" t="s">
        <v>48</v>
      </c>
      <c r="D3771" s="25" t="s">
        <v>6390</v>
      </c>
      <c r="E3771" s="19" t="s">
        <v>6562</v>
      </c>
      <c r="F3771" s="19" t="s">
        <v>6607</v>
      </c>
      <c r="G3771" s="5" t="str">
        <f>HYPERLINK("http://jsmh.umin.jp/journal/43-4/561-562.pdf")</f>
        <v>http://jsmh.umin.jp/journal/43-4/561-562.pdf</v>
      </c>
      <c r="H3771" s="43" t="str">
        <f t="shared" si="250"/>
        <v>http://dl.ndl.go.jp/info:ndljp/pid/3359357</v>
      </c>
    </row>
    <row r="3772" spans="1:8" ht="30" customHeight="1" x14ac:dyDescent="0.15">
      <c r="A3772" s="16" t="s">
        <v>2990</v>
      </c>
      <c r="B3772" s="17" t="s">
        <v>6608</v>
      </c>
      <c r="C3772" s="17" t="s">
        <v>2233</v>
      </c>
      <c r="D3772" s="25" t="s">
        <v>6390</v>
      </c>
      <c r="E3772" s="19" t="s">
        <v>6562</v>
      </c>
      <c r="F3772" s="19" t="s">
        <v>6609</v>
      </c>
      <c r="G3772" s="5" t="str">
        <f>HYPERLINK("http://jsmh.umin.jp/journal/43-4/562-564.pdf")</f>
        <v>http://jsmh.umin.jp/journal/43-4/562-564.pdf</v>
      </c>
      <c r="H3772" s="43" t="str">
        <f t="shared" si="250"/>
        <v>http://dl.ndl.go.jp/info:ndljp/pid/3359357</v>
      </c>
    </row>
    <row r="3773" spans="1:8" ht="30" customHeight="1" x14ac:dyDescent="0.15">
      <c r="A3773" s="16" t="s">
        <v>2990</v>
      </c>
      <c r="B3773" s="17" t="s">
        <v>6610</v>
      </c>
      <c r="C3773" s="17" t="s">
        <v>1070</v>
      </c>
      <c r="D3773" s="25" t="s">
        <v>6390</v>
      </c>
      <c r="E3773" s="19" t="s">
        <v>6562</v>
      </c>
      <c r="F3773" s="19" t="s">
        <v>6611</v>
      </c>
      <c r="G3773" s="5" t="str">
        <f>HYPERLINK("http://jsmh.umin.jp/journal/43-4/564-565.pdf")</f>
        <v>http://jsmh.umin.jp/journal/43-4/564-565.pdf</v>
      </c>
      <c r="H3773" s="43" t="str">
        <f t="shared" si="250"/>
        <v>http://dl.ndl.go.jp/info:ndljp/pid/3359357</v>
      </c>
    </row>
    <row r="3774" spans="1:8" ht="30" customHeight="1" x14ac:dyDescent="0.15">
      <c r="A3774" s="16" t="s">
        <v>2990</v>
      </c>
      <c r="B3774" s="17" t="s">
        <v>6612</v>
      </c>
      <c r="C3774" s="17" t="s">
        <v>6613</v>
      </c>
      <c r="D3774" s="25" t="s">
        <v>6390</v>
      </c>
      <c r="E3774" s="19" t="s">
        <v>6562</v>
      </c>
      <c r="F3774" s="19" t="s">
        <v>6614</v>
      </c>
      <c r="G3774" s="5" t="str">
        <f>HYPERLINK("http://jsmh.umin.jp/journal/43-4/566-567.pdf")</f>
        <v>http://jsmh.umin.jp/journal/43-4/566-567.pdf</v>
      </c>
      <c r="H3774" s="43" t="str">
        <f t="shared" si="250"/>
        <v>http://dl.ndl.go.jp/info:ndljp/pid/3359357</v>
      </c>
    </row>
    <row r="3775" spans="1:8" ht="30" customHeight="1" x14ac:dyDescent="0.15">
      <c r="A3775" s="16" t="s">
        <v>2990</v>
      </c>
      <c r="B3775" s="17" t="s">
        <v>10269</v>
      </c>
      <c r="C3775" s="17" t="s">
        <v>2465</v>
      </c>
      <c r="D3775" s="25" t="s">
        <v>6390</v>
      </c>
      <c r="E3775" s="19" t="s">
        <v>6562</v>
      </c>
      <c r="F3775" s="19" t="s">
        <v>6615</v>
      </c>
      <c r="G3775" s="5" t="str">
        <f>HYPERLINK("http://jsmh.umin.jp/journal/43-4/567-569.pdf")</f>
        <v>http://jsmh.umin.jp/journal/43-4/567-569.pdf</v>
      </c>
      <c r="H3775" s="43" t="str">
        <f t="shared" si="250"/>
        <v>http://dl.ndl.go.jp/info:ndljp/pid/3359357</v>
      </c>
    </row>
    <row r="3776" spans="1:8" ht="30" customHeight="1" x14ac:dyDescent="0.15">
      <c r="A3776" s="16" t="s">
        <v>17</v>
      </c>
      <c r="B3776" s="17" t="s">
        <v>6616</v>
      </c>
      <c r="C3776" s="17" t="s">
        <v>2937</v>
      </c>
      <c r="D3776" s="18" t="s">
        <v>6617</v>
      </c>
      <c r="E3776" s="19" t="s">
        <v>6618</v>
      </c>
      <c r="F3776" s="19" t="s">
        <v>6619</v>
      </c>
      <c r="G3776" s="26" t="str">
        <f>HYPERLINK("http://jsmh.umin.jp/journal/44-1/3-25.pdf")</f>
        <v>http://jsmh.umin.jp/journal/44-1/3-25.pdf</v>
      </c>
      <c r="H3776" s="42" t="str">
        <f t="shared" ref="H3776:H3800" si="251">HYPERLINK("http://dl.ndl.go.jp/info:ndljp/pid/3359358")</f>
        <v>http://dl.ndl.go.jp/info:ndljp/pid/3359358</v>
      </c>
    </row>
    <row r="3777" spans="1:8" ht="30" customHeight="1" x14ac:dyDescent="0.15">
      <c r="A3777" s="16" t="s">
        <v>17</v>
      </c>
      <c r="B3777" s="17" t="s">
        <v>6620</v>
      </c>
      <c r="C3777" s="17" t="s">
        <v>3644</v>
      </c>
      <c r="D3777" s="25" t="s">
        <v>6617</v>
      </c>
      <c r="E3777" s="19" t="s">
        <v>6618</v>
      </c>
      <c r="F3777" s="19" t="s">
        <v>6621</v>
      </c>
      <c r="G3777" s="26" t="str">
        <f>HYPERLINK("http://jsmh.umin.jp/journal/44-1/27-48.pdf")</f>
        <v>http://jsmh.umin.jp/journal/44-1/27-48.pdf</v>
      </c>
      <c r="H3777" s="43" t="str">
        <f t="shared" si="251"/>
        <v>http://dl.ndl.go.jp/info:ndljp/pid/3359358</v>
      </c>
    </row>
    <row r="3778" spans="1:8" ht="30" customHeight="1" x14ac:dyDescent="0.15">
      <c r="A3778" s="16" t="s">
        <v>17</v>
      </c>
      <c r="B3778" s="17" t="s">
        <v>6622</v>
      </c>
      <c r="C3778" s="17" t="s">
        <v>6300</v>
      </c>
      <c r="D3778" s="25" t="s">
        <v>6617</v>
      </c>
      <c r="E3778" s="19" t="s">
        <v>6618</v>
      </c>
      <c r="F3778" s="19" t="s">
        <v>6623</v>
      </c>
      <c r="G3778" s="26" t="str">
        <f>HYPERLINK("http://jsmh.umin.jp/journal/44-1/49-72.pdf")</f>
        <v>http://jsmh.umin.jp/journal/44-1/49-72.pdf</v>
      </c>
      <c r="H3778" s="43" t="str">
        <f t="shared" si="251"/>
        <v>http://dl.ndl.go.jp/info:ndljp/pid/3359358</v>
      </c>
    </row>
    <row r="3779" spans="1:8" ht="30" customHeight="1" x14ac:dyDescent="0.15">
      <c r="A3779" s="16" t="s">
        <v>17</v>
      </c>
      <c r="B3779" s="17" t="s">
        <v>6624</v>
      </c>
      <c r="C3779" s="17" t="s">
        <v>6625</v>
      </c>
      <c r="D3779" s="25" t="s">
        <v>6617</v>
      </c>
      <c r="E3779" s="19" t="s">
        <v>6618</v>
      </c>
      <c r="F3779" s="19" t="s">
        <v>6626</v>
      </c>
      <c r="G3779" s="26" t="str">
        <f>HYPERLINK("http://jsmh.umin.jp/journal/44-1/73-90.pdf")</f>
        <v>http://jsmh.umin.jp/journal/44-1/73-90.pdf</v>
      </c>
      <c r="H3779" s="43" t="str">
        <f t="shared" si="251"/>
        <v>http://dl.ndl.go.jp/info:ndljp/pid/3359358</v>
      </c>
    </row>
    <row r="3780" spans="1:8" ht="30" customHeight="1" x14ac:dyDescent="0.15">
      <c r="A3780" s="16" t="s">
        <v>692</v>
      </c>
      <c r="B3780" s="17" t="s">
        <v>6627</v>
      </c>
      <c r="C3780" s="17" t="s">
        <v>2465</v>
      </c>
      <c r="D3780" s="25" t="s">
        <v>6617</v>
      </c>
      <c r="E3780" s="19" t="s">
        <v>6618</v>
      </c>
      <c r="F3780" s="19" t="s">
        <v>6628</v>
      </c>
      <c r="G3780" s="26" t="str">
        <f>HYPERLINK("http://jsmh.umin.jp/journal/44-1/91-96.pdf")</f>
        <v>http://jsmh.umin.jp/journal/44-1/91-96.pdf</v>
      </c>
      <c r="H3780" s="43" t="str">
        <f t="shared" si="251"/>
        <v>http://dl.ndl.go.jp/info:ndljp/pid/3359358</v>
      </c>
    </row>
    <row r="3781" spans="1:8" ht="30" customHeight="1" x14ac:dyDescent="0.15">
      <c r="A3781" s="16" t="s">
        <v>692</v>
      </c>
      <c r="B3781" s="17" t="s">
        <v>6629</v>
      </c>
      <c r="C3781" s="17" t="s">
        <v>6300</v>
      </c>
      <c r="D3781" s="25" t="s">
        <v>6617</v>
      </c>
      <c r="E3781" s="19" t="s">
        <v>6618</v>
      </c>
      <c r="F3781" s="19" t="s">
        <v>6630</v>
      </c>
      <c r="G3781" s="5" t="str">
        <f>HYPERLINK("http://jsmh.umin.jp/journal/44-1/97-120.pdf")</f>
        <v>http://jsmh.umin.jp/journal/44-1/97-120.pdf</v>
      </c>
      <c r="H3781" s="43" t="str">
        <f t="shared" si="251"/>
        <v>http://dl.ndl.go.jp/info:ndljp/pid/3359358</v>
      </c>
    </row>
    <row r="3782" spans="1:8" ht="30" customHeight="1" x14ac:dyDescent="0.15">
      <c r="A3782" s="16" t="s">
        <v>692</v>
      </c>
      <c r="B3782" s="17" t="s">
        <v>6631</v>
      </c>
      <c r="C3782" s="17" t="s">
        <v>4870</v>
      </c>
      <c r="D3782" s="25" t="s">
        <v>6617</v>
      </c>
      <c r="E3782" s="19" t="s">
        <v>6618</v>
      </c>
      <c r="F3782" s="19" t="s">
        <v>6632</v>
      </c>
      <c r="G3782" s="5" t="str">
        <f>HYPERLINK("http://jsmh.umin.jp/journal/44-1/121-136.pdf")</f>
        <v>http://jsmh.umin.jp/journal/44-1/121-136.pdf</v>
      </c>
      <c r="H3782" s="43" t="str">
        <f t="shared" si="251"/>
        <v>http://dl.ndl.go.jp/info:ndljp/pid/3359358</v>
      </c>
    </row>
    <row r="3783" spans="1:8" ht="30" customHeight="1" x14ac:dyDescent="0.15">
      <c r="A3783" s="16" t="s">
        <v>3223</v>
      </c>
      <c r="B3783" s="17" t="s">
        <v>6633</v>
      </c>
      <c r="C3783" s="17" t="s">
        <v>2465</v>
      </c>
      <c r="D3783" s="25" t="s">
        <v>6617</v>
      </c>
      <c r="E3783" s="19" t="s">
        <v>6618</v>
      </c>
      <c r="F3783" s="19" t="s">
        <v>6634</v>
      </c>
      <c r="G3783" s="5" t="str">
        <f>HYPERLINK("http://jsmh.umin.jp/journal/44-1/137-139.pdf")</f>
        <v>http://jsmh.umin.jp/journal/44-1/137-139.pdf</v>
      </c>
      <c r="H3783" s="43" t="str">
        <f t="shared" si="251"/>
        <v>http://dl.ndl.go.jp/info:ndljp/pid/3359358</v>
      </c>
    </row>
    <row r="3784" spans="1:8" ht="30" customHeight="1" x14ac:dyDescent="0.15">
      <c r="A3784" s="16" t="s">
        <v>3223</v>
      </c>
      <c r="B3784" s="17" t="s">
        <v>6635</v>
      </c>
      <c r="C3784" s="17" t="s">
        <v>479</v>
      </c>
      <c r="D3784" s="25" t="s">
        <v>6617</v>
      </c>
      <c r="E3784" s="19" t="s">
        <v>6618</v>
      </c>
      <c r="F3784" s="19" t="s">
        <v>2231</v>
      </c>
      <c r="G3784" s="5" t="str">
        <f>HYPERLINK("http://jsmh.umin.jp/journal/44-1/140-141.pdf")</f>
        <v>http://jsmh.umin.jp/journal/44-1/140-141.pdf</v>
      </c>
      <c r="H3784" s="43" t="str">
        <f t="shared" si="251"/>
        <v>http://dl.ndl.go.jp/info:ndljp/pid/3359358</v>
      </c>
    </row>
    <row r="3785" spans="1:8" ht="30" customHeight="1" x14ac:dyDescent="0.15">
      <c r="A3785" s="16" t="s">
        <v>3223</v>
      </c>
      <c r="B3785" s="17" t="s">
        <v>6636</v>
      </c>
      <c r="C3785" s="17" t="s">
        <v>2233</v>
      </c>
      <c r="D3785" s="25" t="s">
        <v>6617</v>
      </c>
      <c r="E3785" s="19" t="s">
        <v>6618</v>
      </c>
      <c r="F3785" s="19" t="s">
        <v>1514</v>
      </c>
      <c r="G3785" s="5" t="str">
        <f>HYPERLINK("http://jsmh.umin.jp/journal/44-1/142-143.pdf")</f>
        <v>http://jsmh.umin.jp/journal/44-1/142-143.pdf</v>
      </c>
      <c r="H3785" s="43" t="str">
        <f t="shared" si="251"/>
        <v>http://dl.ndl.go.jp/info:ndljp/pid/3359358</v>
      </c>
    </row>
    <row r="3786" spans="1:8" ht="30" customHeight="1" x14ac:dyDescent="0.15">
      <c r="A3786" s="16" t="s">
        <v>3223</v>
      </c>
      <c r="B3786" s="17" t="s">
        <v>6637</v>
      </c>
      <c r="C3786" s="17" t="s">
        <v>6638</v>
      </c>
      <c r="D3786" s="25" t="s">
        <v>6617</v>
      </c>
      <c r="E3786" s="19" t="s">
        <v>6618</v>
      </c>
      <c r="F3786" s="19" t="s">
        <v>2761</v>
      </c>
      <c r="G3786" s="5" t="str">
        <f>HYPERLINK("http://jsmh.umin.jp/journal/44-1/144-145.pdf")</f>
        <v>http://jsmh.umin.jp/journal/44-1/144-145.pdf</v>
      </c>
      <c r="H3786" s="43" t="str">
        <f t="shared" si="251"/>
        <v>http://dl.ndl.go.jp/info:ndljp/pid/3359358</v>
      </c>
    </row>
    <row r="3787" spans="1:8" ht="30" customHeight="1" x14ac:dyDescent="0.15">
      <c r="A3787" s="16" t="s">
        <v>558</v>
      </c>
      <c r="B3787" s="17" t="s">
        <v>6639</v>
      </c>
      <c r="C3787" s="17" t="s">
        <v>6640</v>
      </c>
      <c r="D3787" s="25" t="s">
        <v>6617</v>
      </c>
      <c r="E3787" s="19" t="s">
        <v>6618</v>
      </c>
      <c r="F3787" s="19" t="s">
        <v>1522</v>
      </c>
      <c r="G3787" s="5" t="str">
        <f>HYPERLINK("http://jsmh.umin.jp/journal/44-1/146-147.pdf")</f>
        <v>http://jsmh.umin.jp/journal/44-1/146-147.pdf</v>
      </c>
      <c r="H3787" s="43" t="str">
        <f t="shared" si="251"/>
        <v>http://dl.ndl.go.jp/info:ndljp/pid/3359358</v>
      </c>
    </row>
    <row r="3788" spans="1:8" ht="30" customHeight="1" x14ac:dyDescent="0.15">
      <c r="A3788" s="16" t="s">
        <v>558</v>
      </c>
      <c r="B3788" s="17" t="s">
        <v>10270</v>
      </c>
      <c r="C3788" s="17" t="s">
        <v>6641</v>
      </c>
      <c r="D3788" s="25" t="s">
        <v>6617</v>
      </c>
      <c r="E3788" s="19" t="s">
        <v>6618</v>
      </c>
      <c r="F3788" s="19" t="s">
        <v>6642</v>
      </c>
      <c r="G3788" s="5" t="str">
        <f>HYPERLINK("http://jsmh.umin.jp/journal/44-1/147-148.pdf")</f>
        <v>http://jsmh.umin.jp/journal/44-1/147-148.pdf</v>
      </c>
      <c r="H3788" s="43" t="str">
        <f t="shared" si="251"/>
        <v>http://dl.ndl.go.jp/info:ndljp/pid/3359358</v>
      </c>
    </row>
    <row r="3789" spans="1:8" ht="30" customHeight="1" x14ac:dyDescent="0.15">
      <c r="A3789" s="16" t="s">
        <v>3720</v>
      </c>
      <c r="B3789" s="17" t="s">
        <v>6643</v>
      </c>
      <c r="C3789" s="17" t="s">
        <v>6568</v>
      </c>
      <c r="D3789" s="25" t="s">
        <v>6617</v>
      </c>
      <c r="E3789" s="19" t="s">
        <v>6618</v>
      </c>
      <c r="F3789" s="19" t="s">
        <v>2764</v>
      </c>
      <c r="G3789" s="5" t="str">
        <f>HYPERLINK("http://jsmh.umin.jp/journal/44-1/149-151.pdf")</f>
        <v>http://jsmh.umin.jp/journal/44-1/149-151.pdf</v>
      </c>
      <c r="H3789" s="43" t="str">
        <f t="shared" si="251"/>
        <v>http://dl.ndl.go.jp/info:ndljp/pid/3359358</v>
      </c>
    </row>
    <row r="3790" spans="1:8" ht="30" customHeight="1" x14ac:dyDescent="0.15">
      <c r="A3790" s="16" t="s">
        <v>558</v>
      </c>
      <c r="B3790" s="17" t="s">
        <v>6644</v>
      </c>
      <c r="C3790" s="17"/>
      <c r="D3790" s="25" t="s">
        <v>6617</v>
      </c>
      <c r="E3790" s="19" t="s">
        <v>6618</v>
      </c>
      <c r="F3790" s="19" t="s">
        <v>6645</v>
      </c>
      <c r="G3790" s="5" t="str">
        <f>HYPERLINK("http://jsmh.umin.jp/journal/44-1/149.pdf")</f>
        <v>http://jsmh.umin.jp/journal/44-1/149.pdf</v>
      </c>
      <c r="H3790" s="43" t="str">
        <f t="shared" si="251"/>
        <v>http://dl.ndl.go.jp/info:ndljp/pid/3359358</v>
      </c>
    </row>
    <row r="3791" spans="1:8" ht="30" customHeight="1" x14ac:dyDescent="0.15">
      <c r="A3791" s="16" t="s">
        <v>3720</v>
      </c>
      <c r="B3791" s="17" t="s">
        <v>6646</v>
      </c>
      <c r="C3791" s="17" t="s">
        <v>4085</v>
      </c>
      <c r="D3791" s="25" t="s">
        <v>6617</v>
      </c>
      <c r="E3791" s="19" t="s">
        <v>6618</v>
      </c>
      <c r="F3791" s="19" t="s">
        <v>6647</v>
      </c>
      <c r="G3791" s="5" t="str">
        <f>HYPERLINK("http://jsmh.umin.jp/journal/44-1/151-152.pdf")</f>
        <v>http://jsmh.umin.jp/journal/44-1/151-152.pdf</v>
      </c>
      <c r="H3791" s="43" t="str">
        <f t="shared" si="251"/>
        <v>http://dl.ndl.go.jp/info:ndljp/pid/3359358</v>
      </c>
    </row>
    <row r="3792" spans="1:8" ht="30" customHeight="1" x14ac:dyDescent="0.15">
      <c r="A3792" s="16" t="s">
        <v>3720</v>
      </c>
      <c r="B3792" s="17" t="s">
        <v>6648</v>
      </c>
      <c r="C3792" s="17" t="s">
        <v>4864</v>
      </c>
      <c r="D3792" s="25" t="s">
        <v>6617</v>
      </c>
      <c r="E3792" s="19" t="s">
        <v>6618</v>
      </c>
      <c r="F3792" s="19" t="s">
        <v>2537</v>
      </c>
      <c r="G3792" s="5" t="str">
        <f>HYPERLINK("http://jsmh.umin.jp/journal/44-1/152-153.pdf")</f>
        <v>http://jsmh.umin.jp/journal/44-1/152-153.pdf</v>
      </c>
      <c r="H3792" s="43" t="str">
        <f t="shared" si="251"/>
        <v>http://dl.ndl.go.jp/info:ndljp/pid/3359358</v>
      </c>
    </row>
    <row r="3793" spans="1:8" ht="30" customHeight="1" x14ac:dyDescent="0.15">
      <c r="A3793" s="16" t="s">
        <v>3720</v>
      </c>
      <c r="B3793" s="17" t="s">
        <v>10271</v>
      </c>
      <c r="C3793" s="17" t="s">
        <v>2937</v>
      </c>
      <c r="D3793" s="25" t="s">
        <v>6617</v>
      </c>
      <c r="E3793" s="19" t="s">
        <v>6618</v>
      </c>
      <c r="F3793" s="19" t="s">
        <v>3804</v>
      </c>
      <c r="G3793" s="5" t="str">
        <f>HYPERLINK("http://jsmh.umin.jp/journal/44-1/153-155.pdf")</f>
        <v>http://jsmh.umin.jp/journal/44-1/153-155.pdf</v>
      </c>
      <c r="H3793" s="43" t="str">
        <f t="shared" si="251"/>
        <v>http://dl.ndl.go.jp/info:ndljp/pid/3359358</v>
      </c>
    </row>
    <row r="3794" spans="1:8" ht="30" customHeight="1" x14ac:dyDescent="0.15">
      <c r="A3794" s="16" t="s">
        <v>2990</v>
      </c>
      <c r="B3794" s="17" t="s">
        <v>6649</v>
      </c>
      <c r="C3794" s="17" t="s">
        <v>4082</v>
      </c>
      <c r="D3794" s="25" t="s">
        <v>6617</v>
      </c>
      <c r="E3794" s="19" t="s">
        <v>6618</v>
      </c>
      <c r="F3794" s="19" t="s">
        <v>2253</v>
      </c>
      <c r="G3794" s="5" t="str">
        <f>HYPERLINK("http://jsmh.umin.jp/journal/44-1/155-156.pdf")</f>
        <v>http://jsmh.umin.jp/journal/44-1/155-156.pdf</v>
      </c>
      <c r="H3794" s="43" t="str">
        <f t="shared" si="251"/>
        <v>http://dl.ndl.go.jp/info:ndljp/pid/3359358</v>
      </c>
    </row>
    <row r="3795" spans="1:8" ht="30" customHeight="1" x14ac:dyDescent="0.15">
      <c r="A3795" s="16" t="s">
        <v>2990</v>
      </c>
      <c r="B3795" s="17" t="s">
        <v>6650</v>
      </c>
      <c r="C3795" s="17" t="s">
        <v>627</v>
      </c>
      <c r="D3795" s="25" t="s">
        <v>6617</v>
      </c>
      <c r="E3795" s="19" t="s">
        <v>6618</v>
      </c>
      <c r="F3795" s="19" t="s">
        <v>6651</v>
      </c>
      <c r="G3795" s="5" t="str">
        <f>HYPERLINK("http://jsmh.umin.jp/journal/44-1/156-158.pdf")</f>
        <v>http://jsmh.umin.jp/journal/44-1/156-158.pdf</v>
      </c>
      <c r="H3795" s="43" t="str">
        <f t="shared" si="251"/>
        <v>http://dl.ndl.go.jp/info:ndljp/pid/3359358</v>
      </c>
    </row>
    <row r="3796" spans="1:8" ht="30" customHeight="1" x14ac:dyDescent="0.15">
      <c r="A3796" s="16" t="s">
        <v>2990</v>
      </c>
      <c r="B3796" s="17" t="s">
        <v>6652</v>
      </c>
      <c r="C3796" s="17" t="s">
        <v>4585</v>
      </c>
      <c r="D3796" s="25" t="s">
        <v>6617</v>
      </c>
      <c r="E3796" s="19" t="s">
        <v>6618</v>
      </c>
      <c r="F3796" s="19" t="s">
        <v>4814</v>
      </c>
      <c r="G3796" s="5" t="str">
        <f>HYPERLINK("http://jsmh.umin.jp/journal/44-1/158-159.pdf")</f>
        <v>http://jsmh.umin.jp/journal/44-1/158-159.pdf</v>
      </c>
      <c r="H3796" s="43" t="str">
        <f t="shared" si="251"/>
        <v>http://dl.ndl.go.jp/info:ndljp/pid/3359358</v>
      </c>
    </row>
    <row r="3797" spans="1:8" ht="30" customHeight="1" x14ac:dyDescent="0.15">
      <c r="A3797" s="16" t="s">
        <v>2990</v>
      </c>
      <c r="B3797" s="17" t="s">
        <v>6653</v>
      </c>
      <c r="C3797" s="17" t="s">
        <v>6654</v>
      </c>
      <c r="D3797" s="25" t="s">
        <v>6617</v>
      </c>
      <c r="E3797" s="19" t="s">
        <v>6618</v>
      </c>
      <c r="F3797" s="19" t="s">
        <v>2546</v>
      </c>
      <c r="G3797" s="5" t="str">
        <f>HYPERLINK("http://jsmh.umin.jp/journal/44-1/160-161.pdf")</f>
        <v>http://jsmh.umin.jp/journal/44-1/160-161.pdf</v>
      </c>
      <c r="H3797" s="43" t="str">
        <f t="shared" si="251"/>
        <v>http://dl.ndl.go.jp/info:ndljp/pid/3359358</v>
      </c>
    </row>
    <row r="3798" spans="1:8" ht="30" customHeight="1" x14ac:dyDescent="0.15">
      <c r="A3798" s="16" t="s">
        <v>2990</v>
      </c>
      <c r="B3798" s="17" t="s">
        <v>6655</v>
      </c>
      <c r="C3798" s="17" t="s">
        <v>6656</v>
      </c>
      <c r="D3798" s="25" t="s">
        <v>6617</v>
      </c>
      <c r="E3798" s="19" t="s">
        <v>6618</v>
      </c>
      <c r="F3798" s="19" t="s">
        <v>2911</v>
      </c>
      <c r="G3798" s="5" t="str">
        <f>HYPERLINK("http://jsmh.umin.jp/journal/44-1/161-163.pdf")</f>
        <v>http://jsmh.umin.jp/journal/44-1/161-163.pdf</v>
      </c>
      <c r="H3798" s="43" t="str">
        <f t="shared" si="251"/>
        <v>http://dl.ndl.go.jp/info:ndljp/pid/3359358</v>
      </c>
    </row>
    <row r="3799" spans="1:8" ht="30" customHeight="1" x14ac:dyDescent="0.15">
      <c r="A3799" s="16" t="s">
        <v>2990</v>
      </c>
      <c r="B3799" s="17" t="s">
        <v>6657</v>
      </c>
      <c r="C3799" s="17" t="s">
        <v>6090</v>
      </c>
      <c r="D3799" s="25" t="s">
        <v>6617</v>
      </c>
      <c r="E3799" s="19" t="s">
        <v>6618</v>
      </c>
      <c r="F3799" s="19" t="s">
        <v>4165</v>
      </c>
      <c r="G3799" s="5" t="str">
        <f>HYPERLINK("http://jsmh.umin.jp/journal/44-1/163-165.pdf")</f>
        <v>http://jsmh.umin.jp/journal/44-1/163-165.pdf</v>
      </c>
      <c r="H3799" s="43" t="str">
        <f t="shared" si="251"/>
        <v>http://dl.ndl.go.jp/info:ndljp/pid/3359358</v>
      </c>
    </row>
    <row r="3800" spans="1:8" ht="30" customHeight="1" x14ac:dyDescent="0.15">
      <c r="A3800" s="16" t="s">
        <v>2990</v>
      </c>
      <c r="B3800" s="17" t="s">
        <v>6658</v>
      </c>
      <c r="C3800" s="17" t="s">
        <v>4085</v>
      </c>
      <c r="D3800" s="25" t="s">
        <v>6617</v>
      </c>
      <c r="E3800" s="19" t="s">
        <v>6618</v>
      </c>
      <c r="F3800" s="19" t="s">
        <v>2551</v>
      </c>
      <c r="G3800" s="5" t="str">
        <f>HYPERLINK("http://jsmh.umin.jp/journal/44-1/165-166.pdf")</f>
        <v>http://jsmh.umin.jp/journal/44-1/165-166.pdf</v>
      </c>
      <c r="H3800" s="43" t="str">
        <f t="shared" si="251"/>
        <v>http://dl.ndl.go.jp/info:ndljp/pid/3359358</v>
      </c>
    </row>
    <row r="3801" spans="1:8" ht="30" customHeight="1" x14ac:dyDescent="0.15">
      <c r="A3801" s="16" t="s">
        <v>1855</v>
      </c>
      <c r="B3801" s="17" t="s">
        <v>6659</v>
      </c>
      <c r="C3801" s="17" t="s">
        <v>6660</v>
      </c>
      <c r="D3801" s="25" t="s">
        <v>6617</v>
      </c>
      <c r="E3801" s="19" t="s">
        <v>6661</v>
      </c>
      <c r="F3801" s="19" t="s">
        <v>2564</v>
      </c>
      <c r="G3801" s="5" t="str">
        <f>HYPERLINK("http://jsmh.umin.jp/journal/44-2/177-179.pdf")</f>
        <v>http://jsmh.umin.jp/journal/44-2/177-179.pdf</v>
      </c>
      <c r="H3801" s="42" t="str">
        <f t="shared" ref="H3801:H3832" si="252">HYPERLINK("http://dl.ndl.go.jp/info:ndljp/pid/3359359")</f>
        <v>http://dl.ndl.go.jp/info:ndljp/pid/3359359</v>
      </c>
    </row>
    <row r="3802" spans="1:8" ht="30" customHeight="1" x14ac:dyDescent="0.15">
      <c r="A3802" s="16" t="s">
        <v>1855</v>
      </c>
      <c r="B3802" s="17" t="s">
        <v>6662</v>
      </c>
      <c r="C3802" s="17" t="s">
        <v>6663</v>
      </c>
      <c r="D3802" s="25" t="s">
        <v>6617</v>
      </c>
      <c r="E3802" s="19" t="s">
        <v>6661</v>
      </c>
      <c r="F3802" s="19" t="s">
        <v>6664</v>
      </c>
      <c r="G3802" s="5" t="str">
        <f>HYPERLINK("http://jsmh.umin.jp/journal/44-2/180-183.pdf")</f>
        <v>http://jsmh.umin.jp/journal/44-2/180-183.pdf</v>
      </c>
      <c r="H3802" s="43" t="str">
        <f t="shared" si="252"/>
        <v>http://dl.ndl.go.jp/info:ndljp/pid/3359359</v>
      </c>
    </row>
    <row r="3803" spans="1:8" ht="30" customHeight="1" x14ac:dyDescent="0.15">
      <c r="A3803" s="16" t="s">
        <v>1855</v>
      </c>
      <c r="B3803" s="17" t="s">
        <v>6665</v>
      </c>
      <c r="C3803" s="17" t="s">
        <v>6666</v>
      </c>
      <c r="D3803" s="25" t="s">
        <v>6617</v>
      </c>
      <c r="E3803" s="19" t="s">
        <v>6661</v>
      </c>
      <c r="F3803" s="19" t="s">
        <v>3984</v>
      </c>
      <c r="G3803" s="5" t="str">
        <f>HYPERLINK("http://jsmh.umin.jp/journal/44-2/184-185.pdf")</f>
        <v>http://jsmh.umin.jp/journal/44-2/184-185.pdf</v>
      </c>
      <c r="H3803" s="43" t="str">
        <f t="shared" si="252"/>
        <v>http://dl.ndl.go.jp/info:ndljp/pid/3359359</v>
      </c>
    </row>
    <row r="3804" spans="1:8" ht="30" customHeight="1" x14ac:dyDescent="0.15">
      <c r="A3804" s="16" t="s">
        <v>1855</v>
      </c>
      <c r="B3804" s="17" t="s">
        <v>6667</v>
      </c>
      <c r="C3804" s="17" t="s">
        <v>2386</v>
      </c>
      <c r="D3804" s="25" t="s">
        <v>6617</v>
      </c>
      <c r="E3804" s="19" t="s">
        <v>6661</v>
      </c>
      <c r="F3804" s="19" t="s">
        <v>2057</v>
      </c>
      <c r="G3804" s="5" t="str">
        <f>HYPERLINK("http://jsmh.umin.jp/journal/44-2/186.pdf")</f>
        <v>http://jsmh.umin.jp/journal/44-2/186.pdf</v>
      </c>
      <c r="H3804" s="43" t="str">
        <f t="shared" si="252"/>
        <v>http://dl.ndl.go.jp/info:ndljp/pid/3359359</v>
      </c>
    </row>
    <row r="3805" spans="1:8" ht="30" customHeight="1" x14ac:dyDescent="0.15">
      <c r="A3805" s="16" t="s">
        <v>1855</v>
      </c>
      <c r="B3805" s="17" t="s">
        <v>6668</v>
      </c>
      <c r="C3805" s="17" t="s">
        <v>2325</v>
      </c>
      <c r="D3805" s="25" t="s">
        <v>6617</v>
      </c>
      <c r="E3805" s="19" t="s">
        <v>6661</v>
      </c>
      <c r="F3805" s="19" t="s">
        <v>3674</v>
      </c>
      <c r="G3805" s="5" t="str">
        <f>HYPERLINK("http://jsmh.umin.jp/journal/44-2/187.pdf")</f>
        <v>http://jsmh.umin.jp/journal/44-2/187.pdf</v>
      </c>
      <c r="H3805" s="43" t="str">
        <f t="shared" si="252"/>
        <v>http://dl.ndl.go.jp/info:ndljp/pid/3359359</v>
      </c>
    </row>
    <row r="3806" spans="1:8" ht="30" customHeight="1" x14ac:dyDescent="0.15">
      <c r="A3806" s="16" t="s">
        <v>1855</v>
      </c>
      <c r="B3806" s="17" t="s">
        <v>6669</v>
      </c>
      <c r="C3806" s="17" t="s">
        <v>925</v>
      </c>
      <c r="D3806" s="25" t="s">
        <v>6617</v>
      </c>
      <c r="E3806" s="19" t="s">
        <v>6661</v>
      </c>
      <c r="F3806" s="19" t="s">
        <v>2580</v>
      </c>
      <c r="G3806" s="5" t="str">
        <f>HYPERLINK("http://jsmh.umin.jp/journal/44-2/188-189.pdf")</f>
        <v>http://jsmh.umin.jp/journal/44-2/188-189.pdf</v>
      </c>
      <c r="H3806" s="43" t="str">
        <f t="shared" si="252"/>
        <v>http://dl.ndl.go.jp/info:ndljp/pid/3359359</v>
      </c>
    </row>
    <row r="3807" spans="1:8" ht="30" customHeight="1" x14ac:dyDescent="0.15">
      <c r="A3807" s="16" t="s">
        <v>1855</v>
      </c>
      <c r="B3807" s="17" t="s">
        <v>6670</v>
      </c>
      <c r="C3807" s="17" t="s">
        <v>4988</v>
      </c>
      <c r="D3807" s="25" t="s">
        <v>6617</v>
      </c>
      <c r="E3807" s="19" t="s">
        <v>6661</v>
      </c>
      <c r="F3807" s="19" t="s">
        <v>976</v>
      </c>
      <c r="G3807" s="5" t="str">
        <f>HYPERLINK("http://jsmh.umin.jp/journal/44-2/190-191.pdf")</f>
        <v>http://jsmh.umin.jp/journal/44-2/190-191.pdf</v>
      </c>
      <c r="H3807" s="43" t="str">
        <f t="shared" si="252"/>
        <v>http://dl.ndl.go.jp/info:ndljp/pid/3359359</v>
      </c>
    </row>
    <row r="3808" spans="1:8" ht="30" customHeight="1" x14ac:dyDescent="0.15">
      <c r="A3808" s="16" t="s">
        <v>1855</v>
      </c>
      <c r="B3808" s="17" t="s">
        <v>6671</v>
      </c>
      <c r="C3808" s="17" t="s">
        <v>4085</v>
      </c>
      <c r="D3808" s="25" t="s">
        <v>6617</v>
      </c>
      <c r="E3808" s="19" t="s">
        <v>6661</v>
      </c>
      <c r="F3808" s="19" t="s">
        <v>986</v>
      </c>
      <c r="G3808" s="5" t="str">
        <f>HYPERLINK("http://jsmh.umin.jp/journal/44-2/192-193.pdf")</f>
        <v>http://jsmh.umin.jp/journal/44-2/192-193.pdf</v>
      </c>
      <c r="H3808" s="43" t="str">
        <f t="shared" si="252"/>
        <v>http://dl.ndl.go.jp/info:ndljp/pid/3359359</v>
      </c>
    </row>
    <row r="3809" spans="1:8" ht="30" customHeight="1" x14ac:dyDescent="0.15">
      <c r="A3809" s="16" t="s">
        <v>1855</v>
      </c>
      <c r="B3809" s="17" t="s">
        <v>6273</v>
      </c>
      <c r="C3809" s="17" t="s">
        <v>6274</v>
      </c>
      <c r="D3809" s="25" t="s">
        <v>6617</v>
      </c>
      <c r="E3809" s="19" t="s">
        <v>6661</v>
      </c>
      <c r="F3809" s="19" t="s">
        <v>993</v>
      </c>
      <c r="G3809" s="5" t="str">
        <f>HYPERLINK("http://jsmh.umin.jp/journal/44-2/194-195.pdf")</f>
        <v>http://jsmh.umin.jp/journal/44-2/194-195.pdf</v>
      </c>
      <c r="H3809" s="43" t="str">
        <f t="shared" si="252"/>
        <v>http://dl.ndl.go.jp/info:ndljp/pid/3359359</v>
      </c>
    </row>
    <row r="3810" spans="1:8" ht="30" customHeight="1" x14ac:dyDescent="0.15">
      <c r="A3810" s="16" t="s">
        <v>1855</v>
      </c>
      <c r="B3810" s="17" t="s">
        <v>6672</v>
      </c>
      <c r="C3810" s="17" t="s">
        <v>444</v>
      </c>
      <c r="D3810" s="25" t="s">
        <v>6617</v>
      </c>
      <c r="E3810" s="19" t="s">
        <v>6661</v>
      </c>
      <c r="F3810" s="19" t="s">
        <v>999</v>
      </c>
      <c r="G3810" s="5" t="str">
        <f>HYPERLINK("http://jsmh.umin.jp/journal/44-2/196-197.pdf")</f>
        <v>http://jsmh.umin.jp/journal/44-2/196-197.pdf</v>
      </c>
      <c r="H3810" s="43" t="str">
        <f t="shared" si="252"/>
        <v>http://dl.ndl.go.jp/info:ndljp/pid/3359359</v>
      </c>
    </row>
    <row r="3811" spans="1:8" ht="30" customHeight="1" x14ac:dyDescent="0.15">
      <c r="A3811" s="16" t="s">
        <v>1855</v>
      </c>
      <c r="B3811" s="17" t="s">
        <v>6673</v>
      </c>
      <c r="C3811" s="17" t="s">
        <v>6282</v>
      </c>
      <c r="D3811" s="25" t="s">
        <v>6617</v>
      </c>
      <c r="E3811" s="19" t="s">
        <v>6661</v>
      </c>
      <c r="F3811" s="19" t="s">
        <v>1740</v>
      </c>
      <c r="G3811" s="5" t="str">
        <f>HYPERLINK("http://jsmh.umin.jp/journal/44-2/198-199.pdf")</f>
        <v>http://jsmh.umin.jp/journal/44-2/198-199.pdf</v>
      </c>
      <c r="H3811" s="43" t="str">
        <f t="shared" si="252"/>
        <v>http://dl.ndl.go.jp/info:ndljp/pid/3359359</v>
      </c>
    </row>
    <row r="3812" spans="1:8" ht="30" customHeight="1" x14ac:dyDescent="0.15">
      <c r="A3812" s="16" t="s">
        <v>1855</v>
      </c>
      <c r="B3812" s="17" t="s">
        <v>6674</v>
      </c>
      <c r="C3812" s="17" t="s">
        <v>6300</v>
      </c>
      <c r="D3812" s="25" t="s">
        <v>6617</v>
      </c>
      <c r="E3812" s="19" t="s">
        <v>6661</v>
      </c>
      <c r="F3812" s="19" t="s">
        <v>1743</v>
      </c>
      <c r="G3812" s="5" t="str">
        <f>HYPERLINK("http://jsmh.umin.jp/journal/44-2/200-201.pdf")</f>
        <v>http://jsmh.umin.jp/journal/44-2/200-201.pdf</v>
      </c>
      <c r="H3812" s="43" t="str">
        <f t="shared" si="252"/>
        <v>http://dl.ndl.go.jp/info:ndljp/pid/3359359</v>
      </c>
    </row>
    <row r="3813" spans="1:8" ht="30" customHeight="1" x14ac:dyDescent="0.15">
      <c r="A3813" s="16" t="s">
        <v>1855</v>
      </c>
      <c r="B3813" s="17" t="s">
        <v>6675</v>
      </c>
      <c r="C3813" s="17" t="s">
        <v>6676</v>
      </c>
      <c r="D3813" s="25" t="s">
        <v>6617</v>
      </c>
      <c r="E3813" s="19" t="s">
        <v>6661</v>
      </c>
      <c r="F3813" s="19" t="s">
        <v>1748</v>
      </c>
      <c r="G3813" s="5" t="str">
        <f>HYPERLINK("http://jsmh.umin.jp/journal/44-2/202-203.pdf")</f>
        <v>http://jsmh.umin.jp/journal/44-2/202-203.pdf</v>
      </c>
      <c r="H3813" s="43" t="str">
        <f t="shared" si="252"/>
        <v>http://dl.ndl.go.jp/info:ndljp/pid/3359359</v>
      </c>
    </row>
    <row r="3814" spans="1:8" ht="30" customHeight="1" x14ac:dyDescent="0.15">
      <c r="A3814" s="16" t="s">
        <v>1855</v>
      </c>
      <c r="B3814" s="17" t="s">
        <v>6677</v>
      </c>
      <c r="C3814" s="17" t="s">
        <v>5084</v>
      </c>
      <c r="D3814" s="25" t="s">
        <v>6617</v>
      </c>
      <c r="E3814" s="19" t="s">
        <v>6661</v>
      </c>
      <c r="F3814" s="19" t="s">
        <v>256</v>
      </c>
      <c r="G3814" s="5" t="str">
        <f>HYPERLINK("http://jsmh.umin.jp/journal/44-2/204-205.pdf")</f>
        <v>http://jsmh.umin.jp/journal/44-2/204-205.pdf</v>
      </c>
      <c r="H3814" s="43" t="str">
        <f t="shared" si="252"/>
        <v>http://dl.ndl.go.jp/info:ndljp/pid/3359359</v>
      </c>
    </row>
    <row r="3815" spans="1:8" ht="30" customHeight="1" x14ac:dyDescent="0.15">
      <c r="A3815" s="16" t="s">
        <v>1855</v>
      </c>
      <c r="B3815" s="17" t="s">
        <v>6678</v>
      </c>
      <c r="C3815" s="17" t="s">
        <v>5542</v>
      </c>
      <c r="D3815" s="25" t="s">
        <v>6617</v>
      </c>
      <c r="E3815" s="19" t="s">
        <v>6661</v>
      </c>
      <c r="F3815" s="19" t="s">
        <v>3271</v>
      </c>
      <c r="G3815" s="5" t="str">
        <f>HYPERLINK("http://jsmh.umin.jp/journal/44-2/206-207.pdf")</f>
        <v>http://jsmh.umin.jp/journal/44-2/206-207.pdf</v>
      </c>
      <c r="H3815" s="43" t="str">
        <f t="shared" si="252"/>
        <v>http://dl.ndl.go.jp/info:ndljp/pid/3359359</v>
      </c>
    </row>
    <row r="3816" spans="1:8" ht="30" customHeight="1" x14ac:dyDescent="0.15">
      <c r="A3816" s="16" t="s">
        <v>1855</v>
      </c>
      <c r="B3816" s="17" t="s">
        <v>6679</v>
      </c>
      <c r="C3816" s="17" t="s">
        <v>1929</v>
      </c>
      <c r="D3816" s="25" t="s">
        <v>6617</v>
      </c>
      <c r="E3816" s="19" t="s">
        <v>6661</v>
      </c>
      <c r="F3816" s="19" t="s">
        <v>4193</v>
      </c>
      <c r="G3816" s="5" t="str">
        <f>HYPERLINK("http://jsmh.umin.jp/journal/44-2/208-209.pdf")</f>
        <v>http://jsmh.umin.jp/journal/44-2/208-209.pdf</v>
      </c>
      <c r="H3816" s="43" t="str">
        <f t="shared" si="252"/>
        <v>http://dl.ndl.go.jp/info:ndljp/pid/3359359</v>
      </c>
    </row>
    <row r="3817" spans="1:8" ht="30" customHeight="1" x14ac:dyDescent="0.15">
      <c r="A3817" s="16" t="s">
        <v>1855</v>
      </c>
      <c r="B3817" s="17" t="s">
        <v>6680</v>
      </c>
      <c r="C3817" s="17" t="s">
        <v>5606</v>
      </c>
      <c r="D3817" s="25" t="s">
        <v>6617</v>
      </c>
      <c r="E3817" s="19" t="s">
        <v>6661</v>
      </c>
      <c r="F3817" s="19" t="s">
        <v>271</v>
      </c>
      <c r="G3817" s="5" t="str">
        <f>HYPERLINK("http://jsmh.umin.jp/journal/44-2/210-211.pdf")</f>
        <v>http://jsmh.umin.jp/journal/44-2/210-211.pdf</v>
      </c>
      <c r="H3817" s="43" t="str">
        <f t="shared" si="252"/>
        <v>http://dl.ndl.go.jp/info:ndljp/pid/3359359</v>
      </c>
    </row>
    <row r="3818" spans="1:8" ht="30" customHeight="1" x14ac:dyDescent="0.15">
      <c r="A3818" s="16" t="s">
        <v>1855</v>
      </c>
      <c r="B3818" s="17" t="s">
        <v>6681</v>
      </c>
      <c r="C3818" s="17" t="s">
        <v>2881</v>
      </c>
      <c r="D3818" s="25" t="s">
        <v>6617</v>
      </c>
      <c r="E3818" s="19" t="s">
        <v>6661</v>
      </c>
      <c r="F3818" s="19" t="s">
        <v>274</v>
      </c>
      <c r="G3818" s="5" t="str">
        <f>HYPERLINK("http://jsmh.umin.jp/journal/44-2/212-213.pdf")</f>
        <v>http://jsmh.umin.jp/journal/44-2/212-213.pdf</v>
      </c>
      <c r="H3818" s="43" t="str">
        <f t="shared" si="252"/>
        <v>http://dl.ndl.go.jp/info:ndljp/pid/3359359</v>
      </c>
    </row>
    <row r="3819" spans="1:8" ht="30" customHeight="1" x14ac:dyDescent="0.15">
      <c r="A3819" s="16" t="s">
        <v>1855</v>
      </c>
      <c r="B3819" s="17" t="s">
        <v>6682</v>
      </c>
      <c r="C3819" s="17" t="s">
        <v>6486</v>
      </c>
      <c r="D3819" s="25" t="s">
        <v>6617</v>
      </c>
      <c r="E3819" s="19" t="s">
        <v>6661</v>
      </c>
      <c r="F3819" s="19" t="s">
        <v>281</v>
      </c>
      <c r="G3819" s="5" t="str">
        <f>HYPERLINK("http://jsmh.umin.jp/journal/44-2/214-215.pdf")</f>
        <v>http://jsmh.umin.jp/journal/44-2/214-215.pdf</v>
      </c>
      <c r="H3819" s="43" t="str">
        <f t="shared" si="252"/>
        <v>http://dl.ndl.go.jp/info:ndljp/pid/3359359</v>
      </c>
    </row>
    <row r="3820" spans="1:8" ht="30" customHeight="1" x14ac:dyDescent="0.15">
      <c r="A3820" s="16" t="s">
        <v>1855</v>
      </c>
      <c r="B3820" s="17" t="s">
        <v>6683</v>
      </c>
      <c r="C3820" s="17" t="s">
        <v>6231</v>
      </c>
      <c r="D3820" s="25" t="s">
        <v>6617</v>
      </c>
      <c r="E3820" s="19" t="s">
        <v>6661</v>
      </c>
      <c r="F3820" s="19" t="s">
        <v>292</v>
      </c>
      <c r="G3820" s="5" t="str">
        <f>HYPERLINK("http://jsmh.umin.jp/journal/44-2/216-217.pdf")</f>
        <v>http://jsmh.umin.jp/journal/44-2/216-217.pdf</v>
      </c>
      <c r="H3820" s="43" t="str">
        <f t="shared" si="252"/>
        <v>http://dl.ndl.go.jp/info:ndljp/pid/3359359</v>
      </c>
    </row>
    <row r="3821" spans="1:8" ht="30" customHeight="1" x14ac:dyDescent="0.15">
      <c r="A3821" s="16" t="s">
        <v>1855</v>
      </c>
      <c r="B3821" s="17" t="s">
        <v>6684</v>
      </c>
      <c r="C3821" s="17" t="s">
        <v>5471</v>
      </c>
      <c r="D3821" s="25" t="s">
        <v>6617</v>
      </c>
      <c r="E3821" s="19" t="s">
        <v>6661</v>
      </c>
      <c r="F3821" s="19" t="s">
        <v>298</v>
      </c>
      <c r="G3821" s="5" t="str">
        <f>HYPERLINK("http://jsmh.umin.jp/journal/44-2/218-219.pdf")</f>
        <v>http://jsmh.umin.jp/journal/44-2/218-219.pdf</v>
      </c>
      <c r="H3821" s="43" t="str">
        <f t="shared" si="252"/>
        <v>http://dl.ndl.go.jp/info:ndljp/pid/3359359</v>
      </c>
    </row>
    <row r="3822" spans="1:8" ht="30" customHeight="1" x14ac:dyDescent="0.15">
      <c r="A3822" s="16" t="s">
        <v>1855</v>
      </c>
      <c r="B3822" s="17" t="s">
        <v>6685</v>
      </c>
      <c r="C3822" s="17" t="s">
        <v>6686</v>
      </c>
      <c r="D3822" s="25" t="s">
        <v>6617</v>
      </c>
      <c r="E3822" s="19" t="s">
        <v>6661</v>
      </c>
      <c r="F3822" s="19" t="s">
        <v>5443</v>
      </c>
      <c r="G3822" s="5" t="str">
        <f>HYPERLINK("http://jsmh.umin.jp/journal/44-2/220-221.pdf")</f>
        <v>http://jsmh.umin.jp/journal/44-2/220-221.pdf</v>
      </c>
      <c r="H3822" s="43" t="str">
        <f t="shared" si="252"/>
        <v>http://dl.ndl.go.jp/info:ndljp/pid/3359359</v>
      </c>
    </row>
    <row r="3823" spans="1:8" ht="30" customHeight="1" x14ac:dyDescent="0.15">
      <c r="A3823" s="16" t="s">
        <v>1855</v>
      </c>
      <c r="B3823" s="17" t="s">
        <v>6687</v>
      </c>
      <c r="C3823" s="17" t="s">
        <v>6688</v>
      </c>
      <c r="D3823" s="25" t="s">
        <v>6617</v>
      </c>
      <c r="E3823" s="19" t="s">
        <v>6661</v>
      </c>
      <c r="F3823" s="19" t="s">
        <v>1390</v>
      </c>
      <c r="G3823" s="5" t="str">
        <f>HYPERLINK("http://jsmh.umin.jp/journal/44-2/222-223.pdf")</f>
        <v>http://jsmh.umin.jp/journal/44-2/222-223.pdf</v>
      </c>
      <c r="H3823" s="43" t="str">
        <f t="shared" si="252"/>
        <v>http://dl.ndl.go.jp/info:ndljp/pid/3359359</v>
      </c>
    </row>
    <row r="3824" spans="1:8" ht="30" customHeight="1" x14ac:dyDescent="0.15">
      <c r="A3824" s="16" t="s">
        <v>1855</v>
      </c>
      <c r="B3824" s="17" t="s">
        <v>6689</v>
      </c>
      <c r="C3824" s="17" t="s">
        <v>4039</v>
      </c>
      <c r="D3824" s="25" t="s">
        <v>6617</v>
      </c>
      <c r="E3824" s="19" t="s">
        <v>6661</v>
      </c>
      <c r="F3824" s="19" t="s">
        <v>1393</v>
      </c>
      <c r="G3824" s="5" t="str">
        <f>HYPERLINK("http://jsmh.umin.jp/journal/44-2/224-225.pdf")</f>
        <v>http://jsmh.umin.jp/journal/44-2/224-225.pdf</v>
      </c>
      <c r="H3824" s="43" t="str">
        <f t="shared" si="252"/>
        <v>http://dl.ndl.go.jp/info:ndljp/pid/3359359</v>
      </c>
    </row>
    <row r="3825" spans="1:8" ht="30" customHeight="1" x14ac:dyDescent="0.15">
      <c r="A3825" s="16" t="s">
        <v>1855</v>
      </c>
      <c r="B3825" s="17" t="s">
        <v>6690</v>
      </c>
      <c r="C3825" s="17" t="s">
        <v>6691</v>
      </c>
      <c r="D3825" s="25" t="s">
        <v>6617</v>
      </c>
      <c r="E3825" s="19" t="s">
        <v>6661</v>
      </c>
      <c r="F3825" s="19" t="s">
        <v>1861</v>
      </c>
      <c r="G3825" s="5" t="str">
        <f>HYPERLINK("http://jsmh.umin.jp/journal/44-2/226-227.pdf")</f>
        <v>http://jsmh.umin.jp/journal/44-2/226-227.pdf</v>
      </c>
      <c r="H3825" s="43" t="str">
        <f t="shared" si="252"/>
        <v>http://dl.ndl.go.jp/info:ndljp/pid/3359359</v>
      </c>
    </row>
    <row r="3826" spans="1:8" ht="30" customHeight="1" x14ac:dyDescent="0.15">
      <c r="A3826" s="16" t="s">
        <v>1855</v>
      </c>
      <c r="B3826" s="17" t="s">
        <v>6692</v>
      </c>
      <c r="C3826" s="17" t="s">
        <v>6460</v>
      </c>
      <c r="D3826" s="25" t="s">
        <v>6617</v>
      </c>
      <c r="E3826" s="19" t="s">
        <v>6661</v>
      </c>
      <c r="F3826" s="19" t="s">
        <v>108</v>
      </c>
      <c r="G3826" s="5" t="str">
        <f>HYPERLINK("http://jsmh.umin.jp/journal/44-2/228-229.pdf")</f>
        <v>http://jsmh.umin.jp/journal/44-2/228-229.pdf</v>
      </c>
      <c r="H3826" s="43" t="str">
        <f t="shared" si="252"/>
        <v>http://dl.ndl.go.jp/info:ndljp/pid/3359359</v>
      </c>
    </row>
    <row r="3827" spans="1:8" ht="30" customHeight="1" x14ac:dyDescent="0.15">
      <c r="A3827" s="16" t="s">
        <v>1855</v>
      </c>
      <c r="B3827" s="17" t="s">
        <v>6693</v>
      </c>
      <c r="C3827" s="17" t="s">
        <v>5569</v>
      </c>
      <c r="D3827" s="25" t="s">
        <v>6617</v>
      </c>
      <c r="E3827" s="19" t="s">
        <v>6661</v>
      </c>
      <c r="F3827" s="19" t="s">
        <v>119</v>
      </c>
      <c r="G3827" s="5" t="str">
        <f>HYPERLINK("http://jsmh.umin.jp/journal/44-2/230-231.pdf")</f>
        <v>http://jsmh.umin.jp/journal/44-2/230-231.pdf</v>
      </c>
      <c r="H3827" s="43" t="str">
        <f t="shared" si="252"/>
        <v>http://dl.ndl.go.jp/info:ndljp/pid/3359359</v>
      </c>
    </row>
    <row r="3828" spans="1:8" ht="30" customHeight="1" x14ac:dyDescent="0.15">
      <c r="A3828" s="16" t="s">
        <v>1855</v>
      </c>
      <c r="B3828" s="17" t="s">
        <v>6694</v>
      </c>
      <c r="C3828" s="17" t="s">
        <v>6695</v>
      </c>
      <c r="D3828" s="25" t="s">
        <v>6617</v>
      </c>
      <c r="E3828" s="19" t="s">
        <v>6661</v>
      </c>
      <c r="F3828" s="19" t="s">
        <v>124</v>
      </c>
      <c r="G3828" s="5" t="str">
        <f>HYPERLINK("http://jsmh.umin.jp/journal/44-2/232-233.pdf")</f>
        <v>http://jsmh.umin.jp/journal/44-2/232-233.pdf</v>
      </c>
      <c r="H3828" s="43" t="str">
        <f t="shared" si="252"/>
        <v>http://dl.ndl.go.jp/info:ndljp/pid/3359359</v>
      </c>
    </row>
    <row r="3829" spans="1:8" ht="30" customHeight="1" x14ac:dyDescent="0.15">
      <c r="A3829" s="16" t="s">
        <v>1855</v>
      </c>
      <c r="B3829" s="17" t="s">
        <v>6696</v>
      </c>
      <c r="C3829" s="17" t="s">
        <v>6697</v>
      </c>
      <c r="D3829" s="25" t="s">
        <v>6617</v>
      </c>
      <c r="E3829" s="19" t="s">
        <v>6661</v>
      </c>
      <c r="F3829" s="19" t="s">
        <v>132</v>
      </c>
      <c r="G3829" s="5" t="str">
        <f>HYPERLINK("http://jsmh.umin.jp/journal/44-2/234-235.pdf")</f>
        <v>http://jsmh.umin.jp/journal/44-2/234-235.pdf</v>
      </c>
      <c r="H3829" s="43" t="str">
        <f t="shared" si="252"/>
        <v>http://dl.ndl.go.jp/info:ndljp/pid/3359359</v>
      </c>
    </row>
    <row r="3830" spans="1:8" ht="30" customHeight="1" x14ac:dyDescent="0.15">
      <c r="A3830" s="16" t="s">
        <v>1855</v>
      </c>
      <c r="B3830" s="17" t="s">
        <v>6698</v>
      </c>
      <c r="C3830" s="17" t="s">
        <v>6699</v>
      </c>
      <c r="D3830" s="25" t="s">
        <v>6617</v>
      </c>
      <c r="E3830" s="19" t="s">
        <v>6661</v>
      </c>
      <c r="F3830" s="19" t="s">
        <v>140</v>
      </c>
      <c r="G3830" s="5" t="str">
        <f>HYPERLINK("http://jsmh.umin.jp/journal/44-2/236-237.pdf")</f>
        <v>http://jsmh.umin.jp/journal/44-2/236-237.pdf</v>
      </c>
      <c r="H3830" s="43" t="str">
        <f t="shared" si="252"/>
        <v>http://dl.ndl.go.jp/info:ndljp/pid/3359359</v>
      </c>
    </row>
    <row r="3831" spans="1:8" ht="30" customHeight="1" x14ac:dyDescent="0.15">
      <c r="A3831" s="16" t="s">
        <v>1855</v>
      </c>
      <c r="B3831" s="17" t="s">
        <v>6700</v>
      </c>
      <c r="C3831" s="17" t="s">
        <v>6701</v>
      </c>
      <c r="D3831" s="25" t="s">
        <v>6617</v>
      </c>
      <c r="E3831" s="19" t="s">
        <v>6661</v>
      </c>
      <c r="F3831" s="19" t="s">
        <v>145</v>
      </c>
      <c r="G3831" s="5" t="str">
        <f>HYPERLINK("http://jsmh.umin.jp/journal/44-2/238-239.pdf")</f>
        <v>http://jsmh.umin.jp/journal/44-2/238-239.pdf</v>
      </c>
      <c r="H3831" s="43" t="str">
        <f t="shared" si="252"/>
        <v>http://dl.ndl.go.jp/info:ndljp/pid/3359359</v>
      </c>
    </row>
    <row r="3832" spans="1:8" ht="30" customHeight="1" x14ac:dyDescent="0.15">
      <c r="A3832" s="16" t="s">
        <v>1855</v>
      </c>
      <c r="B3832" s="17" t="s">
        <v>6702</v>
      </c>
      <c r="C3832" s="17" t="s">
        <v>6520</v>
      </c>
      <c r="D3832" s="25" t="s">
        <v>6617</v>
      </c>
      <c r="E3832" s="19" t="s">
        <v>6661</v>
      </c>
      <c r="F3832" s="19" t="s">
        <v>3458</v>
      </c>
      <c r="G3832" s="5" t="str">
        <f>HYPERLINK("http://jsmh.umin.jp/journal/44-2/240-241.pdf")</f>
        <v>http://jsmh.umin.jp/journal/44-2/240-241.pdf</v>
      </c>
      <c r="H3832" s="43" t="str">
        <f t="shared" si="252"/>
        <v>http://dl.ndl.go.jp/info:ndljp/pid/3359359</v>
      </c>
    </row>
    <row r="3833" spans="1:8" ht="30" customHeight="1" x14ac:dyDescent="0.15">
      <c r="A3833" s="16" t="s">
        <v>1855</v>
      </c>
      <c r="B3833" s="17" t="s">
        <v>6703</v>
      </c>
      <c r="C3833" s="17" t="s">
        <v>1764</v>
      </c>
      <c r="D3833" s="25" t="s">
        <v>6617</v>
      </c>
      <c r="E3833" s="19" t="s">
        <v>6661</v>
      </c>
      <c r="F3833" s="19" t="s">
        <v>3304</v>
      </c>
      <c r="G3833" s="5" t="str">
        <f>HYPERLINK("http://jsmh.umin.jp/journal/44-2/242-243.pdf")</f>
        <v>http://jsmh.umin.jp/journal/44-2/242-243.pdf</v>
      </c>
      <c r="H3833" s="43" t="str">
        <f t="shared" ref="H3833:H3858" si="253">HYPERLINK("http://dl.ndl.go.jp/info:ndljp/pid/3359359")</f>
        <v>http://dl.ndl.go.jp/info:ndljp/pid/3359359</v>
      </c>
    </row>
    <row r="3834" spans="1:8" ht="30" customHeight="1" x14ac:dyDescent="0.15">
      <c r="A3834" s="16" t="s">
        <v>1855</v>
      </c>
      <c r="B3834" s="17" t="s">
        <v>6704</v>
      </c>
      <c r="C3834" s="17" t="s">
        <v>6705</v>
      </c>
      <c r="D3834" s="25" t="s">
        <v>6617</v>
      </c>
      <c r="E3834" s="19" t="s">
        <v>6661</v>
      </c>
      <c r="F3834" s="19" t="s">
        <v>3307</v>
      </c>
      <c r="G3834" s="5" t="str">
        <f>HYPERLINK("http://jsmh.umin.jp/journal/44-2/244-245.pdf")</f>
        <v>http://jsmh.umin.jp/journal/44-2/244-245.pdf</v>
      </c>
      <c r="H3834" s="43" t="str">
        <f t="shared" si="253"/>
        <v>http://dl.ndl.go.jp/info:ndljp/pid/3359359</v>
      </c>
    </row>
    <row r="3835" spans="1:8" ht="30" customHeight="1" x14ac:dyDescent="0.15">
      <c r="A3835" s="16" t="s">
        <v>1855</v>
      </c>
      <c r="B3835" s="17" t="s">
        <v>6706</v>
      </c>
      <c r="C3835" s="17" t="s">
        <v>6252</v>
      </c>
      <c r="D3835" s="25" t="s">
        <v>6617</v>
      </c>
      <c r="E3835" s="19" t="s">
        <v>6661</v>
      </c>
      <c r="F3835" s="19" t="s">
        <v>3309</v>
      </c>
      <c r="G3835" s="5" t="str">
        <f>HYPERLINK("http://jsmh.umin.jp/journal/44-2/246-247.pdf")</f>
        <v>http://jsmh.umin.jp/journal/44-2/246-247.pdf</v>
      </c>
      <c r="H3835" s="43" t="str">
        <f t="shared" si="253"/>
        <v>http://dl.ndl.go.jp/info:ndljp/pid/3359359</v>
      </c>
    </row>
    <row r="3836" spans="1:8" ht="30" customHeight="1" x14ac:dyDescent="0.15">
      <c r="A3836" s="16" t="s">
        <v>1855</v>
      </c>
      <c r="B3836" s="17" t="s">
        <v>6707</v>
      </c>
      <c r="C3836" s="17" t="s">
        <v>6565</v>
      </c>
      <c r="D3836" s="25" t="s">
        <v>6617</v>
      </c>
      <c r="E3836" s="19" t="s">
        <v>6661</v>
      </c>
      <c r="F3836" s="19" t="s">
        <v>3310</v>
      </c>
      <c r="G3836" s="5" t="str">
        <f>HYPERLINK("http://jsmh.umin.jp/journal/44-2/248-249.pdf")</f>
        <v>http://jsmh.umin.jp/journal/44-2/248-249.pdf</v>
      </c>
      <c r="H3836" s="43" t="str">
        <f t="shared" si="253"/>
        <v>http://dl.ndl.go.jp/info:ndljp/pid/3359359</v>
      </c>
    </row>
    <row r="3837" spans="1:8" ht="30" customHeight="1" x14ac:dyDescent="0.15">
      <c r="A3837" s="16" t="s">
        <v>1855</v>
      </c>
      <c r="B3837" s="17" t="s">
        <v>6708</v>
      </c>
      <c r="C3837" s="17" t="s">
        <v>2071</v>
      </c>
      <c r="D3837" s="25" t="s">
        <v>6617</v>
      </c>
      <c r="E3837" s="19" t="s">
        <v>6661</v>
      </c>
      <c r="F3837" s="19" t="s">
        <v>3313</v>
      </c>
      <c r="G3837" s="5" t="str">
        <f>HYPERLINK("http://jsmh.umin.jp/journal/44-2/250-251.pdf")</f>
        <v>http://jsmh.umin.jp/journal/44-2/250-251.pdf</v>
      </c>
      <c r="H3837" s="43" t="str">
        <f t="shared" si="253"/>
        <v>http://dl.ndl.go.jp/info:ndljp/pid/3359359</v>
      </c>
    </row>
    <row r="3838" spans="1:8" ht="30" customHeight="1" x14ac:dyDescent="0.15">
      <c r="A3838" s="16" t="s">
        <v>1855</v>
      </c>
      <c r="B3838" s="17" t="s">
        <v>6709</v>
      </c>
      <c r="C3838" s="17" t="s">
        <v>5516</v>
      </c>
      <c r="D3838" s="25" t="s">
        <v>6617</v>
      </c>
      <c r="E3838" s="19" t="s">
        <v>6661</v>
      </c>
      <c r="F3838" s="19" t="s">
        <v>4220</v>
      </c>
      <c r="G3838" s="5" t="str">
        <f>HYPERLINK("http://jsmh.umin.jp/journal/44-2/252-253.pdf")</f>
        <v>http://jsmh.umin.jp/journal/44-2/252-253.pdf</v>
      </c>
      <c r="H3838" s="43" t="str">
        <f t="shared" si="253"/>
        <v>http://dl.ndl.go.jp/info:ndljp/pid/3359359</v>
      </c>
    </row>
    <row r="3839" spans="1:8" ht="30" customHeight="1" x14ac:dyDescent="0.15">
      <c r="A3839" s="16" t="s">
        <v>1855</v>
      </c>
      <c r="B3839" s="17" t="s">
        <v>6710</v>
      </c>
      <c r="C3839" s="17" t="s">
        <v>3998</v>
      </c>
      <c r="D3839" s="25" t="s">
        <v>6617</v>
      </c>
      <c r="E3839" s="19" t="s">
        <v>6661</v>
      </c>
      <c r="F3839" s="19" t="s">
        <v>3320</v>
      </c>
      <c r="G3839" s="5" t="str">
        <f>HYPERLINK("http://jsmh.umin.jp/journal/44-2/254-255.pdf")</f>
        <v>http://jsmh.umin.jp/journal/44-2/254-255.pdf</v>
      </c>
      <c r="H3839" s="43" t="str">
        <f t="shared" si="253"/>
        <v>http://dl.ndl.go.jp/info:ndljp/pid/3359359</v>
      </c>
    </row>
    <row r="3840" spans="1:8" ht="30" customHeight="1" x14ac:dyDescent="0.15">
      <c r="A3840" s="16" t="s">
        <v>1855</v>
      </c>
      <c r="B3840" s="17" t="s">
        <v>6711</v>
      </c>
      <c r="C3840" s="17" t="s">
        <v>3644</v>
      </c>
      <c r="D3840" s="25" t="s">
        <v>6617</v>
      </c>
      <c r="E3840" s="19" t="s">
        <v>6661</v>
      </c>
      <c r="F3840" s="19" t="s">
        <v>3325</v>
      </c>
      <c r="G3840" s="5" t="str">
        <f>HYPERLINK("http://jsmh.umin.jp/journal/44-2/256-257.pdf")</f>
        <v>http://jsmh.umin.jp/journal/44-2/256-257.pdf</v>
      </c>
      <c r="H3840" s="43" t="str">
        <f t="shared" si="253"/>
        <v>http://dl.ndl.go.jp/info:ndljp/pid/3359359</v>
      </c>
    </row>
    <row r="3841" spans="1:8" ht="30" customHeight="1" x14ac:dyDescent="0.15">
      <c r="A3841" s="16" t="s">
        <v>1855</v>
      </c>
      <c r="B3841" s="17" t="s">
        <v>6712</v>
      </c>
      <c r="C3841" s="17" t="s">
        <v>2937</v>
      </c>
      <c r="D3841" s="25" t="s">
        <v>6617</v>
      </c>
      <c r="E3841" s="19" t="s">
        <v>6661</v>
      </c>
      <c r="F3841" s="19" t="s">
        <v>1011</v>
      </c>
      <c r="G3841" s="5" t="str">
        <f>HYPERLINK("http://jsmh.umin.jp/journal/44-2/258-259.pdf")</f>
        <v>http://jsmh.umin.jp/journal/44-2/258-259.pdf</v>
      </c>
      <c r="H3841" s="43" t="str">
        <f t="shared" si="253"/>
        <v>http://dl.ndl.go.jp/info:ndljp/pid/3359359</v>
      </c>
    </row>
    <row r="3842" spans="1:8" ht="30" customHeight="1" x14ac:dyDescent="0.15">
      <c r="A3842" s="16" t="s">
        <v>1855</v>
      </c>
      <c r="B3842" s="17" t="s">
        <v>6713</v>
      </c>
      <c r="C3842" s="17" t="s">
        <v>2969</v>
      </c>
      <c r="D3842" s="25" t="s">
        <v>6617</v>
      </c>
      <c r="E3842" s="19" t="s">
        <v>6661</v>
      </c>
      <c r="F3842" s="19" t="s">
        <v>5477</v>
      </c>
      <c r="G3842" s="5" t="str">
        <f>HYPERLINK("http://jsmh.umin.jp/journal/44-2/260-261.pdf")</f>
        <v>http://jsmh.umin.jp/journal/44-2/260-261.pdf</v>
      </c>
      <c r="H3842" s="43" t="str">
        <f t="shared" si="253"/>
        <v>http://dl.ndl.go.jp/info:ndljp/pid/3359359</v>
      </c>
    </row>
    <row r="3843" spans="1:8" ht="30" customHeight="1" x14ac:dyDescent="0.15">
      <c r="A3843" s="16" t="s">
        <v>1855</v>
      </c>
      <c r="B3843" s="17" t="s">
        <v>6714</v>
      </c>
      <c r="C3843" s="17" t="s">
        <v>6640</v>
      </c>
      <c r="D3843" s="25" t="s">
        <v>6617</v>
      </c>
      <c r="E3843" s="19" t="s">
        <v>6661</v>
      </c>
      <c r="F3843" s="19" t="s">
        <v>4399</v>
      </c>
      <c r="G3843" s="5" t="str">
        <f>HYPERLINK("http://jsmh.umin.jp/journal/44-2/262-263.pdf")</f>
        <v>http://jsmh.umin.jp/journal/44-2/262-263.pdf</v>
      </c>
      <c r="H3843" s="43" t="str">
        <f t="shared" si="253"/>
        <v>http://dl.ndl.go.jp/info:ndljp/pid/3359359</v>
      </c>
    </row>
    <row r="3844" spans="1:8" ht="30" customHeight="1" x14ac:dyDescent="0.15">
      <c r="A3844" s="16" t="s">
        <v>1855</v>
      </c>
      <c r="B3844" s="17" t="s">
        <v>6715</v>
      </c>
      <c r="C3844" s="17" t="s">
        <v>5837</v>
      </c>
      <c r="D3844" s="25" t="s">
        <v>6617</v>
      </c>
      <c r="E3844" s="19" t="s">
        <v>6661</v>
      </c>
      <c r="F3844" s="19" t="s">
        <v>1026</v>
      </c>
      <c r="G3844" s="5" t="str">
        <f>HYPERLINK("http://jsmh.umin.jp/journal/44-2/264-265.pdf")</f>
        <v>http://jsmh.umin.jp/journal/44-2/264-265.pdf</v>
      </c>
      <c r="H3844" s="43" t="str">
        <f t="shared" si="253"/>
        <v>http://dl.ndl.go.jp/info:ndljp/pid/3359359</v>
      </c>
    </row>
    <row r="3845" spans="1:8" ht="30" customHeight="1" x14ac:dyDescent="0.15">
      <c r="A3845" s="16" t="s">
        <v>1855</v>
      </c>
      <c r="B3845" s="17" t="s">
        <v>6716</v>
      </c>
      <c r="C3845" s="17" t="s">
        <v>672</v>
      </c>
      <c r="D3845" s="25" t="s">
        <v>6617</v>
      </c>
      <c r="E3845" s="19" t="s">
        <v>6661</v>
      </c>
      <c r="F3845" s="19" t="s">
        <v>6042</v>
      </c>
      <c r="G3845" s="5" t="str">
        <f>HYPERLINK("http://jsmh.umin.jp/journal/44-2/266-267.pdf")</f>
        <v>http://jsmh.umin.jp/journal/44-2/266-267.pdf</v>
      </c>
      <c r="H3845" s="43" t="str">
        <f t="shared" si="253"/>
        <v>http://dl.ndl.go.jp/info:ndljp/pid/3359359</v>
      </c>
    </row>
    <row r="3846" spans="1:8" ht="30" customHeight="1" x14ac:dyDescent="0.15">
      <c r="A3846" s="16" t="s">
        <v>1855</v>
      </c>
      <c r="B3846" s="17" t="s">
        <v>6717</v>
      </c>
      <c r="C3846" s="17" t="s">
        <v>6718</v>
      </c>
      <c r="D3846" s="25" t="s">
        <v>6617</v>
      </c>
      <c r="E3846" s="19" t="s">
        <v>6661</v>
      </c>
      <c r="F3846" s="19" t="s">
        <v>3486</v>
      </c>
      <c r="G3846" s="5" t="str">
        <f>HYPERLINK("http://jsmh.umin.jp/journal/44-2/268-269.pdf")</f>
        <v>http://jsmh.umin.jp/journal/44-2/268-269.pdf</v>
      </c>
      <c r="H3846" s="43" t="str">
        <f t="shared" si="253"/>
        <v>http://dl.ndl.go.jp/info:ndljp/pid/3359359</v>
      </c>
    </row>
    <row r="3847" spans="1:8" ht="30" customHeight="1" x14ac:dyDescent="0.15">
      <c r="A3847" s="16" t="s">
        <v>1855</v>
      </c>
      <c r="B3847" s="17" t="s">
        <v>6719</v>
      </c>
      <c r="C3847" s="17" t="s">
        <v>6267</v>
      </c>
      <c r="D3847" s="25" t="s">
        <v>6617</v>
      </c>
      <c r="E3847" s="19" t="s">
        <v>6661</v>
      </c>
      <c r="F3847" s="19" t="s">
        <v>1893</v>
      </c>
      <c r="G3847" s="5" t="str">
        <f>HYPERLINK("http://jsmh.umin.jp/journal/44-2/270-271.pdf")</f>
        <v>http://jsmh.umin.jp/journal/44-2/270-271.pdf</v>
      </c>
      <c r="H3847" s="43" t="str">
        <f t="shared" si="253"/>
        <v>http://dl.ndl.go.jp/info:ndljp/pid/3359359</v>
      </c>
    </row>
    <row r="3848" spans="1:8" ht="30" customHeight="1" x14ac:dyDescent="0.15">
      <c r="A3848" s="16" t="s">
        <v>1855</v>
      </c>
      <c r="B3848" s="17" t="s">
        <v>6720</v>
      </c>
      <c r="C3848" s="17" t="s">
        <v>48</v>
      </c>
      <c r="D3848" s="25" t="s">
        <v>6617</v>
      </c>
      <c r="E3848" s="19" t="s">
        <v>6661</v>
      </c>
      <c r="F3848" s="19" t="s">
        <v>1895</v>
      </c>
      <c r="G3848" s="5" t="str">
        <f>HYPERLINK("http://jsmh.umin.jp/journal/44-2/272-273.pdf")</f>
        <v>http://jsmh.umin.jp/journal/44-2/272-273.pdf</v>
      </c>
      <c r="H3848" s="43" t="str">
        <f t="shared" si="253"/>
        <v>http://dl.ndl.go.jp/info:ndljp/pid/3359359</v>
      </c>
    </row>
    <row r="3849" spans="1:8" ht="30" customHeight="1" x14ac:dyDescent="0.15">
      <c r="A3849" s="16" t="s">
        <v>1855</v>
      </c>
      <c r="B3849" s="17" t="s">
        <v>6721</v>
      </c>
      <c r="C3849" s="17" t="s">
        <v>6722</v>
      </c>
      <c r="D3849" s="25" t="s">
        <v>6617</v>
      </c>
      <c r="E3849" s="19" t="s">
        <v>6661</v>
      </c>
      <c r="F3849" s="19" t="s">
        <v>1899</v>
      </c>
      <c r="G3849" s="5" t="str">
        <f>HYPERLINK("http://jsmh.umin.jp/journal/44-2/274-275.pdf")</f>
        <v>http://jsmh.umin.jp/journal/44-2/274-275.pdf</v>
      </c>
      <c r="H3849" s="43" t="str">
        <f t="shared" si="253"/>
        <v>http://dl.ndl.go.jp/info:ndljp/pid/3359359</v>
      </c>
    </row>
    <row r="3850" spans="1:8" ht="30" customHeight="1" x14ac:dyDescent="0.15">
      <c r="A3850" s="16" t="s">
        <v>1855</v>
      </c>
      <c r="B3850" s="17" t="s">
        <v>6723</v>
      </c>
      <c r="C3850" s="17" t="s">
        <v>790</v>
      </c>
      <c r="D3850" s="25" t="s">
        <v>6617</v>
      </c>
      <c r="E3850" s="19" t="s">
        <v>6661</v>
      </c>
      <c r="F3850" s="19" t="s">
        <v>5706</v>
      </c>
      <c r="G3850" s="5" t="str">
        <f>HYPERLINK("http://jsmh.umin.jp/journal/44-2/276-277.pdf")</f>
        <v>http://jsmh.umin.jp/journal/44-2/276-277.pdf</v>
      </c>
      <c r="H3850" s="43" t="str">
        <f t="shared" si="253"/>
        <v>http://dl.ndl.go.jp/info:ndljp/pid/3359359</v>
      </c>
    </row>
    <row r="3851" spans="1:8" ht="30" customHeight="1" x14ac:dyDescent="0.15">
      <c r="A3851" s="16" t="s">
        <v>1855</v>
      </c>
      <c r="B3851" s="17" t="s">
        <v>6724</v>
      </c>
      <c r="C3851" s="17" t="s">
        <v>6725</v>
      </c>
      <c r="D3851" s="25" t="s">
        <v>6617</v>
      </c>
      <c r="E3851" s="19" t="s">
        <v>6661</v>
      </c>
      <c r="F3851" s="19" t="s">
        <v>6050</v>
      </c>
      <c r="G3851" s="5" t="str">
        <f>HYPERLINK("http://jsmh.umin.jp/journal/44-2/278-279.pdf")</f>
        <v>http://jsmh.umin.jp/journal/44-2/278-279.pdf</v>
      </c>
      <c r="H3851" s="43" t="str">
        <f t="shared" si="253"/>
        <v>http://dl.ndl.go.jp/info:ndljp/pid/3359359</v>
      </c>
    </row>
    <row r="3852" spans="1:8" ht="30" customHeight="1" x14ac:dyDescent="0.15">
      <c r="A3852" s="16" t="s">
        <v>1855</v>
      </c>
      <c r="B3852" s="17" t="s">
        <v>6726</v>
      </c>
      <c r="C3852" s="17" t="s">
        <v>5664</v>
      </c>
      <c r="D3852" s="25" t="s">
        <v>6617</v>
      </c>
      <c r="E3852" s="19" t="s">
        <v>6661</v>
      </c>
      <c r="F3852" s="19" t="s">
        <v>1910</v>
      </c>
      <c r="G3852" s="5" t="str">
        <f>HYPERLINK("http://jsmh.umin.jp/journal/44-2/280-281.pdf")</f>
        <v>http://jsmh.umin.jp/journal/44-2/280-281.pdf</v>
      </c>
      <c r="H3852" s="43" t="str">
        <f t="shared" si="253"/>
        <v>http://dl.ndl.go.jp/info:ndljp/pid/3359359</v>
      </c>
    </row>
    <row r="3853" spans="1:8" ht="30" customHeight="1" x14ac:dyDescent="0.15">
      <c r="A3853" s="16" t="s">
        <v>1855</v>
      </c>
      <c r="B3853" s="17" t="s">
        <v>6727</v>
      </c>
      <c r="C3853" s="17" t="s">
        <v>6279</v>
      </c>
      <c r="D3853" s="25" t="s">
        <v>6617</v>
      </c>
      <c r="E3853" s="19" t="s">
        <v>6661</v>
      </c>
      <c r="F3853" s="19" t="s">
        <v>2122</v>
      </c>
      <c r="G3853" s="5" t="str">
        <f>HYPERLINK("http://jsmh.umin.jp/journal/44-2/282-283.pdf")</f>
        <v>http://jsmh.umin.jp/journal/44-2/282-283.pdf</v>
      </c>
      <c r="H3853" s="43" t="str">
        <f t="shared" si="253"/>
        <v>http://dl.ndl.go.jp/info:ndljp/pid/3359359</v>
      </c>
    </row>
    <row r="3854" spans="1:8" ht="30" customHeight="1" x14ac:dyDescent="0.15">
      <c r="A3854" s="16" t="s">
        <v>1855</v>
      </c>
      <c r="B3854" s="17" t="s">
        <v>6728</v>
      </c>
      <c r="C3854" s="17" t="s">
        <v>3312</v>
      </c>
      <c r="D3854" s="25" t="s">
        <v>6617</v>
      </c>
      <c r="E3854" s="19" t="s">
        <v>6661</v>
      </c>
      <c r="F3854" s="19" t="s">
        <v>1918</v>
      </c>
      <c r="G3854" s="5" t="str">
        <f>HYPERLINK("http://jsmh.umin.jp/journal/44-2/284-285.pdf")</f>
        <v>http://jsmh.umin.jp/journal/44-2/284-285.pdf</v>
      </c>
      <c r="H3854" s="43" t="str">
        <f t="shared" si="253"/>
        <v>http://dl.ndl.go.jp/info:ndljp/pid/3359359</v>
      </c>
    </row>
    <row r="3855" spans="1:8" ht="30" customHeight="1" x14ac:dyDescent="0.15">
      <c r="A3855" s="16" t="s">
        <v>1855</v>
      </c>
      <c r="B3855" s="17" t="s">
        <v>6729</v>
      </c>
      <c r="C3855" s="17" t="s">
        <v>6730</v>
      </c>
      <c r="D3855" s="25" t="s">
        <v>6617</v>
      </c>
      <c r="E3855" s="19" t="s">
        <v>6661</v>
      </c>
      <c r="F3855" s="19" t="s">
        <v>1920</v>
      </c>
      <c r="G3855" s="5" t="str">
        <f>HYPERLINK("http://jsmh.umin.jp/journal/44-2/286-287.pdf")</f>
        <v>http://jsmh.umin.jp/journal/44-2/286-287.pdf</v>
      </c>
      <c r="H3855" s="43" t="str">
        <f t="shared" si="253"/>
        <v>http://dl.ndl.go.jp/info:ndljp/pid/3359359</v>
      </c>
    </row>
    <row r="3856" spans="1:8" ht="30" customHeight="1" x14ac:dyDescent="0.15">
      <c r="A3856" s="16" t="s">
        <v>1855</v>
      </c>
      <c r="B3856" s="17" t="s">
        <v>6731</v>
      </c>
      <c r="C3856" s="17" t="s">
        <v>7727</v>
      </c>
      <c r="D3856" s="25" t="s">
        <v>6617</v>
      </c>
      <c r="E3856" s="19" t="s">
        <v>6661</v>
      </c>
      <c r="F3856" s="19" t="s">
        <v>3352</v>
      </c>
      <c r="G3856" s="5" t="str">
        <f>HYPERLINK("http://jsmh.umin.jp/journal/44-2/288-289.pdf")</f>
        <v>http://jsmh.umin.jp/journal/44-2/288-289.pdf</v>
      </c>
      <c r="H3856" s="43" t="str">
        <f t="shared" si="253"/>
        <v>http://dl.ndl.go.jp/info:ndljp/pid/3359359</v>
      </c>
    </row>
    <row r="3857" spans="1:8" ht="30" customHeight="1" x14ac:dyDescent="0.15">
      <c r="A3857" s="16" t="s">
        <v>1855</v>
      </c>
      <c r="B3857" s="17" t="s">
        <v>6732</v>
      </c>
      <c r="C3857" s="17" t="s">
        <v>4848</v>
      </c>
      <c r="D3857" s="25" t="s">
        <v>6617</v>
      </c>
      <c r="E3857" s="19" t="s">
        <v>6661</v>
      </c>
      <c r="F3857" s="19" t="s">
        <v>3504</v>
      </c>
      <c r="G3857" s="5" t="str">
        <f>HYPERLINK("http://jsmh.umin.jp/journal/44-2/290-291.pdf")</f>
        <v>http://jsmh.umin.jp/journal/44-2/290-291.pdf</v>
      </c>
      <c r="H3857" s="43" t="str">
        <f t="shared" si="253"/>
        <v>http://dl.ndl.go.jp/info:ndljp/pid/3359359</v>
      </c>
    </row>
    <row r="3858" spans="1:8" ht="30" customHeight="1" x14ac:dyDescent="0.15">
      <c r="A3858" s="16" t="s">
        <v>1855</v>
      </c>
      <c r="B3858" s="17" t="s">
        <v>6733</v>
      </c>
      <c r="C3858" s="17" t="s">
        <v>6734</v>
      </c>
      <c r="D3858" s="25" t="s">
        <v>6617</v>
      </c>
      <c r="E3858" s="19" t="s">
        <v>6661</v>
      </c>
      <c r="F3858" s="19" t="s">
        <v>1930</v>
      </c>
      <c r="G3858" s="5" t="str">
        <f>HYPERLINK("http://jsmh.umin.jp/journal/44-2/292-293.pdf")</f>
        <v>http://jsmh.umin.jp/journal/44-2/292-293.pdf</v>
      </c>
      <c r="H3858" s="43" t="str">
        <f t="shared" si="253"/>
        <v>http://dl.ndl.go.jp/info:ndljp/pid/3359359</v>
      </c>
    </row>
    <row r="3859" spans="1:8" ht="30" customHeight="1" x14ac:dyDescent="0.15">
      <c r="A3859" s="16" t="s">
        <v>17</v>
      </c>
      <c r="B3859" s="17" t="s">
        <v>6735</v>
      </c>
      <c r="C3859" s="17" t="s">
        <v>6252</v>
      </c>
      <c r="D3859" s="25" t="s">
        <v>6617</v>
      </c>
      <c r="E3859" s="19" t="s">
        <v>6736</v>
      </c>
      <c r="F3859" s="19" t="s">
        <v>4067</v>
      </c>
      <c r="G3859" s="5" t="str">
        <f>HYPERLINK("http://jsmh.umin.jp/journal/44-3/303-316.pdf")</f>
        <v>http://jsmh.umin.jp/journal/44-3/303-316.pdf</v>
      </c>
      <c r="H3859" s="42" t="str">
        <f t="shared" ref="H3859:H3880" si="254">HYPERLINK("http://dl.ndl.go.jp/info:ndljp/pid/3359360")</f>
        <v>http://dl.ndl.go.jp/info:ndljp/pid/3359360</v>
      </c>
    </row>
    <row r="3860" spans="1:8" ht="30" customHeight="1" x14ac:dyDescent="0.15">
      <c r="A3860" s="16" t="s">
        <v>17</v>
      </c>
      <c r="B3860" s="17" t="s">
        <v>6737</v>
      </c>
      <c r="C3860" s="17" t="s">
        <v>4324</v>
      </c>
      <c r="D3860" s="25" t="s">
        <v>6617</v>
      </c>
      <c r="E3860" s="19" t="s">
        <v>6736</v>
      </c>
      <c r="F3860" s="19" t="s">
        <v>6738</v>
      </c>
      <c r="G3860" s="5" t="str">
        <f>HYPERLINK("http://jsmh.umin.jp/journal/44-3/317-350.pdf")</f>
        <v>http://jsmh.umin.jp/journal/44-3/317-350.pdf</v>
      </c>
      <c r="H3860" s="43" t="str">
        <f t="shared" si="254"/>
        <v>http://dl.ndl.go.jp/info:ndljp/pid/3359360</v>
      </c>
    </row>
    <row r="3861" spans="1:8" ht="30" customHeight="1" x14ac:dyDescent="0.15">
      <c r="A3861" s="16" t="s">
        <v>17</v>
      </c>
      <c r="B3861" s="17" t="s">
        <v>6739</v>
      </c>
      <c r="C3861" s="17" t="s">
        <v>3644</v>
      </c>
      <c r="D3861" s="25" t="s">
        <v>6617</v>
      </c>
      <c r="E3861" s="19" t="s">
        <v>6736</v>
      </c>
      <c r="F3861" s="19" t="s">
        <v>6740</v>
      </c>
      <c r="G3861" s="5" t="str">
        <f>HYPERLINK("http://jsmh.umin.jp/journal/44-3/351-368.pdf")</f>
        <v>http://jsmh.umin.jp/journal/44-3/351-368.pdf</v>
      </c>
      <c r="H3861" s="43" t="str">
        <f t="shared" si="254"/>
        <v>http://dl.ndl.go.jp/info:ndljp/pid/3359360</v>
      </c>
    </row>
    <row r="3862" spans="1:8" ht="30" customHeight="1" x14ac:dyDescent="0.15">
      <c r="A3862" s="16" t="s">
        <v>17</v>
      </c>
      <c r="B3862" s="17" t="s">
        <v>6741</v>
      </c>
      <c r="C3862" s="17" t="s">
        <v>2937</v>
      </c>
      <c r="D3862" s="25" t="s">
        <v>6617</v>
      </c>
      <c r="E3862" s="19" t="s">
        <v>6736</v>
      </c>
      <c r="F3862" s="19" t="s">
        <v>6742</v>
      </c>
      <c r="G3862" s="5" t="str">
        <f>HYPERLINK("http://jsmh.umin.jp/journal/44-3/369-354.pdf")</f>
        <v>http://jsmh.umin.jp/journal/44-3/369-354.pdf</v>
      </c>
      <c r="H3862" s="43" t="str">
        <f t="shared" si="254"/>
        <v>http://dl.ndl.go.jp/info:ndljp/pid/3359360</v>
      </c>
    </row>
    <row r="3863" spans="1:8" ht="30" customHeight="1" x14ac:dyDescent="0.15">
      <c r="A3863" s="16" t="s">
        <v>3387</v>
      </c>
      <c r="B3863" s="17" t="s">
        <v>10272</v>
      </c>
      <c r="C3863" s="17" t="s">
        <v>6743</v>
      </c>
      <c r="D3863" s="25" t="s">
        <v>6617</v>
      </c>
      <c r="E3863" s="19" t="s">
        <v>6736</v>
      </c>
      <c r="F3863" s="19" t="s">
        <v>6744</v>
      </c>
      <c r="G3863" s="5" t="str">
        <f>HYPERLINK("http://jsmh.umin.jp/journal/44-3/385-398.pdf")</f>
        <v>http://jsmh.umin.jp/journal/44-3/385-398.pdf</v>
      </c>
      <c r="H3863" s="43" t="str">
        <f t="shared" si="254"/>
        <v>http://dl.ndl.go.jp/info:ndljp/pid/3359360</v>
      </c>
    </row>
    <row r="3864" spans="1:8" ht="30" customHeight="1" x14ac:dyDescent="0.15">
      <c r="A3864" s="16" t="s">
        <v>4265</v>
      </c>
      <c r="B3864" s="17" t="s">
        <v>6745</v>
      </c>
      <c r="C3864" s="17" t="s">
        <v>3644</v>
      </c>
      <c r="D3864" s="25" t="s">
        <v>6617</v>
      </c>
      <c r="E3864" s="19" t="s">
        <v>6736</v>
      </c>
      <c r="F3864" s="19" t="s">
        <v>6746</v>
      </c>
      <c r="G3864" s="5" t="str">
        <f>HYPERLINK("http://jsmh.umin.jp/journal/44-3/397-407.pdf")</f>
        <v>http://jsmh.umin.jp/journal/44-3/397-407.pdf</v>
      </c>
      <c r="H3864" s="43" t="str">
        <f t="shared" si="254"/>
        <v>http://dl.ndl.go.jp/info:ndljp/pid/3359360</v>
      </c>
    </row>
    <row r="3865" spans="1:8" ht="30" customHeight="1" x14ac:dyDescent="0.15">
      <c r="A3865" s="16" t="s">
        <v>692</v>
      </c>
      <c r="B3865" s="17" t="s">
        <v>6747</v>
      </c>
      <c r="C3865" s="17" t="s">
        <v>6139</v>
      </c>
      <c r="D3865" s="25" t="s">
        <v>6617</v>
      </c>
      <c r="E3865" s="19" t="s">
        <v>6736</v>
      </c>
      <c r="F3865" s="19" t="s">
        <v>6748</v>
      </c>
      <c r="G3865" s="5" t="str">
        <f>HYPERLINK("http://jsmh.umin.jp/journal/44-3/409-414.pdf")</f>
        <v>http://jsmh.umin.jp/journal/44-3/409-414.pdf</v>
      </c>
      <c r="H3865" s="43" t="str">
        <f t="shared" si="254"/>
        <v>http://dl.ndl.go.jp/info:ndljp/pid/3359360</v>
      </c>
    </row>
    <row r="3866" spans="1:8" ht="30" customHeight="1" x14ac:dyDescent="0.15">
      <c r="A3866" s="16" t="s">
        <v>692</v>
      </c>
      <c r="B3866" s="17" t="s">
        <v>6749</v>
      </c>
      <c r="C3866" s="17" t="s">
        <v>4870</v>
      </c>
      <c r="D3866" s="25" t="s">
        <v>6617</v>
      </c>
      <c r="E3866" s="19" t="s">
        <v>6736</v>
      </c>
      <c r="F3866" s="19" t="s">
        <v>6750</v>
      </c>
      <c r="G3866" s="5" t="str">
        <f>HYPERLINK("http://jsmh.umin.jp/journal/44-3/415-418.pdf")</f>
        <v>http://jsmh.umin.jp/journal/44-3/415-418.pdf</v>
      </c>
      <c r="H3866" s="43" t="str">
        <f t="shared" si="254"/>
        <v>http://dl.ndl.go.jp/info:ndljp/pid/3359360</v>
      </c>
    </row>
    <row r="3867" spans="1:8" ht="30" customHeight="1" x14ac:dyDescent="0.15">
      <c r="A3867" s="16" t="s">
        <v>692</v>
      </c>
      <c r="B3867" s="17" t="s">
        <v>6751</v>
      </c>
      <c r="C3867" s="17" t="s">
        <v>2465</v>
      </c>
      <c r="D3867" s="25" t="s">
        <v>6617</v>
      </c>
      <c r="E3867" s="19" t="s">
        <v>6736</v>
      </c>
      <c r="F3867" s="19" t="s">
        <v>6752</v>
      </c>
      <c r="G3867" s="5" t="str">
        <f>HYPERLINK("http://jsmh.umin.jp/journal/44-3/419-423.pdf")</f>
        <v>http://jsmh.umin.jp/journal/44-3/419-423.pdf</v>
      </c>
      <c r="H3867" s="43" t="str">
        <f t="shared" si="254"/>
        <v>http://dl.ndl.go.jp/info:ndljp/pid/3359360</v>
      </c>
    </row>
    <row r="3868" spans="1:8" ht="30" customHeight="1" x14ac:dyDescent="0.15">
      <c r="A3868" s="16" t="s">
        <v>558</v>
      </c>
      <c r="B3868" s="17" t="s">
        <v>6753</v>
      </c>
      <c r="C3868" s="17" t="s">
        <v>6640</v>
      </c>
      <c r="D3868" s="25" t="s">
        <v>6617</v>
      </c>
      <c r="E3868" s="19" t="s">
        <v>6736</v>
      </c>
      <c r="F3868" s="19" t="s">
        <v>4462</v>
      </c>
      <c r="G3868" s="5" t="str">
        <f>HYPERLINK("http://jsmh.umin.jp/journal/44-3/427-428.pdf")</f>
        <v>http://jsmh.umin.jp/journal/44-3/427-428.pdf</v>
      </c>
      <c r="H3868" s="43" t="str">
        <f t="shared" si="254"/>
        <v>http://dl.ndl.go.jp/info:ndljp/pid/3359360</v>
      </c>
    </row>
    <row r="3869" spans="1:8" ht="30" customHeight="1" x14ac:dyDescent="0.15">
      <c r="A3869" s="16" t="s">
        <v>558</v>
      </c>
      <c r="B3869" s="17" t="s">
        <v>6754</v>
      </c>
      <c r="C3869" s="17" t="s">
        <v>3998</v>
      </c>
      <c r="D3869" s="25" t="s">
        <v>6617</v>
      </c>
      <c r="E3869" s="19" t="s">
        <v>6736</v>
      </c>
      <c r="F3869" s="19" t="s">
        <v>10581</v>
      </c>
      <c r="G3869" s="26" t="str">
        <f>HYPERLINK("http://jsmh.umin.jp/journal/44-3/428.pdf")</f>
        <v>http://jsmh.umin.jp/journal/44-3/428.pdf</v>
      </c>
      <c r="H3869" s="43" t="str">
        <f t="shared" si="254"/>
        <v>http://dl.ndl.go.jp/info:ndljp/pid/3359360</v>
      </c>
    </row>
    <row r="3870" spans="1:8" ht="30" customHeight="1" x14ac:dyDescent="0.15">
      <c r="A3870" s="16" t="s">
        <v>558</v>
      </c>
      <c r="B3870" s="17" t="s">
        <v>6755</v>
      </c>
      <c r="C3870" s="17" t="s">
        <v>479</v>
      </c>
      <c r="D3870" s="25" t="s">
        <v>6617</v>
      </c>
      <c r="E3870" s="19" t="s">
        <v>6736</v>
      </c>
      <c r="F3870" s="19" t="s">
        <v>10582</v>
      </c>
      <c r="G3870" s="26" t="str">
        <f>HYPERLINK("http://jsmh.umin.jp/journal/44-3/429.pdf")</f>
        <v>http://jsmh.umin.jp/journal/44-3/429.pdf</v>
      </c>
      <c r="H3870" s="43" t="str">
        <f t="shared" si="254"/>
        <v>http://dl.ndl.go.jp/info:ndljp/pid/3359360</v>
      </c>
    </row>
    <row r="3871" spans="1:8" ht="30" customHeight="1" x14ac:dyDescent="0.15">
      <c r="A3871" s="16" t="s">
        <v>558</v>
      </c>
      <c r="B3871" s="17" t="s">
        <v>6756</v>
      </c>
      <c r="C3871" s="17" t="s">
        <v>479</v>
      </c>
      <c r="D3871" s="25" t="s">
        <v>6617</v>
      </c>
      <c r="E3871" s="19" t="s">
        <v>6736</v>
      </c>
      <c r="F3871" s="19" t="s">
        <v>10583</v>
      </c>
      <c r="G3871" s="26" t="str">
        <f>HYPERLINK("http://jsmh.umin.jp/journal/44-3/430.pdf")</f>
        <v>http://jsmh.umin.jp/journal/44-3/430.pdf</v>
      </c>
      <c r="H3871" s="43" t="str">
        <f t="shared" si="254"/>
        <v>http://dl.ndl.go.jp/info:ndljp/pid/3359360</v>
      </c>
    </row>
    <row r="3872" spans="1:8" ht="30" customHeight="1" x14ac:dyDescent="0.15">
      <c r="A3872" s="16" t="s">
        <v>3720</v>
      </c>
      <c r="B3872" s="17" t="s">
        <v>6757</v>
      </c>
      <c r="C3872" s="17" t="s">
        <v>4085</v>
      </c>
      <c r="D3872" s="25" t="s">
        <v>6617</v>
      </c>
      <c r="E3872" s="19" t="s">
        <v>6736</v>
      </c>
      <c r="F3872" s="19" t="s">
        <v>6758</v>
      </c>
      <c r="G3872" s="5" t="str">
        <f>HYPERLINK("http://jsmh.umin.jp/journal/44-3/430-432.pdf")</f>
        <v>http://jsmh.umin.jp/journal/44-3/430-432.pdf</v>
      </c>
      <c r="H3872" s="43" t="str">
        <f t="shared" si="254"/>
        <v>http://dl.ndl.go.jp/info:ndljp/pid/3359360</v>
      </c>
    </row>
    <row r="3873" spans="1:8" ht="30" customHeight="1" x14ac:dyDescent="0.15">
      <c r="A3873" s="16" t="s">
        <v>3720</v>
      </c>
      <c r="B3873" s="17" t="s">
        <v>6759</v>
      </c>
      <c r="C3873" s="17" t="s">
        <v>5660</v>
      </c>
      <c r="D3873" s="25" t="s">
        <v>6617</v>
      </c>
      <c r="E3873" s="19" t="s">
        <v>6736</v>
      </c>
      <c r="F3873" s="19" t="s">
        <v>6760</v>
      </c>
      <c r="G3873" s="5" t="str">
        <f>HYPERLINK("http://jsmh.umin.jp/journal/44-3/432-434.pdf")</f>
        <v>http://jsmh.umin.jp/journal/44-3/432-434.pdf</v>
      </c>
      <c r="H3873" s="43" t="str">
        <f t="shared" si="254"/>
        <v>http://dl.ndl.go.jp/info:ndljp/pid/3359360</v>
      </c>
    </row>
    <row r="3874" spans="1:8" ht="30" customHeight="1" x14ac:dyDescent="0.15">
      <c r="A3874" s="16" t="s">
        <v>3720</v>
      </c>
      <c r="B3874" s="17" t="s">
        <v>6761</v>
      </c>
      <c r="C3874" s="17" t="s">
        <v>4585</v>
      </c>
      <c r="D3874" s="25" t="s">
        <v>6617</v>
      </c>
      <c r="E3874" s="19" t="s">
        <v>6736</v>
      </c>
      <c r="F3874" s="19" t="s">
        <v>6317</v>
      </c>
      <c r="G3874" s="5" t="str">
        <f>HYPERLINK("http://jsmh.umin.jp/journal/44-3/434-435.pdf")</f>
        <v>http://jsmh.umin.jp/journal/44-3/434-435.pdf</v>
      </c>
      <c r="H3874" s="43" t="str">
        <f t="shared" si="254"/>
        <v>http://dl.ndl.go.jp/info:ndljp/pid/3359360</v>
      </c>
    </row>
    <row r="3875" spans="1:8" ht="30" customHeight="1" x14ac:dyDescent="0.15">
      <c r="A3875" s="16" t="s">
        <v>3720</v>
      </c>
      <c r="B3875" s="17" t="s">
        <v>6762</v>
      </c>
      <c r="C3875" s="17" t="s">
        <v>4085</v>
      </c>
      <c r="D3875" s="25" t="s">
        <v>6617</v>
      </c>
      <c r="E3875" s="19" t="s">
        <v>6736</v>
      </c>
      <c r="F3875" s="19" t="s">
        <v>6107</v>
      </c>
      <c r="G3875" s="5" t="str">
        <f>HYPERLINK("http://jsmh.umin.jp/journal/44-3/436-437.pdf")</f>
        <v>http://jsmh.umin.jp/journal/44-3/436-437.pdf</v>
      </c>
      <c r="H3875" s="43" t="str">
        <f t="shared" si="254"/>
        <v>http://dl.ndl.go.jp/info:ndljp/pid/3359360</v>
      </c>
    </row>
    <row r="3876" spans="1:8" ht="30" customHeight="1" x14ac:dyDescent="0.15">
      <c r="A3876" s="16" t="s">
        <v>3720</v>
      </c>
      <c r="B3876" s="17" t="s">
        <v>6763</v>
      </c>
      <c r="C3876" s="17" t="s">
        <v>3655</v>
      </c>
      <c r="D3876" s="25" t="s">
        <v>6617</v>
      </c>
      <c r="E3876" s="19" t="s">
        <v>6736</v>
      </c>
      <c r="F3876" s="19" t="s">
        <v>6109</v>
      </c>
      <c r="G3876" s="5" t="str">
        <f>HYPERLINK("http://jsmh.umin.jp/journal/44-3/437-438.pdf")</f>
        <v>http://jsmh.umin.jp/journal/44-3/437-438.pdf</v>
      </c>
      <c r="H3876" s="43" t="str">
        <f t="shared" si="254"/>
        <v>http://dl.ndl.go.jp/info:ndljp/pid/3359360</v>
      </c>
    </row>
    <row r="3877" spans="1:8" ht="30" customHeight="1" x14ac:dyDescent="0.15">
      <c r="A3877" s="16" t="s">
        <v>2990</v>
      </c>
      <c r="B3877" s="17" t="s">
        <v>6764</v>
      </c>
      <c r="C3877" s="17" t="s">
        <v>916</v>
      </c>
      <c r="D3877" s="25" t="s">
        <v>6617</v>
      </c>
      <c r="E3877" s="19" t="s">
        <v>6736</v>
      </c>
      <c r="F3877" s="19" t="s">
        <v>6110</v>
      </c>
      <c r="G3877" s="5" t="str">
        <f>HYPERLINK("http://jsmh.umin.jp/journal/44-3/439-440.pdf")</f>
        <v>http://jsmh.umin.jp/journal/44-3/439-440.pdf</v>
      </c>
      <c r="H3877" s="43" t="str">
        <f t="shared" si="254"/>
        <v>http://dl.ndl.go.jp/info:ndljp/pid/3359360</v>
      </c>
    </row>
    <row r="3878" spans="1:8" ht="30" customHeight="1" x14ac:dyDescent="0.15">
      <c r="A3878" s="16" t="s">
        <v>2990</v>
      </c>
      <c r="B3878" s="17" t="s">
        <v>6765</v>
      </c>
      <c r="C3878" s="17" t="s">
        <v>5940</v>
      </c>
      <c r="D3878" s="25" t="s">
        <v>6617</v>
      </c>
      <c r="E3878" s="19" t="s">
        <v>6736</v>
      </c>
      <c r="F3878" s="19" t="s">
        <v>6112</v>
      </c>
      <c r="G3878" s="5" t="str">
        <f>HYPERLINK("http://jsmh.umin.jp/journal/44-3/440-441.pdf")</f>
        <v>http://jsmh.umin.jp/journal/44-3/440-441.pdf</v>
      </c>
      <c r="H3878" s="43" t="str">
        <f t="shared" si="254"/>
        <v>http://dl.ndl.go.jp/info:ndljp/pid/3359360</v>
      </c>
    </row>
    <row r="3879" spans="1:8" ht="30" customHeight="1" x14ac:dyDescent="0.15">
      <c r="A3879" s="16" t="s">
        <v>2990</v>
      </c>
      <c r="B3879" s="17" t="s">
        <v>6766</v>
      </c>
      <c r="C3879" s="17" t="s">
        <v>1929</v>
      </c>
      <c r="D3879" s="25" t="s">
        <v>6617</v>
      </c>
      <c r="E3879" s="19" t="s">
        <v>6736</v>
      </c>
      <c r="F3879" s="19" t="s">
        <v>6767</v>
      </c>
      <c r="G3879" s="5" t="str">
        <f>HYPERLINK("http://jsmh.umin.jp/journal/44-3/441-443.pdf")</f>
        <v>http://jsmh.umin.jp/journal/44-3/441-443.pdf</v>
      </c>
      <c r="H3879" s="43" t="str">
        <f t="shared" si="254"/>
        <v>http://dl.ndl.go.jp/info:ndljp/pid/3359360</v>
      </c>
    </row>
    <row r="3880" spans="1:8" ht="30" customHeight="1" x14ac:dyDescent="0.15">
      <c r="A3880" s="16" t="s">
        <v>2990</v>
      </c>
      <c r="B3880" s="17" t="s">
        <v>10273</v>
      </c>
      <c r="C3880" s="17" t="s">
        <v>925</v>
      </c>
      <c r="D3880" s="25" t="s">
        <v>6617</v>
      </c>
      <c r="E3880" s="19" t="s">
        <v>6736</v>
      </c>
      <c r="F3880" s="19" t="s">
        <v>6116</v>
      </c>
      <c r="G3880" s="5" t="str">
        <f>HYPERLINK("http://jsmh.umin.jp/journal/44-3/443-444.pdf")</f>
        <v>http://jsmh.umin.jp/journal/44-3/443-444.pdf</v>
      </c>
      <c r="H3880" s="43" t="str">
        <f t="shared" si="254"/>
        <v>http://dl.ndl.go.jp/info:ndljp/pid/3359360</v>
      </c>
    </row>
    <row r="3881" spans="1:8" ht="30" customHeight="1" x14ac:dyDescent="0.15">
      <c r="A3881" s="16" t="s">
        <v>17</v>
      </c>
      <c r="B3881" s="17" t="s">
        <v>6768</v>
      </c>
      <c r="C3881" s="17" t="s">
        <v>3655</v>
      </c>
      <c r="D3881" s="25" t="s">
        <v>6617</v>
      </c>
      <c r="E3881" s="19" t="s">
        <v>6769</v>
      </c>
      <c r="F3881" s="19" t="s">
        <v>6770</v>
      </c>
      <c r="G3881" s="5" t="str">
        <f>HYPERLINK("http://jsmh.umin.jp/journal/44-4/451-480.pdf")</f>
        <v>http://jsmh.umin.jp/journal/44-4/451-480.pdf</v>
      </c>
      <c r="H3881" s="42" t="str">
        <f t="shared" ref="H3881:H3896" si="255">HYPERLINK("http://dl.ndl.go.jp/info:ndljp/pid/3359361")</f>
        <v>http://dl.ndl.go.jp/info:ndljp/pid/3359361</v>
      </c>
    </row>
    <row r="3882" spans="1:8" ht="30" customHeight="1" x14ac:dyDescent="0.15">
      <c r="A3882" s="16" t="s">
        <v>17</v>
      </c>
      <c r="B3882" s="17" t="s">
        <v>6771</v>
      </c>
      <c r="C3882" s="17" t="s">
        <v>5569</v>
      </c>
      <c r="D3882" s="25" t="s">
        <v>6617</v>
      </c>
      <c r="E3882" s="19" t="s">
        <v>6769</v>
      </c>
      <c r="F3882" s="19" t="s">
        <v>6772</v>
      </c>
      <c r="G3882" s="5" t="str">
        <f>HYPERLINK("http://jsmh.umin.jp/journal/44-4/481-498.pdf")</f>
        <v>http://jsmh.umin.jp/journal/44-4/481-498.pdf</v>
      </c>
      <c r="H3882" s="43" t="str">
        <f t="shared" si="255"/>
        <v>http://dl.ndl.go.jp/info:ndljp/pid/3359361</v>
      </c>
    </row>
    <row r="3883" spans="1:8" ht="30" customHeight="1" x14ac:dyDescent="0.15">
      <c r="A3883" s="16" t="s">
        <v>17</v>
      </c>
      <c r="B3883" s="17" t="s">
        <v>6773</v>
      </c>
      <c r="C3883" s="17" t="s">
        <v>790</v>
      </c>
      <c r="D3883" s="25" t="s">
        <v>6617</v>
      </c>
      <c r="E3883" s="19" t="s">
        <v>6769</v>
      </c>
      <c r="F3883" s="19" t="s">
        <v>6774</v>
      </c>
      <c r="G3883" s="5" t="str">
        <f>HYPERLINK("http://jsmh.umin.jp/journal/44-4/499-508.pdf")</f>
        <v>http://jsmh.umin.jp/journal/44-4/499-508.pdf</v>
      </c>
      <c r="H3883" s="43" t="str">
        <f t="shared" si="255"/>
        <v>http://dl.ndl.go.jp/info:ndljp/pid/3359361</v>
      </c>
    </row>
    <row r="3884" spans="1:8" ht="30" customHeight="1" x14ac:dyDescent="0.15">
      <c r="A3884" s="16" t="s">
        <v>17</v>
      </c>
      <c r="B3884" s="17" t="s">
        <v>6775</v>
      </c>
      <c r="C3884" s="17" t="s">
        <v>6252</v>
      </c>
      <c r="D3884" s="25" t="s">
        <v>6617</v>
      </c>
      <c r="E3884" s="19" t="s">
        <v>6769</v>
      </c>
      <c r="F3884" s="19" t="s">
        <v>6776</v>
      </c>
      <c r="G3884" s="5" t="str">
        <f>HYPERLINK("http://jsmh.umin.jp/journal/44-4/509-522.pdf")</f>
        <v>http://jsmh.umin.jp/journal/44-4/509-522.pdf</v>
      </c>
      <c r="H3884" s="43" t="str">
        <f t="shared" si="255"/>
        <v>http://dl.ndl.go.jp/info:ndljp/pid/3359361</v>
      </c>
    </row>
    <row r="3885" spans="1:8" ht="30" customHeight="1" x14ac:dyDescent="0.15">
      <c r="A3885" s="16" t="s">
        <v>692</v>
      </c>
      <c r="B3885" s="17" t="s">
        <v>6777</v>
      </c>
      <c r="C3885" s="17" t="s">
        <v>5471</v>
      </c>
      <c r="D3885" s="25" t="s">
        <v>6617</v>
      </c>
      <c r="E3885" s="19" t="s">
        <v>6769</v>
      </c>
      <c r="F3885" s="19" t="s">
        <v>6778</v>
      </c>
      <c r="G3885" s="5" t="str">
        <f>HYPERLINK("http://jsmh.umin.jp/journal/44-4/523-540.pdf")</f>
        <v>http://jsmh.umin.jp/journal/44-4/523-540.pdf</v>
      </c>
      <c r="H3885" s="43" t="str">
        <f t="shared" si="255"/>
        <v>http://dl.ndl.go.jp/info:ndljp/pid/3359361</v>
      </c>
    </row>
    <row r="3886" spans="1:8" ht="30" customHeight="1" x14ac:dyDescent="0.15">
      <c r="A3886" s="16" t="s">
        <v>692</v>
      </c>
      <c r="B3886" s="17" t="s">
        <v>6779</v>
      </c>
      <c r="C3886" s="17" t="s">
        <v>6300</v>
      </c>
      <c r="D3886" s="25" t="s">
        <v>6617</v>
      </c>
      <c r="E3886" s="19" t="s">
        <v>6769</v>
      </c>
      <c r="F3886" s="19" t="s">
        <v>6780</v>
      </c>
      <c r="G3886" s="5" t="str">
        <f>HYPERLINK("http://jsmh.umin.jp/journal/44-4/541-556.pdf")</f>
        <v>http://jsmh.umin.jp/journal/44-4/541-556.pdf</v>
      </c>
      <c r="H3886" s="43" t="str">
        <f t="shared" si="255"/>
        <v>http://dl.ndl.go.jp/info:ndljp/pid/3359361</v>
      </c>
    </row>
    <row r="3887" spans="1:8" ht="30" customHeight="1" x14ac:dyDescent="0.15">
      <c r="A3887" s="16" t="s">
        <v>692</v>
      </c>
      <c r="B3887" s="17" t="s">
        <v>10274</v>
      </c>
      <c r="C3887" s="17" t="s">
        <v>2465</v>
      </c>
      <c r="D3887" s="25" t="s">
        <v>6617</v>
      </c>
      <c r="E3887" s="19" t="s">
        <v>6769</v>
      </c>
      <c r="F3887" s="19" t="s">
        <v>6781</v>
      </c>
      <c r="G3887" s="5" t="str">
        <f>HYPERLINK("http://jsmh.umin.jp/journal/44-4/557-562.pdf")</f>
        <v>http://jsmh.umin.jp/journal/44-4/557-562.pdf</v>
      </c>
      <c r="H3887" s="43" t="str">
        <f t="shared" si="255"/>
        <v>http://dl.ndl.go.jp/info:ndljp/pid/3359361</v>
      </c>
    </row>
    <row r="3888" spans="1:8" ht="30" customHeight="1" x14ac:dyDescent="0.15">
      <c r="A3888" s="16" t="s">
        <v>692</v>
      </c>
      <c r="B3888" s="17" t="s">
        <v>6782</v>
      </c>
      <c r="C3888" s="17" t="s">
        <v>4870</v>
      </c>
      <c r="D3888" s="25" t="s">
        <v>6617</v>
      </c>
      <c r="E3888" s="19" t="s">
        <v>6769</v>
      </c>
      <c r="F3888" s="19" t="s">
        <v>6783</v>
      </c>
      <c r="G3888" s="5" t="str">
        <f>HYPERLINK("http://jsmh.umin.jp/journal/44-4/563-569.pdf")</f>
        <v>http://jsmh.umin.jp/journal/44-4/563-569.pdf</v>
      </c>
      <c r="H3888" s="43" t="str">
        <f t="shared" si="255"/>
        <v>http://dl.ndl.go.jp/info:ndljp/pid/3359361</v>
      </c>
    </row>
    <row r="3889" spans="1:8" ht="30" customHeight="1" x14ac:dyDescent="0.15">
      <c r="A3889" s="16" t="s">
        <v>558</v>
      </c>
      <c r="B3889" s="17" t="s">
        <v>6784</v>
      </c>
      <c r="C3889" s="17" t="s">
        <v>3644</v>
      </c>
      <c r="D3889" s="25" t="s">
        <v>6617</v>
      </c>
      <c r="E3889" s="19" t="s">
        <v>6769</v>
      </c>
      <c r="F3889" s="19" t="s">
        <v>6785</v>
      </c>
      <c r="G3889" s="5" t="str">
        <f>HYPERLINK("http://jsmh.umin.jp/journal/44-4/571-573.pdf")</f>
        <v>http://jsmh.umin.jp/journal/44-4/571-573.pdf</v>
      </c>
      <c r="H3889" s="43" t="str">
        <f t="shared" si="255"/>
        <v>http://dl.ndl.go.jp/info:ndljp/pid/3359361</v>
      </c>
    </row>
    <row r="3890" spans="1:8" ht="30" customHeight="1" x14ac:dyDescent="0.15">
      <c r="A3890" s="16" t="s">
        <v>558</v>
      </c>
      <c r="B3890" s="17" t="s">
        <v>6786</v>
      </c>
      <c r="C3890" s="17" t="s">
        <v>4039</v>
      </c>
      <c r="D3890" s="25" t="s">
        <v>6617</v>
      </c>
      <c r="E3890" s="19" t="s">
        <v>6769</v>
      </c>
      <c r="F3890" s="19" t="s">
        <v>6787</v>
      </c>
      <c r="G3890" s="5" t="str">
        <f>HYPERLINK("http://jsmh.umin.jp/journal/44-4/573-574.pdf")</f>
        <v>http://jsmh.umin.jp/journal/44-4/573-574.pdf</v>
      </c>
      <c r="H3890" s="43" t="str">
        <f t="shared" si="255"/>
        <v>http://dl.ndl.go.jp/info:ndljp/pid/3359361</v>
      </c>
    </row>
    <row r="3891" spans="1:8" ht="30" customHeight="1" x14ac:dyDescent="0.15">
      <c r="A3891" s="16" t="s">
        <v>2990</v>
      </c>
      <c r="B3891" s="17" t="s">
        <v>6788</v>
      </c>
      <c r="C3891" s="17" t="s">
        <v>1097</v>
      </c>
      <c r="D3891" s="25" t="s">
        <v>6617</v>
      </c>
      <c r="E3891" s="19" t="s">
        <v>6769</v>
      </c>
      <c r="F3891" s="19" t="s">
        <v>6789</v>
      </c>
      <c r="G3891" s="5" t="str">
        <f>HYPERLINK("http://jsmh.umin.jp/journal/44-4/574-576.pdf")</f>
        <v>http://jsmh.umin.jp/journal/44-4/574-576.pdf</v>
      </c>
      <c r="H3891" s="43" t="str">
        <f t="shared" si="255"/>
        <v>http://dl.ndl.go.jp/info:ndljp/pid/3359361</v>
      </c>
    </row>
    <row r="3892" spans="1:8" ht="30" customHeight="1" x14ac:dyDescent="0.15">
      <c r="A3892" s="16" t="s">
        <v>2990</v>
      </c>
      <c r="B3892" s="17" t="s">
        <v>6790</v>
      </c>
      <c r="C3892" s="17" t="s">
        <v>5606</v>
      </c>
      <c r="D3892" s="25" t="s">
        <v>6617</v>
      </c>
      <c r="E3892" s="19" t="s">
        <v>6769</v>
      </c>
      <c r="F3892" s="19" t="s">
        <v>6791</v>
      </c>
      <c r="G3892" s="5" t="str">
        <f>HYPERLINK("http://jsmh.umin.jp/journal/44-4/576-577.pdf")</f>
        <v>http://jsmh.umin.jp/journal/44-4/576-577.pdf</v>
      </c>
      <c r="H3892" s="43" t="str">
        <f t="shared" si="255"/>
        <v>http://dl.ndl.go.jp/info:ndljp/pid/3359361</v>
      </c>
    </row>
    <row r="3893" spans="1:8" ht="30" customHeight="1" x14ac:dyDescent="0.15">
      <c r="A3893" s="16" t="s">
        <v>2990</v>
      </c>
      <c r="B3893" s="17" t="s">
        <v>6792</v>
      </c>
      <c r="C3893" s="17" t="s">
        <v>3482</v>
      </c>
      <c r="D3893" s="25" t="s">
        <v>6617</v>
      </c>
      <c r="E3893" s="19" t="s">
        <v>6769</v>
      </c>
      <c r="F3893" s="19" t="s">
        <v>6793</v>
      </c>
      <c r="G3893" s="5" t="str">
        <f>HYPERLINK("http://jsmh.umin.jp/journal/44-4/578-579.pdf")</f>
        <v>http://jsmh.umin.jp/journal/44-4/578-579.pdf</v>
      </c>
      <c r="H3893" s="43" t="str">
        <f t="shared" si="255"/>
        <v>http://dl.ndl.go.jp/info:ndljp/pid/3359361</v>
      </c>
    </row>
    <row r="3894" spans="1:8" ht="30" customHeight="1" x14ac:dyDescent="0.15">
      <c r="A3894" s="16" t="s">
        <v>2990</v>
      </c>
      <c r="B3894" s="17" t="s">
        <v>6794</v>
      </c>
      <c r="C3894" s="17" t="s">
        <v>6795</v>
      </c>
      <c r="D3894" s="25" t="s">
        <v>6617</v>
      </c>
      <c r="E3894" s="19" t="s">
        <v>6769</v>
      </c>
      <c r="F3894" s="19" t="s">
        <v>6796</v>
      </c>
      <c r="G3894" s="5" t="str">
        <f>HYPERLINK("http://jsmh.umin.jp/journal/44-4/579-580.pdf")</f>
        <v>http://jsmh.umin.jp/journal/44-4/579-580.pdf</v>
      </c>
      <c r="H3894" s="43" t="str">
        <f t="shared" si="255"/>
        <v>http://dl.ndl.go.jp/info:ndljp/pid/3359361</v>
      </c>
    </row>
    <row r="3895" spans="1:8" ht="30" customHeight="1" x14ac:dyDescent="0.15">
      <c r="A3895" s="16" t="s">
        <v>2990</v>
      </c>
      <c r="B3895" s="17" t="s">
        <v>6797</v>
      </c>
      <c r="C3895" s="17" t="s">
        <v>6798</v>
      </c>
      <c r="D3895" s="25" t="s">
        <v>6617</v>
      </c>
      <c r="E3895" s="19" t="s">
        <v>6769</v>
      </c>
      <c r="F3895" s="19" t="s">
        <v>6799</v>
      </c>
      <c r="G3895" s="5" t="str">
        <f>HYPERLINK("http://jsmh.umin.jp/journal/44-4/580-582.pdf")</f>
        <v>http://jsmh.umin.jp/journal/44-4/580-582.pdf</v>
      </c>
      <c r="H3895" s="43" t="str">
        <f t="shared" si="255"/>
        <v>http://dl.ndl.go.jp/info:ndljp/pid/3359361</v>
      </c>
    </row>
    <row r="3896" spans="1:8" ht="30" customHeight="1" x14ac:dyDescent="0.15">
      <c r="A3896" s="16" t="s">
        <v>2990</v>
      </c>
      <c r="B3896" s="17" t="s">
        <v>6800</v>
      </c>
      <c r="C3896" s="17" t="s">
        <v>2465</v>
      </c>
      <c r="D3896" s="25" t="s">
        <v>6617</v>
      </c>
      <c r="E3896" s="19" t="s">
        <v>6769</v>
      </c>
      <c r="F3896" s="19" t="s">
        <v>6801</v>
      </c>
      <c r="G3896" s="5" t="str">
        <f>HYPERLINK("http://jsmh.umin.jp/journal/44-4/582-583.pdf")</f>
        <v>http://jsmh.umin.jp/journal/44-4/582-583.pdf</v>
      </c>
      <c r="H3896" s="43" t="str">
        <f t="shared" si="255"/>
        <v>http://dl.ndl.go.jp/info:ndljp/pid/3359361</v>
      </c>
    </row>
    <row r="3897" spans="1:8" ht="30" customHeight="1" x14ac:dyDescent="0.15">
      <c r="A3897" s="16" t="s">
        <v>17</v>
      </c>
      <c r="B3897" s="17" t="s">
        <v>6802</v>
      </c>
      <c r="C3897" s="17" t="s">
        <v>6803</v>
      </c>
      <c r="D3897" s="18" t="s">
        <v>6804</v>
      </c>
      <c r="E3897" s="19" t="s">
        <v>6805</v>
      </c>
      <c r="F3897" s="19" t="s">
        <v>6806</v>
      </c>
      <c r="G3897" s="5" t="str">
        <f>HYPERLINK("http://jsmh.umin.jp/journal/45-1/3-30.pdf")</f>
        <v>http://jsmh.umin.jp/journal/45-1/3-30.pdf</v>
      </c>
      <c r="H3897" s="42" t="str">
        <f t="shared" ref="H3897:H3911" si="256">HYPERLINK("http://dl.ndl.go.jp/info:ndljp/pid/3359362")</f>
        <v>http://dl.ndl.go.jp/info:ndljp/pid/3359362</v>
      </c>
    </row>
    <row r="3898" spans="1:8" ht="30" customHeight="1" x14ac:dyDescent="0.15">
      <c r="A3898" s="16" t="s">
        <v>17</v>
      </c>
      <c r="B3898" s="17" t="s">
        <v>6807</v>
      </c>
      <c r="C3898" s="17" t="s">
        <v>6252</v>
      </c>
      <c r="D3898" s="25" t="s">
        <v>6804</v>
      </c>
      <c r="E3898" s="19" t="s">
        <v>6805</v>
      </c>
      <c r="F3898" s="19" t="s">
        <v>6808</v>
      </c>
      <c r="G3898" s="5" t="str">
        <f>HYPERLINK("http://jsmh.umin.jp/journal/45-1/31-44.pdf")</f>
        <v>http://jsmh.umin.jp/journal/45-1/31-44.pdf</v>
      </c>
      <c r="H3898" s="43" t="str">
        <f t="shared" si="256"/>
        <v>http://dl.ndl.go.jp/info:ndljp/pid/3359362</v>
      </c>
    </row>
    <row r="3899" spans="1:8" ht="30" customHeight="1" x14ac:dyDescent="0.15">
      <c r="A3899" s="16" t="s">
        <v>17</v>
      </c>
      <c r="B3899" s="17" t="s">
        <v>6809</v>
      </c>
      <c r="C3899" s="17" t="s">
        <v>790</v>
      </c>
      <c r="D3899" s="25" t="s">
        <v>6804</v>
      </c>
      <c r="E3899" s="19" t="s">
        <v>6805</v>
      </c>
      <c r="F3899" s="19" t="s">
        <v>6810</v>
      </c>
      <c r="G3899" s="5" t="str">
        <f>HYPERLINK("http://jsmh.umin.jp/journal/45-1/45-76.pdf")</f>
        <v>http://jsmh.umin.jp/journal/45-1/45-76.pdf</v>
      </c>
      <c r="H3899" s="43" t="str">
        <f t="shared" si="256"/>
        <v>http://dl.ndl.go.jp/info:ndljp/pid/3359362</v>
      </c>
    </row>
    <row r="3900" spans="1:8" ht="30" customHeight="1" x14ac:dyDescent="0.15">
      <c r="A3900" s="16" t="s">
        <v>692</v>
      </c>
      <c r="B3900" s="17" t="s">
        <v>6811</v>
      </c>
      <c r="C3900" s="17" t="s">
        <v>6252</v>
      </c>
      <c r="D3900" s="25" t="s">
        <v>6804</v>
      </c>
      <c r="E3900" s="19" t="s">
        <v>6805</v>
      </c>
      <c r="F3900" s="19" t="s">
        <v>6812</v>
      </c>
      <c r="G3900" s="5" t="str">
        <f>HYPERLINK("http://jsmh.umin.jp/journal/45-1/77-84.pdf")</f>
        <v>http://jsmh.umin.jp/journal/45-1/77-84.pdf</v>
      </c>
      <c r="H3900" s="43" t="str">
        <f t="shared" si="256"/>
        <v>http://dl.ndl.go.jp/info:ndljp/pid/3359362</v>
      </c>
    </row>
    <row r="3901" spans="1:8" ht="30" customHeight="1" x14ac:dyDescent="0.15">
      <c r="A3901" s="16" t="s">
        <v>692</v>
      </c>
      <c r="B3901" s="17" t="s">
        <v>10275</v>
      </c>
      <c r="C3901" s="17" t="s">
        <v>10276</v>
      </c>
      <c r="D3901" s="25" t="s">
        <v>6804</v>
      </c>
      <c r="E3901" s="19" t="s">
        <v>6805</v>
      </c>
      <c r="F3901" s="19" t="s">
        <v>6813</v>
      </c>
      <c r="G3901" s="5" t="str">
        <f>HYPERLINK("http://jsmh.umin.jp/journal/45-1/85-98.pdf")</f>
        <v>http://jsmh.umin.jp/journal/45-1/85-98.pdf</v>
      </c>
      <c r="H3901" s="43" t="str">
        <f t="shared" si="256"/>
        <v>http://dl.ndl.go.jp/info:ndljp/pid/3359362</v>
      </c>
    </row>
    <row r="3902" spans="1:8" ht="30" customHeight="1" x14ac:dyDescent="0.15">
      <c r="A3902" s="16" t="s">
        <v>692</v>
      </c>
      <c r="B3902" s="17" t="s">
        <v>6814</v>
      </c>
      <c r="C3902" s="17" t="s">
        <v>4870</v>
      </c>
      <c r="D3902" s="25" t="s">
        <v>6804</v>
      </c>
      <c r="E3902" s="19" t="s">
        <v>6805</v>
      </c>
      <c r="F3902" s="19" t="s">
        <v>6815</v>
      </c>
      <c r="G3902" s="5" t="str">
        <f>HYPERLINK("http://jsmh.umin.jp/journal/45-1/99-109.pdf")</f>
        <v>http://jsmh.umin.jp/journal/45-1/99-109.pdf</v>
      </c>
      <c r="H3902" s="43" t="str">
        <f t="shared" si="256"/>
        <v>http://dl.ndl.go.jp/info:ndljp/pid/3359362</v>
      </c>
    </row>
    <row r="3903" spans="1:8" ht="30" customHeight="1" x14ac:dyDescent="0.15">
      <c r="A3903" s="16" t="s">
        <v>692</v>
      </c>
      <c r="B3903" s="17" t="s">
        <v>6816</v>
      </c>
      <c r="C3903" s="17" t="s">
        <v>6300</v>
      </c>
      <c r="D3903" s="25" t="s">
        <v>6804</v>
      </c>
      <c r="E3903" s="19" t="s">
        <v>6805</v>
      </c>
      <c r="F3903" s="19" t="s">
        <v>6817</v>
      </c>
      <c r="G3903" s="5" t="str">
        <f>HYPERLINK("http://jsmh.umin.jp/journal/45-1/111-123.pdf")</f>
        <v>http://jsmh.umin.jp/journal/45-1/111-123.pdf</v>
      </c>
      <c r="H3903" s="43" t="str">
        <f t="shared" si="256"/>
        <v>http://dl.ndl.go.jp/info:ndljp/pid/3359362</v>
      </c>
    </row>
    <row r="3904" spans="1:8" ht="30" customHeight="1" x14ac:dyDescent="0.15">
      <c r="A3904" s="16" t="s">
        <v>3223</v>
      </c>
      <c r="B3904" s="17" t="s">
        <v>6818</v>
      </c>
      <c r="C3904" s="17" t="s">
        <v>6819</v>
      </c>
      <c r="D3904" s="25" t="s">
        <v>6804</v>
      </c>
      <c r="E3904" s="19" t="s">
        <v>6805</v>
      </c>
      <c r="F3904" s="19" t="s">
        <v>3623</v>
      </c>
      <c r="G3904" s="5" t="str">
        <f>HYPERLINK("http://jsmh.umin.jp/journal/45-1/125-126.pdf")</f>
        <v>http://jsmh.umin.jp/journal/45-1/125-126.pdf</v>
      </c>
      <c r="H3904" s="43" t="str">
        <f t="shared" si="256"/>
        <v>http://dl.ndl.go.jp/info:ndljp/pid/3359362</v>
      </c>
    </row>
    <row r="3905" spans="1:8" ht="30" customHeight="1" x14ac:dyDescent="0.15">
      <c r="A3905" s="16" t="s">
        <v>558</v>
      </c>
      <c r="B3905" s="17" t="s">
        <v>6820</v>
      </c>
      <c r="C3905" s="17" t="s">
        <v>6821</v>
      </c>
      <c r="D3905" s="25" t="s">
        <v>6804</v>
      </c>
      <c r="E3905" s="19" t="s">
        <v>6805</v>
      </c>
      <c r="F3905" s="19" t="s">
        <v>2415</v>
      </c>
      <c r="G3905" s="5" t="str">
        <f>HYPERLINK("http://jsmh.umin.jp/journal/45-1/127-128.pdf")</f>
        <v>http://jsmh.umin.jp/journal/45-1/127-128.pdf</v>
      </c>
      <c r="H3905" s="43" t="str">
        <f t="shared" si="256"/>
        <v>http://dl.ndl.go.jp/info:ndljp/pid/3359362</v>
      </c>
    </row>
    <row r="3906" spans="1:8" ht="30" customHeight="1" x14ac:dyDescent="0.15">
      <c r="A3906" s="16" t="s">
        <v>558</v>
      </c>
      <c r="B3906" s="17" t="s">
        <v>6822</v>
      </c>
      <c r="C3906" s="17" t="s">
        <v>6823</v>
      </c>
      <c r="D3906" s="25" t="s">
        <v>6804</v>
      </c>
      <c r="E3906" s="19" t="s">
        <v>6805</v>
      </c>
      <c r="F3906" s="19" t="s">
        <v>1498</v>
      </c>
      <c r="G3906" s="5" t="str">
        <f>HYPERLINK("http://jsmh.umin.jp/journal/45-1/128-129.pdf")</f>
        <v>http://jsmh.umin.jp/journal/45-1/128-129.pdf</v>
      </c>
      <c r="H3906" s="43" t="str">
        <f t="shared" si="256"/>
        <v>http://dl.ndl.go.jp/info:ndljp/pid/3359362</v>
      </c>
    </row>
    <row r="3907" spans="1:8" ht="30" customHeight="1" x14ac:dyDescent="0.15">
      <c r="A3907" s="16" t="s">
        <v>692</v>
      </c>
      <c r="B3907" s="17" t="s">
        <v>6824</v>
      </c>
      <c r="C3907" s="17" t="s">
        <v>6121</v>
      </c>
      <c r="D3907" s="25" t="s">
        <v>6804</v>
      </c>
      <c r="E3907" s="19" t="s">
        <v>6805</v>
      </c>
      <c r="F3907" s="19" t="s">
        <v>4603</v>
      </c>
      <c r="G3907" s="5" t="str">
        <f>HYPERLINK("http://jsmh.umin.jp/journal/45-1/129-130.pdf")</f>
        <v>http://jsmh.umin.jp/journal/45-1/129-130.pdf</v>
      </c>
      <c r="H3907" s="43" t="str">
        <f t="shared" si="256"/>
        <v>http://dl.ndl.go.jp/info:ndljp/pid/3359362</v>
      </c>
    </row>
    <row r="3908" spans="1:8" ht="30" customHeight="1" x14ac:dyDescent="0.15">
      <c r="A3908" s="16" t="s">
        <v>558</v>
      </c>
      <c r="B3908" s="17" t="s">
        <v>6825</v>
      </c>
      <c r="C3908" s="17" t="s">
        <v>479</v>
      </c>
      <c r="D3908" s="25" t="s">
        <v>6804</v>
      </c>
      <c r="E3908" s="19" t="s">
        <v>6805</v>
      </c>
      <c r="F3908" s="19" t="s">
        <v>2213</v>
      </c>
      <c r="G3908" s="5" t="str">
        <f>HYPERLINK("http://jsmh.umin.jp/journal/45-1/130-131.pdf")</f>
        <v>http://jsmh.umin.jp/journal/45-1/130-131.pdf</v>
      </c>
      <c r="H3908" s="43" t="str">
        <f t="shared" si="256"/>
        <v>http://dl.ndl.go.jp/info:ndljp/pid/3359362</v>
      </c>
    </row>
    <row r="3909" spans="1:8" ht="30" customHeight="1" x14ac:dyDescent="0.15">
      <c r="A3909" s="16" t="s">
        <v>3720</v>
      </c>
      <c r="B3909" s="17" t="s">
        <v>10277</v>
      </c>
      <c r="C3909" s="17" t="s">
        <v>5084</v>
      </c>
      <c r="D3909" s="25" t="s">
        <v>6804</v>
      </c>
      <c r="E3909" s="19" t="s">
        <v>6805</v>
      </c>
      <c r="F3909" s="19" t="s">
        <v>2217</v>
      </c>
      <c r="G3909" s="5" t="str">
        <f>HYPERLINK("http://jsmh.umin.jp/journal/45-1/132-133.pdf")</f>
        <v>http://jsmh.umin.jp/journal/45-1/132-133.pdf</v>
      </c>
      <c r="H3909" s="43" t="str">
        <f t="shared" si="256"/>
        <v>http://dl.ndl.go.jp/info:ndljp/pid/3359362</v>
      </c>
    </row>
    <row r="3910" spans="1:8" ht="30" customHeight="1" x14ac:dyDescent="0.15">
      <c r="A3910" s="16" t="s">
        <v>3720</v>
      </c>
      <c r="B3910" s="17" t="s">
        <v>6826</v>
      </c>
      <c r="C3910" s="17" t="s">
        <v>6568</v>
      </c>
      <c r="D3910" s="25" t="s">
        <v>6804</v>
      </c>
      <c r="E3910" s="19" t="s">
        <v>6805</v>
      </c>
      <c r="F3910" s="19" t="s">
        <v>2425</v>
      </c>
      <c r="G3910" s="5" t="str">
        <f>HYPERLINK("http://jsmh.umin.jp/journal/45-1/134-135.pdf")</f>
        <v>http://jsmh.umin.jp/journal/45-1/134-135.pdf</v>
      </c>
      <c r="H3910" s="43" t="str">
        <f t="shared" si="256"/>
        <v>http://dl.ndl.go.jp/info:ndljp/pid/3359362</v>
      </c>
    </row>
    <row r="3911" spans="1:8" ht="30" customHeight="1" x14ac:dyDescent="0.15">
      <c r="A3911" s="16" t="s">
        <v>2990</v>
      </c>
      <c r="B3911" s="17" t="s">
        <v>6827</v>
      </c>
      <c r="C3911" s="17" t="s">
        <v>10278</v>
      </c>
      <c r="D3911" s="25" t="s">
        <v>6804</v>
      </c>
      <c r="E3911" s="19" t="s">
        <v>6805</v>
      </c>
      <c r="F3911" s="19" t="s">
        <v>1345</v>
      </c>
      <c r="G3911" s="5" t="str">
        <f>HYPERLINK("http://jsmh.umin.jp/journal/45-1/135-136.pdf")</f>
        <v>http://jsmh.umin.jp/journal/45-1/135-136.pdf</v>
      </c>
      <c r="H3911" s="43" t="str">
        <f t="shared" si="256"/>
        <v>http://dl.ndl.go.jp/info:ndljp/pid/3359362</v>
      </c>
    </row>
    <row r="3912" spans="1:8" ht="30" customHeight="1" x14ac:dyDescent="0.15">
      <c r="A3912" s="16" t="s">
        <v>1855</v>
      </c>
      <c r="B3912" s="17" t="s">
        <v>6828</v>
      </c>
      <c r="C3912" s="17" t="s">
        <v>1070</v>
      </c>
      <c r="D3912" s="25" t="s">
        <v>6804</v>
      </c>
      <c r="E3912" s="19" t="s">
        <v>6829</v>
      </c>
      <c r="F3912" s="19" t="s">
        <v>6830</v>
      </c>
      <c r="G3912" s="5" t="str">
        <f>HYPERLINK("http://jsmh.umin.jp/journal/45-2/147-154.pdf")</f>
        <v>http://jsmh.umin.jp/journal/45-2/147-154.pdf</v>
      </c>
      <c r="H3912" s="42" t="str">
        <f t="shared" ref="H3912:H3943" si="257">HYPERLINK("http://dl.ndl.go.jp/info:ndljp/pid/3359363")</f>
        <v>http://dl.ndl.go.jp/info:ndljp/pid/3359363</v>
      </c>
    </row>
    <row r="3913" spans="1:8" ht="30" customHeight="1" x14ac:dyDescent="0.15">
      <c r="A3913" s="16" t="s">
        <v>1855</v>
      </c>
      <c r="B3913" s="17" t="s">
        <v>6831</v>
      </c>
      <c r="C3913" s="17" t="s">
        <v>6832</v>
      </c>
      <c r="D3913" s="25" t="s">
        <v>6804</v>
      </c>
      <c r="E3913" s="19" t="s">
        <v>6829</v>
      </c>
      <c r="F3913" s="19" t="s">
        <v>3651</v>
      </c>
      <c r="G3913" s="5" t="str">
        <f>HYPERLINK("http://jsmh.umin.jp/journal/45-2/155-157.pdf")</f>
        <v>http://jsmh.umin.jp/journal/45-2/155-157.pdf</v>
      </c>
      <c r="H3913" s="43" t="str">
        <f t="shared" si="257"/>
        <v>http://dl.ndl.go.jp/info:ndljp/pid/3359363</v>
      </c>
    </row>
    <row r="3914" spans="1:8" ht="30" customHeight="1" x14ac:dyDescent="0.15">
      <c r="A3914" s="16" t="s">
        <v>1855</v>
      </c>
      <c r="B3914" s="17" t="s">
        <v>6833</v>
      </c>
      <c r="C3914" s="17" t="s">
        <v>5430</v>
      </c>
      <c r="D3914" s="25" t="s">
        <v>6804</v>
      </c>
      <c r="E3914" s="19" t="s">
        <v>6829</v>
      </c>
      <c r="F3914" s="19" t="s">
        <v>4814</v>
      </c>
      <c r="G3914" s="5" t="str">
        <f>HYPERLINK("http://jsmh.umin.jp/journal/45-2/158-159.pdf")</f>
        <v>http://jsmh.umin.jp/journal/45-2/158-159.pdf</v>
      </c>
      <c r="H3914" s="43" t="str">
        <f t="shared" si="257"/>
        <v>http://dl.ndl.go.jp/info:ndljp/pid/3359363</v>
      </c>
    </row>
    <row r="3915" spans="1:8" ht="30" customHeight="1" x14ac:dyDescent="0.15">
      <c r="A3915" s="16" t="s">
        <v>1855</v>
      </c>
      <c r="B3915" s="17" t="s">
        <v>6834</v>
      </c>
      <c r="C3915" s="17" t="s">
        <v>6370</v>
      </c>
      <c r="D3915" s="25" t="s">
        <v>6804</v>
      </c>
      <c r="E3915" s="19" t="s">
        <v>6829</v>
      </c>
      <c r="F3915" s="19" t="s">
        <v>2546</v>
      </c>
      <c r="G3915" s="5" t="str">
        <f>HYPERLINK("http://jsmh.umin.jp/journal/45-2/160-161.pdf")</f>
        <v>http://jsmh.umin.jp/journal/45-2/160-161.pdf</v>
      </c>
      <c r="H3915" s="43" t="str">
        <f t="shared" si="257"/>
        <v>http://dl.ndl.go.jp/info:ndljp/pid/3359363</v>
      </c>
    </row>
    <row r="3916" spans="1:8" ht="30" customHeight="1" x14ac:dyDescent="0.15">
      <c r="A3916" s="16" t="s">
        <v>1855</v>
      </c>
      <c r="B3916" s="17" t="s">
        <v>6835</v>
      </c>
      <c r="C3916" s="17" t="s">
        <v>6300</v>
      </c>
      <c r="D3916" s="25" t="s">
        <v>6804</v>
      </c>
      <c r="E3916" s="19" t="s">
        <v>6829</v>
      </c>
      <c r="F3916" s="19" t="s">
        <v>3658</v>
      </c>
      <c r="G3916" s="5" t="str">
        <f>HYPERLINK("http://jsmh.umin.jp/journal/45-2/162-163.pdf")</f>
        <v>http://jsmh.umin.jp/journal/45-2/162-163.pdf</v>
      </c>
      <c r="H3916" s="43" t="str">
        <f t="shared" si="257"/>
        <v>http://dl.ndl.go.jp/info:ndljp/pid/3359363</v>
      </c>
    </row>
    <row r="3917" spans="1:8" ht="30" customHeight="1" x14ac:dyDescent="0.15">
      <c r="A3917" s="16" t="s">
        <v>1855</v>
      </c>
      <c r="B3917" s="17" t="s">
        <v>6836</v>
      </c>
      <c r="C3917" s="17" t="s">
        <v>6695</v>
      </c>
      <c r="D3917" s="25" t="s">
        <v>6804</v>
      </c>
      <c r="E3917" s="19" t="s">
        <v>6829</v>
      </c>
      <c r="F3917" s="19" t="s">
        <v>2041</v>
      </c>
      <c r="G3917" s="5" t="str">
        <f>HYPERLINK("http://jsmh.umin.jp/journal/45-2/164-165.pdf")</f>
        <v>http://jsmh.umin.jp/journal/45-2/164-165.pdf</v>
      </c>
      <c r="H3917" s="43" t="str">
        <f t="shared" si="257"/>
        <v>http://dl.ndl.go.jp/info:ndljp/pid/3359363</v>
      </c>
    </row>
    <row r="3918" spans="1:8" ht="30" customHeight="1" x14ac:dyDescent="0.15">
      <c r="A3918" s="16" t="s">
        <v>1855</v>
      </c>
      <c r="B3918" s="17" t="s">
        <v>6837</v>
      </c>
      <c r="C3918" s="17" t="s">
        <v>6838</v>
      </c>
      <c r="D3918" s="25" t="s">
        <v>6804</v>
      </c>
      <c r="E3918" s="19" t="s">
        <v>6829</v>
      </c>
      <c r="F3918" s="19" t="s">
        <v>2776</v>
      </c>
      <c r="G3918" s="5" t="str">
        <f>HYPERLINK("http://jsmh.umin.jp/journal/45-2/166-167.pdf")</f>
        <v>http://jsmh.umin.jp/journal/45-2/166-167.pdf</v>
      </c>
      <c r="H3918" s="43" t="str">
        <f t="shared" si="257"/>
        <v>http://dl.ndl.go.jp/info:ndljp/pid/3359363</v>
      </c>
    </row>
    <row r="3919" spans="1:8" ht="30" customHeight="1" x14ac:dyDescent="0.15">
      <c r="A3919" s="16" t="s">
        <v>1855</v>
      </c>
      <c r="B3919" s="17" t="s">
        <v>6839</v>
      </c>
      <c r="C3919" s="17" t="s">
        <v>3196</v>
      </c>
      <c r="D3919" s="25" t="s">
        <v>6804</v>
      </c>
      <c r="E3919" s="19" t="s">
        <v>6829</v>
      </c>
      <c r="F3919" s="19" t="s">
        <v>6221</v>
      </c>
      <c r="G3919" s="5" t="str">
        <f>HYPERLINK("http://jsmh.umin.jp/journal/45-2/168-169.pdf")</f>
        <v>http://jsmh.umin.jp/journal/45-2/168-169.pdf</v>
      </c>
      <c r="H3919" s="43" t="str">
        <f t="shared" si="257"/>
        <v>http://dl.ndl.go.jp/info:ndljp/pid/3359363</v>
      </c>
    </row>
    <row r="3920" spans="1:8" ht="30" customHeight="1" x14ac:dyDescent="0.15">
      <c r="A3920" s="16" t="s">
        <v>1855</v>
      </c>
      <c r="B3920" s="17" t="s">
        <v>6840</v>
      </c>
      <c r="C3920" s="17" t="s">
        <v>925</v>
      </c>
      <c r="D3920" s="25" t="s">
        <v>6804</v>
      </c>
      <c r="E3920" s="19" t="s">
        <v>6829</v>
      </c>
      <c r="F3920" s="19" t="s">
        <v>4826</v>
      </c>
      <c r="G3920" s="5" t="str">
        <f>HYPERLINK("http://jsmh.umin.jp/journal/45-2/170-171.pdf")</f>
        <v>http://jsmh.umin.jp/journal/45-2/170-171.pdf</v>
      </c>
      <c r="H3920" s="43" t="str">
        <f t="shared" si="257"/>
        <v>http://dl.ndl.go.jp/info:ndljp/pid/3359363</v>
      </c>
    </row>
    <row r="3921" spans="1:8" ht="30" customHeight="1" x14ac:dyDescent="0.15">
      <c r="A3921" s="16" t="s">
        <v>1855</v>
      </c>
      <c r="B3921" s="17" t="s">
        <v>6841</v>
      </c>
      <c r="C3921" s="17" t="s">
        <v>6842</v>
      </c>
      <c r="D3921" s="25" t="s">
        <v>6804</v>
      </c>
      <c r="E3921" s="19" t="s">
        <v>6829</v>
      </c>
      <c r="F3921" s="19" t="s">
        <v>6223</v>
      </c>
      <c r="G3921" s="5" t="str">
        <f>HYPERLINK("http://jsmh.umin.jp/journal/45-2/172-173.pdf")</f>
        <v>http://jsmh.umin.jp/journal/45-2/172-173.pdf</v>
      </c>
      <c r="H3921" s="43" t="str">
        <f t="shared" si="257"/>
        <v>http://dl.ndl.go.jp/info:ndljp/pid/3359363</v>
      </c>
    </row>
    <row r="3922" spans="1:8" ht="30" customHeight="1" x14ac:dyDescent="0.15">
      <c r="A3922" s="16" t="s">
        <v>1855</v>
      </c>
      <c r="B3922" s="17" t="s">
        <v>6843</v>
      </c>
      <c r="C3922" s="17" t="s">
        <v>10279</v>
      </c>
      <c r="D3922" s="25" t="s">
        <v>6804</v>
      </c>
      <c r="E3922" s="19" t="s">
        <v>6829</v>
      </c>
      <c r="F3922" s="19" t="s">
        <v>2922</v>
      </c>
      <c r="G3922" s="5" t="str">
        <f>HYPERLINK("http://jsmh.umin.jp/journal/45-2/174-175.pdf")</f>
        <v>http://jsmh.umin.jp/journal/45-2/174-175.pdf</v>
      </c>
      <c r="H3922" s="43" t="str">
        <f t="shared" si="257"/>
        <v>http://dl.ndl.go.jp/info:ndljp/pid/3359363</v>
      </c>
    </row>
    <row r="3923" spans="1:8" ht="30" customHeight="1" x14ac:dyDescent="0.15">
      <c r="A3923" s="16" t="s">
        <v>1855</v>
      </c>
      <c r="B3923" s="17" t="s">
        <v>6844</v>
      </c>
      <c r="C3923" s="17" t="s">
        <v>3998</v>
      </c>
      <c r="D3923" s="25" t="s">
        <v>6804</v>
      </c>
      <c r="E3923" s="19" t="s">
        <v>6829</v>
      </c>
      <c r="F3923" s="19" t="s">
        <v>74</v>
      </c>
      <c r="G3923" s="5" t="str">
        <f>HYPERLINK("http://jsmh.umin.jp/journal/45-2/176-177.pdf")</f>
        <v>http://jsmh.umin.jp/journal/45-2/176-177.pdf</v>
      </c>
      <c r="H3923" s="43" t="str">
        <f t="shared" si="257"/>
        <v>http://dl.ndl.go.jp/info:ndljp/pid/3359363</v>
      </c>
    </row>
    <row r="3924" spans="1:8" ht="30" customHeight="1" x14ac:dyDescent="0.15">
      <c r="A3924" s="16" t="s">
        <v>1855</v>
      </c>
      <c r="B3924" s="17" t="s">
        <v>6845</v>
      </c>
      <c r="C3924" s="17" t="s">
        <v>6565</v>
      </c>
      <c r="D3924" s="25" t="s">
        <v>6804</v>
      </c>
      <c r="E3924" s="19" t="s">
        <v>6829</v>
      </c>
      <c r="F3924" s="19" t="s">
        <v>3667</v>
      </c>
      <c r="G3924" s="5" t="str">
        <f>HYPERLINK("http://jsmh.umin.jp/journal/45-2/178-179.pdf")</f>
        <v>http://jsmh.umin.jp/journal/45-2/178-179.pdf</v>
      </c>
      <c r="H3924" s="43" t="str">
        <f t="shared" si="257"/>
        <v>http://dl.ndl.go.jp/info:ndljp/pid/3359363</v>
      </c>
    </row>
    <row r="3925" spans="1:8" ht="30" customHeight="1" x14ac:dyDescent="0.15">
      <c r="A3925" s="16" t="s">
        <v>1855</v>
      </c>
      <c r="B3925" s="17" t="s">
        <v>6846</v>
      </c>
      <c r="C3925" s="17" t="s">
        <v>10280</v>
      </c>
      <c r="D3925" s="25" t="s">
        <v>6804</v>
      </c>
      <c r="E3925" s="19" t="s">
        <v>6829</v>
      </c>
      <c r="F3925" s="19" t="s">
        <v>1713</v>
      </c>
      <c r="G3925" s="5" t="str">
        <f>HYPERLINK("http://jsmh.umin.jp/journal/45-2/180-181.pdf")</f>
        <v>http://jsmh.umin.jp/journal/45-2/180-181.pdf</v>
      </c>
      <c r="H3925" s="43" t="str">
        <f t="shared" si="257"/>
        <v>http://dl.ndl.go.jp/info:ndljp/pid/3359363</v>
      </c>
    </row>
    <row r="3926" spans="1:8" ht="30" customHeight="1" x14ac:dyDescent="0.15">
      <c r="A3926" s="16" t="s">
        <v>1855</v>
      </c>
      <c r="B3926" s="17" t="s">
        <v>6847</v>
      </c>
      <c r="C3926" s="17" t="s">
        <v>6848</v>
      </c>
      <c r="D3926" s="25" t="s">
        <v>6804</v>
      </c>
      <c r="E3926" s="19" t="s">
        <v>6829</v>
      </c>
      <c r="F3926" s="19" t="s">
        <v>1715</v>
      </c>
      <c r="G3926" s="5" t="str">
        <f>HYPERLINK("http://jsmh.umin.jp/journal/45-2/182-183.pdf")</f>
        <v>http://jsmh.umin.jp/journal/45-2/182-183.pdf</v>
      </c>
      <c r="H3926" s="43" t="str">
        <f t="shared" si="257"/>
        <v>http://dl.ndl.go.jp/info:ndljp/pid/3359363</v>
      </c>
    </row>
    <row r="3927" spans="1:8" ht="30" customHeight="1" x14ac:dyDescent="0.15">
      <c r="A3927" s="16" t="s">
        <v>1855</v>
      </c>
      <c r="B3927" s="17" t="s">
        <v>6849</v>
      </c>
      <c r="C3927" s="17" t="s">
        <v>2881</v>
      </c>
      <c r="D3927" s="25" t="s">
        <v>6804</v>
      </c>
      <c r="E3927" s="19" t="s">
        <v>6829</v>
      </c>
      <c r="F3927" s="19" t="s">
        <v>3984</v>
      </c>
      <c r="G3927" s="5" t="str">
        <f>HYPERLINK("http://jsmh.umin.jp/journal/45-2/184-185.pdf")</f>
        <v>http://jsmh.umin.jp/journal/45-2/184-185.pdf</v>
      </c>
      <c r="H3927" s="43" t="str">
        <f t="shared" si="257"/>
        <v>http://dl.ndl.go.jp/info:ndljp/pid/3359363</v>
      </c>
    </row>
    <row r="3928" spans="1:8" ht="30" customHeight="1" x14ac:dyDescent="0.15">
      <c r="A3928" s="16" t="s">
        <v>1855</v>
      </c>
      <c r="B3928" s="17" t="s">
        <v>6850</v>
      </c>
      <c r="C3928" s="17" t="s">
        <v>6460</v>
      </c>
      <c r="D3928" s="25" t="s">
        <v>6804</v>
      </c>
      <c r="E3928" s="19" t="s">
        <v>6829</v>
      </c>
      <c r="F3928" s="19" t="s">
        <v>1721</v>
      </c>
      <c r="G3928" s="5" t="str">
        <f>HYPERLINK("http://jsmh.umin.jp/journal/45-2/186-187.pdf")</f>
        <v>http://jsmh.umin.jp/journal/45-2/186-187.pdf</v>
      </c>
      <c r="H3928" s="43" t="str">
        <f t="shared" si="257"/>
        <v>http://dl.ndl.go.jp/info:ndljp/pid/3359363</v>
      </c>
    </row>
    <row r="3929" spans="1:8" ht="30" customHeight="1" x14ac:dyDescent="0.15">
      <c r="A3929" s="16" t="s">
        <v>1855</v>
      </c>
      <c r="B3929" s="17" t="s">
        <v>10281</v>
      </c>
      <c r="C3929" s="17" t="s">
        <v>6851</v>
      </c>
      <c r="D3929" s="25" t="s">
        <v>6804</v>
      </c>
      <c r="E3929" s="19" t="s">
        <v>6829</v>
      </c>
      <c r="F3929" s="19" t="s">
        <v>2580</v>
      </c>
      <c r="G3929" s="5" t="str">
        <f>HYPERLINK("http://jsmh.umin.jp/journal/45-2/188-189.pdf")</f>
        <v>http://jsmh.umin.jp/journal/45-2/188-189.pdf</v>
      </c>
      <c r="H3929" s="43" t="str">
        <f t="shared" si="257"/>
        <v>http://dl.ndl.go.jp/info:ndljp/pid/3359363</v>
      </c>
    </row>
    <row r="3930" spans="1:8" ht="30" customHeight="1" x14ac:dyDescent="0.15">
      <c r="A3930" s="16" t="s">
        <v>1855</v>
      </c>
      <c r="B3930" s="17" t="s">
        <v>6852</v>
      </c>
      <c r="C3930" s="17" t="s">
        <v>10282</v>
      </c>
      <c r="D3930" s="25" t="s">
        <v>6804</v>
      </c>
      <c r="E3930" s="19" t="s">
        <v>6829</v>
      </c>
      <c r="F3930" s="19" t="s">
        <v>976</v>
      </c>
      <c r="G3930" s="5" t="str">
        <f>HYPERLINK("http://jsmh.umin.jp/journal/45-2/190-191.pdf")</f>
        <v>http://jsmh.umin.jp/journal/45-2/190-191.pdf</v>
      </c>
      <c r="H3930" s="43" t="str">
        <f t="shared" si="257"/>
        <v>http://dl.ndl.go.jp/info:ndljp/pid/3359363</v>
      </c>
    </row>
    <row r="3931" spans="1:8" ht="30" customHeight="1" x14ac:dyDescent="0.15">
      <c r="A3931" s="16" t="s">
        <v>1855</v>
      </c>
      <c r="B3931" s="17" t="s">
        <v>6853</v>
      </c>
      <c r="C3931" s="17" t="s">
        <v>6555</v>
      </c>
      <c r="D3931" s="25" t="s">
        <v>6804</v>
      </c>
      <c r="E3931" s="19" t="s">
        <v>6829</v>
      </c>
      <c r="F3931" s="19" t="s">
        <v>986</v>
      </c>
      <c r="G3931" s="5" t="str">
        <f>HYPERLINK("http://jsmh.umin.jp/journal/45-2/192-193.pdf")</f>
        <v>http://jsmh.umin.jp/journal/45-2/192-193.pdf</v>
      </c>
      <c r="H3931" s="43" t="str">
        <f t="shared" si="257"/>
        <v>http://dl.ndl.go.jp/info:ndljp/pid/3359363</v>
      </c>
    </row>
    <row r="3932" spans="1:8" ht="30" customHeight="1" x14ac:dyDescent="0.15">
      <c r="A3932" s="16" t="s">
        <v>1855</v>
      </c>
      <c r="B3932" s="17" t="s">
        <v>6854</v>
      </c>
      <c r="C3932" s="17" t="s">
        <v>6855</v>
      </c>
      <c r="D3932" s="25" t="s">
        <v>6804</v>
      </c>
      <c r="E3932" s="19" t="s">
        <v>6829</v>
      </c>
      <c r="F3932" s="19" t="s">
        <v>993</v>
      </c>
      <c r="G3932" s="5" t="str">
        <f>HYPERLINK("http://jsmh.umin.jp/journal/45-2/194-195.pdf")</f>
        <v>http://jsmh.umin.jp/journal/45-2/194-195.pdf</v>
      </c>
      <c r="H3932" s="43" t="str">
        <f t="shared" si="257"/>
        <v>http://dl.ndl.go.jp/info:ndljp/pid/3359363</v>
      </c>
    </row>
    <row r="3933" spans="1:8" ht="30" customHeight="1" x14ac:dyDescent="0.15">
      <c r="A3933" s="16" t="s">
        <v>1855</v>
      </c>
      <c r="B3933" s="17" t="s">
        <v>6856</v>
      </c>
      <c r="C3933" s="17" t="s">
        <v>790</v>
      </c>
      <c r="D3933" s="25" t="s">
        <v>6804</v>
      </c>
      <c r="E3933" s="19" t="s">
        <v>6829</v>
      </c>
      <c r="F3933" s="19" t="s">
        <v>999</v>
      </c>
      <c r="G3933" s="5" t="str">
        <f>HYPERLINK("http://jsmh.umin.jp/journal/45-2/196-197.pdf")</f>
        <v>http://jsmh.umin.jp/journal/45-2/196-197.pdf</v>
      </c>
      <c r="H3933" s="43" t="str">
        <f t="shared" si="257"/>
        <v>http://dl.ndl.go.jp/info:ndljp/pid/3359363</v>
      </c>
    </row>
    <row r="3934" spans="1:8" ht="30" customHeight="1" x14ac:dyDescent="0.15">
      <c r="A3934" s="16" t="s">
        <v>1855</v>
      </c>
      <c r="B3934" s="17" t="s">
        <v>10283</v>
      </c>
      <c r="C3934" s="17" t="s">
        <v>6857</v>
      </c>
      <c r="D3934" s="25" t="s">
        <v>6804</v>
      </c>
      <c r="E3934" s="19" t="s">
        <v>6829</v>
      </c>
      <c r="F3934" s="19" t="s">
        <v>1740</v>
      </c>
      <c r="G3934" s="5" t="str">
        <f>HYPERLINK("http://jsmh.umin.jp/journal/45-2/198-199.pdf")</f>
        <v>http://jsmh.umin.jp/journal/45-2/198-199.pdf</v>
      </c>
      <c r="H3934" s="43" t="str">
        <f t="shared" si="257"/>
        <v>http://dl.ndl.go.jp/info:ndljp/pid/3359363</v>
      </c>
    </row>
    <row r="3935" spans="1:8" ht="30" customHeight="1" x14ac:dyDescent="0.15">
      <c r="A3935" s="16" t="s">
        <v>1855</v>
      </c>
      <c r="B3935" s="17" t="s">
        <v>6858</v>
      </c>
      <c r="C3935" s="17" t="s">
        <v>6859</v>
      </c>
      <c r="D3935" s="25" t="s">
        <v>6804</v>
      </c>
      <c r="E3935" s="19" t="s">
        <v>6829</v>
      </c>
      <c r="F3935" s="19" t="s">
        <v>1743</v>
      </c>
      <c r="G3935" s="5" t="str">
        <f>HYPERLINK("http://jsmh.umin.jp/journal/45-2/200-201.pdf")</f>
        <v>http://jsmh.umin.jp/journal/45-2/200-201.pdf</v>
      </c>
      <c r="H3935" s="43" t="str">
        <f t="shared" si="257"/>
        <v>http://dl.ndl.go.jp/info:ndljp/pid/3359363</v>
      </c>
    </row>
    <row r="3936" spans="1:8" ht="30" customHeight="1" x14ac:dyDescent="0.15">
      <c r="A3936" s="16" t="s">
        <v>1855</v>
      </c>
      <c r="B3936" s="17" t="s">
        <v>6860</v>
      </c>
      <c r="C3936" s="17" t="s">
        <v>444</v>
      </c>
      <c r="D3936" s="25" t="s">
        <v>6804</v>
      </c>
      <c r="E3936" s="19" t="s">
        <v>6829</v>
      </c>
      <c r="F3936" s="19" t="s">
        <v>1748</v>
      </c>
      <c r="G3936" s="5" t="str">
        <f>HYPERLINK("http://jsmh.umin.jp/journal/45-2/202-203.pdf")</f>
        <v>http://jsmh.umin.jp/journal/45-2/202-203.pdf</v>
      </c>
      <c r="H3936" s="43" t="str">
        <f t="shared" si="257"/>
        <v>http://dl.ndl.go.jp/info:ndljp/pid/3359363</v>
      </c>
    </row>
    <row r="3937" spans="1:8" ht="30" customHeight="1" x14ac:dyDescent="0.15">
      <c r="A3937" s="16" t="s">
        <v>1855</v>
      </c>
      <c r="B3937" s="17" t="s">
        <v>6861</v>
      </c>
      <c r="C3937" s="17" t="s">
        <v>5300</v>
      </c>
      <c r="D3937" s="25" t="s">
        <v>6804</v>
      </c>
      <c r="E3937" s="19" t="s">
        <v>6829</v>
      </c>
      <c r="F3937" s="19" t="s">
        <v>256</v>
      </c>
      <c r="G3937" s="5" t="str">
        <f>HYPERLINK("http://jsmh.umin.jp/journal/45-2/204-205.pdf")</f>
        <v>http://jsmh.umin.jp/journal/45-2/204-205.pdf</v>
      </c>
      <c r="H3937" s="43" t="str">
        <f t="shared" si="257"/>
        <v>http://dl.ndl.go.jp/info:ndljp/pid/3359363</v>
      </c>
    </row>
    <row r="3938" spans="1:8" ht="30" customHeight="1" x14ac:dyDescent="0.15">
      <c r="A3938" s="16" t="s">
        <v>1855</v>
      </c>
      <c r="B3938" s="17" t="s">
        <v>6862</v>
      </c>
      <c r="C3938" s="17" t="s">
        <v>6863</v>
      </c>
      <c r="D3938" s="25" t="s">
        <v>6804</v>
      </c>
      <c r="E3938" s="19" t="s">
        <v>6829</v>
      </c>
      <c r="F3938" s="19" t="s">
        <v>3271</v>
      </c>
      <c r="G3938" s="5" t="str">
        <f>HYPERLINK("http://jsmh.umin.jp/journal/45-2/206-207.pdf")</f>
        <v>http://jsmh.umin.jp/journal/45-2/206-207.pdf</v>
      </c>
      <c r="H3938" s="43" t="str">
        <f t="shared" si="257"/>
        <v>http://dl.ndl.go.jp/info:ndljp/pid/3359363</v>
      </c>
    </row>
    <row r="3939" spans="1:8" ht="30" customHeight="1" x14ac:dyDescent="0.15">
      <c r="A3939" s="16" t="s">
        <v>1855</v>
      </c>
      <c r="B3939" s="17" t="s">
        <v>6864</v>
      </c>
      <c r="C3939" s="17" t="s">
        <v>5833</v>
      </c>
      <c r="D3939" s="25" t="s">
        <v>6804</v>
      </c>
      <c r="E3939" s="19" t="s">
        <v>6829</v>
      </c>
      <c r="F3939" s="19" t="s">
        <v>4193</v>
      </c>
      <c r="G3939" s="5" t="str">
        <f>HYPERLINK("http://jsmh.umin.jp/journal/45-2/208-209.pdf")</f>
        <v>http://jsmh.umin.jp/journal/45-2/208-209.pdf</v>
      </c>
      <c r="H3939" s="43" t="str">
        <f t="shared" si="257"/>
        <v>http://dl.ndl.go.jp/info:ndljp/pid/3359363</v>
      </c>
    </row>
    <row r="3940" spans="1:8" ht="30" customHeight="1" x14ac:dyDescent="0.15">
      <c r="A3940" s="16" t="s">
        <v>1855</v>
      </c>
      <c r="B3940" s="17" t="s">
        <v>6865</v>
      </c>
      <c r="C3940" s="17" t="s">
        <v>5588</v>
      </c>
      <c r="D3940" s="25" t="s">
        <v>6804</v>
      </c>
      <c r="E3940" s="19" t="s">
        <v>6829</v>
      </c>
      <c r="F3940" s="19" t="s">
        <v>271</v>
      </c>
      <c r="G3940" s="5" t="str">
        <f>HYPERLINK("http://jsmh.umin.jp/journal/45-2/210-211.pdf")</f>
        <v>http://jsmh.umin.jp/journal/45-2/210-211.pdf</v>
      </c>
      <c r="H3940" s="43" t="str">
        <f t="shared" si="257"/>
        <v>http://dl.ndl.go.jp/info:ndljp/pid/3359363</v>
      </c>
    </row>
    <row r="3941" spans="1:8" ht="30" customHeight="1" x14ac:dyDescent="0.15">
      <c r="A3941" s="16" t="s">
        <v>1855</v>
      </c>
      <c r="B3941" s="17" t="s">
        <v>6866</v>
      </c>
      <c r="C3941" s="17" t="s">
        <v>3644</v>
      </c>
      <c r="D3941" s="25" t="s">
        <v>6804</v>
      </c>
      <c r="E3941" s="19" t="s">
        <v>6829</v>
      </c>
      <c r="F3941" s="19" t="s">
        <v>274</v>
      </c>
      <c r="G3941" s="5" t="str">
        <f>HYPERLINK("http://jsmh.umin.jp/journal/45-2/212-213.pdf")</f>
        <v>http://jsmh.umin.jp/journal/45-2/212-213.pdf</v>
      </c>
      <c r="H3941" s="43" t="str">
        <f t="shared" si="257"/>
        <v>http://dl.ndl.go.jp/info:ndljp/pid/3359363</v>
      </c>
    </row>
    <row r="3942" spans="1:8" ht="30" customHeight="1" x14ac:dyDescent="0.15">
      <c r="A3942" s="16" t="s">
        <v>1855</v>
      </c>
      <c r="B3942" s="17" t="s">
        <v>6867</v>
      </c>
      <c r="C3942" s="17" t="s">
        <v>1932</v>
      </c>
      <c r="D3942" s="25" t="s">
        <v>6804</v>
      </c>
      <c r="E3942" s="19" t="s">
        <v>6829</v>
      </c>
      <c r="F3942" s="19" t="s">
        <v>281</v>
      </c>
      <c r="G3942" s="5" t="str">
        <f>HYPERLINK("http://jsmh.umin.jp/journal/45-2/214-215.pdf")</f>
        <v>http://jsmh.umin.jp/journal/45-2/214-215.pdf</v>
      </c>
      <c r="H3942" s="43" t="str">
        <f t="shared" si="257"/>
        <v>http://dl.ndl.go.jp/info:ndljp/pid/3359363</v>
      </c>
    </row>
    <row r="3943" spans="1:8" ht="30" customHeight="1" x14ac:dyDescent="0.15">
      <c r="A3943" s="16" t="s">
        <v>1855</v>
      </c>
      <c r="B3943" s="17" t="s">
        <v>6868</v>
      </c>
      <c r="C3943" s="17" t="s">
        <v>5084</v>
      </c>
      <c r="D3943" s="25" t="s">
        <v>6804</v>
      </c>
      <c r="E3943" s="19" t="s">
        <v>6829</v>
      </c>
      <c r="F3943" s="19" t="s">
        <v>292</v>
      </c>
      <c r="G3943" s="5" t="str">
        <f>HYPERLINK("http://jsmh.umin.jp/journal/45-2/216-217.pdf")</f>
        <v>http://jsmh.umin.jp/journal/45-2/216-217.pdf</v>
      </c>
      <c r="H3943" s="43" t="str">
        <f t="shared" si="257"/>
        <v>http://dl.ndl.go.jp/info:ndljp/pid/3359363</v>
      </c>
    </row>
    <row r="3944" spans="1:8" ht="30" customHeight="1" x14ac:dyDescent="0.15">
      <c r="A3944" s="16" t="s">
        <v>1855</v>
      </c>
      <c r="B3944" s="17" t="s">
        <v>6869</v>
      </c>
      <c r="C3944" s="17" t="s">
        <v>6640</v>
      </c>
      <c r="D3944" s="25" t="s">
        <v>6804</v>
      </c>
      <c r="E3944" s="19" t="s">
        <v>6829</v>
      </c>
      <c r="F3944" s="19" t="s">
        <v>298</v>
      </c>
      <c r="G3944" s="5" t="str">
        <f>HYPERLINK("http://jsmh.umin.jp/journal/45-2/218-219.pdf")</f>
        <v>http://jsmh.umin.jp/journal/45-2/218-219.pdf</v>
      </c>
      <c r="H3944" s="43" t="str">
        <f t="shared" ref="H3944:H3975" si="258">HYPERLINK("http://dl.ndl.go.jp/info:ndljp/pid/3359363")</f>
        <v>http://dl.ndl.go.jp/info:ndljp/pid/3359363</v>
      </c>
    </row>
    <row r="3945" spans="1:8" ht="30" customHeight="1" x14ac:dyDescent="0.15">
      <c r="A3945" s="16" t="s">
        <v>1855</v>
      </c>
      <c r="B3945" s="17" t="s">
        <v>6870</v>
      </c>
      <c r="C3945" s="17" t="s">
        <v>2386</v>
      </c>
      <c r="D3945" s="25" t="s">
        <v>6804</v>
      </c>
      <c r="E3945" s="19" t="s">
        <v>6829</v>
      </c>
      <c r="F3945" s="19" t="s">
        <v>5443</v>
      </c>
      <c r="G3945" s="5" t="str">
        <f>HYPERLINK("http://jsmh.umin.jp/journal/45-2/220-221.pdf")</f>
        <v>http://jsmh.umin.jp/journal/45-2/220-221.pdf</v>
      </c>
      <c r="H3945" s="43" t="str">
        <f t="shared" si="258"/>
        <v>http://dl.ndl.go.jp/info:ndljp/pid/3359363</v>
      </c>
    </row>
    <row r="3946" spans="1:8" ht="30" customHeight="1" x14ac:dyDescent="0.15">
      <c r="A3946" s="16" t="s">
        <v>1855</v>
      </c>
      <c r="B3946" s="17" t="s">
        <v>10284</v>
      </c>
      <c r="C3946" s="17" t="s">
        <v>6871</v>
      </c>
      <c r="D3946" s="25" t="s">
        <v>6804</v>
      </c>
      <c r="E3946" s="19" t="s">
        <v>6829</v>
      </c>
      <c r="F3946" s="19" t="s">
        <v>1390</v>
      </c>
      <c r="G3946" s="5" t="str">
        <f>HYPERLINK("http://jsmh.umin.jp/journal/45-2/222-223.pdf")</f>
        <v>http://jsmh.umin.jp/journal/45-2/222-223.pdf</v>
      </c>
      <c r="H3946" s="43" t="str">
        <f t="shared" si="258"/>
        <v>http://dl.ndl.go.jp/info:ndljp/pid/3359363</v>
      </c>
    </row>
    <row r="3947" spans="1:8" ht="30" customHeight="1" x14ac:dyDescent="0.15">
      <c r="A3947" s="16" t="s">
        <v>1855</v>
      </c>
      <c r="B3947" s="17" t="s">
        <v>6872</v>
      </c>
      <c r="C3947" s="17" t="s">
        <v>6873</v>
      </c>
      <c r="D3947" s="25" t="s">
        <v>6804</v>
      </c>
      <c r="E3947" s="19" t="s">
        <v>6829</v>
      </c>
      <c r="F3947" s="19" t="s">
        <v>1393</v>
      </c>
      <c r="G3947" s="5" t="str">
        <f>HYPERLINK("http://jsmh.umin.jp/journal/45-2/224-225.pdf")</f>
        <v>http://jsmh.umin.jp/journal/45-2/224-225.pdf</v>
      </c>
      <c r="H3947" s="43" t="str">
        <f t="shared" si="258"/>
        <v>http://dl.ndl.go.jp/info:ndljp/pid/3359363</v>
      </c>
    </row>
    <row r="3948" spans="1:8" ht="30" customHeight="1" x14ac:dyDescent="0.15">
      <c r="A3948" s="16" t="s">
        <v>1855</v>
      </c>
      <c r="B3948" s="17" t="s">
        <v>6874</v>
      </c>
      <c r="C3948" s="17" t="s">
        <v>4988</v>
      </c>
      <c r="D3948" s="25" t="s">
        <v>6804</v>
      </c>
      <c r="E3948" s="19" t="s">
        <v>6829</v>
      </c>
      <c r="F3948" s="19" t="s">
        <v>1861</v>
      </c>
      <c r="G3948" s="5" t="str">
        <f>HYPERLINK("http://jsmh.umin.jp/journal/45-2/226-227.pdf")</f>
        <v>http://jsmh.umin.jp/journal/45-2/226-227.pdf</v>
      </c>
      <c r="H3948" s="43" t="str">
        <f t="shared" si="258"/>
        <v>http://dl.ndl.go.jp/info:ndljp/pid/3359363</v>
      </c>
    </row>
    <row r="3949" spans="1:8" ht="30" customHeight="1" x14ac:dyDescent="0.15">
      <c r="A3949" s="16" t="s">
        <v>1855</v>
      </c>
      <c r="B3949" s="17" t="s">
        <v>6875</v>
      </c>
      <c r="C3949" s="17" t="s">
        <v>6394</v>
      </c>
      <c r="D3949" s="25" t="s">
        <v>6804</v>
      </c>
      <c r="E3949" s="19" t="s">
        <v>6829</v>
      </c>
      <c r="F3949" s="19" t="s">
        <v>108</v>
      </c>
      <c r="G3949" s="5" t="str">
        <f>HYPERLINK("http://jsmh.umin.jp/journal/45-2/228-229.pdf")</f>
        <v>http://jsmh.umin.jp/journal/45-2/228-229.pdf</v>
      </c>
      <c r="H3949" s="43" t="str">
        <f t="shared" si="258"/>
        <v>http://dl.ndl.go.jp/info:ndljp/pid/3359363</v>
      </c>
    </row>
    <row r="3950" spans="1:8" ht="30" customHeight="1" x14ac:dyDescent="0.15">
      <c r="A3950" s="16" t="s">
        <v>1855</v>
      </c>
      <c r="B3950" s="17" t="s">
        <v>6876</v>
      </c>
      <c r="C3950" s="17" t="s">
        <v>10214</v>
      </c>
      <c r="D3950" s="25" t="s">
        <v>6804</v>
      </c>
      <c r="E3950" s="19" t="s">
        <v>6829</v>
      </c>
      <c r="F3950" s="19" t="s">
        <v>119</v>
      </c>
      <c r="G3950" s="5" t="str">
        <f>HYPERLINK("http://jsmh.umin.jp/journal/45-2/230-231.pdf")</f>
        <v>http://jsmh.umin.jp/journal/45-2/230-231.pdf</v>
      </c>
      <c r="H3950" s="43" t="str">
        <f t="shared" si="258"/>
        <v>http://dl.ndl.go.jp/info:ndljp/pid/3359363</v>
      </c>
    </row>
    <row r="3951" spans="1:8" ht="30" customHeight="1" x14ac:dyDescent="0.15">
      <c r="A3951" s="16" t="s">
        <v>1855</v>
      </c>
      <c r="B3951" s="17" t="s">
        <v>6877</v>
      </c>
      <c r="C3951" s="17" t="s">
        <v>6878</v>
      </c>
      <c r="D3951" s="25" t="s">
        <v>6804</v>
      </c>
      <c r="E3951" s="19" t="s">
        <v>6829</v>
      </c>
      <c r="F3951" s="19" t="s">
        <v>124</v>
      </c>
      <c r="G3951" s="5" t="str">
        <f>HYPERLINK("http://jsmh.umin.jp/journal/45-2/232-233.pdf")</f>
        <v>http://jsmh.umin.jp/journal/45-2/232-233.pdf</v>
      </c>
      <c r="H3951" s="43" t="str">
        <f t="shared" si="258"/>
        <v>http://dl.ndl.go.jp/info:ndljp/pid/3359363</v>
      </c>
    </row>
    <row r="3952" spans="1:8" ht="30" customHeight="1" x14ac:dyDescent="0.15">
      <c r="A3952" s="16" t="s">
        <v>1855</v>
      </c>
      <c r="B3952" s="17" t="s">
        <v>6879</v>
      </c>
      <c r="C3952" s="17" t="s">
        <v>1929</v>
      </c>
      <c r="D3952" s="25" t="s">
        <v>6804</v>
      </c>
      <c r="E3952" s="19" t="s">
        <v>6829</v>
      </c>
      <c r="F3952" s="19" t="s">
        <v>132</v>
      </c>
      <c r="G3952" s="5" t="str">
        <f>HYPERLINK("http://jsmh.umin.jp/journal/45-2/234-235.pdf")</f>
        <v>http://jsmh.umin.jp/journal/45-2/234-235.pdf</v>
      </c>
      <c r="H3952" s="43" t="str">
        <f t="shared" si="258"/>
        <v>http://dl.ndl.go.jp/info:ndljp/pid/3359363</v>
      </c>
    </row>
    <row r="3953" spans="1:8" ht="30" customHeight="1" x14ac:dyDescent="0.15">
      <c r="A3953" s="16" t="s">
        <v>1855</v>
      </c>
      <c r="B3953" s="17" t="s">
        <v>6880</v>
      </c>
      <c r="C3953" s="17" t="s">
        <v>5080</v>
      </c>
      <c r="D3953" s="25" t="s">
        <v>6804</v>
      </c>
      <c r="E3953" s="19" t="s">
        <v>6829</v>
      </c>
      <c r="F3953" s="19" t="s">
        <v>140</v>
      </c>
      <c r="G3953" s="5" t="str">
        <f>HYPERLINK("http://jsmh.umin.jp/journal/45-2/236-237.pdf")</f>
        <v>http://jsmh.umin.jp/journal/45-2/236-237.pdf</v>
      </c>
      <c r="H3953" s="43" t="str">
        <f t="shared" si="258"/>
        <v>http://dl.ndl.go.jp/info:ndljp/pid/3359363</v>
      </c>
    </row>
    <row r="3954" spans="1:8" ht="30" customHeight="1" x14ac:dyDescent="0.15">
      <c r="A3954" s="16" t="s">
        <v>1855</v>
      </c>
      <c r="B3954" s="17" t="s">
        <v>6881</v>
      </c>
      <c r="C3954" s="17" t="s">
        <v>6882</v>
      </c>
      <c r="D3954" s="25" t="s">
        <v>6804</v>
      </c>
      <c r="E3954" s="19" t="s">
        <v>6829</v>
      </c>
      <c r="F3954" s="19" t="s">
        <v>145</v>
      </c>
      <c r="G3954" s="5" t="str">
        <f>HYPERLINK("http://jsmh.umin.jp/journal/45-2/238-239.pdf")</f>
        <v>http://jsmh.umin.jp/journal/45-2/238-239.pdf</v>
      </c>
      <c r="H3954" s="43" t="str">
        <f t="shared" si="258"/>
        <v>http://dl.ndl.go.jp/info:ndljp/pid/3359363</v>
      </c>
    </row>
    <row r="3955" spans="1:8" ht="30" customHeight="1" x14ac:dyDescent="0.15">
      <c r="A3955" s="16" t="s">
        <v>1855</v>
      </c>
      <c r="B3955" s="17" t="s">
        <v>6883</v>
      </c>
      <c r="C3955" s="17" t="s">
        <v>6252</v>
      </c>
      <c r="D3955" s="25" t="s">
        <v>6804</v>
      </c>
      <c r="E3955" s="19" t="s">
        <v>6829</v>
      </c>
      <c r="F3955" s="19" t="s">
        <v>3458</v>
      </c>
      <c r="G3955" s="5" t="str">
        <f>HYPERLINK("http://jsmh.umin.jp/journal/45-2/240-241.pdf")</f>
        <v>http://jsmh.umin.jp/journal/45-2/240-241.pdf</v>
      </c>
      <c r="H3955" s="43" t="str">
        <f t="shared" si="258"/>
        <v>http://dl.ndl.go.jp/info:ndljp/pid/3359363</v>
      </c>
    </row>
    <row r="3956" spans="1:8" ht="30" customHeight="1" x14ac:dyDescent="0.15">
      <c r="A3956" s="16" t="s">
        <v>1855</v>
      </c>
      <c r="B3956" s="17" t="s">
        <v>10285</v>
      </c>
      <c r="C3956" s="17" t="s">
        <v>1764</v>
      </c>
      <c r="D3956" s="25" t="s">
        <v>6804</v>
      </c>
      <c r="E3956" s="19" t="s">
        <v>6829</v>
      </c>
      <c r="F3956" s="19" t="s">
        <v>3304</v>
      </c>
      <c r="G3956" s="5" t="str">
        <f>HYPERLINK("http://jsmh.umin.jp/journal/45-2/242-243.pdf")</f>
        <v>http://jsmh.umin.jp/journal/45-2/242-243.pdf</v>
      </c>
      <c r="H3956" s="43" t="str">
        <f t="shared" si="258"/>
        <v>http://dl.ndl.go.jp/info:ndljp/pid/3359363</v>
      </c>
    </row>
    <row r="3957" spans="1:8" ht="30" customHeight="1" x14ac:dyDescent="0.15">
      <c r="A3957" s="16" t="s">
        <v>1855</v>
      </c>
      <c r="B3957" s="17" t="s">
        <v>6884</v>
      </c>
      <c r="C3957" s="17" t="s">
        <v>6885</v>
      </c>
      <c r="D3957" s="25" t="s">
        <v>6804</v>
      </c>
      <c r="E3957" s="19" t="s">
        <v>6829</v>
      </c>
      <c r="F3957" s="19" t="s">
        <v>3307</v>
      </c>
      <c r="G3957" s="5" t="str">
        <f>HYPERLINK("http://jsmh.umin.jp/journal/45-2/244-245.pdf")</f>
        <v>http://jsmh.umin.jp/journal/45-2/244-245.pdf</v>
      </c>
      <c r="H3957" s="43" t="str">
        <f t="shared" si="258"/>
        <v>http://dl.ndl.go.jp/info:ndljp/pid/3359363</v>
      </c>
    </row>
    <row r="3958" spans="1:8" ht="30" customHeight="1" x14ac:dyDescent="0.15">
      <c r="A3958" s="16" t="s">
        <v>1855</v>
      </c>
      <c r="B3958" s="17" t="s">
        <v>6886</v>
      </c>
      <c r="C3958" s="17" t="s">
        <v>6795</v>
      </c>
      <c r="D3958" s="25" t="s">
        <v>6804</v>
      </c>
      <c r="E3958" s="19" t="s">
        <v>6829</v>
      </c>
      <c r="F3958" s="19" t="s">
        <v>3309</v>
      </c>
      <c r="G3958" s="5" t="str">
        <f>HYPERLINK("http://jsmh.umin.jp/journal/45-2/246-247.pdf")</f>
        <v>http://jsmh.umin.jp/journal/45-2/246-247.pdf</v>
      </c>
      <c r="H3958" s="43" t="str">
        <f t="shared" si="258"/>
        <v>http://dl.ndl.go.jp/info:ndljp/pid/3359363</v>
      </c>
    </row>
    <row r="3959" spans="1:8" ht="30" customHeight="1" x14ac:dyDescent="0.15">
      <c r="A3959" s="16" t="s">
        <v>1855</v>
      </c>
      <c r="B3959" s="17" t="s">
        <v>6887</v>
      </c>
      <c r="C3959" s="17" t="s">
        <v>10156</v>
      </c>
      <c r="D3959" s="25" t="s">
        <v>6804</v>
      </c>
      <c r="E3959" s="19" t="s">
        <v>6829</v>
      </c>
      <c r="F3959" s="19" t="s">
        <v>3310</v>
      </c>
      <c r="G3959" s="5" t="str">
        <f>HYPERLINK("http://jsmh.umin.jp/journal/45-2/248-249.pdf")</f>
        <v>http://jsmh.umin.jp/journal/45-2/248-249.pdf</v>
      </c>
      <c r="H3959" s="43" t="str">
        <f t="shared" si="258"/>
        <v>http://dl.ndl.go.jp/info:ndljp/pid/3359363</v>
      </c>
    </row>
    <row r="3960" spans="1:8" ht="30" customHeight="1" x14ac:dyDescent="0.15">
      <c r="A3960" s="16" t="s">
        <v>1855</v>
      </c>
      <c r="B3960" s="17" t="s">
        <v>6888</v>
      </c>
      <c r="C3960" s="17" t="s">
        <v>5664</v>
      </c>
      <c r="D3960" s="25" t="s">
        <v>6804</v>
      </c>
      <c r="E3960" s="19" t="s">
        <v>6829</v>
      </c>
      <c r="F3960" s="19" t="s">
        <v>3313</v>
      </c>
      <c r="G3960" s="5" t="str">
        <f>HYPERLINK("http://jsmh.umin.jp/journal/45-2/250-251.pdf")</f>
        <v>http://jsmh.umin.jp/journal/45-2/250-251.pdf</v>
      </c>
      <c r="H3960" s="43" t="str">
        <f t="shared" si="258"/>
        <v>http://dl.ndl.go.jp/info:ndljp/pid/3359363</v>
      </c>
    </row>
    <row r="3961" spans="1:8" ht="30" customHeight="1" x14ac:dyDescent="0.15">
      <c r="A3961" s="16" t="s">
        <v>1855</v>
      </c>
      <c r="B3961" s="17" t="s">
        <v>6889</v>
      </c>
      <c r="C3961" s="17" t="s">
        <v>5471</v>
      </c>
      <c r="D3961" s="25" t="s">
        <v>6804</v>
      </c>
      <c r="E3961" s="19" t="s">
        <v>6829</v>
      </c>
      <c r="F3961" s="19" t="s">
        <v>4220</v>
      </c>
      <c r="G3961" s="5" t="str">
        <f>HYPERLINK("http://jsmh.umin.jp/journal/45-2/252-253.pdf")</f>
        <v>http://jsmh.umin.jp/journal/45-2/252-253.pdf</v>
      </c>
      <c r="H3961" s="43" t="str">
        <f t="shared" si="258"/>
        <v>http://dl.ndl.go.jp/info:ndljp/pid/3359363</v>
      </c>
    </row>
    <row r="3962" spans="1:8" ht="30" customHeight="1" x14ac:dyDescent="0.15">
      <c r="A3962" s="16" t="s">
        <v>1855</v>
      </c>
      <c r="B3962" s="17" t="s">
        <v>6890</v>
      </c>
      <c r="C3962" s="17" t="s">
        <v>48</v>
      </c>
      <c r="D3962" s="25" t="s">
        <v>6804</v>
      </c>
      <c r="E3962" s="19" t="s">
        <v>6829</v>
      </c>
      <c r="F3962" s="19" t="s">
        <v>3320</v>
      </c>
      <c r="G3962" s="5" t="str">
        <f>HYPERLINK("http://jsmh.umin.jp/journal/45-2/254-255.pdf")</f>
        <v>http://jsmh.umin.jp/journal/45-2/254-255.pdf</v>
      </c>
      <c r="H3962" s="43" t="str">
        <f t="shared" si="258"/>
        <v>http://dl.ndl.go.jp/info:ndljp/pid/3359363</v>
      </c>
    </row>
    <row r="3963" spans="1:8" ht="30" customHeight="1" x14ac:dyDescent="0.15">
      <c r="A3963" s="16" t="s">
        <v>1855</v>
      </c>
      <c r="B3963" s="17" t="s">
        <v>6891</v>
      </c>
      <c r="C3963" s="17" t="s">
        <v>5606</v>
      </c>
      <c r="D3963" s="25" t="s">
        <v>6804</v>
      </c>
      <c r="E3963" s="19" t="s">
        <v>6829</v>
      </c>
      <c r="F3963" s="19" t="s">
        <v>3325</v>
      </c>
      <c r="G3963" s="5" t="str">
        <f>HYPERLINK("http://jsmh.umin.jp/journal/45-2/256-257.pdf")</f>
        <v>http://jsmh.umin.jp/journal/45-2/256-257.pdf</v>
      </c>
      <c r="H3963" s="43" t="str">
        <f t="shared" si="258"/>
        <v>http://dl.ndl.go.jp/info:ndljp/pid/3359363</v>
      </c>
    </row>
    <row r="3964" spans="1:8" ht="30" customHeight="1" x14ac:dyDescent="0.15">
      <c r="A3964" s="16" t="s">
        <v>1855</v>
      </c>
      <c r="B3964" s="17" t="s">
        <v>6892</v>
      </c>
      <c r="C3964" s="17" t="s">
        <v>6676</v>
      </c>
      <c r="D3964" s="25" t="s">
        <v>6804</v>
      </c>
      <c r="E3964" s="19" t="s">
        <v>6829</v>
      </c>
      <c r="F3964" s="19" t="s">
        <v>1011</v>
      </c>
      <c r="G3964" s="5" t="str">
        <f>HYPERLINK("http://jsmh.umin.jp/journal/45-2/258-259.pdf")</f>
        <v>http://jsmh.umin.jp/journal/45-2/258-259.pdf</v>
      </c>
      <c r="H3964" s="43" t="str">
        <f t="shared" si="258"/>
        <v>http://dl.ndl.go.jp/info:ndljp/pid/3359363</v>
      </c>
    </row>
    <row r="3965" spans="1:8" ht="30" customHeight="1" x14ac:dyDescent="0.15">
      <c r="A3965" s="16" t="s">
        <v>1855</v>
      </c>
      <c r="B3965" s="17" t="s">
        <v>6893</v>
      </c>
      <c r="C3965" s="17" t="s">
        <v>10286</v>
      </c>
      <c r="D3965" s="25" t="s">
        <v>6804</v>
      </c>
      <c r="E3965" s="19" t="s">
        <v>6829</v>
      </c>
      <c r="F3965" s="19" t="s">
        <v>5477</v>
      </c>
      <c r="G3965" s="5" t="str">
        <f>HYPERLINK("http://jsmh.umin.jp/journal/45-2/260-261.pdf")</f>
        <v>http://jsmh.umin.jp/journal/45-2/260-261.pdf</v>
      </c>
      <c r="H3965" s="43" t="str">
        <f t="shared" si="258"/>
        <v>http://dl.ndl.go.jp/info:ndljp/pid/3359363</v>
      </c>
    </row>
    <row r="3966" spans="1:8" ht="30" customHeight="1" x14ac:dyDescent="0.15">
      <c r="A3966" s="16" t="s">
        <v>1855</v>
      </c>
      <c r="B3966" s="17" t="s">
        <v>10287</v>
      </c>
      <c r="C3966" s="17" t="s">
        <v>6686</v>
      </c>
      <c r="D3966" s="25" t="s">
        <v>6804</v>
      </c>
      <c r="E3966" s="19" t="s">
        <v>6829</v>
      </c>
      <c r="F3966" s="19" t="s">
        <v>4399</v>
      </c>
      <c r="G3966" s="5" t="str">
        <f>HYPERLINK("http://jsmh.umin.jp/journal/45-2/262-263.pdf")</f>
        <v>http://jsmh.umin.jp/journal/45-2/262-263.pdf</v>
      </c>
      <c r="H3966" s="43" t="str">
        <f t="shared" si="258"/>
        <v>http://dl.ndl.go.jp/info:ndljp/pid/3359363</v>
      </c>
    </row>
    <row r="3967" spans="1:8" ht="30" customHeight="1" x14ac:dyDescent="0.15">
      <c r="A3967" s="16" t="s">
        <v>1855</v>
      </c>
      <c r="B3967" s="17" t="s">
        <v>10288</v>
      </c>
      <c r="C3967" s="17" t="s">
        <v>6656</v>
      </c>
      <c r="D3967" s="25" t="s">
        <v>6804</v>
      </c>
      <c r="E3967" s="19" t="s">
        <v>6829</v>
      </c>
      <c r="F3967" s="19" t="s">
        <v>1026</v>
      </c>
      <c r="G3967" s="5" t="str">
        <f>HYPERLINK("http://jsmh.umin.jp/journal/45-2/264-265.pdf")</f>
        <v>http://jsmh.umin.jp/journal/45-2/264-265.pdf</v>
      </c>
      <c r="H3967" s="43" t="str">
        <f t="shared" si="258"/>
        <v>http://dl.ndl.go.jp/info:ndljp/pid/3359363</v>
      </c>
    </row>
    <row r="3968" spans="1:8" ht="30" customHeight="1" x14ac:dyDescent="0.15">
      <c r="A3968" s="16" t="s">
        <v>1855</v>
      </c>
      <c r="B3968" s="17" t="s">
        <v>6894</v>
      </c>
      <c r="C3968" s="17" t="s">
        <v>5569</v>
      </c>
      <c r="D3968" s="25" t="s">
        <v>6804</v>
      </c>
      <c r="E3968" s="19" t="s">
        <v>6829</v>
      </c>
      <c r="F3968" s="19" t="s">
        <v>6042</v>
      </c>
      <c r="G3968" s="5" t="str">
        <f>HYPERLINK("http://jsmh.umin.jp/journal/45-2/266-267.pdf")</f>
        <v>http://jsmh.umin.jp/journal/45-2/266-267.pdf</v>
      </c>
      <c r="H3968" s="43" t="str">
        <f t="shared" si="258"/>
        <v>http://dl.ndl.go.jp/info:ndljp/pid/3359363</v>
      </c>
    </row>
    <row r="3969" spans="1:8" ht="30" customHeight="1" x14ac:dyDescent="0.15">
      <c r="A3969" s="16" t="s">
        <v>1855</v>
      </c>
      <c r="B3969" s="17" t="s">
        <v>6895</v>
      </c>
      <c r="C3969" s="17" t="s">
        <v>2937</v>
      </c>
      <c r="D3969" s="25" t="s">
        <v>6804</v>
      </c>
      <c r="E3969" s="19" t="s">
        <v>6829</v>
      </c>
      <c r="F3969" s="19" t="s">
        <v>3486</v>
      </c>
      <c r="G3969" s="5" t="str">
        <f>HYPERLINK("http://jsmh.umin.jp/journal/45-2/268-269.pdf")</f>
        <v>http://jsmh.umin.jp/journal/45-2/268-269.pdf</v>
      </c>
      <c r="H3969" s="43" t="str">
        <f t="shared" si="258"/>
        <v>http://dl.ndl.go.jp/info:ndljp/pid/3359363</v>
      </c>
    </row>
    <row r="3970" spans="1:8" ht="30" customHeight="1" x14ac:dyDescent="0.15">
      <c r="A3970" s="16" t="s">
        <v>1855</v>
      </c>
      <c r="B3970" s="17" t="s">
        <v>6896</v>
      </c>
      <c r="C3970" s="17" t="s">
        <v>6897</v>
      </c>
      <c r="D3970" s="25" t="s">
        <v>6804</v>
      </c>
      <c r="E3970" s="19" t="s">
        <v>6829</v>
      </c>
      <c r="F3970" s="19" t="s">
        <v>1893</v>
      </c>
      <c r="G3970" s="5" t="str">
        <f>HYPERLINK("http://jsmh.umin.jp/journal/45-2/270-271.pdf")</f>
        <v>http://jsmh.umin.jp/journal/45-2/270-271.pdf</v>
      </c>
      <c r="H3970" s="43" t="str">
        <f t="shared" si="258"/>
        <v>http://dl.ndl.go.jp/info:ndljp/pid/3359363</v>
      </c>
    </row>
    <row r="3971" spans="1:8" ht="30" customHeight="1" x14ac:dyDescent="0.15">
      <c r="A3971" s="16" t="s">
        <v>1855</v>
      </c>
      <c r="B3971" s="17" t="s">
        <v>6898</v>
      </c>
      <c r="C3971" s="17" t="s">
        <v>6267</v>
      </c>
      <c r="D3971" s="25" t="s">
        <v>6804</v>
      </c>
      <c r="E3971" s="19" t="s">
        <v>6829</v>
      </c>
      <c r="F3971" s="19" t="s">
        <v>1895</v>
      </c>
      <c r="G3971" s="5" t="str">
        <f>HYPERLINK("http://jsmh.umin.jp/journal/45-2/272-273.pdf")</f>
        <v>http://jsmh.umin.jp/journal/45-2/272-273.pdf</v>
      </c>
      <c r="H3971" s="43" t="str">
        <f t="shared" si="258"/>
        <v>http://dl.ndl.go.jp/info:ndljp/pid/3359363</v>
      </c>
    </row>
    <row r="3972" spans="1:8" ht="30" customHeight="1" x14ac:dyDescent="0.15">
      <c r="A3972" s="16" t="s">
        <v>1855</v>
      </c>
      <c r="B3972" s="17" t="s">
        <v>6899</v>
      </c>
      <c r="C3972" s="17" t="s">
        <v>905</v>
      </c>
      <c r="D3972" s="25" t="s">
        <v>6804</v>
      </c>
      <c r="E3972" s="19" t="s">
        <v>6829</v>
      </c>
      <c r="F3972" s="19" t="s">
        <v>1899</v>
      </c>
      <c r="G3972" s="5" t="str">
        <f>HYPERLINK("http://jsmh.umin.jp/journal/45-2/274-275.pdf")</f>
        <v>http://jsmh.umin.jp/journal/45-2/274-275.pdf</v>
      </c>
      <c r="H3972" s="43" t="str">
        <f t="shared" si="258"/>
        <v>http://dl.ndl.go.jp/info:ndljp/pid/3359363</v>
      </c>
    </row>
    <row r="3973" spans="1:8" ht="30" customHeight="1" x14ac:dyDescent="0.15">
      <c r="A3973" s="16" t="s">
        <v>1855</v>
      </c>
      <c r="B3973" s="17" t="s">
        <v>6900</v>
      </c>
      <c r="C3973" s="17" t="s">
        <v>6901</v>
      </c>
      <c r="D3973" s="25" t="s">
        <v>6804</v>
      </c>
      <c r="E3973" s="19" t="s">
        <v>6829</v>
      </c>
      <c r="F3973" s="19" t="s">
        <v>5706</v>
      </c>
      <c r="G3973" s="5" t="str">
        <f>HYPERLINK("http://jsmh.umin.jp/journal/45-2/276-277.pdf")</f>
        <v>http://jsmh.umin.jp/journal/45-2/276-277.pdf</v>
      </c>
      <c r="H3973" s="43" t="str">
        <f t="shared" si="258"/>
        <v>http://dl.ndl.go.jp/info:ndljp/pid/3359363</v>
      </c>
    </row>
    <row r="3974" spans="1:8" ht="30" customHeight="1" x14ac:dyDescent="0.15">
      <c r="A3974" s="16" t="s">
        <v>1855</v>
      </c>
      <c r="B3974" s="17" t="s">
        <v>6902</v>
      </c>
      <c r="C3974" s="17" t="s">
        <v>6903</v>
      </c>
      <c r="D3974" s="25" t="s">
        <v>6804</v>
      </c>
      <c r="E3974" s="19" t="s">
        <v>6829</v>
      </c>
      <c r="F3974" s="19" t="s">
        <v>6050</v>
      </c>
      <c r="G3974" s="5" t="str">
        <f>HYPERLINK("http://jsmh.umin.jp/journal/45-2/278-279.pdf")</f>
        <v>http://jsmh.umin.jp/journal/45-2/278-279.pdf</v>
      </c>
      <c r="H3974" s="43" t="str">
        <f t="shared" si="258"/>
        <v>http://dl.ndl.go.jp/info:ndljp/pid/3359363</v>
      </c>
    </row>
    <row r="3975" spans="1:8" ht="30" customHeight="1" x14ac:dyDescent="0.15">
      <c r="A3975" s="16" t="s">
        <v>1855</v>
      </c>
      <c r="B3975" s="17" t="s">
        <v>6904</v>
      </c>
      <c r="C3975" s="17" t="s">
        <v>6905</v>
      </c>
      <c r="D3975" s="25" t="s">
        <v>6804</v>
      </c>
      <c r="E3975" s="19" t="s">
        <v>6829</v>
      </c>
      <c r="F3975" s="19" t="s">
        <v>1910</v>
      </c>
      <c r="G3975" s="5" t="str">
        <f>HYPERLINK("http://jsmh.umin.jp/journal/45-2/280-281.pdf")</f>
        <v>http://jsmh.umin.jp/journal/45-2/280-281.pdf</v>
      </c>
      <c r="H3975" s="43" t="str">
        <f t="shared" si="258"/>
        <v>http://dl.ndl.go.jp/info:ndljp/pid/3359363</v>
      </c>
    </row>
    <row r="3976" spans="1:8" ht="30" customHeight="1" x14ac:dyDescent="0.15">
      <c r="A3976" s="16" t="s">
        <v>1855</v>
      </c>
      <c r="B3976" s="17" t="s">
        <v>6906</v>
      </c>
      <c r="C3976" s="17" t="s">
        <v>6907</v>
      </c>
      <c r="D3976" s="25" t="s">
        <v>6804</v>
      </c>
      <c r="E3976" s="19" t="s">
        <v>6829</v>
      </c>
      <c r="F3976" s="19" t="s">
        <v>2122</v>
      </c>
      <c r="G3976" s="5" t="str">
        <f>HYPERLINK("http://jsmh.umin.jp/journal/45-2/282-283.pdf")</f>
        <v>http://jsmh.umin.jp/journal/45-2/282-283.pdf</v>
      </c>
      <c r="H3976" s="43" t="str">
        <f t="shared" ref="H3976:H3990" si="259">HYPERLINK("http://dl.ndl.go.jp/info:ndljp/pid/3359363")</f>
        <v>http://dl.ndl.go.jp/info:ndljp/pid/3359363</v>
      </c>
    </row>
    <row r="3977" spans="1:8" ht="30" customHeight="1" x14ac:dyDescent="0.15">
      <c r="A3977" s="16" t="s">
        <v>1855</v>
      </c>
      <c r="B3977" s="17" t="s">
        <v>6908</v>
      </c>
      <c r="C3977" s="17" t="s">
        <v>6909</v>
      </c>
      <c r="D3977" s="25" t="s">
        <v>6804</v>
      </c>
      <c r="E3977" s="19" t="s">
        <v>6829</v>
      </c>
      <c r="F3977" s="19" t="s">
        <v>1918</v>
      </c>
      <c r="G3977" s="5" t="str">
        <f>HYPERLINK("http://jsmh.umin.jp/journal/45-2/284-285.pdf")</f>
        <v>http://jsmh.umin.jp/journal/45-2/284-285.pdf</v>
      </c>
      <c r="H3977" s="43" t="str">
        <f t="shared" si="259"/>
        <v>http://dl.ndl.go.jp/info:ndljp/pid/3359363</v>
      </c>
    </row>
    <row r="3978" spans="1:8" ht="30" customHeight="1" x14ac:dyDescent="0.15">
      <c r="A3978" s="16" t="s">
        <v>1855</v>
      </c>
      <c r="B3978" s="17" t="s">
        <v>6910</v>
      </c>
      <c r="C3978" s="17" t="s">
        <v>2071</v>
      </c>
      <c r="D3978" s="25" t="s">
        <v>6804</v>
      </c>
      <c r="E3978" s="19" t="s">
        <v>6829</v>
      </c>
      <c r="F3978" s="19" t="s">
        <v>1920</v>
      </c>
      <c r="G3978" s="5" t="str">
        <f>HYPERLINK("http://jsmh.umin.jp/journal/45-2/286-287.pdf")</f>
        <v>http://jsmh.umin.jp/journal/45-2/286-287.pdf</v>
      </c>
      <c r="H3978" s="43" t="str">
        <f t="shared" si="259"/>
        <v>http://dl.ndl.go.jp/info:ndljp/pid/3359363</v>
      </c>
    </row>
    <row r="3979" spans="1:8" ht="30" customHeight="1" x14ac:dyDescent="0.15">
      <c r="A3979" s="16" t="s">
        <v>1855</v>
      </c>
      <c r="B3979" s="17" t="s">
        <v>6911</v>
      </c>
      <c r="C3979" s="17" t="s">
        <v>10289</v>
      </c>
      <c r="D3979" s="25" t="s">
        <v>6804</v>
      </c>
      <c r="E3979" s="19" t="s">
        <v>6829</v>
      </c>
      <c r="F3979" s="19" t="s">
        <v>3352</v>
      </c>
      <c r="G3979" s="5" t="str">
        <f>HYPERLINK("http://jsmh.umin.jp/journal/45-2/288-289.pdf")</f>
        <v>http://jsmh.umin.jp/journal/45-2/288-289.pdf</v>
      </c>
      <c r="H3979" s="43" t="str">
        <f t="shared" si="259"/>
        <v>http://dl.ndl.go.jp/info:ndljp/pid/3359363</v>
      </c>
    </row>
    <row r="3980" spans="1:8" ht="30" customHeight="1" x14ac:dyDescent="0.15">
      <c r="A3980" s="16" t="s">
        <v>1855</v>
      </c>
      <c r="B3980" s="17" t="s">
        <v>6912</v>
      </c>
      <c r="C3980" s="17" t="s">
        <v>5018</v>
      </c>
      <c r="D3980" s="25" t="s">
        <v>6804</v>
      </c>
      <c r="E3980" s="19" t="s">
        <v>6829</v>
      </c>
      <c r="F3980" s="19" t="s">
        <v>3504</v>
      </c>
      <c r="G3980" s="5" t="str">
        <f>HYPERLINK("http://jsmh.umin.jp/journal/45-2/290-291.pdf")</f>
        <v>http://jsmh.umin.jp/journal/45-2/290-291.pdf</v>
      </c>
      <c r="H3980" s="43" t="str">
        <f t="shared" si="259"/>
        <v>http://dl.ndl.go.jp/info:ndljp/pid/3359363</v>
      </c>
    </row>
    <row r="3981" spans="1:8" ht="30" customHeight="1" x14ac:dyDescent="0.15">
      <c r="A3981" s="16" t="s">
        <v>1855</v>
      </c>
      <c r="B3981" s="17" t="s">
        <v>6913</v>
      </c>
      <c r="C3981" s="17" t="s">
        <v>4039</v>
      </c>
      <c r="D3981" s="25" t="s">
        <v>6804</v>
      </c>
      <c r="E3981" s="19" t="s">
        <v>6829</v>
      </c>
      <c r="F3981" s="19" t="s">
        <v>1930</v>
      </c>
      <c r="G3981" s="5" t="str">
        <f>HYPERLINK("http://jsmh.umin.jp/journal/45-2/292-293.pdf")</f>
        <v>http://jsmh.umin.jp/journal/45-2/292-293.pdf</v>
      </c>
      <c r="H3981" s="43" t="str">
        <f t="shared" si="259"/>
        <v>http://dl.ndl.go.jp/info:ndljp/pid/3359363</v>
      </c>
    </row>
    <row r="3982" spans="1:8" ht="30" customHeight="1" x14ac:dyDescent="0.15">
      <c r="A3982" s="16" t="s">
        <v>1855</v>
      </c>
      <c r="B3982" s="17" t="s">
        <v>6914</v>
      </c>
      <c r="C3982" s="17" t="s">
        <v>6231</v>
      </c>
      <c r="D3982" s="25" t="s">
        <v>6804</v>
      </c>
      <c r="E3982" s="19" t="s">
        <v>6829</v>
      </c>
      <c r="F3982" s="19" t="s">
        <v>5308</v>
      </c>
      <c r="G3982" s="5" t="str">
        <f>HYPERLINK("http://jsmh.umin.jp/journal/45-2/294-295.pdf")</f>
        <v>http://jsmh.umin.jp/journal/45-2/294-295.pdf</v>
      </c>
      <c r="H3982" s="43" t="str">
        <f t="shared" si="259"/>
        <v>http://dl.ndl.go.jp/info:ndljp/pid/3359363</v>
      </c>
    </row>
    <row r="3983" spans="1:8" ht="30" customHeight="1" x14ac:dyDescent="0.15">
      <c r="A3983" s="16" t="s">
        <v>1855</v>
      </c>
      <c r="B3983" s="17" t="s">
        <v>6915</v>
      </c>
      <c r="C3983" s="17" t="s">
        <v>6916</v>
      </c>
      <c r="D3983" s="25" t="s">
        <v>6804</v>
      </c>
      <c r="E3983" s="19" t="s">
        <v>6829</v>
      </c>
      <c r="F3983" s="19" t="s">
        <v>1936</v>
      </c>
      <c r="G3983" s="5" t="str">
        <f>HYPERLINK("http://jsmh.umin.jp/journal/45-2/296-297.pdf")</f>
        <v>http://jsmh.umin.jp/journal/45-2/296-297.pdf</v>
      </c>
      <c r="H3983" s="43" t="str">
        <f t="shared" si="259"/>
        <v>http://dl.ndl.go.jp/info:ndljp/pid/3359363</v>
      </c>
    </row>
    <row r="3984" spans="1:8" ht="30" customHeight="1" x14ac:dyDescent="0.15">
      <c r="A3984" s="16" t="s">
        <v>1855</v>
      </c>
      <c r="B3984" s="17" t="s">
        <v>6917</v>
      </c>
      <c r="C3984" s="17" t="s">
        <v>3655</v>
      </c>
      <c r="D3984" s="25" t="s">
        <v>6804</v>
      </c>
      <c r="E3984" s="19" t="s">
        <v>6829</v>
      </c>
      <c r="F3984" s="19" t="s">
        <v>5311</v>
      </c>
      <c r="G3984" s="5" t="str">
        <f>HYPERLINK("http://jsmh.umin.jp/journal/45-2/298-299.pdf")</f>
        <v>http://jsmh.umin.jp/journal/45-2/298-299.pdf</v>
      </c>
      <c r="H3984" s="43" t="str">
        <f t="shared" si="259"/>
        <v>http://dl.ndl.go.jp/info:ndljp/pid/3359363</v>
      </c>
    </row>
    <row r="3985" spans="1:8" ht="30" customHeight="1" x14ac:dyDescent="0.15">
      <c r="A3985" s="16" t="s">
        <v>1855</v>
      </c>
      <c r="B3985" s="17" t="s">
        <v>6918</v>
      </c>
      <c r="C3985" s="17" t="s">
        <v>2465</v>
      </c>
      <c r="D3985" s="25" t="s">
        <v>6804</v>
      </c>
      <c r="E3985" s="19" t="s">
        <v>6829</v>
      </c>
      <c r="F3985" s="19" t="s">
        <v>6062</v>
      </c>
      <c r="G3985" s="5" t="str">
        <f>HYPERLINK("http://jsmh.umin.jp/journal/45-2/300-301.pdf")</f>
        <v>http://jsmh.umin.jp/journal/45-2/300-301.pdf</v>
      </c>
      <c r="H3985" s="43" t="str">
        <f t="shared" si="259"/>
        <v>http://dl.ndl.go.jp/info:ndljp/pid/3359363</v>
      </c>
    </row>
    <row r="3986" spans="1:8" ht="30" customHeight="1" x14ac:dyDescent="0.15">
      <c r="A3986" s="16" t="s">
        <v>1855</v>
      </c>
      <c r="B3986" s="17" t="s">
        <v>6919</v>
      </c>
      <c r="C3986" s="17" t="s">
        <v>6920</v>
      </c>
      <c r="D3986" s="25" t="s">
        <v>6804</v>
      </c>
      <c r="E3986" s="19" t="s">
        <v>6829</v>
      </c>
      <c r="F3986" s="19" t="s">
        <v>1421</v>
      </c>
      <c r="G3986" s="5" t="str">
        <f>HYPERLINK("http://jsmh.umin.jp/journal/45-2/302-303.pdf")</f>
        <v>http://jsmh.umin.jp/journal/45-2/302-303.pdf</v>
      </c>
      <c r="H3986" s="43" t="str">
        <f t="shared" si="259"/>
        <v>http://dl.ndl.go.jp/info:ndljp/pid/3359363</v>
      </c>
    </row>
    <row r="3987" spans="1:8" ht="30" customHeight="1" x14ac:dyDescent="0.15">
      <c r="A3987" s="16" t="s">
        <v>1855</v>
      </c>
      <c r="B3987" s="17" t="s">
        <v>6921</v>
      </c>
      <c r="C3987" s="17" t="s">
        <v>10205</v>
      </c>
      <c r="D3987" s="25" t="s">
        <v>6804</v>
      </c>
      <c r="E3987" s="19" t="s">
        <v>6829</v>
      </c>
      <c r="F3987" s="19" t="s">
        <v>1426</v>
      </c>
      <c r="G3987" s="5" t="str">
        <f>HYPERLINK("http://jsmh.umin.jp/journal/45-2/304-305.pdf")</f>
        <v>http://jsmh.umin.jp/journal/45-2/304-305.pdf</v>
      </c>
      <c r="H3987" s="43" t="str">
        <f t="shared" si="259"/>
        <v>http://dl.ndl.go.jp/info:ndljp/pid/3359363</v>
      </c>
    </row>
    <row r="3988" spans="1:8" ht="30" customHeight="1" x14ac:dyDescent="0.15">
      <c r="A3988" s="16" t="s">
        <v>1855</v>
      </c>
      <c r="B3988" s="17" t="s">
        <v>6922</v>
      </c>
      <c r="C3988" s="17" t="s">
        <v>10290</v>
      </c>
      <c r="D3988" s="25" t="s">
        <v>6804</v>
      </c>
      <c r="E3988" s="19" t="s">
        <v>6829</v>
      </c>
      <c r="F3988" s="19" t="s">
        <v>6066</v>
      </c>
      <c r="G3988" s="5" t="str">
        <f>HYPERLINK("http://jsmh.umin.jp/journal/45-2/306-307.pdf")</f>
        <v>http://jsmh.umin.jp/journal/45-2/306-307.pdf</v>
      </c>
      <c r="H3988" s="43" t="str">
        <f t="shared" si="259"/>
        <v>http://dl.ndl.go.jp/info:ndljp/pid/3359363</v>
      </c>
    </row>
    <row r="3989" spans="1:8" ht="30" customHeight="1" x14ac:dyDescent="0.15">
      <c r="A3989" s="16" t="s">
        <v>1855</v>
      </c>
      <c r="B3989" s="17" t="s">
        <v>6923</v>
      </c>
      <c r="C3989" s="17" t="s">
        <v>6924</v>
      </c>
      <c r="D3989" s="25" t="s">
        <v>6804</v>
      </c>
      <c r="E3989" s="19" t="s">
        <v>6829</v>
      </c>
      <c r="F3989" s="19" t="s">
        <v>1432</v>
      </c>
      <c r="G3989" s="5" t="str">
        <f>HYPERLINK("http://jsmh.umin.jp/journal/45-2/308-309.pdf")</f>
        <v>http://jsmh.umin.jp/journal/45-2/308-309.pdf</v>
      </c>
      <c r="H3989" s="43" t="str">
        <f t="shared" si="259"/>
        <v>http://dl.ndl.go.jp/info:ndljp/pid/3359363</v>
      </c>
    </row>
    <row r="3990" spans="1:8" ht="30" customHeight="1" x14ac:dyDescent="0.15">
      <c r="A3990" s="16" t="s">
        <v>1855</v>
      </c>
      <c r="B3990" s="17" t="s">
        <v>6925</v>
      </c>
      <c r="C3990" s="17" t="s">
        <v>4848</v>
      </c>
      <c r="D3990" s="25" t="s">
        <v>6804</v>
      </c>
      <c r="E3990" s="19" t="s">
        <v>6829</v>
      </c>
      <c r="F3990" s="19" t="s">
        <v>6071</v>
      </c>
      <c r="G3990" s="5" t="str">
        <f>HYPERLINK("http://jsmh.umin.jp/journal/45-2/310-311.pdf")</f>
        <v>http://jsmh.umin.jp/journal/45-2/310-311.pdf</v>
      </c>
      <c r="H3990" s="43" t="str">
        <f t="shared" si="259"/>
        <v>http://dl.ndl.go.jp/info:ndljp/pid/3359363</v>
      </c>
    </row>
    <row r="3991" spans="1:8" ht="30" customHeight="1" x14ac:dyDescent="0.15">
      <c r="A3991" s="16" t="s">
        <v>17</v>
      </c>
      <c r="B3991" s="17" t="s">
        <v>6926</v>
      </c>
      <c r="C3991" s="17" t="s">
        <v>5569</v>
      </c>
      <c r="D3991" s="25" t="s">
        <v>6804</v>
      </c>
      <c r="E3991" s="19" t="s">
        <v>6927</v>
      </c>
      <c r="F3991" s="19" t="s">
        <v>6928</v>
      </c>
      <c r="G3991" s="5" t="str">
        <f>HYPERLINK("http://jsmh.umin.jp/journal/45-3/323-338.pdf")</f>
        <v>http://jsmh.umin.jp/journal/45-3/323-338.pdf</v>
      </c>
      <c r="H3991" s="42" t="str">
        <f t="shared" ref="H3991:H4012" si="260">HYPERLINK("http://dl.ndl.go.jp/info:ndljp/pid/3359364")</f>
        <v>http://dl.ndl.go.jp/info:ndljp/pid/3359364</v>
      </c>
    </row>
    <row r="3992" spans="1:8" ht="30" customHeight="1" x14ac:dyDescent="0.15">
      <c r="A3992" s="16" t="s">
        <v>17</v>
      </c>
      <c r="B3992" s="17" t="s">
        <v>6929</v>
      </c>
      <c r="C3992" s="17" t="s">
        <v>6300</v>
      </c>
      <c r="D3992" s="25" t="s">
        <v>6804</v>
      </c>
      <c r="E3992" s="19" t="s">
        <v>6927</v>
      </c>
      <c r="F3992" s="19" t="s">
        <v>6930</v>
      </c>
      <c r="G3992" s="5" t="str">
        <f>HYPERLINK("http://jsmh.umin.jp/journal/45-3/339-372.pdf")</f>
        <v>http://jsmh.umin.jp/journal/45-3/339-372.pdf</v>
      </c>
      <c r="H3992" s="43" t="str">
        <f t="shared" si="260"/>
        <v>http://dl.ndl.go.jp/info:ndljp/pid/3359364</v>
      </c>
    </row>
    <row r="3993" spans="1:8" ht="30" customHeight="1" x14ac:dyDescent="0.15">
      <c r="A3993" s="16" t="s">
        <v>17</v>
      </c>
      <c r="B3993" s="17" t="s">
        <v>6931</v>
      </c>
      <c r="C3993" s="17" t="s">
        <v>2465</v>
      </c>
      <c r="D3993" s="25" t="s">
        <v>6804</v>
      </c>
      <c r="E3993" s="19" t="s">
        <v>6927</v>
      </c>
      <c r="F3993" s="19" t="s">
        <v>6932</v>
      </c>
      <c r="G3993" s="5" t="str">
        <f>HYPERLINK("http://jsmh.umin.jp/journal/45-3/373-400.pdf")</f>
        <v>http://jsmh.umin.jp/journal/45-3/373-400.pdf</v>
      </c>
      <c r="H3993" s="43" t="str">
        <f t="shared" si="260"/>
        <v>http://dl.ndl.go.jp/info:ndljp/pid/3359364</v>
      </c>
    </row>
    <row r="3994" spans="1:8" ht="30" customHeight="1" x14ac:dyDescent="0.15">
      <c r="A3994" s="16" t="s">
        <v>3387</v>
      </c>
      <c r="B3994" s="17" t="s">
        <v>6933</v>
      </c>
      <c r="C3994" s="17" t="s">
        <v>790</v>
      </c>
      <c r="D3994" s="25" t="s">
        <v>6804</v>
      </c>
      <c r="E3994" s="19" t="s">
        <v>6927</v>
      </c>
      <c r="F3994" s="19" t="s">
        <v>6934</v>
      </c>
      <c r="G3994" s="5" t="str">
        <f>HYPERLINK("http://jsmh.umin.jp/journal/45-3/401-412.pdf")</f>
        <v>http://jsmh.umin.jp/journal/45-3/401-412.pdf</v>
      </c>
      <c r="H3994" s="43" t="str">
        <f t="shared" si="260"/>
        <v>http://dl.ndl.go.jp/info:ndljp/pid/3359364</v>
      </c>
    </row>
    <row r="3995" spans="1:8" ht="30" customHeight="1" x14ac:dyDescent="0.15">
      <c r="A3995" s="16" t="s">
        <v>692</v>
      </c>
      <c r="B3995" s="17" t="s">
        <v>6935</v>
      </c>
      <c r="C3995" s="17" t="s">
        <v>2465</v>
      </c>
      <c r="D3995" s="25" t="s">
        <v>6804</v>
      </c>
      <c r="E3995" s="19" t="s">
        <v>6927</v>
      </c>
      <c r="F3995" s="19" t="s">
        <v>6936</v>
      </c>
      <c r="G3995" s="5" t="str">
        <f>HYPERLINK("http://jsmh.umin.jp/journal/45-3/413-420.pdf")</f>
        <v>http://jsmh.umin.jp/journal/45-3/413-420.pdf</v>
      </c>
      <c r="H3995" s="43" t="str">
        <f t="shared" si="260"/>
        <v>http://dl.ndl.go.jp/info:ndljp/pid/3359364</v>
      </c>
    </row>
    <row r="3996" spans="1:8" ht="30" customHeight="1" x14ac:dyDescent="0.15">
      <c r="A3996" s="16" t="s">
        <v>692</v>
      </c>
      <c r="B3996" s="17" t="s">
        <v>6937</v>
      </c>
      <c r="C3996" s="17" t="s">
        <v>4870</v>
      </c>
      <c r="D3996" s="25" t="s">
        <v>6804</v>
      </c>
      <c r="E3996" s="19" t="s">
        <v>6927</v>
      </c>
      <c r="F3996" s="19" t="s">
        <v>6938</v>
      </c>
      <c r="G3996" s="5" t="str">
        <f>HYPERLINK("http://jsmh.umin.jp/journal/45-3/421-433.pdf")</f>
        <v>http://jsmh.umin.jp/journal/45-3/421-433.pdf</v>
      </c>
      <c r="H3996" s="43" t="str">
        <f t="shared" si="260"/>
        <v>http://dl.ndl.go.jp/info:ndljp/pid/3359364</v>
      </c>
    </row>
    <row r="3997" spans="1:8" ht="30" customHeight="1" x14ac:dyDescent="0.15">
      <c r="A3997" s="16" t="s">
        <v>692</v>
      </c>
      <c r="B3997" s="17" t="s">
        <v>6939</v>
      </c>
      <c r="C3997" s="17" t="s">
        <v>6300</v>
      </c>
      <c r="D3997" s="25" t="s">
        <v>6804</v>
      </c>
      <c r="E3997" s="19" t="s">
        <v>6927</v>
      </c>
      <c r="F3997" s="19" t="s">
        <v>6940</v>
      </c>
      <c r="G3997" s="5" t="str">
        <f>HYPERLINK("http://jsmh.umin.jp/journal/45-3/435-448.pdf")</f>
        <v>http://jsmh.umin.jp/journal/45-3/435-448.pdf</v>
      </c>
      <c r="H3997" s="43" t="str">
        <f t="shared" si="260"/>
        <v>http://dl.ndl.go.jp/info:ndljp/pid/3359364</v>
      </c>
    </row>
    <row r="3998" spans="1:8" ht="30" customHeight="1" x14ac:dyDescent="0.15">
      <c r="A3998" s="16" t="s">
        <v>692</v>
      </c>
      <c r="B3998" s="17" t="s">
        <v>6941</v>
      </c>
      <c r="C3998" s="17" t="s">
        <v>4867</v>
      </c>
      <c r="D3998" s="25" t="s">
        <v>6804</v>
      </c>
      <c r="E3998" s="19" t="s">
        <v>6927</v>
      </c>
      <c r="F3998" s="19" t="s">
        <v>6942</v>
      </c>
      <c r="G3998" s="5" t="str">
        <f>HYPERLINK("http://jsmh.umin.jp/journal/45-3/449-458.pdf")</f>
        <v>http://jsmh.umin.jp/journal/45-3/449-458.pdf</v>
      </c>
      <c r="H3998" s="43" t="str">
        <f t="shared" si="260"/>
        <v>http://dl.ndl.go.jp/info:ndljp/pid/3359364</v>
      </c>
    </row>
    <row r="3999" spans="1:8" ht="30" customHeight="1" x14ac:dyDescent="0.15">
      <c r="A3999" s="16" t="s">
        <v>3223</v>
      </c>
      <c r="B3999" s="17" t="s">
        <v>6943</v>
      </c>
      <c r="C3999" s="17" t="s">
        <v>6944</v>
      </c>
      <c r="D3999" s="25" t="s">
        <v>6804</v>
      </c>
      <c r="E3999" s="19" t="s">
        <v>6927</v>
      </c>
      <c r="F3999" s="19" t="s">
        <v>4943</v>
      </c>
      <c r="G3999" s="5" t="str">
        <f>HYPERLINK("http://jsmh.umin.jp/journal/45-3/459-460.pdf")</f>
        <v>http://jsmh.umin.jp/journal/45-3/459-460.pdf</v>
      </c>
      <c r="H3999" s="43" t="str">
        <f t="shared" si="260"/>
        <v>http://dl.ndl.go.jp/info:ndljp/pid/3359364</v>
      </c>
    </row>
    <row r="4000" spans="1:8" ht="30" customHeight="1" x14ac:dyDescent="0.15">
      <c r="A4000" s="16" t="s">
        <v>558</v>
      </c>
      <c r="B4000" s="17" t="s">
        <v>6945</v>
      </c>
      <c r="C4000" s="17" t="s">
        <v>48</v>
      </c>
      <c r="D4000" s="25" t="s">
        <v>6804</v>
      </c>
      <c r="E4000" s="19" t="s">
        <v>6927</v>
      </c>
      <c r="F4000" s="19" t="s">
        <v>6946</v>
      </c>
      <c r="G4000" s="5" t="str">
        <f>HYPERLINK("http://jsmh.umin.jp/journal/45-3/463-465.pdf")</f>
        <v>http://jsmh.umin.jp/journal/45-3/463-465.pdf</v>
      </c>
      <c r="H4000" s="43" t="str">
        <f t="shared" si="260"/>
        <v>http://dl.ndl.go.jp/info:ndljp/pid/3359364</v>
      </c>
    </row>
    <row r="4001" spans="1:8" ht="30" customHeight="1" x14ac:dyDescent="0.15">
      <c r="A4001" s="16" t="s">
        <v>558</v>
      </c>
      <c r="B4001" s="17" t="s">
        <v>6947</v>
      </c>
      <c r="C4001" s="17" t="s">
        <v>6948</v>
      </c>
      <c r="D4001" s="25" t="s">
        <v>6804</v>
      </c>
      <c r="E4001" s="19" t="s">
        <v>6927</v>
      </c>
      <c r="F4001" s="19" t="s">
        <v>6949</v>
      </c>
      <c r="G4001" s="5" t="str">
        <f>HYPERLINK("http://jsmh.umin.jp/journal/45-3/465-466.pdf")</f>
        <v>http://jsmh.umin.jp/journal/45-3/465-466.pdf</v>
      </c>
      <c r="H4001" s="43" t="str">
        <f t="shared" si="260"/>
        <v>http://dl.ndl.go.jp/info:ndljp/pid/3359364</v>
      </c>
    </row>
    <row r="4002" spans="1:8" ht="30" customHeight="1" x14ac:dyDescent="0.15">
      <c r="A4002" s="16" t="s">
        <v>3720</v>
      </c>
      <c r="B4002" s="17" t="s">
        <v>6950</v>
      </c>
      <c r="C4002" s="17" t="s">
        <v>4085</v>
      </c>
      <c r="D4002" s="25" t="s">
        <v>6804</v>
      </c>
      <c r="E4002" s="19" t="s">
        <v>6927</v>
      </c>
      <c r="F4002" s="19" t="s">
        <v>6951</v>
      </c>
      <c r="G4002" s="5" t="str">
        <f>HYPERLINK("http://jsmh.umin.jp/journal/45-3/467-468.pdf")</f>
        <v>http://jsmh.umin.jp/journal/45-3/467-468.pdf</v>
      </c>
      <c r="H4002" s="43" t="str">
        <f t="shared" si="260"/>
        <v>http://dl.ndl.go.jp/info:ndljp/pid/3359364</v>
      </c>
    </row>
    <row r="4003" spans="1:8" ht="30" customHeight="1" x14ac:dyDescent="0.15">
      <c r="A4003" s="16" t="s">
        <v>3720</v>
      </c>
      <c r="B4003" s="17" t="s">
        <v>6952</v>
      </c>
      <c r="C4003" s="17" t="s">
        <v>2937</v>
      </c>
      <c r="D4003" s="25" t="s">
        <v>6804</v>
      </c>
      <c r="E4003" s="19" t="s">
        <v>6927</v>
      </c>
      <c r="F4003" s="19" t="s">
        <v>6953</v>
      </c>
      <c r="G4003" s="5" t="str">
        <f>HYPERLINK("http://jsmh.umin.jp/journal/45-3/469-471.pdf")</f>
        <v>http://jsmh.umin.jp/journal/45-3/469-471.pdf</v>
      </c>
      <c r="H4003" s="43" t="str">
        <f t="shared" si="260"/>
        <v>http://dl.ndl.go.jp/info:ndljp/pid/3359364</v>
      </c>
    </row>
    <row r="4004" spans="1:8" ht="30" customHeight="1" x14ac:dyDescent="0.15">
      <c r="A4004" s="16" t="s">
        <v>3720</v>
      </c>
      <c r="B4004" s="17" t="s">
        <v>6954</v>
      </c>
      <c r="C4004" s="17" t="s">
        <v>4085</v>
      </c>
      <c r="D4004" s="25" t="s">
        <v>6804</v>
      </c>
      <c r="E4004" s="19" t="s">
        <v>6927</v>
      </c>
      <c r="F4004" s="19" t="s">
        <v>6955</v>
      </c>
      <c r="G4004" s="5" t="str">
        <f>HYPERLINK("http://jsmh.umin.jp/journal/45-3/471-472.pdf")</f>
        <v>http://jsmh.umin.jp/journal/45-3/471-472.pdf</v>
      </c>
      <c r="H4004" s="43" t="str">
        <f t="shared" si="260"/>
        <v>http://dl.ndl.go.jp/info:ndljp/pid/3359364</v>
      </c>
    </row>
    <row r="4005" spans="1:8" ht="30" customHeight="1" x14ac:dyDescent="0.15">
      <c r="A4005" s="16" t="s">
        <v>2990</v>
      </c>
      <c r="B4005" s="17" t="s">
        <v>6956</v>
      </c>
      <c r="C4005" s="17" t="s">
        <v>3485</v>
      </c>
      <c r="D4005" s="25" t="s">
        <v>6804</v>
      </c>
      <c r="E4005" s="19" t="s">
        <v>6927</v>
      </c>
      <c r="F4005" s="19" t="s">
        <v>6957</v>
      </c>
      <c r="G4005" s="5" t="str">
        <f>HYPERLINK("http://jsmh.umin.jp/journal/45-3/473-474.pdf")</f>
        <v>http://jsmh.umin.jp/journal/45-3/473-474.pdf</v>
      </c>
      <c r="H4005" s="43" t="str">
        <f t="shared" si="260"/>
        <v>http://dl.ndl.go.jp/info:ndljp/pid/3359364</v>
      </c>
    </row>
    <row r="4006" spans="1:8" ht="30" customHeight="1" x14ac:dyDescent="0.15">
      <c r="A4006" s="16" t="s">
        <v>2990</v>
      </c>
      <c r="B4006" s="17" t="s">
        <v>6958</v>
      </c>
      <c r="C4006" s="17" t="s">
        <v>1972</v>
      </c>
      <c r="D4006" s="25" t="s">
        <v>6804</v>
      </c>
      <c r="E4006" s="19" t="s">
        <v>6927</v>
      </c>
      <c r="F4006" s="19" t="s">
        <v>6959</v>
      </c>
      <c r="G4006" s="5" t="str">
        <f>HYPERLINK("http://jsmh.umin.jp/journal/45-3/474-475.pdf")</f>
        <v>http://jsmh.umin.jp/journal/45-3/474-475.pdf</v>
      </c>
      <c r="H4006" s="43" t="str">
        <f t="shared" si="260"/>
        <v>http://dl.ndl.go.jp/info:ndljp/pid/3359364</v>
      </c>
    </row>
    <row r="4007" spans="1:8" ht="30" customHeight="1" x14ac:dyDescent="0.15">
      <c r="A4007" s="16" t="s">
        <v>2990</v>
      </c>
      <c r="B4007" s="17" t="s">
        <v>6960</v>
      </c>
      <c r="C4007" s="17" t="s">
        <v>3644</v>
      </c>
      <c r="D4007" s="25" t="s">
        <v>6804</v>
      </c>
      <c r="E4007" s="19" t="s">
        <v>6927</v>
      </c>
      <c r="F4007" s="19" t="s">
        <v>6961</v>
      </c>
      <c r="G4007" s="5" t="str">
        <f>HYPERLINK("http://jsmh.umin.jp/journal/45-3/475-477.pdf")</f>
        <v>http://jsmh.umin.jp/journal/45-3/475-477.pdf</v>
      </c>
      <c r="H4007" s="43" t="str">
        <f t="shared" si="260"/>
        <v>http://dl.ndl.go.jp/info:ndljp/pid/3359364</v>
      </c>
    </row>
    <row r="4008" spans="1:8" ht="30" customHeight="1" x14ac:dyDescent="0.15">
      <c r="A4008" s="16" t="s">
        <v>2990</v>
      </c>
      <c r="B4008" s="17" t="s">
        <v>6962</v>
      </c>
      <c r="C4008" s="17" t="s">
        <v>1781</v>
      </c>
      <c r="D4008" s="25" t="s">
        <v>6804</v>
      </c>
      <c r="E4008" s="19" t="s">
        <v>6927</v>
      </c>
      <c r="F4008" s="19" t="s">
        <v>6963</v>
      </c>
      <c r="G4008" s="5" t="str">
        <f>HYPERLINK("http://jsmh.umin.jp/journal/45-3/477-478.pdf")</f>
        <v>http://jsmh.umin.jp/journal/45-3/477-478.pdf</v>
      </c>
      <c r="H4008" s="43" t="str">
        <f t="shared" si="260"/>
        <v>http://dl.ndl.go.jp/info:ndljp/pid/3359364</v>
      </c>
    </row>
    <row r="4009" spans="1:8" ht="30" customHeight="1" x14ac:dyDescent="0.15">
      <c r="A4009" s="16" t="s">
        <v>2990</v>
      </c>
      <c r="B4009" s="17" t="s">
        <v>6964</v>
      </c>
      <c r="C4009" s="17" t="s">
        <v>1803</v>
      </c>
      <c r="D4009" s="25" t="s">
        <v>6804</v>
      </c>
      <c r="E4009" s="19" t="s">
        <v>6927</v>
      </c>
      <c r="F4009" s="19" t="s">
        <v>6965</v>
      </c>
      <c r="G4009" s="5" t="str">
        <f>HYPERLINK("http://jsmh.umin.jp/journal/45-3/478-479.pdf")</f>
        <v>http://jsmh.umin.jp/journal/45-3/478-479.pdf</v>
      </c>
      <c r="H4009" s="43" t="str">
        <f t="shared" si="260"/>
        <v>http://dl.ndl.go.jp/info:ndljp/pid/3359364</v>
      </c>
    </row>
    <row r="4010" spans="1:8" ht="30" customHeight="1" x14ac:dyDescent="0.15">
      <c r="A4010" s="16" t="s">
        <v>2990</v>
      </c>
      <c r="B4010" s="17" t="s">
        <v>6966</v>
      </c>
      <c r="C4010" s="17" t="s">
        <v>6300</v>
      </c>
      <c r="D4010" s="25" t="s">
        <v>6804</v>
      </c>
      <c r="E4010" s="19" t="s">
        <v>6927</v>
      </c>
      <c r="F4010" s="19" t="s">
        <v>3221</v>
      </c>
      <c r="G4010" s="5" t="str">
        <f>HYPERLINK("http://jsmh.umin.jp/journal/45-3/479-480.pdf")</f>
        <v>http://jsmh.umin.jp/journal/45-3/479-480.pdf</v>
      </c>
      <c r="H4010" s="43" t="str">
        <f t="shared" si="260"/>
        <v>http://dl.ndl.go.jp/info:ndljp/pid/3359364</v>
      </c>
    </row>
    <row r="4011" spans="1:8" ht="30" customHeight="1" x14ac:dyDescent="0.15">
      <c r="A4011" s="16" t="s">
        <v>2990</v>
      </c>
      <c r="B4011" s="17" t="s">
        <v>10291</v>
      </c>
      <c r="C4011" s="17" t="s">
        <v>2773</v>
      </c>
      <c r="D4011" s="25" t="s">
        <v>6804</v>
      </c>
      <c r="E4011" s="19" t="s">
        <v>6927</v>
      </c>
      <c r="F4011" s="19" t="s">
        <v>6967</v>
      </c>
      <c r="G4011" s="5" t="str">
        <f>HYPERLINK("http://jsmh.umin.jp/journal/45-3/480-482.pdf")</f>
        <v>http://jsmh.umin.jp/journal/45-3/480-482.pdf</v>
      </c>
      <c r="H4011" s="43" t="str">
        <f t="shared" si="260"/>
        <v>http://dl.ndl.go.jp/info:ndljp/pid/3359364</v>
      </c>
    </row>
    <row r="4012" spans="1:8" ht="30" customHeight="1" x14ac:dyDescent="0.15">
      <c r="A4012" s="16" t="s">
        <v>17</v>
      </c>
      <c r="B4012" s="17" t="s">
        <v>6968</v>
      </c>
      <c r="C4012" s="17" t="s">
        <v>6969</v>
      </c>
      <c r="D4012" s="25" t="s">
        <v>6804</v>
      </c>
      <c r="E4012" s="19" t="s">
        <v>6927</v>
      </c>
      <c r="F4012" s="19" t="s">
        <v>6970</v>
      </c>
      <c r="G4012" s="5" t="str">
        <f>HYPERLINK("http://jsmh.umin.jp/journal/45-3/500-489.pdf")</f>
        <v>http://jsmh.umin.jp/journal/45-3/500-489.pdf</v>
      </c>
      <c r="H4012" s="43" t="str">
        <f t="shared" si="260"/>
        <v>http://dl.ndl.go.jp/info:ndljp/pid/3359364</v>
      </c>
    </row>
    <row r="4013" spans="1:8" ht="30" customHeight="1" x14ac:dyDescent="0.15">
      <c r="A4013" s="16" t="s">
        <v>17</v>
      </c>
      <c r="B4013" s="17" t="s">
        <v>6971</v>
      </c>
      <c r="C4013" s="17" t="s">
        <v>6972</v>
      </c>
      <c r="D4013" s="25" t="s">
        <v>6804</v>
      </c>
      <c r="E4013" s="19" t="s">
        <v>6973</v>
      </c>
      <c r="F4013" s="19" t="s">
        <v>6974</v>
      </c>
      <c r="G4013" s="5" t="str">
        <f>HYPERLINK("http://jsmh.umin.jp/journal/45-4/503-514.pdf")</f>
        <v>http://jsmh.umin.jp/journal/45-4/503-514.pdf</v>
      </c>
      <c r="H4013" s="42" t="str">
        <f t="shared" ref="H4013:H4024" si="261">HYPERLINK("http://dl.ndl.go.jp/info:ndljp/pid/3359365")</f>
        <v>http://dl.ndl.go.jp/info:ndljp/pid/3359365</v>
      </c>
    </row>
    <row r="4014" spans="1:8" ht="30" customHeight="1" x14ac:dyDescent="0.15">
      <c r="A4014" s="16" t="s">
        <v>17</v>
      </c>
      <c r="B4014" s="17" t="s">
        <v>6975</v>
      </c>
      <c r="C4014" s="17" t="s">
        <v>6300</v>
      </c>
      <c r="D4014" s="25" t="s">
        <v>6804</v>
      </c>
      <c r="E4014" s="19" t="s">
        <v>6973</v>
      </c>
      <c r="F4014" s="19" t="s">
        <v>6976</v>
      </c>
      <c r="G4014" s="5" t="str">
        <f>HYPERLINK("http://jsmh.umin.jp/journal/45-4/515-542.pdf")</f>
        <v>http://jsmh.umin.jp/journal/45-4/515-542.pdf</v>
      </c>
      <c r="H4014" s="43" t="str">
        <f t="shared" si="261"/>
        <v>http://dl.ndl.go.jp/info:ndljp/pid/3359365</v>
      </c>
    </row>
    <row r="4015" spans="1:8" ht="30" customHeight="1" x14ac:dyDescent="0.15">
      <c r="A4015" s="16" t="s">
        <v>17</v>
      </c>
      <c r="B4015" s="17" t="s">
        <v>6977</v>
      </c>
      <c r="C4015" s="17" t="s">
        <v>6978</v>
      </c>
      <c r="D4015" s="25" t="s">
        <v>6804</v>
      </c>
      <c r="E4015" s="19" t="s">
        <v>6973</v>
      </c>
      <c r="F4015" s="19" t="s">
        <v>6979</v>
      </c>
      <c r="G4015" s="5" t="str">
        <f>HYPERLINK("http://jsmh.umin.jp/journal/45-4/543-562.pdf")</f>
        <v>http://jsmh.umin.jp/journal/45-4/543-562.pdf</v>
      </c>
      <c r="H4015" s="43" t="str">
        <f t="shared" si="261"/>
        <v>http://dl.ndl.go.jp/info:ndljp/pid/3359365</v>
      </c>
    </row>
    <row r="4016" spans="1:8" ht="30" customHeight="1" x14ac:dyDescent="0.15">
      <c r="A4016" s="16" t="s">
        <v>3387</v>
      </c>
      <c r="B4016" s="17" t="s">
        <v>6980</v>
      </c>
      <c r="C4016" s="17" t="s">
        <v>6705</v>
      </c>
      <c r="D4016" s="25" t="s">
        <v>6804</v>
      </c>
      <c r="E4016" s="19" t="s">
        <v>6973</v>
      </c>
      <c r="F4016" s="19" t="s">
        <v>6981</v>
      </c>
      <c r="G4016" s="5" t="str">
        <f>HYPERLINK("http://jsmh.umin.jp/journal/45-4/563-584.pdf")</f>
        <v>http://jsmh.umin.jp/journal/45-4/563-584.pdf</v>
      </c>
      <c r="H4016" s="43" t="str">
        <f t="shared" si="261"/>
        <v>http://dl.ndl.go.jp/info:ndljp/pid/3359365</v>
      </c>
    </row>
    <row r="4017" spans="1:8" ht="30" customHeight="1" x14ac:dyDescent="0.15">
      <c r="A4017" s="16" t="s">
        <v>3387</v>
      </c>
      <c r="B4017" s="17" t="s">
        <v>6982</v>
      </c>
      <c r="C4017" s="17" t="s">
        <v>790</v>
      </c>
      <c r="D4017" s="25" t="s">
        <v>6804</v>
      </c>
      <c r="E4017" s="19" t="s">
        <v>6973</v>
      </c>
      <c r="F4017" s="19" t="s">
        <v>6983</v>
      </c>
      <c r="G4017" s="5" t="str">
        <f>HYPERLINK("http://jsmh.umin.jp/journal/45-4/585-599.pdf")</f>
        <v>http://jsmh.umin.jp/journal/45-4/585-599.pdf</v>
      </c>
      <c r="H4017" s="43" t="str">
        <f t="shared" si="261"/>
        <v>http://dl.ndl.go.jp/info:ndljp/pid/3359365</v>
      </c>
    </row>
    <row r="4018" spans="1:8" ht="30" customHeight="1" x14ac:dyDescent="0.15">
      <c r="A4018" s="16" t="s">
        <v>4265</v>
      </c>
      <c r="B4018" s="17" t="s">
        <v>6984</v>
      </c>
      <c r="C4018" s="17" t="s">
        <v>3644</v>
      </c>
      <c r="D4018" s="25" t="s">
        <v>6804</v>
      </c>
      <c r="E4018" s="19" t="s">
        <v>6973</v>
      </c>
      <c r="F4018" s="19" t="s">
        <v>6985</v>
      </c>
      <c r="G4018" s="5" t="str">
        <f>HYPERLINK("http://jsmh.umin.jp/journal/45-4/601-605.pdf")</f>
        <v>http://jsmh.umin.jp/journal/45-4/601-605.pdf</v>
      </c>
      <c r="H4018" s="43" t="str">
        <f t="shared" si="261"/>
        <v>http://dl.ndl.go.jp/info:ndljp/pid/3359365</v>
      </c>
    </row>
    <row r="4019" spans="1:8" ht="30" customHeight="1" x14ac:dyDescent="0.15">
      <c r="A4019" s="16"/>
      <c r="B4019" s="17" t="s">
        <v>10620</v>
      </c>
      <c r="C4019" s="17" t="s">
        <v>3655</v>
      </c>
      <c r="D4019" s="25" t="s">
        <v>6804</v>
      </c>
      <c r="E4019" s="19" t="s">
        <v>6973</v>
      </c>
      <c r="F4019" s="19" t="s">
        <v>10585</v>
      </c>
      <c r="G4019" s="26" t="str">
        <f>HYPERLINK("http://jsmh.umin.jp/journal/45-4/606.pdf")</f>
        <v>http://jsmh.umin.jp/journal/45-4/606.pdf</v>
      </c>
      <c r="H4019" s="43" t="str">
        <f t="shared" si="261"/>
        <v>http://dl.ndl.go.jp/info:ndljp/pid/3359365</v>
      </c>
    </row>
    <row r="4020" spans="1:8" ht="30" customHeight="1" x14ac:dyDescent="0.15">
      <c r="A4020" s="16" t="s">
        <v>558</v>
      </c>
      <c r="B4020" s="17" t="s">
        <v>6986</v>
      </c>
      <c r="C4020" s="17" t="s">
        <v>599</v>
      </c>
      <c r="D4020" s="25" t="s">
        <v>6804</v>
      </c>
      <c r="E4020" s="19" t="s">
        <v>6973</v>
      </c>
      <c r="F4020" s="19" t="s">
        <v>10584</v>
      </c>
      <c r="G4020" s="26" t="str">
        <f>HYPERLINK("http://jsmh.umin.jp/journal/45-4/607.pdf")</f>
        <v>http://jsmh.umin.jp/journal/45-4/607.pdf</v>
      </c>
      <c r="H4020" s="43" t="str">
        <f t="shared" si="261"/>
        <v>http://dl.ndl.go.jp/info:ndljp/pid/3359365</v>
      </c>
    </row>
    <row r="4021" spans="1:8" ht="30" customHeight="1" x14ac:dyDescent="0.15">
      <c r="A4021" s="16" t="s">
        <v>558</v>
      </c>
      <c r="B4021" s="17" t="s">
        <v>6987</v>
      </c>
      <c r="C4021" s="17" t="s">
        <v>6988</v>
      </c>
      <c r="D4021" s="25" t="s">
        <v>6804</v>
      </c>
      <c r="E4021" s="19" t="s">
        <v>6973</v>
      </c>
      <c r="F4021" s="19" t="s">
        <v>5794</v>
      </c>
      <c r="G4021" s="5" t="str">
        <f>HYPERLINK("http://jsmh.umin.jp/journal/45-4/607-608.pdf")</f>
        <v>http://jsmh.umin.jp/journal/45-4/607-608.pdf</v>
      </c>
      <c r="H4021" s="43" t="str">
        <f t="shared" si="261"/>
        <v>http://dl.ndl.go.jp/info:ndljp/pid/3359365</v>
      </c>
    </row>
    <row r="4022" spans="1:8" ht="30" customHeight="1" x14ac:dyDescent="0.15">
      <c r="A4022" s="16"/>
      <c r="B4022" s="17" t="s">
        <v>10586</v>
      </c>
      <c r="C4022" s="17"/>
      <c r="D4022" s="25" t="s">
        <v>6804</v>
      </c>
      <c r="E4022" s="19" t="s">
        <v>6973</v>
      </c>
      <c r="F4022" s="19" t="s">
        <v>10587</v>
      </c>
      <c r="G4022" s="26" t="str">
        <f>HYPERLINK("http://jsmh.umin.jp/journal/45-4/608.pdf")</f>
        <v>http://jsmh.umin.jp/journal/45-4/608.pdf</v>
      </c>
      <c r="H4022" s="43" t="str">
        <f t="shared" si="261"/>
        <v>http://dl.ndl.go.jp/info:ndljp/pid/3359365</v>
      </c>
    </row>
    <row r="4023" spans="1:8" ht="30" customHeight="1" x14ac:dyDescent="0.15">
      <c r="A4023" s="16" t="s">
        <v>2990</v>
      </c>
      <c r="B4023" s="17" t="s">
        <v>6989</v>
      </c>
      <c r="C4023" s="17" t="s">
        <v>6990</v>
      </c>
      <c r="D4023" s="25" t="s">
        <v>6804</v>
      </c>
      <c r="E4023" s="19" t="s">
        <v>6973</v>
      </c>
      <c r="F4023" s="19" t="s">
        <v>5797</v>
      </c>
      <c r="G4023" s="5" t="str">
        <f>HYPERLINK("http://jsmh.umin.jp/journal/45-4/608-609.pdf")</f>
        <v>http://jsmh.umin.jp/journal/45-4/608-609.pdf</v>
      </c>
      <c r="H4023" s="43" t="str">
        <f t="shared" si="261"/>
        <v>http://dl.ndl.go.jp/info:ndljp/pid/3359365</v>
      </c>
    </row>
    <row r="4024" spans="1:8" ht="30" customHeight="1" x14ac:dyDescent="0.15">
      <c r="A4024" s="16" t="s">
        <v>2990</v>
      </c>
      <c r="B4024" s="17" t="s">
        <v>6991</v>
      </c>
      <c r="C4024" s="17" t="s">
        <v>2465</v>
      </c>
      <c r="D4024" s="25" t="s">
        <v>6804</v>
      </c>
      <c r="E4024" s="19" t="s">
        <v>6973</v>
      </c>
      <c r="F4024" s="19" t="s">
        <v>6992</v>
      </c>
      <c r="G4024" s="5" t="str">
        <f>HYPERLINK("http://jsmh.umin.jp/journal/45-4/609-611.pdf")</f>
        <v>http://jsmh.umin.jp/journal/45-4/609-611.pdf</v>
      </c>
      <c r="H4024" s="43" t="str">
        <f t="shared" si="261"/>
        <v>http://dl.ndl.go.jp/info:ndljp/pid/3359365</v>
      </c>
    </row>
    <row r="4025" spans="1:8" ht="30" customHeight="1" x14ac:dyDescent="0.15">
      <c r="A4025" s="25"/>
      <c r="B4025" s="18" t="s">
        <v>6993</v>
      </c>
      <c r="C4025" s="25"/>
      <c r="D4025" s="19" t="s">
        <v>6804</v>
      </c>
      <c r="E4025" s="28" t="s">
        <v>6994</v>
      </c>
      <c r="F4025" s="19"/>
      <c r="G4025" s="5" t="str">
        <f>HYPERLINK("http://jsmh.umin.jp/journal/45-s/")</f>
        <v>http://jsmh.umin.jp/journal/45-s/</v>
      </c>
      <c r="H4025" s="42" t="str">
        <f t="shared" ref="H4025:H4068" si="262">HYPERLINK("http://dl.ndl.go.jp/info:ndljp/pid/3359366")</f>
        <v>http://dl.ndl.go.jp/info:ndljp/pid/3359366</v>
      </c>
    </row>
    <row r="4026" spans="1:8" ht="30" customHeight="1" x14ac:dyDescent="0.15">
      <c r="A4026" s="25"/>
      <c r="B4026" s="25" t="s">
        <v>6995</v>
      </c>
      <c r="C4026" s="25" t="s">
        <v>444</v>
      </c>
      <c r="D4026" s="19" t="s">
        <v>6804</v>
      </c>
      <c r="E4026" s="19" t="s">
        <v>6994</v>
      </c>
      <c r="F4026" s="19" t="s">
        <v>6996</v>
      </c>
      <c r="G4026" s="5" t="str">
        <f>HYPERLINK("http://jsmh.umin.jp/journal/45-s/5-6.pdf")</f>
        <v>http://jsmh.umin.jp/journal/45-s/5-6.pdf</v>
      </c>
      <c r="H4026" s="43" t="str">
        <f t="shared" si="262"/>
        <v>http://dl.ndl.go.jp/info:ndljp/pid/3359366</v>
      </c>
    </row>
    <row r="4027" spans="1:8" ht="30" customHeight="1" x14ac:dyDescent="0.15">
      <c r="A4027" s="25"/>
      <c r="B4027" s="18" t="s">
        <v>6997</v>
      </c>
      <c r="C4027" s="25"/>
      <c r="D4027" s="19" t="s">
        <v>6804</v>
      </c>
      <c r="E4027" s="19" t="s">
        <v>6994</v>
      </c>
      <c r="F4027" s="19" t="s">
        <v>6998</v>
      </c>
      <c r="G4027" s="5" t="str">
        <f>HYPERLINK("http://jsmh.umin.jp/journal/45-s/7-8.pdf")</f>
        <v>http://jsmh.umin.jp/journal/45-s/7-8.pdf</v>
      </c>
      <c r="H4027" s="43" t="str">
        <f t="shared" si="262"/>
        <v>http://dl.ndl.go.jp/info:ndljp/pid/3359366</v>
      </c>
    </row>
    <row r="4028" spans="1:8" ht="30" customHeight="1" x14ac:dyDescent="0.15">
      <c r="A4028" s="25"/>
      <c r="B4028" s="28" t="s">
        <v>6999</v>
      </c>
      <c r="C4028" s="28"/>
      <c r="D4028" s="19" t="s">
        <v>6804</v>
      </c>
      <c r="E4028" s="19" t="s">
        <v>6994</v>
      </c>
      <c r="F4028" s="19" t="s">
        <v>6998</v>
      </c>
      <c r="G4028" s="5" t="str">
        <f>HYPERLINK("http://jsmh.umin.jp/journal/45-s/7-8.pdf")</f>
        <v>http://jsmh.umin.jp/journal/45-s/7-8.pdf</v>
      </c>
      <c r="H4028" s="43" t="str">
        <f t="shared" si="262"/>
        <v>http://dl.ndl.go.jp/info:ndljp/pid/3359366</v>
      </c>
    </row>
    <row r="4029" spans="1:8" ht="30" customHeight="1" x14ac:dyDescent="0.15">
      <c r="A4029" s="25" t="s">
        <v>8453</v>
      </c>
      <c r="B4029" s="25" t="s">
        <v>10292</v>
      </c>
      <c r="C4029" s="25" t="s">
        <v>2386</v>
      </c>
      <c r="D4029" s="19" t="s">
        <v>6804</v>
      </c>
      <c r="E4029" s="19" t="s">
        <v>6994</v>
      </c>
      <c r="F4029" s="19" t="s">
        <v>6998</v>
      </c>
      <c r="G4029" s="5" t="str">
        <f>HYPERLINK("http://jsmh.umin.jp/journal/45-s/7-8.pdf")</f>
        <v>http://jsmh.umin.jp/journal/45-s/7-8.pdf</v>
      </c>
      <c r="H4029" s="43" t="str">
        <f t="shared" si="262"/>
        <v>http://dl.ndl.go.jp/info:ndljp/pid/3359366</v>
      </c>
    </row>
    <row r="4030" spans="1:8" ht="30" customHeight="1" x14ac:dyDescent="0.15">
      <c r="A4030" s="25" t="s">
        <v>8453</v>
      </c>
      <c r="B4030" s="25" t="s">
        <v>7000</v>
      </c>
      <c r="C4030" s="25" t="s">
        <v>7001</v>
      </c>
      <c r="D4030" s="19" t="s">
        <v>6804</v>
      </c>
      <c r="E4030" s="19" t="s">
        <v>6994</v>
      </c>
      <c r="F4030" s="19" t="s">
        <v>7002</v>
      </c>
      <c r="G4030" s="5" t="str">
        <f>HYPERLINK("http://jsmh.umin.jp/journal/45-s/9-10.pdf")</f>
        <v>http://jsmh.umin.jp/journal/45-s/9-10.pdf</v>
      </c>
      <c r="H4030" s="43" t="str">
        <f t="shared" si="262"/>
        <v>http://dl.ndl.go.jp/info:ndljp/pid/3359366</v>
      </c>
    </row>
    <row r="4031" spans="1:8" ht="30" customHeight="1" x14ac:dyDescent="0.15">
      <c r="A4031" s="25" t="s">
        <v>8453</v>
      </c>
      <c r="B4031" s="25" t="s">
        <v>7003</v>
      </c>
      <c r="C4031" s="25" t="s">
        <v>1070</v>
      </c>
      <c r="D4031" s="19" t="s">
        <v>6804</v>
      </c>
      <c r="E4031" s="19" t="s">
        <v>6994</v>
      </c>
      <c r="F4031" s="19" t="s">
        <v>7004</v>
      </c>
      <c r="G4031" s="5" t="str">
        <f>HYPERLINK("http://jsmh.umin.jp/journal/45-s/11-12.pdf")</f>
        <v>http://jsmh.umin.jp/journal/45-s/11-12.pdf</v>
      </c>
      <c r="H4031" s="43" t="str">
        <f t="shared" si="262"/>
        <v>http://dl.ndl.go.jp/info:ndljp/pid/3359366</v>
      </c>
    </row>
    <row r="4032" spans="1:8" ht="30" customHeight="1" x14ac:dyDescent="0.15">
      <c r="A4032" s="25" t="s">
        <v>7005</v>
      </c>
      <c r="B4032" s="28" t="s">
        <v>10293</v>
      </c>
      <c r="C4032" s="28"/>
      <c r="D4032" s="19" t="s">
        <v>6804</v>
      </c>
      <c r="E4032" s="19" t="s">
        <v>6994</v>
      </c>
      <c r="F4032" s="19" t="s">
        <v>354</v>
      </c>
      <c r="G4032" s="5" t="str">
        <f>HYPERLINK("http://jsmh.umin.jp/journal/45-s/13.pdf")</f>
        <v>http://jsmh.umin.jp/journal/45-s/13.pdf</v>
      </c>
      <c r="H4032" s="43" t="str">
        <f t="shared" si="262"/>
        <v>http://dl.ndl.go.jp/info:ndljp/pid/3359366</v>
      </c>
    </row>
    <row r="4033" spans="1:8" ht="30" customHeight="1" x14ac:dyDescent="0.15">
      <c r="A4033" s="25" t="s">
        <v>7005</v>
      </c>
      <c r="B4033" s="25" t="s">
        <v>7006</v>
      </c>
      <c r="C4033" s="25" t="s">
        <v>672</v>
      </c>
      <c r="D4033" s="19" t="s">
        <v>6804</v>
      </c>
      <c r="E4033" s="19" t="s">
        <v>6994</v>
      </c>
      <c r="F4033" s="19" t="s">
        <v>354</v>
      </c>
      <c r="G4033" s="5" t="str">
        <f>HYPERLINK("http://jsmh.umin.jp/journal/45-s/13.pdf")</f>
        <v>http://jsmh.umin.jp/journal/45-s/13.pdf</v>
      </c>
      <c r="H4033" s="43" t="str">
        <f t="shared" si="262"/>
        <v>http://dl.ndl.go.jp/info:ndljp/pid/3359366</v>
      </c>
    </row>
    <row r="4034" spans="1:8" ht="30" customHeight="1" x14ac:dyDescent="0.15">
      <c r="A4034" s="25" t="s">
        <v>7005</v>
      </c>
      <c r="B4034" s="25" t="s">
        <v>7007</v>
      </c>
      <c r="C4034" s="25" t="s">
        <v>4324</v>
      </c>
      <c r="D4034" s="19" t="s">
        <v>6804</v>
      </c>
      <c r="E4034" s="19" t="s">
        <v>6994</v>
      </c>
      <c r="F4034" s="19" t="s">
        <v>7008</v>
      </c>
      <c r="G4034" s="5" t="str">
        <f>HYPERLINK("http://jsmh.umin.jp/journal/45-s/14.pdf")</f>
        <v>http://jsmh.umin.jp/journal/45-s/14.pdf</v>
      </c>
      <c r="H4034" s="43" t="str">
        <f t="shared" si="262"/>
        <v>http://dl.ndl.go.jp/info:ndljp/pid/3359366</v>
      </c>
    </row>
    <row r="4035" spans="1:8" ht="30" customHeight="1" x14ac:dyDescent="0.15">
      <c r="A4035" s="25" t="s">
        <v>7005</v>
      </c>
      <c r="B4035" s="25" t="s">
        <v>7009</v>
      </c>
      <c r="C4035" s="25" t="s">
        <v>1764</v>
      </c>
      <c r="D4035" s="19" t="s">
        <v>6804</v>
      </c>
      <c r="E4035" s="19" t="s">
        <v>6994</v>
      </c>
      <c r="F4035" s="19" t="s">
        <v>359</v>
      </c>
      <c r="G4035" s="5" t="str">
        <f>HYPERLINK("http://jsmh.umin.jp/journal/45-s/15.pdf")</f>
        <v>http://jsmh.umin.jp/journal/45-s/15.pdf</v>
      </c>
      <c r="H4035" s="43" t="str">
        <f t="shared" si="262"/>
        <v>http://dl.ndl.go.jp/info:ndljp/pid/3359366</v>
      </c>
    </row>
    <row r="4036" spans="1:8" ht="30" customHeight="1" x14ac:dyDescent="0.15">
      <c r="A4036" s="25" t="s">
        <v>7005</v>
      </c>
      <c r="B4036" s="25" t="s">
        <v>7007</v>
      </c>
      <c r="C4036" s="25" t="s">
        <v>1929</v>
      </c>
      <c r="D4036" s="19" t="s">
        <v>6804</v>
      </c>
      <c r="E4036" s="19" t="s">
        <v>6994</v>
      </c>
      <c r="F4036" s="19" t="s">
        <v>363</v>
      </c>
      <c r="G4036" s="5" t="str">
        <f>HYPERLINK("http://jsmh.umin.jp/journal/45-s/16.pdf")</f>
        <v>http://jsmh.umin.jp/journal/45-s/16.pdf</v>
      </c>
      <c r="H4036" s="43" t="str">
        <f t="shared" si="262"/>
        <v>http://dl.ndl.go.jp/info:ndljp/pid/3359366</v>
      </c>
    </row>
    <row r="4037" spans="1:8" ht="30" customHeight="1" x14ac:dyDescent="0.15">
      <c r="A4037" s="25" t="s">
        <v>7005</v>
      </c>
      <c r="B4037" s="25" t="s">
        <v>7007</v>
      </c>
      <c r="C4037" s="25" t="s">
        <v>3644</v>
      </c>
      <c r="D4037" s="19" t="s">
        <v>6804</v>
      </c>
      <c r="E4037" s="19" t="s">
        <v>6994</v>
      </c>
      <c r="F4037" s="19" t="s">
        <v>23</v>
      </c>
      <c r="G4037" s="5" t="str">
        <f>HYPERLINK("http://jsmh.umin.jp/journal/45-s/18.pdf")</f>
        <v>http://jsmh.umin.jp/journal/45-s/18.pdf</v>
      </c>
      <c r="H4037" s="43" t="str">
        <f t="shared" si="262"/>
        <v>http://dl.ndl.go.jp/info:ndljp/pid/3359366</v>
      </c>
    </row>
    <row r="4038" spans="1:8" ht="30" customHeight="1" x14ac:dyDescent="0.15">
      <c r="A4038" s="25" t="s">
        <v>7005</v>
      </c>
      <c r="B4038" s="25" t="s">
        <v>7007</v>
      </c>
      <c r="C4038" s="25" t="s">
        <v>1097</v>
      </c>
      <c r="D4038" s="19" t="s">
        <v>6804</v>
      </c>
      <c r="E4038" s="19" t="s">
        <v>6994</v>
      </c>
      <c r="F4038" s="19" t="s">
        <v>23</v>
      </c>
      <c r="G4038" s="5" t="str">
        <f>HYPERLINK("http://jsmh.umin.jp/journal/45-s/18.pdf")</f>
        <v>http://jsmh.umin.jp/journal/45-s/18.pdf</v>
      </c>
      <c r="H4038" s="43" t="str">
        <f t="shared" si="262"/>
        <v>http://dl.ndl.go.jp/info:ndljp/pid/3359366</v>
      </c>
    </row>
    <row r="4039" spans="1:8" ht="30" customHeight="1" x14ac:dyDescent="0.15">
      <c r="A4039" s="25" t="s">
        <v>7005</v>
      </c>
      <c r="B4039" s="25" t="s">
        <v>7010</v>
      </c>
      <c r="C4039" s="25" t="s">
        <v>2937</v>
      </c>
      <c r="D4039" s="19" t="s">
        <v>6804</v>
      </c>
      <c r="E4039" s="19" t="s">
        <v>6994</v>
      </c>
      <c r="F4039" s="19" t="s">
        <v>379</v>
      </c>
      <c r="G4039" s="5" t="str">
        <f>HYPERLINK("http://jsmh.umin.jp/journal/45-s/20.pdf")</f>
        <v>http://jsmh.umin.jp/journal/45-s/20.pdf</v>
      </c>
      <c r="H4039" s="43" t="str">
        <f t="shared" si="262"/>
        <v>http://dl.ndl.go.jp/info:ndljp/pid/3359366</v>
      </c>
    </row>
    <row r="4040" spans="1:8" ht="30" customHeight="1" x14ac:dyDescent="0.15">
      <c r="A4040" s="25" t="s">
        <v>7005</v>
      </c>
      <c r="B4040" s="25" t="s">
        <v>7011</v>
      </c>
      <c r="C4040" s="25" t="s">
        <v>4585</v>
      </c>
      <c r="D4040" s="19" t="s">
        <v>6804</v>
      </c>
      <c r="E4040" s="19" t="s">
        <v>6994</v>
      </c>
      <c r="F4040" s="19" t="s">
        <v>381</v>
      </c>
      <c r="G4040" s="5" t="str">
        <f>HYPERLINK("http://jsmh.umin.jp/journal/45-s/21.pdf")</f>
        <v>http://jsmh.umin.jp/journal/45-s/21.pdf</v>
      </c>
      <c r="H4040" s="43" t="str">
        <f t="shared" si="262"/>
        <v>http://dl.ndl.go.jp/info:ndljp/pid/3359366</v>
      </c>
    </row>
    <row r="4041" spans="1:8" ht="30" customHeight="1" x14ac:dyDescent="0.15">
      <c r="A4041" s="25" t="s">
        <v>7005</v>
      </c>
      <c r="B4041" s="25" t="s">
        <v>7012</v>
      </c>
      <c r="C4041" s="25" t="s">
        <v>4988</v>
      </c>
      <c r="D4041" s="19" t="s">
        <v>6804</v>
      </c>
      <c r="E4041" s="19" t="s">
        <v>6994</v>
      </c>
      <c r="F4041" s="19" t="s">
        <v>7013</v>
      </c>
      <c r="G4041" s="5" t="str">
        <f>HYPERLINK("http://jsmh.umin.jp/journal/45-s/23.pdf")</f>
        <v>http://jsmh.umin.jp/journal/45-s/23.pdf</v>
      </c>
      <c r="H4041" s="43" t="str">
        <f t="shared" si="262"/>
        <v>http://dl.ndl.go.jp/info:ndljp/pid/3359366</v>
      </c>
    </row>
    <row r="4042" spans="1:8" ht="30" customHeight="1" x14ac:dyDescent="0.15">
      <c r="A4042" s="25" t="s">
        <v>7005</v>
      </c>
      <c r="B4042" s="25" t="s">
        <v>7014</v>
      </c>
      <c r="C4042" s="25" t="s">
        <v>841</v>
      </c>
      <c r="D4042" s="19" t="s">
        <v>6804</v>
      </c>
      <c r="E4042" s="19" t="s">
        <v>6994</v>
      </c>
      <c r="F4042" s="19" t="s">
        <v>7013</v>
      </c>
      <c r="G4042" s="5" t="str">
        <f>HYPERLINK("http://jsmh.umin.jp/journal/45-s/23.pdf")</f>
        <v>http://jsmh.umin.jp/journal/45-s/23.pdf</v>
      </c>
      <c r="H4042" s="43" t="str">
        <f t="shared" si="262"/>
        <v>http://dl.ndl.go.jp/info:ndljp/pid/3359366</v>
      </c>
    </row>
    <row r="4043" spans="1:8" ht="30" customHeight="1" x14ac:dyDescent="0.15">
      <c r="A4043" s="25" t="s">
        <v>7005</v>
      </c>
      <c r="B4043" s="25" t="s">
        <v>7015</v>
      </c>
      <c r="C4043" s="25" t="s">
        <v>6705</v>
      </c>
      <c r="D4043" s="19" t="s">
        <v>6804</v>
      </c>
      <c r="E4043" s="19" t="s">
        <v>6994</v>
      </c>
      <c r="F4043" s="19" t="s">
        <v>391</v>
      </c>
      <c r="G4043" s="5" t="str">
        <f>HYPERLINK("http://jsmh.umin.jp/journal/45-s/24.pdf")</f>
        <v>http://jsmh.umin.jp/journal/45-s/24.pdf</v>
      </c>
      <c r="H4043" s="43" t="str">
        <f t="shared" si="262"/>
        <v>http://dl.ndl.go.jp/info:ndljp/pid/3359366</v>
      </c>
    </row>
    <row r="4044" spans="1:8" ht="30" customHeight="1" x14ac:dyDescent="0.15">
      <c r="A4044" s="25" t="s">
        <v>7005</v>
      </c>
      <c r="B4044" s="25" t="s">
        <v>7016</v>
      </c>
      <c r="C4044" s="25" t="s">
        <v>7017</v>
      </c>
      <c r="D4044" s="19" t="s">
        <v>6804</v>
      </c>
      <c r="E4044" s="19" t="s">
        <v>6994</v>
      </c>
      <c r="F4044" s="19" t="s">
        <v>1132</v>
      </c>
      <c r="G4044" s="5" t="str">
        <f>HYPERLINK("http://jsmh.umin.jp/journal/45-s/25.pdf")</f>
        <v>http://jsmh.umin.jp/journal/45-s/25.pdf</v>
      </c>
      <c r="H4044" s="43" t="str">
        <f t="shared" si="262"/>
        <v>http://dl.ndl.go.jp/info:ndljp/pid/3359366</v>
      </c>
    </row>
    <row r="4045" spans="1:8" ht="30" customHeight="1" x14ac:dyDescent="0.15">
      <c r="A4045" s="25" t="s">
        <v>7005</v>
      </c>
      <c r="B4045" s="25" t="s">
        <v>7007</v>
      </c>
      <c r="C4045" s="25" t="s">
        <v>905</v>
      </c>
      <c r="D4045" s="19" t="s">
        <v>6804</v>
      </c>
      <c r="E4045" s="19" t="s">
        <v>6994</v>
      </c>
      <c r="F4045" s="19" t="s">
        <v>399</v>
      </c>
      <c r="G4045" s="5" t="str">
        <f>HYPERLINK("http://jsmh.umin.jp/journal/45-s/27.pdf")</f>
        <v>http://jsmh.umin.jp/journal/45-s/27.pdf</v>
      </c>
      <c r="H4045" s="43" t="str">
        <f t="shared" si="262"/>
        <v>http://dl.ndl.go.jp/info:ndljp/pid/3359366</v>
      </c>
    </row>
    <row r="4046" spans="1:8" ht="30" customHeight="1" x14ac:dyDescent="0.15">
      <c r="A4046" s="25" t="s">
        <v>7005</v>
      </c>
      <c r="B4046" s="25" t="s">
        <v>7007</v>
      </c>
      <c r="C4046" s="25" t="s">
        <v>48</v>
      </c>
      <c r="D4046" s="19" t="s">
        <v>6804</v>
      </c>
      <c r="E4046" s="19" t="s">
        <v>6994</v>
      </c>
      <c r="F4046" s="19" t="s">
        <v>399</v>
      </c>
      <c r="G4046" s="5" t="str">
        <f>HYPERLINK("http://jsmh.umin.jp/journal/45-s/27.pdf")</f>
        <v>http://jsmh.umin.jp/journal/45-s/27.pdf</v>
      </c>
      <c r="H4046" s="43" t="str">
        <f t="shared" si="262"/>
        <v>http://dl.ndl.go.jp/info:ndljp/pid/3359366</v>
      </c>
    </row>
    <row r="4047" spans="1:8" ht="30" customHeight="1" x14ac:dyDescent="0.15">
      <c r="A4047" s="25" t="s">
        <v>7005</v>
      </c>
      <c r="B4047" s="25" t="s">
        <v>7018</v>
      </c>
      <c r="C4047" s="25" t="s">
        <v>1781</v>
      </c>
      <c r="D4047" s="19" t="s">
        <v>6804</v>
      </c>
      <c r="E4047" s="19" t="s">
        <v>6994</v>
      </c>
      <c r="F4047" s="19" t="s">
        <v>7019</v>
      </c>
      <c r="G4047" s="5" t="str">
        <f>HYPERLINK("http://jsmh.umin.jp/journal/45-s/28.pdf")</f>
        <v>http://jsmh.umin.jp/journal/45-s/28.pdf</v>
      </c>
      <c r="H4047" s="43" t="str">
        <f t="shared" si="262"/>
        <v>http://dl.ndl.go.jp/info:ndljp/pid/3359366</v>
      </c>
    </row>
    <row r="4048" spans="1:8" ht="30" customHeight="1" x14ac:dyDescent="0.15">
      <c r="A4048" s="25" t="s">
        <v>7005</v>
      </c>
      <c r="B4048" s="25" t="s">
        <v>7007</v>
      </c>
      <c r="C4048" s="25" t="s">
        <v>6851</v>
      </c>
      <c r="D4048" s="19" t="s">
        <v>6804</v>
      </c>
      <c r="E4048" s="19" t="s">
        <v>6994</v>
      </c>
      <c r="F4048" s="19" t="s">
        <v>404</v>
      </c>
      <c r="G4048" s="5" t="str">
        <f>HYPERLINK("http://jsmh.umin.jp/journal/45-s/29.pdf")</f>
        <v>http://jsmh.umin.jp/journal/45-s/29.pdf</v>
      </c>
      <c r="H4048" s="43" t="str">
        <f t="shared" si="262"/>
        <v>http://dl.ndl.go.jp/info:ndljp/pid/3359366</v>
      </c>
    </row>
    <row r="4049" spans="1:8" ht="30" customHeight="1" x14ac:dyDescent="0.15">
      <c r="A4049" s="25" t="s">
        <v>7005</v>
      </c>
      <c r="B4049" s="25" t="s">
        <v>7020</v>
      </c>
      <c r="C4049" s="25" t="s">
        <v>7021</v>
      </c>
      <c r="D4049" s="19" t="s">
        <v>6804</v>
      </c>
      <c r="E4049" s="19" t="s">
        <v>6994</v>
      </c>
      <c r="F4049" s="19" t="s">
        <v>1465</v>
      </c>
      <c r="G4049" s="5" t="str">
        <f>HYPERLINK("http://jsmh.umin.jp/journal/45-s/30.pdf")</f>
        <v>http://jsmh.umin.jp/journal/45-s/30.pdf</v>
      </c>
      <c r="H4049" s="43" t="str">
        <f t="shared" si="262"/>
        <v>http://dl.ndl.go.jp/info:ndljp/pid/3359366</v>
      </c>
    </row>
    <row r="4050" spans="1:8" ht="30" customHeight="1" x14ac:dyDescent="0.15">
      <c r="A4050" s="25" t="s">
        <v>7005</v>
      </c>
      <c r="B4050" s="25" t="s">
        <v>7007</v>
      </c>
      <c r="C4050" s="25" t="s">
        <v>1457</v>
      </c>
      <c r="D4050" s="19" t="s">
        <v>6804</v>
      </c>
      <c r="E4050" s="19" t="s">
        <v>6994</v>
      </c>
      <c r="F4050" s="19" t="s">
        <v>1465</v>
      </c>
      <c r="G4050" s="5" t="str">
        <f>HYPERLINK("http://jsmh.umin.jp/journal/45-s/30.pdf")</f>
        <v>http://jsmh.umin.jp/journal/45-s/30.pdf</v>
      </c>
      <c r="H4050" s="43" t="str">
        <f t="shared" si="262"/>
        <v>http://dl.ndl.go.jp/info:ndljp/pid/3359366</v>
      </c>
    </row>
    <row r="4051" spans="1:8" ht="30" customHeight="1" x14ac:dyDescent="0.15">
      <c r="A4051" s="25" t="s">
        <v>7005</v>
      </c>
      <c r="B4051" s="25" t="s">
        <v>7022</v>
      </c>
      <c r="C4051" s="25" t="s">
        <v>2386</v>
      </c>
      <c r="D4051" s="19" t="s">
        <v>6804</v>
      </c>
      <c r="E4051" s="19" t="s">
        <v>6994</v>
      </c>
      <c r="F4051" s="19" t="s">
        <v>7023</v>
      </c>
      <c r="G4051" s="5" t="str">
        <f>HYPERLINK("http://jsmh.umin.jp/journal/45-s/32.pdf")</f>
        <v>http://jsmh.umin.jp/journal/45-s/32.pdf</v>
      </c>
      <c r="H4051" s="43" t="str">
        <f t="shared" si="262"/>
        <v>http://dl.ndl.go.jp/info:ndljp/pid/3359366</v>
      </c>
    </row>
    <row r="4052" spans="1:8" ht="30" customHeight="1" x14ac:dyDescent="0.15">
      <c r="A4052" s="25" t="s">
        <v>7005</v>
      </c>
      <c r="B4052" s="25" t="s">
        <v>7024</v>
      </c>
      <c r="C4052" s="25" t="s">
        <v>6467</v>
      </c>
      <c r="D4052" s="19" t="s">
        <v>6804</v>
      </c>
      <c r="E4052" s="19" t="s">
        <v>6994</v>
      </c>
      <c r="F4052" s="19" t="s">
        <v>751</v>
      </c>
      <c r="G4052" s="5" t="str">
        <f>HYPERLINK("http://jsmh.umin.jp/journal/45-s/33.pdf")</f>
        <v>http://jsmh.umin.jp/journal/45-s/33.pdf</v>
      </c>
      <c r="H4052" s="43" t="str">
        <f t="shared" si="262"/>
        <v>http://dl.ndl.go.jp/info:ndljp/pid/3359366</v>
      </c>
    </row>
    <row r="4053" spans="1:8" ht="30" customHeight="1" x14ac:dyDescent="0.15">
      <c r="A4053" s="25" t="s">
        <v>7005</v>
      </c>
      <c r="B4053" s="25" t="s">
        <v>7025</v>
      </c>
      <c r="C4053" s="25" t="s">
        <v>7026</v>
      </c>
      <c r="D4053" s="19" t="s">
        <v>6804</v>
      </c>
      <c r="E4053" s="19" t="s">
        <v>6994</v>
      </c>
      <c r="F4053" s="19" t="s">
        <v>409</v>
      </c>
      <c r="G4053" s="5" t="str">
        <f>HYPERLINK("http://jsmh.umin.jp/journal/45-s/34.pdf")</f>
        <v>http://jsmh.umin.jp/journal/45-s/34.pdf</v>
      </c>
      <c r="H4053" s="43" t="str">
        <f t="shared" si="262"/>
        <v>http://dl.ndl.go.jp/info:ndljp/pid/3359366</v>
      </c>
    </row>
    <row r="4054" spans="1:8" ht="30" customHeight="1" x14ac:dyDescent="0.15">
      <c r="A4054" s="25" t="s">
        <v>7005</v>
      </c>
      <c r="B4054" s="25" t="s">
        <v>7007</v>
      </c>
      <c r="C4054" s="25" t="s">
        <v>479</v>
      </c>
      <c r="D4054" s="19" t="s">
        <v>6804</v>
      </c>
      <c r="E4054" s="19" t="s">
        <v>6994</v>
      </c>
      <c r="F4054" s="19" t="s">
        <v>7027</v>
      </c>
      <c r="G4054" s="5" t="str">
        <f>HYPERLINK("http://jsmh.umin.jp/journal/45-s/35.pdf")</f>
        <v>http://jsmh.umin.jp/journal/45-s/35.pdf</v>
      </c>
      <c r="H4054" s="43" t="str">
        <f t="shared" si="262"/>
        <v>http://dl.ndl.go.jp/info:ndljp/pid/3359366</v>
      </c>
    </row>
    <row r="4055" spans="1:8" ht="30" customHeight="1" x14ac:dyDescent="0.15">
      <c r="A4055" s="25" t="s">
        <v>7005</v>
      </c>
      <c r="B4055" s="25" t="s">
        <v>7007</v>
      </c>
      <c r="C4055" s="25" t="s">
        <v>5542</v>
      </c>
      <c r="D4055" s="19" t="s">
        <v>6804</v>
      </c>
      <c r="E4055" s="19" t="s">
        <v>6994</v>
      </c>
      <c r="F4055" s="19" t="s">
        <v>7028</v>
      </c>
      <c r="G4055" s="5" t="str">
        <f>HYPERLINK("http://jsmh.umin.jp/journal/45-s/37.pdf")</f>
        <v>http://jsmh.umin.jp/journal/45-s/37.pdf</v>
      </c>
      <c r="H4055" s="43" t="str">
        <f t="shared" si="262"/>
        <v>http://dl.ndl.go.jp/info:ndljp/pid/3359366</v>
      </c>
    </row>
    <row r="4056" spans="1:8" ht="30" customHeight="1" x14ac:dyDescent="0.15">
      <c r="A4056" s="25" t="s">
        <v>7005</v>
      </c>
      <c r="B4056" s="25" t="s">
        <v>7007</v>
      </c>
      <c r="C4056" s="25" t="s">
        <v>3998</v>
      </c>
      <c r="D4056" s="19" t="s">
        <v>6804</v>
      </c>
      <c r="E4056" s="19" t="s">
        <v>6994</v>
      </c>
      <c r="F4056" s="19" t="s">
        <v>7028</v>
      </c>
      <c r="G4056" s="5" t="str">
        <f>HYPERLINK("http://jsmh.umin.jp/journal/45-s/37.pdf")</f>
        <v>http://jsmh.umin.jp/journal/45-s/37.pdf</v>
      </c>
      <c r="H4056" s="43" t="str">
        <f t="shared" si="262"/>
        <v>http://dl.ndl.go.jp/info:ndljp/pid/3359366</v>
      </c>
    </row>
    <row r="4057" spans="1:8" ht="30" customHeight="1" x14ac:dyDescent="0.15">
      <c r="A4057" s="25" t="s">
        <v>7005</v>
      </c>
      <c r="B4057" s="25" t="s">
        <v>7029</v>
      </c>
      <c r="C4057" s="25" t="s">
        <v>790</v>
      </c>
      <c r="D4057" s="19" t="s">
        <v>6804</v>
      </c>
      <c r="E4057" s="19" t="s">
        <v>6994</v>
      </c>
      <c r="F4057" s="19" t="s">
        <v>695</v>
      </c>
      <c r="G4057" s="5" t="str">
        <f>HYPERLINK("http://jsmh.umin.jp/journal/45-s/39.pdf")</f>
        <v>http://jsmh.umin.jp/journal/45-s/39.pdf</v>
      </c>
      <c r="H4057" s="43" t="str">
        <f t="shared" si="262"/>
        <v>http://dl.ndl.go.jp/info:ndljp/pid/3359366</v>
      </c>
    </row>
    <row r="4058" spans="1:8" ht="30" customHeight="1" x14ac:dyDescent="0.15">
      <c r="A4058" s="25" t="s">
        <v>7005</v>
      </c>
      <c r="B4058" s="25" t="s">
        <v>7030</v>
      </c>
      <c r="C4058" s="25" t="s">
        <v>7031</v>
      </c>
      <c r="D4058" s="19" t="s">
        <v>6804</v>
      </c>
      <c r="E4058" s="19" t="s">
        <v>6994</v>
      </c>
      <c r="F4058" s="19" t="s">
        <v>770</v>
      </c>
      <c r="G4058" s="5" t="str">
        <f>HYPERLINK("http://jsmh.umin.jp/journal/45-s/40.pdf")</f>
        <v>http://jsmh.umin.jp/journal/45-s/40.pdf</v>
      </c>
      <c r="H4058" s="43" t="str">
        <f t="shared" si="262"/>
        <v>http://dl.ndl.go.jp/info:ndljp/pid/3359366</v>
      </c>
    </row>
    <row r="4059" spans="1:8" ht="30" customHeight="1" x14ac:dyDescent="0.15">
      <c r="A4059" s="25" t="s">
        <v>7005</v>
      </c>
      <c r="B4059" s="25" t="s">
        <v>7007</v>
      </c>
      <c r="C4059" s="25" t="s">
        <v>916</v>
      </c>
      <c r="D4059" s="19" t="s">
        <v>6804</v>
      </c>
      <c r="E4059" s="19" t="s">
        <v>6994</v>
      </c>
      <c r="F4059" s="19" t="s">
        <v>31</v>
      </c>
      <c r="G4059" s="5" t="str">
        <f>HYPERLINK("http://jsmh.umin.jp/journal/45-s/42.pdf")</f>
        <v>http://jsmh.umin.jp/journal/45-s/42.pdf</v>
      </c>
      <c r="H4059" s="43" t="str">
        <f t="shared" si="262"/>
        <v>http://dl.ndl.go.jp/info:ndljp/pid/3359366</v>
      </c>
    </row>
    <row r="4060" spans="1:8" ht="30" customHeight="1" x14ac:dyDescent="0.15">
      <c r="A4060" s="25" t="s">
        <v>7005</v>
      </c>
      <c r="B4060" s="25" t="s">
        <v>7032</v>
      </c>
      <c r="C4060" s="25" t="s">
        <v>7033</v>
      </c>
      <c r="D4060" s="19" t="s">
        <v>6804</v>
      </c>
      <c r="E4060" s="19" t="s">
        <v>6994</v>
      </c>
      <c r="F4060" s="19" t="s">
        <v>7034</v>
      </c>
      <c r="G4060" s="5" t="str">
        <f>HYPERLINK("http://jsmh.umin.jp/journal/45-s/43.pdf")</f>
        <v>http://jsmh.umin.jp/journal/45-s/43.pdf</v>
      </c>
      <c r="H4060" s="43" t="str">
        <f t="shared" si="262"/>
        <v>http://dl.ndl.go.jp/info:ndljp/pid/3359366</v>
      </c>
    </row>
    <row r="4061" spans="1:8" ht="30" customHeight="1" x14ac:dyDescent="0.15">
      <c r="A4061" s="25" t="s">
        <v>7005</v>
      </c>
      <c r="B4061" s="25" t="s">
        <v>7007</v>
      </c>
      <c r="C4061" s="25" t="s">
        <v>5143</v>
      </c>
      <c r="D4061" s="19" t="s">
        <v>6804</v>
      </c>
      <c r="E4061" s="19" t="s">
        <v>6994</v>
      </c>
      <c r="F4061" s="19" t="s">
        <v>4983</v>
      </c>
      <c r="G4061" s="5" t="str">
        <f>HYPERLINK("http://jsmh.umin.jp/journal/45-s/44.pdf")</f>
        <v>http://jsmh.umin.jp/journal/45-s/44.pdf</v>
      </c>
      <c r="H4061" s="43" t="str">
        <f t="shared" si="262"/>
        <v>http://dl.ndl.go.jp/info:ndljp/pid/3359366</v>
      </c>
    </row>
    <row r="4062" spans="1:8" ht="30" customHeight="1" x14ac:dyDescent="0.15">
      <c r="A4062" s="25" t="s">
        <v>7005</v>
      </c>
      <c r="B4062" s="25" t="s">
        <v>7007</v>
      </c>
      <c r="C4062" s="25" t="s">
        <v>2881</v>
      </c>
      <c r="D4062" s="19" t="s">
        <v>6804</v>
      </c>
      <c r="E4062" s="19" t="s">
        <v>6994</v>
      </c>
      <c r="F4062" s="19" t="s">
        <v>7035</v>
      </c>
      <c r="G4062" s="5" t="str">
        <f>HYPERLINK("http://jsmh.umin.jp/journal/45-s/45.pdf")</f>
        <v>http://jsmh.umin.jp/journal/45-s/45.pdf</v>
      </c>
      <c r="H4062" s="43" t="str">
        <f t="shared" si="262"/>
        <v>http://dl.ndl.go.jp/info:ndljp/pid/3359366</v>
      </c>
    </row>
    <row r="4063" spans="1:8" ht="30" customHeight="1" x14ac:dyDescent="0.15">
      <c r="A4063" s="25" t="s">
        <v>7005</v>
      </c>
      <c r="B4063" s="25" t="s">
        <v>7036</v>
      </c>
      <c r="C4063" s="25" t="s">
        <v>790</v>
      </c>
      <c r="D4063" s="19" t="s">
        <v>6804</v>
      </c>
      <c r="E4063" s="19" t="s">
        <v>6994</v>
      </c>
      <c r="F4063" s="19" t="s">
        <v>873</v>
      </c>
      <c r="G4063" s="5" t="str">
        <f>HYPERLINK("http://jsmh.umin.jp/journal/45-s/46.pdf")</f>
        <v>http://jsmh.umin.jp/journal/45-s/46.pdf</v>
      </c>
      <c r="H4063" s="43" t="str">
        <f t="shared" si="262"/>
        <v>http://dl.ndl.go.jp/info:ndljp/pid/3359366</v>
      </c>
    </row>
    <row r="4064" spans="1:8" ht="30" customHeight="1" x14ac:dyDescent="0.15">
      <c r="A4064" s="25"/>
      <c r="B4064" s="28" t="s">
        <v>7037</v>
      </c>
      <c r="C4064" s="28"/>
      <c r="D4064" s="19" t="s">
        <v>6804</v>
      </c>
      <c r="E4064" s="19" t="s">
        <v>6994</v>
      </c>
      <c r="F4064" s="19" t="s">
        <v>417</v>
      </c>
      <c r="G4064" s="5" t="str">
        <f>HYPERLINK("http://jsmh.umin.jp/journal/45-s/51.pdf")</f>
        <v>http://jsmh.umin.jp/journal/45-s/51.pdf</v>
      </c>
      <c r="H4064" s="43" t="str">
        <f t="shared" si="262"/>
        <v>http://dl.ndl.go.jp/info:ndljp/pid/3359366</v>
      </c>
    </row>
    <row r="4065" spans="1:8" ht="30" customHeight="1" x14ac:dyDescent="0.15">
      <c r="A4065" s="25" t="s">
        <v>8453</v>
      </c>
      <c r="B4065" s="25" t="s">
        <v>7038</v>
      </c>
      <c r="C4065" s="25" t="s">
        <v>48</v>
      </c>
      <c r="D4065" s="19" t="s">
        <v>6804</v>
      </c>
      <c r="E4065" s="19" t="s">
        <v>6994</v>
      </c>
      <c r="F4065" s="19" t="s">
        <v>417</v>
      </c>
      <c r="G4065" s="5" t="str">
        <f>HYPERLINK("http://jsmh.umin.jp/journal/45-s/51.pdf")</f>
        <v>http://jsmh.umin.jp/journal/45-s/51.pdf</v>
      </c>
      <c r="H4065" s="43" t="str">
        <f t="shared" si="262"/>
        <v>http://dl.ndl.go.jp/info:ndljp/pid/3359366</v>
      </c>
    </row>
    <row r="4066" spans="1:8" ht="30" customHeight="1" x14ac:dyDescent="0.15">
      <c r="A4066" s="25" t="s">
        <v>8453</v>
      </c>
      <c r="B4066" s="25" t="s">
        <v>7039</v>
      </c>
      <c r="C4066" s="25" t="s">
        <v>7040</v>
      </c>
      <c r="D4066" s="19" t="s">
        <v>6804</v>
      </c>
      <c r="E4066" s="19" t="s">
        <v>6994</v>
      </c>
      <c r="F4066" s="19" t="s">
        <v>1108</v>
      </c>
      <c r="G4066" s="5" t="str">
        <f>HYPERLINK("http://jsmh.umin.jp/journal/45-s/53.pdf")</f>
        <v>http://jsmh.umin.jp/journal/45-s/53.pdf</v>
      </c>
      <c r="H4066" s="43" t="str">
        <f t="shared" si="262"/>
        <v>http://dl.ndl.go.jp/info:ndljp/pid/3359366</v>
      </c>
    </row>
    <row r="4067" spans="1:8" ht="30" customHeight="1" x14ac:dyDescent="0.15">
      <c r="A4067" s="25" t="s">
        <v>8453</v>
      </c>
      <c r="B4067" s="25" t="s">
        <v>7041</v>
      </c>
      <c r="C4067" s="25" t="s">
        <v>790</v>
      </c>
      <c r="D4067" s="19" t="s">
        <v>6804</v>
      </c>
      <c r="E4067" s="19" t="s">
        <v>6994</v>
      </c>
      <c r="F4067" s="19" t="s">
        <v>167</v>
      </c>
      <c r="G4067" s="5" t="str">
        <f>HYPERLINK("http://jsmh.umin.jp/journal/45-s/55.pdf")</f>
        <v>http://jsmh.umin.jp/journal/45-s/55.pdf</v>
      </c>
      <c r="H4067" s="43" t="str">
        <f t="shared" si="262"/>
        <v>http://dl.ndl.go.jp/info:ndljp/pid/3359366</v>
      </c>
    </row>
    <row r="4068" spans="1:8" ht="30" customHeight="1" x14ac:dyDescent="0.15">
      <c r="A4068" s="25" t="s">
        <v>8453</v>
      </c>
      <c r="B4068" s="25" t="s">
        <v>7042</v>
      </c>
      <c r="C4068" s="25" t="s">
        <v>1070</v>
      </c>
      <c r="D4068" s="19" t="s">
        <v>6804</v>
      </c>
      <c r="E4068" s="19" t="s">
        <v>6994</v>
      </c>
      <c r="F4068" s="19" t="s">
        <v>7043</v>
      </c>
      <c r="G4068" s="5" t="str">
        <f>HYPERLINK("http://jsmh.umin.jp/journal/45-s/57.pdf")</f>
        <v>http://jsmh.umin.jp/journal/45-s/57.pdf</v>
      </c>
      <c r="H4068" s="43" t="str">
        <f t="shared" si="262"/>
        <v>http://dl.ndl.go.jp/info:ndljp/pid/3359366</v>
      </c>
    </row>
    <row r="4069" spans="1:8" ht="30" customHeight="1" x14ac:dyDescent="0.15">
      <c r="A4069" s="16" t="s">
        <v>17</v>
      </c>
      <c r="B4069" s="17" t="s">
        <v>7044</v>
      </c>
      <c r="C4069" s="17" t="s">
        <v>6300</v>
      </c>
      <c r="D4069" s="18" t="s">
        <v>7045</v>
      </c>
      <c r="E4069" s="19" t="s">
        <v>7046</v>
      </c>
      <c r="F4069" s="19" t="s">
        <v>7047</v>
      </c>
      <c r="G4069" s="5" t="str">
        <f>HYPERLINK("http://jsmh.umin.jp/journal/46-1/3-22.pdf")</f>
        <v>http://jsmh.umin.jp/journal/46-1/3-22.pdf</v>
      </c>
      <c r="H4069" s="42" t="str">
        <f t="shared" ref="H4069:H4085" si="263">HYPERLINK("http://dl.ndl.go.jp/info:ndljp/pid/3359367")</f>
        <v>http://dl.ndl.go.jp/info:ndljp/pid/3359367</v>
      </c>
    </row>
    <row r="4070" spans="1:8" ht="30" customHeight="1" x14ac:dyDescent="0.15">
      <c r="A4070" s="16" t="s">
        <v>17</v>
      </c>
      <c r="B4070" s="17" t="s">
        <v>7048</v>
      </c>
      <c r="C4070" s="17" t="s">
        <v>6978</v>
      </c>
      <c r="D4070" s="25" t="s">
        <v>7045</v>
      </c>
      <c r="E4070" s="19" t="s">
        <v>7046</v>
      </c>
      <c r="F4070" s="19" t="s">
        <v>7049</v>
      </c>
      <c r="G4070" s="5" t="str">
        <f>HYPERLINK("http://jsmh.umin.jp/journal/46-1/23-45.pdf")</f>
        <v>http://jsmh.umin.jp/journal/46-1/23-45.pdf</v>
      </c>
      <c r="H4070" s="43" t="str">
        <f t="shared" si="263"/>
        <v>http://dl.ndl.go.jp/info:ndljp/pid/3359367</v>
      </c>
    </row>
    <row r="4071" spans="1:8" ht="30" customHeight="1" x14ac:dyDescent="0.15">
      <c r="A4071" s="16"/>
      <c r="B4071" s="17" t="s">
        <v>10621</v>
      </c>
      <c r="C4071" s="17" t="s">
        <v>3655</v>
      </c>
      <c r="D4071" s="25" t="s">
        <v>7045</v>
      </c>
      <c r="E4071" s="19" t="s">
        <v>7046</v>
      </c>
      <c r="F4071" s="19" t="s">
        <v>10588</v>
      </c>
      <c r="G4071" s="26" t="str">
        <f>HYPERLINK("http://jsmh.umin.jp/journal/46-1/46.pdf")</f>
        <v>http://jsmh.umin.jp/journal/46-1/46.pdf</v>
      </c>
      <c r="H4071" s="43" t="str">
        <f t="shared" si="263"/>
        <v>http://dl.ndl.go.jp/info:ndljp/pid/3359367</v>
      </c>
    </row>
    <row r="4072" spans="1:8" ht="30" customHeight="1" x14ac:dyDescent="0.15">
      <c r="A4072" s="16" t="s">
        <v>17</v>
      </c>
      <c r="B4072" s="17" t="s">
        <v>7050</v>
      </c>
      <c r="C4072" s="17" t="s">
        <v>790</v>
      </c>
      <c r="D4072" s="25" t="s">
        <v>7045</v>
      </c>
      <c r="E4072" s="19" t="s">
        <v>7046</v>
      </c>
      <c r="F4072" s="19" t="s">
        <v>3240</v>
      </c>
      <c r="G4072" s="5" t="str">
        <f>HYPERLINK("http://jsmh.umin.jp/journal/46-1/47-55.pdf")</f>
        <v>http://jsmh.umin.jp/journal/46-1/47-55.pdf</v>
      </c>
      <c r="H4072" s="43" t="str">
        <f t="shared" si="263"/>
        <v>http://dl.ndl.go.jp/info:ndljp/pid/3359367</v>
      </c>
    </row>
    <row r="4073" spans="1:8" ht="30" customHeight="1" x14ac:dyDescent="0.15">
      <c r="A4073" s="16"/>
      <c r="B4073" s="17" t="s">
        <v>10622</v>
      </c>
      <c r="C4073" s="17" t="s">
        <v>6300</v>
      </c>
      <c r="D4073" s="25" t="s">
        <v>7045</v>
      </c>
      <c r="E4073" s="19" t="s">
        <v>7046</v>
      </c>
      <c r="F4073" s="19" t="s">
        <v>10589</v>
      </c>
      <c r="G4073" s="26" t="str">
        <f>HYPERLINK("http://jsmh.umin.jp/journal/46-1/56.pdf")</f>
        <v>http://jsmh.umin.jp/journal/46-1/56.pdf</v>
      </c>
      <c r="H4073" s="43" t="str">
        <f t="shared" si="263"/>
        <v>http://dl.ndl.go.jp/info:ndljp/pid/3359367</v>
      </c>
    </row>
    <row r="4074" spans="1:8" ht="30" customHeight="1" x14ac:dyDescent="0.15">
      <c r="A4074" s="16" t="s">
        <v>4265</v>
      </c>
      <c r="B4074" s="17" t="s">
        <v>7051</v>
      </c>
      <c r="C4074" s="17" t="s">
        <v>2937</v>
      </c>
      <c r="D4074" s="25" t="s">
        <v>7045</v>
      </c>
      <c r="E4074" s="19" t="s">
        <v>7046</v>
      </c>
      <c r="F4074" s="19" t="s">
        <v>7052</v>
      </c>
      <c r="G4074" s="5" t="str">
        <f>HYPERLINK("http://jsmh.umin.jp/journal/46-1/57-73.pdf")</f>
        <v>http://jsmh.umin.jp/journal/46-1/57-73.pdf</v>
      </c>
      <c r="H4074" s="43" t="str">
        <f t="shared" si="263"/>
        <v>http://dl.ndl.go.jp/info:ndljp/pid/3359367</v>
      </c>
    </row>
    <row r="4075" spans="1:8" ht="30" customHeight="1" x14ac:dyDescent="0.15">
      <c r="A4075" s="16"/>
      <c r="B4075" s="17" t="s">
        <v>10623</v>
      </c>
      <c r="C4075" s="17" t="s">
        <v>2386</v>
      </c>
      <c r="D4075" s="25" t="s">
        <v>7045</v>
      </c>
      <c r="E4075" s="19" t="s">
        <v>7046</v>
      </c>
      <c r="F4075" s="19" t="s">
        <v>10590</v>
      </c>
      <c r="G4075" s="26" t="str">
        <f>HYPERLINK("http://jsmh.umin.jp/journal/46-1/74.pdf")</f>
        <v>http://jsmh.umin.jp/journal/46-1/74.pdf</v>
      </c>
      <c r="H4075" s="43" t="str">
        <f t="shared" si="263"/>
        <v>http://dl.ndl.go.jp/info:ndljp/pid/3359367</v>
      </c>
    </row>
    <row r="4076" spans="1:8" ht="30" customHeight="1" x14ac:dyDescent="0.15">
      <c r="A4076" s="16" t="s">
        <v>692</v>
      </c>
      <c r="B4076" s="17" t="s">
        <v>7053</v>
      </c>
      <c r="C4076" s="17" t="s">
        <v>4870</v>
      </c>
      <c r="D4076" s="25" t="s">
        <v>7045</v>
      </c>
      <c r="E4076" s="19" t="s">
        <v>7046</v>
      </c>
      <c r="F4076" s="19" t="s">
        <v>7054</v>
      </c>
      <c r="G4076" s="5" t="str">
        <f>HYPERLINK("http://jsmh.umin.jp/journal/46-1/75-85.pdf")</f>
        <v>http://jsmh.umin.jp/journal/46-1/75-85.pdf</v>
      </c>
      <c r="H4076" s="43" t="str">
        <f t="shared" si="263"/>
        <v>http://dl.ndl.go.jp/info:ndljp/pid/3359367</v>
      </c>
    </row>
    <row r="4077" spans="1:8" ht="30" customHeight="1" x14ac:dyDescent="0.15">
      <c r="A4077" s="16" t="s">
        <v>692</v>
      </c>
      <c r="B4077" s="17" t="s">
        <v>7055</v>
      </c>
      <c r="C4077" s="17" t="s">
        <v>4867</v>
      </c>
      <c r="D4077" s="25" t="s">
        <v>7045</v>
      </c>
      <c r="E4077" s="19" t="s">
        <v>7046</v>
      </c>
      <c r="F4077" s="19" t="s">
        <v>7056</v>
      </c>
      <c r="G4077" s="5" t="str">
        <f>HYPERLINK("http://jsmh.umin.jp/journal/46-1/86-98.pdf")</f>
        <v>http://jsmh.umin.jp/journal/46-1/86-98.pdf</v>
      </c>
      <c r="H4077" s="43" t="str">
        <f t="shared" si="263"/>
        <v>http://dl.ndl.go.jp/info:ndljp/pid/3359367</v>
      </c>
    </row>
    <row r="4078" spans="1:8" ht="30" customHeight="1" x14ac:dyDescent="0.15">
      <c r="A4078" s="16" t="s">
        <v>3223</v>
      </c>
      <c r="B4078" s="17" t="s">
        <v>7057</v>
      </c>
      <c r="C4078" s="17" t="s">
        <v>2233</v>
      </c>
      <c r="D4078" s="25" t="s">
        <v>7045</v>
      </c>
      <c r="E4078" s="19" t="s">
        <v>7046</v>
      </c>
      <c r="F4078" s="19" t="s">
        <v>3598</v>
      </c>
      <c r="G4078" s="5" t="str">
        <f>HYPERLINK("http://jsmh.umin.jp/journal/46-1/99-101.pdf")</f>
        <v>http://jsmh.umin.jp/journal/46-1/99-101.pdf</v>
      </c>
      <c r="H4078" s="43" t="str">
        <f t="shared" si="263"/>
        <v>http://dl.ndl.go.jp/info:ndljp/pid/3359367</v>
      </c>
    </row>
    <row r="4079" spans="1:8" ht="30" customHeight="1" x14ac:dyDescent="0.15">
      <c r="A4079" s="16" t="s">
        <v>3720</v>
      </c>
      <c r="B4079" s="17" t="s">
        <v>7058</v>
      </c>
      <c r="C4079" s="17" t="s">
        <v>7059</v>
      </c>
      <c r="D4079" s="25" t="s">
        <v>7045</v>
      </c>
      <c r="E4079" s="19" t="s">
        <v>7046</v>
      </c>
      <c r="F4079" s="19" t="s">
        <v>184</v>
      </c>
      <c r="G4079" s="5" t="str">
        <f>HYPERLINK("http://jsmh.umin.jp/journal/46-1/102-104.pdf")</f>
        <v>http://jsmh.umin.jp/journal/46-1/102-104.pdf</v>
      </c>
      <c r="H4079" s="43" t="str">
        <f t="shared" si="263"/>
        <v>http://dl.ndl.go.jp/info:ndljp/pid/3359367</v>
      </c>
    </row>
    <row r="4080" spans="1:8" ht="30" customHeight="1" x14ac:dyDescent="0.15">
      <c r="A4080" s="16" t="s">
        <v>2990</v>
      </c>
      <c r="B4080" s="17" t="s">
        <v>7060</v>
      </c>
      <c r="C4080" s="17" t="s">
        <v>5410</v>
      </c>
      <c r="D4080" s="25" t="s">
        <v>7045</v>
      </c>
      <c r="E4080" s="19" t="s">
        <v>7046</v>
      </c>
      <c r="F4080" s="19" t="s">
        <v>186</v>
      </c>
      <c r="G4080" s="5" t="str">
        <f>HYPERLINK("http://jsmh.umin.jp/journal/46-1/104-105.pdf")</f>
        <v>http://jsmh.umin.jp/journal/46-1/104-105.pdf</v>
      </c>
      <c r="H4080" s="43" t="str">
        <f t="shared" si="263"/>
        <v>http://dl.ndl.go.jp/info:ndljp/pid/3359367</v>
      </c>
    </row>
    <row r="4081" spans="1:8" ht="30" customHeight="1" x14ac:dyDescent="0.15">
      <c r="A4081" s="16" t="s">
        <v>2990</v>
      </c>
      <c r="B4081" s="17" t="s">
        <v>7061</v>
      </c>
      <c r="C4081" s="17" t="s">
        <v>1994</v>
      </c>
      <c r="D4081" s="25" t="s">
        <v>7045</v>
      </c>
      <c r="E4081" s="19" t="s">
        <v>7046</v>
      </c>
      <c r="F4081" s="19" t="s">
        <v>3601</v>
      </c>
      <c r="G4081" s="5" t="str">
        <f>HYPERLINK("http://jsmh.umin.jp/journal/46-1/105-107.pdf")</f>
        <v>http://jsmh.umin.jp/journal/46-1/105-107.pdf</v>
      </c>
      <c r="H4081" s="43" t="str">
        <f t="shared" si="263"/>
        <v>http://dl.ndl.go.jp/info:ndljp/pid/3359367</v>
      </c>
    </row>
    <row r="4082" spans="1:8" ht="30" customHeight="1" x14ac:dyDescent="0.15">
      <c r="A4082" s="16" t="s">
        <v>2990</v>
      </c>
      <c r="B4082" s="17" t="s">
        <v>7062</v>
      </c>
      <c r="C4082" s="17" t="s">
        <v>1803</v>
      </c>
      <c r="D4082" s="25" t="s">
        <v>7045</v>
      </c>
      <c r="E4082" s="19" t="s">
        <v>7046</v>
      </c>
      <c r="F4082" s="19" t="s">
        <v>194</v>
      </c>
      <c r="G4082" s="5" t="str">
        <f>HYPERLINK("http://jsmh.umin.jp/journal/46-1/107-108.pdf")</f>
        <v>http://jsmh.umin.jp/journal/46-1/107-108.pdf</v>
      </c>
      <c r="H4082" s="43" t="str">
        <f t="shared" si="263"/>
        <v>http://dl.ndl.go.jp/info:ndljp/pid/3359367</v>
      </c>
    </row>
    <row r="4083" spans="1:8" ht="30" customHeight="1" x14ac:dyDescent="0.15">
      <c r="A4083" s="16" t="s">
        <v>2990</v>
      </c>
      <c r="B4083" s="17" t="s">
        <v>7063</v>
      </c>
      <c r="C4083" s="17" t="s">
        <v>4039</v>
      </c>
      <c r="D4083" s="25" t="s">
        <v>7045</v>
      </c>
      <c r="E4083" s="19" t="s">
        <v>7046</v>
      </c>
      <c r="F4083" s="19" t="s">
        <v>7064</v>
      </c>
      <c r="G4083" s="5" t="str">
        <f>HYPERLINK("http://jsmh.umin.jp/journal/46-1/108-109.pdf")</f>
        <v>http://jsmh.umin.jp/journal/46-1/108-109.pdf</v>
      </c>
      <c r="H4083" s="43" t="str">
        <f t="shared" si="263"/>
        <v>http://dl.ndl.go.jp/info:ndljp/pid/3359367</v>
      </c>
    </row>
    <row r="4084" spans="1:8" ht="30" customHeight="1" x14ac:dyDescent="0.15">
      <c r="A4084" s="16" t="s">
        <v>2990</v>
      </c>
      <c r="B4084" s="17" t="s">
        <v>7065</v>
      </c>
      <c r="C4084" s="17" t="s">
        <v>10140</v>
      </c>
      <c r="D4084" s="25" t="s">
        <v>7045</v>
      </c>
      <c r="E4084" s="19" t="s">
        <v>7046</v>
      </c>
      <c r="F4084" s="19" t="s">
        <v>956</v>
      </c>
      <c r="G4084" s="5" t="str">
        <f>HYPERLINK("http://jsmh.umin.jp/journal/46-1/109-111.pdf")</f>
        <v>http://jsmh.umin.jp/journal/46-1/109-111.pdf</v>
      </c>
      <c r="H4084" s="43" t="str">
        <f t="shared" si="263"/>
        <v>http://dl.ndl.go.jp/info:ndljp/pid/3359367</v>
      </c>
    </row>
    <row r="4085" spans="1:8" ht="30" customHeight="1" x14ac:dyDescent="0.15">
      <c r="A4085" s="16" t="s">
        <v>2990</v>
      </c>
      <c r="B4085" s="17" t="s">
        <v>7066</v>
      </c>
      <c r="C4085" s="17" t="s">
        <v>2233</v>
      </c>
      <c r="D4085" s="25" t="s">
        <v>7045</v>
      </c>
      <c r="E4085" s="19" t="s">
        <v>7046</v>
      </c>
      <c r="F4085" s="19" t="s">
        <v>202</v>
      </c>
      <c r="G4085" s="5" t="str">
        <f>HYPERLINK("http://jsmh.umin.jp/journal/46-1/111-112.pdf")</f>
        <v>http://jsmh.umin.jp/journal/46-1/111-112.pdf</v>
      </c>
      <c r="H4085" s="43" t="str">
        <f t="shared" si="263"/>
        <v>http://dl.ndl.go.jp/info:ndljp/pid/3359367</v>
      </c>
    </row>
    <row r="4086" spans="1:8" ht="30" customHeight="1" x14ac:dyDescent="0.15">
      <c r="A4086" s="16" t="s">
        <v>17</v>
      </c>
      <c r="B4086" s="17" t="s">
        <v>7067</v>
      </c>
      <c r="C4086" s="17" t="s">
        <v>7068</v>
      </c>
      <c r="D4086" s="25" t="s">
        <v>7045</v>
      </c>
      <c r="E4086" s="19" t="s">
        <v>7069</v>
      </c>
      <c r="F4086" s="19" t="s">
        <v>7070</v>
      </c>
      <c r="G4086" s="5" t="str">
        <f>HYPERLINK("http://jsmh.umin.jp/journal/46-2/119-153.pdf")</f>
        <v>http://jsmh.umin.jp/journal/46-2/119-153.pdf</v>
      </c>
      <c r="H4086" s="42" t="str">
        <f t="shared" ref="H4086:H4107" si="264">HYPERLINK("http://dl.ndl.go.jp/info:ndljp/pid/3359368")</f>
        <v>http://dl.ndl.go.jp/info:ndljp/pid/3359368</v>
      </c>
    </row>
    <row r="4087" spans="1:8" ht="30" customHeight="1" x14ac:dyDescent="0.15">
      <c r="A4087" s="16"/>
      <c r="B4087" s="17" t="s">
        <v>10624</v>
      </c>
      <c r="C4087" s="17" t="s">
        <v>2327</v>
      </c>
      <c r="D4087" s="25" t="s">
        <v>7045</v>
      </c>
      <c r="E4087" s="19" t="s">
        <v>7069</v>
      </c>
      <c r="F4087" s="19" t="s">
        <v>10591</v>
      </c>
      <c r="G4087" s="26" t="str">
        <f>HYPERLINK("http://jsmh.umin.jp/journal/46-2/154.pdf")</f>
        <v>http://jsmh.umin.jp/journal/46-2/154.pdf</v>
      </c>
      <c r="H4087" s="43" t="str">
        <f t="shared" si="264"/>
        <v>http://dl.ndl.go.jp/info:ndljp/pid/3359368</v>
      </c>
    </row>
    <row r="4088" spans="1:8" ht="30" customHeight="1" x14ac:dyDescent="0.15">
      <c r="A4088" s="16" t="s">
        <v>17</v>
      </c>
      <c r="B4088" s="17" t="s">
        <v>7071</v>
      </c>
      <c r="C4088" s="17" t="s">
        <v>7072</v>
      </c>
      <c r="D4088" s="25" t="s">
        <v>7045</v>
      </c>
      <c r="E4088" s="19" t="s">
        <v>7069</v>
      </c>
      <c r="F4088" s="19" t="s">
        <v>7073</v>
      </c>
      <c r="G4088" s="5" t="str">
        <f>HYPERLINK("http://jsmh.umin.jp/journal/46-2/155-176.pdf")</f>
        <v>http://jsmh.umin.jp/journal/46-2/155-176.pdf</v>
      </c>
      <c r="H4088" s="43" t="str">
        <f t="shared" si="264"/>
        <v>http://dl.ndl.go.jp/info:ndljp/pid/3359368</v>
      </c>
    </row>
    <row r="4089" spans="1:8" ht="30" customHeight="1" x14ac:dyDescent="0.15">
      <c r="A4089" s="16" t="s">
        <v>17</v>
      </c>
      <c r="B4089" s="17" t="s">
        <v>7074</v>
      </c>
      <c r="C4089" s="17" t="s">
        <v>5542</v>
      </c>
      <c r="D4089" s="25" t="s">
        <v>7045</v>
      </c>
      <c r="E4089" s="19" t="s">
        <v>7069</v>
      </c>
      <c r="F4089" s="19" t="s">
        <v>7075</v>
      </c>
      <c r="G4089" s="5" t="str">
        <f>HYPERLINK("http://jsmh.umin.jp/journal/46-2/177-191.pdf")</f>
        <v>http://jsmh.umin.jp/journal/46-2/177-191.pdf</v>
      </c>
      <c r="H4089" s="43" t="str">
        <f t="shared" si="264"/>
        <v>http://dl.ndl.go.jp/info:ndljp/pid/3359368</v>
      </c>
    </row>
    <row r="4090" spans="1:8" ht="30" customHeight="1" x14ac:dyDescent="0.15">
      <c r="A4090" s="16"/>
      <c r="B4090" s="17" t="s">
        <v>10625</v>
      </c>
      <c r="C4090" s="17" t="s">
        <v>2465</v>
      </c>
      <c r="D4090" s="25" t="s">
        <v>7045</v>
      </c>
      <c r="E4090" s="19" t="s">
        <v>7069</v>
      </c>
      <c r="F4090" s="19" t="s">
        <v>10592</v>
      </c>
      <c r="G4090" s="26" t="str">
        <f>HYPERLINK("http://jsmh.umin.jp/journal/46-2/192.pdf")</f>
        <v>http://jsmh.umin.jp/journal/46-2/192.pdf</v>
      </c>
      <c r="H4090" s="43" t="str">
        <f t="shared" si="264"/>
        <v>http://dl.ndl.go.jp/info:ndljp/pid/3359368</v>
      </c>
    </row>
    <row r="4091" spans="1:8" ht="30" customHeight="1" x14ac:dyDescent="0.15">
      <c r="A4091" s="16" t="s">
        <v>17</v>
      </c>
      <c r="B4091" s="17" t="s">
        <v>7076</v>
      </c>
      <c r="C4091" s="17" t="s">
        <v>6978</v>
      </c>
      <c r="D4091" s="25" t="s">
        <v>7045</v>
      </c>
      <c r="E4091" s="19" t="s">
        <v>7069</v>
      </c>
      <c r="F4091" s="19" t="s">
        <v>7077</v>
      </c>
      <c r="G4091" s="5" t="str">
        <f>HYPERLINK("http://jsmh.umin.jp/journal/46-2/193-209.pdf")</f>
        <v>http://jsmh.umin.jp/journal/46-2/193-209.pdf</v>
      </c>
      <c r="H4091" s="43" t="str">
        <f t="shared" si="264"/>
        <v>http://dl.ndl.go.jp/info:ndljp/pid/3359368</v>
      </c>
    </row>
    <row r="4092" spans="1:8" ht="30" customHeight="1" x14ac:dyDescent="0.15">
      <c r="A4092" s="16" t="s">
        <v>17</v>
      </c>
      <c r="B4092" s="17" t="s">
        <v>7078</v>
      </c>
      <c r="C4092" s="17" t="s">
        <v>790</v>
      </c>
      <c r="D4092" s="25" t="s">
        <v>7045</v>
      </c>
      <c r="E4092" s="19" t="s">
        <v>7069</v>
      </c>
      <c r="F4092" s="19" t="s">
        <v>7079</v>
      </c>
      <c r="G4092" s="5" t="str">
        <f>HYPERLINK("http://jsmh.umin.jp/journal/46-2/211-224.pdf")</f>
        <v>http://jsmh.umin.jp/journal/46-2/211-224.pdf</v>
      </c>
      <c r="H4092" s="43" t="str">
        <f t="shared" si="264"/>
        <v>http://dl.ndl.go.jp/info:ndljp/pid/3359368</v>
      </c>
    </row>
    <row r="4093" spans="1:8" ht="30" customHeight="1" x14ac:dyDescent="0.15">
      <c r="A4093" s="16" t="s">
        <v>3387</v>
      </c>
      <c r="B4093" s="17" t="s">
        <v>10294</v>
      </c>
      <c r="C4093" s="17" t="s">
        <v>5084</v>
      </c>
      <c r="D4093" s="25" t="s">
        <v>7045</v>
      </c>
      <c r="E4093" s="19" t="s">
        <v>7069</v>
      </c>
      <c r="F4093" s="19" t="s">
        <v>7080</v>
      </c>
      <c r="G4093" s="5" t="str">
        <f>HYPERLINK("http://jsmh.umin.jp/journal/46-2/225-246.pdf")</f>
        <v>http://jsmh.umin.jp/journal/46-2/225-246.pdf</v>
      </c>
      <c r="H4093" s="43" t="str">
        <f t="shared" si="264"/>
        <v>http://dl.ndl.go.jp/info:ndljp/pid/3359368</v>
      </c>
    </row>
    <row r="4094" spans="1:8" ht="30" customHeight="1" x14ac:dyDescent="0.15">
      <c r="A4094" s="16" t="s">
        <v>692</v>
      </c>
      <c r="B4094" s="17" t="s">
        <v>7081</v>
      </c>
      <c r="C4094" s="17" t="s">
        <v>4870</v>
      </c>
      <c r="D4094" s="25" t="s">
        <v>7045</v>
      </c>
      <c r="E4094" s="19" t="s">
        <v>7069</v>
      </c>
      <c r="F4094" s="19" t="s">
        <v>7082</v>
      </c>
      <c r="G4094" s="5" t="str">
        <f>HYPERLINK("http://jsmh.umin.jp/journal/46-2/247-254.pdf")</f>
        <v>http://jsmh.umin.jp/journal/46-2/247-254.pdf</v>
      </c>
      <c r="H4094" s="43" t="str">
        <f t="shared" si="264"/>
        <v>http://dl.ndl.go.jp/info:ndljp/pid/3359368</v>
      </c>
    </row>
    <row r="4095" spans="1:8" ht="30" customHeight="1" x14ac:dyDescent="0.15">
      <c r="A4095" s="16" t="s">
        <v>692</v>
      </c>
      <c r="B4095" s="17" t="s">
        <v>7083</v>
      </c>
      <c r="C4095" s="17" t="s">
        <v>4867</v>
      </c>
      <c r="D4095" s="25" t="s">
        <v>7045</v>
      </c>
      <c r="E4095" s="19" t="s">
        <v>7069</v>
      </c>
      <c r="F4095" s="19" t="s">
        <v>7084</v>
      </c>
      <c r="G4095" s="5" t="str">
        <f>HYPERLINK("http://jsmh.umin.jp/journal/46-2/255-266.pdf")</f>
        <v>http://jsmh.umin.jp/journal/46-2/255-266.pdf</v>
      </c>
      <c r="H4095" s="43" t="str">
        <f t="shared" si="264"/>
        <v>http://dl.ndl.go.jp/info:ndljp/pid/3359368</v>
      </c>
    </row>
    <row r="4096" spans="1:8" ht="30" customHeight="1" x14ac:dyDescent="0.15">
      <c r="A4096" s="16" t="s">
        <v>3720</v>
      </c>
      <c r="B4096" s="17" t="s">
        <v>7085</v>
      </c>
      <c r="C4096" s="17" t="s">
        <v>4085</v>
      </c>
      <c r="D4096" s="25" t="s">
        <v>7045</v>
      </c>
      <c r="E4096" s="19" t="s">
        <v>7069</v>
      </c>
      <c r="F4096" s="19" t="s">
        <v>5484</v>
      </c>
      <c r="G4096" s="5" t="str">
        <f>HYPERLINK("http://jsmh.umin.jp/journal/46-2/267-268.pdf")</f>
        <v>http://jsmh.umin.jp/journal/46-2/267-268.pdf</v>
      </c>
      <c r="H4096" s="43" t="str">
        <f t="shared" si="264"/>
        <v>http://dl.ndl.go.jp/info:ndljp/pid/3359368</v>
      </c>
    </row>
    <row r="4097" spans="1:8" ht="30" customHeight="1" x14ac:dyDescent="0.15">
      <c r="A4097" s="16" t="s">
        <v>3720</v>
      </c>
      <c r="B4097" s="17" t="s">
        <v>7086</v>
      </c>
      <c r="C4097" s="17" t="s">
        <v>6370</v>
      </c>
      <c r="D4097" s="25" t="s">
        <v>7045</v>
      </c>
      <c r="E4097" s="19" t="s">
        <v>7069</v>
      </c>
      <c r="F4097" s="19" t="s">
        <v>3486</v>
      </c>
      <c r="G4097" s="5" t="str">
        <f>HYPERLINK("http://jsmh.umin.jp/journal/46-2/268-269.pdf")</f>
        <v>http://jsmh.umin.jp/journal/46-2/268-269.pdf</v>
      </c>
      <c r="H4097" s="43" t="str">
        <f t="shared" si="264"/>
        <v>http://dl.ndl.go.jp/info:ndljp/pid/3359368</v>
      </c>
    </row>
    <row r="4098" spans="1:8" ht="30" customHeight="1" x14ac:dyDescent="0.15">
      <c r="A4098" s="16" t="s">
        <v>3720</v>
      </c>
      <c r="B4098" s="17" t="s">
        <v>7087</v>
      </c>
      <c r="C4098" s="17" t="s">
        <v>7088</v>
      </c>
      <c r="D4098" s="25" t="s">
        <v>7045</v>
      </c>
      <c r="E4098" s="19" t="s">
        <v>7069</v>
      </c>
      <c r="F4098" s="19" t="s">
        <v>1891</v>
      </c>
      <c r="G4098" s="5" t="str">
        <f>HYPERLINK("http://jsmh.umin.jp/journal/46-2/269-270.pdf")</f>
        <v>http://jsmh.umin.jp/journal/46-2/269-270.pdf</v>
      </c>
      <c r="H4098" s="43" t="str">
        <f t="shared" si="264"/>
        <v>http://dl.ndl.go.jp/info:ndljp/pid/3359368</v>
      </c>
    </row>
    <row r="4099" spans="1:8" ht="30" customHeight="1" x14ac:dyDescent="0.15">
      <c r="A4099" s="16" t="s">
        <v>3720</v>
      </c>
      <c r="B4099" s="17" t="s">
        <v>7089</v>
      </c>
      <c r="C4099" s="17" t="s">
        <v>6601</v>
      </c>
      <c r="D4099" s="25" t="s">
        <v>7045</v>
      </c>
      <c r="E4099" s="19" t="s">
        <v>7069</v>
      </c>
      <c r="F4099" s="19" t="s">
        <v>1893</v>
      </c>
      <c r="G4099" s="5" t="str">
        <f>HYPERLINK("http://jsmh.umin.jp/journal/46-2/270-271.pdf")</f>
        <v>http://jsmh.umin.jp/journal/46-2/270-271.pdf</v>
      </c>
      <c r="H4099" s="43" t="str">
        <f t="shared" si="264"/>
        <v>http://dl.ndl.go.jp/info:ndljp/pid/3359368</v>
      </c>
    </row>
    <row r="4100" spans="1:8" ht="30" customHeight="1" x14ac:dyDescent="0.15">
      <c r="A4100" s="16" t="s">
        <v>3720</v>
      </c>
      <c r="B4100" s="17" t="s">
        <v>7090</v>
      </c>
      <c r="C4100" s="17" t="s">
        <v>7091</v>
      </c>
      <c r="D4100" s="25" t="s">
        <v>7045</v>
      </c>
      <c r="E4100" s="19" t="s">
        <v>7069</v>
      </c>
      <c r="F4100" s="19" t="s">
        <v>7092</v>
      </c>
      <c r="G4100" s="5" t="str">
        <f>HYPERLINK("http://jsmh.umin.jp/journal/46-2/271-275.pdf")</f>
        <v>http://jsmh.umin.jp/journal/46-2/271-275.pdf</v>
      </c>
      <c r="H4100" s="43" t="str">
        <f t="shared" si="264"/>
        <v>http://dl.ndl.go.jp/info:ndljp/pid/3359368</v>
      </c>
    </row>
    <row r="4101" spans="1:8" ht="30" customHeight="1" x14ac:dyDescent="0.15">
      <c r="A4101" s="16" t="s">
        <v>2990</v>
      </c>
      <c r="B4101" s="17" t="s">
        <v>10295</v>
      </c>
      <c r="C4101" s="17" t="s">
        <v>3905</v>
      </c>
      <c r="D4101" s="25" t="s">
        <v>7045</v>
      </c>
      <c r="E4101" s="19" t="s">
        <v>7069</v>
      </c>
      <c r="F4101" s="19" t="s">
        <v>5490</v>
      </c>
      <c r="G4101" s="5" t="str">
        <f>HYPERLINK("http://jsmh.umin.jp/journal/46-2/275-276.pdf")</f>
        <v>http://jsmh.umin.jp/journal/46-2/275-276.pdf</v>
      </c>
      <c r="H4101" s="43" t="str">
        <f t="shared" si="264"/>
        <v>http://dl.ndl.go.jp/info:ndljp/pid/3359368</v>
      </c>
    </row>
    <row r="4102" spans="1:8" ht="30" customHeight="1" x14ac:dyDescent="0.15">
      <c r="A4102" s="16" t="s">
        <v>2990</v>
      </c>
      <c r="B4102" s="17" t="s">
        <v>7093</v>
      </c>
      <c r="C4102" s="17" t="s">
        <v>2881</v>
      </c>
      <c r="D4102" s="25" t="s">
        <v>7045</v>
      </c>
      <c r="E4102" s="19" t="s">
        <v>7069</v>
      </c>
      <c r="F4102" s="19" t="s">
        <v>1903</v>
      </c>
      <c r="G4102" s="5" t="str">
        <f>HYPERLINK("http://jsmh.umin.jp/journal/46-2/277-278.pdf")</f>
        <v>http://jsmh.umin.jp/journal/46-2/277-278.pdf</v>
      </c>
      <c r="H4102" s="43" t="str">
        <f t="shared" si="264"/>
        <v>http://dl.ndl.go.jp/info:ndljp/pid/3359368</v>
      </c>
    </row>
    <row r="4103" spans="1:8" ht="30" customHeight="1" x14ac:dyDescent="0.15">
      <c r="A4103" s="16" t="s">
        <v>2990</v>
      </c>
      <c r="B4103" s="17" t="s">
        <v>7094</v>
      </c>
      <c r="C4103" s="17" t="s">
        <v>479</v>
      </c>
      <c r="D4103" s="25" t="s">
        <v>7045</v>
      </c>
      <c r="E4103" s="19" t="s">
        <v>7069</v>
      </c>
      <c r="F4103" s="19" t="s">
        <v>1907</v>
      </c>
      <c r="G4103" s="5" t="str">
        <f>HYPERLINK("http://jsmh.umin.jp/journal/46-2/279-280.pdf")</f>
        <v>http://jsmh.umin.jp/journal/46-2/279-280.pdf</v>
      </c>
      <c r="H4103" s="43" t="str">
        <f t="shared" si="264"/>
        <v>http://dl.ndl.go.jp/info:ndljp/pid/3359368</v>
      </c>
    </row>
    <row r="4104" spans="1:8" ht="30" customHeight="1" x14ac:dyDescent="0.15">
      <c r="A4104" s="16" t="s">
        <v>2990</v>
      </c>
      <c r="B4104" s="17" t="s">
        <v>10636</v>
      </c>
      <c r="C4104" s="17" t="s">
        <v>4035</v>
      </c>
      <c r="D4104" s="25" t="s">
        <v>7045</v>
      </c>
      <c r="E4104" s="19" t="s">
        <v>7069</v>
      </c>
      <c r="F4104" s="19" t="s">
        <v>1910</v>
      </c>
      <c r="G4104" s="5" t="str">
        <f>HYPERLINK("http://jsmh.umin.jp/journal/46-2/280-281.pdf")</f>
        <v>http://jsmh.umin.jp/journal/46-2/280-281.pdf</v>
      </c>
      <c r="H4104" s="43" t="str">
        <f t="shared" si="264"/>
        <v>http://dl.ndl.go.jp/info:ndljp/pid/3359368</v>
      </c>
    </row>
    <row r="4105" spans="1:8" ht="30" customHeight="1" x14ac:dyDescent="0.15">
      <c r="A4105" s="16" t="s">
        <v>2990</v>
      </c>
      <c r="B4105" s="17" t="s">
        <v>7095</v>
      </c>
      <c r="C4105" s="17" t="s">
        <v>5625</v>
      </c>
      <c r="D4105" s="25" t="s">
        <v>7045</v>
      </c>
      <c r="E4105" s="19" t="s">
        <v>7069</v>
      </c>
      <c r="F4105" s="19" t="s">
        <v>7096</v>
      </c>
      <c r="G4105" s="5" t="str">
        <f>HYPERLINK("http://jsmh.umin.jp/journal/46-2/281-284.pdf")</f>
        <v>http://jsmh.umin.jp/journal/46-2/281-284.pdf</v>
      </c>
      <c r="H4105" s="43" t="str">
        <f t="shared" si="264"/>
        <v>http://dl.ndl.go.jp/info:ndljp/pid/3359368</v>
      </c>
    </row>
    <row r="4106" spans="1:8" ht="30" customHeight="1" x14ac:dyDescent="0.15">
      <c r="A4106" s="16" t="s">
        <v>2990</v>
      </c>
      <c r="B4106" s="17" t="s">
        <v>7097</v>
      </c>
      <c r="C4106" s="17" t="s">
        <v>2891</v>
      </c>
      <c r="D4106" s="25" t="s">
        <v>7045</v>
      </c>
      <c r="E4106" s="19" t="s">
        <v>7069</v>
      </c>
      <c r="F4106" s="19" t="s">
        <v>1918</v>
      </c>
      <c r="G4106" s="5" t="str">
        <f>HYPERLINK("http://jsmh.umin.jp/journal/46-2/284-285.pdf")</f>
        <v>http://jsmh.umin.jp/journal/46-2/284-285.pdf</v>
      </c>
      <c r="H4106" s="43" t="str">
        <f t="shared" si="264"/>
        <v>http://dl.ndl.go.jp/info:ndljp/pid/3359368</v>
      </c>
    </row>
    <row r="4107" spans="1:8" ht="30" customHeight="1" x14ac:dyDescent="0.15">
      <c r="A4107" s="16" t="s">
        <v>2990</v>
      </c>
      <c r="B4107" s="17" t="s">
        <v>7098</v>
      </c>
      <c r="C4107" s="17" t="s">
        <v>4527</v>
      </c>
      <c r="D4107" s="25" t="s">
        <v>7045</v>
      </c>
      <c r="E4107" s="19" t="s">
        <v>7069</v>
      </c>
      <c r="F4107" s="19" t="s">
        <v>3095</v>
      </c>
      <c r="G4107" s="5" t="str">
        <f>HYPERLINK("http://jsmh.umin.jp/journal/46-2/285-286.pdf")</f>
        <v>http://jsmh.umin.jp/journal/46-2/285-286.pdf</v>
      </c>
      <c r="H4107" s="43" t="str">
        <f t="shared" si="264"/>
        <v>http://dl.ndl.go.jp/info:ndljp/pid/3359368</v>
      </c>
    </row>
    <row r="4108" spans="1:8" ht="30" customHeight="1" x14ac:dyDescent="0.15">
      <c r="A4108" s="16" t="s">
        <v>1855</v>
      </c>
      <c r="B4108" s="17" t="s">
        <v>7099</v>
      </c>
      <c r="C4108" s="17" t="s">
        <v>10296</v>
      </c>
      <c r="D4108" s="25" t="s">
        <v>7045</v>
      </c>
      <c r="E4108" s="19" t="s">
        <v>7100</v>
      </c>
      <c r="F4108" s="19" t="s">
        <v>10593</v>
      </c>
      <c r="G4108" s="26" t="str">
        <f>HYPERLINK("http://jsmh.umin.jp/journal/46-3/299.pdf")</f>
        <v>http://jsmh.umin.jp/journal/46-3/299.pdf</v>
      </c>
      <c r="H4108" s="42" t="str">
        <f t="shared" ref="H4108:H4139" si="265">HYPERLINK("http://dl.ndl.go.jp/info:ndljp/pid/3359369")</f>
        <v>http://dl.ndl.go.jp/info:ndljp/pid/3359369</v>
      </c>
    </row>
    <row r="4109" spans="1:8" ht="30" customHeight="1" x14ac:dyDescent="0.15">
      <c r="A4109" s="16" t="s">
        <v>1855</v>
      </c>
      <c r="B4109" s="17" t="s">
        <v>7101</v>
      </c>
      <c r="C4109" s="17" t="s">
        <v>7102</v>
      </c>
      <c r="D4109" s="25" t="s">
        <v>7045</v>
      </c>
      <c r="E4109" s="19" t="s">
        <v>7100</v>
      </c>
      <c r="F4109" s="19" t="s">
        <v>7103</v>
      </c>
      <c r="G4109" s="5" t="str">
        <f>HYPERLINK("http://jsmh.umin.jp/journal/46-3/300-303.pdf")</f>
        <v>http://jsmh.umin.jp/journal/46-3/300-303.pdf</v>
      </c>
      <c r="H4109" s="42" t="str">
        <f t="shared" si="265"/>
        <v>http://dl.ndl.go.jp/info:ndljp/pid/3359369</v>
      </c>
    </row>
    <row r="4110" spans="1:8" ht="30" customHeight="1" x14ac:dyDescent="0.15">
      <c r="A4110" s="16" t="s">
        <v>1855</v>
      </c>
      <c r="B4110" s="17" t="s">
        <v>7104</v>
      </c>
      <c r="C4110" s="17" t="s">
        <v>1803</v>
      </c>
      <c r="D4110" s="25" t="s">
        <v>7045</v>
      </c>
      <c r="E4110" s="19" t="s">
        <v>7100</v>
      </c>
      <c r="F4110" s="19" t="s">
        <v>7105</v>
      </c>
      <c r="G4110" s="5" t="str">
        <f>HYPERLINK("http://jsmh.umin.jp/journal/46-3/304-306.pdf")</f>
        <v>http://jsmh.umin.jp/journal/46-3/304-306.pdf</v>
      </c>
      <c r="H4110" s="42" t="str">
        <f t="shared" si="265"/>
        <v>http://dl.ndl.go.jp/info:ndljp/pid/3359369</v>
      </c>
    </row>
    <row r="4111" spans="1:8" ht="30" customHeight="1" x14ac:dyDescent="0.15">
      <c r="A4111" s="16" t="s">
        <v>1855</v>
      </c>
      <c r="B4111" s="17" t="s">
        <v>7106</v>
      </c>
      <c r="C4111" s="17" t="s">
        <v>10297</v>
      </c>
      <c r="D4111" s="25" t="s">
        <v>7045</v>
      </c>
      <c r="E4111" s="19" t="s">
        <v>7100</v>
      </c>
      <c r="F4111" s="19" t="s">
        <v>4637</v>
      </c>
      <c r="G4111" s="5" t="str">
        <f>HYPERLINK("http://jsmh.umin.jp/journal/46-3/307-309.pdf")</f>
        <v>http://jsmh.umin.jp/journal/46-3/307-309.pdf</v>
      </c>
      <c r="H4111" s="42" t="str">
        <f t="shared" si="265"/>
        <v>http://dl.ndl.go.jp/info:ndljp/pid/3359369</v>
      </c>
    </row>
    <row r="4112" spans="1:8" ht="30" customHeight="1" x14ac:dyDescent="0.15">
      <c r="A4112" s="16" t="s">
        <v>1855</v>
      </c>
      <c r="B4112" s="17" t="s">
        <v>7107</v>
      </c>
      <c r="C4112" s="17" t="s">
        <v>48</v>
      </c>
      <c r="D4112" s="25" t="s">
        <v>7045</v>
      </c>
      <c r="E4112" s="19" t="s">
        <v>7100</v>
      </c>
      <c r="F4112" s="19" t="s">
        <v>6071</v>
      </c>
      <c r="G4112" s="5" t="str">
        <f>HYPERLINK("http://jsmh.umin.jp/journal/46-3/310-311.pdf")</f>
        <v>http://jsmh.umin.jp/journal/46-3/310-311.pdf</v>
      </c>
      <c r="H4112" s="42" t="str">
        <f t="shared" si="265"/>
        <v>http://dl.ndl.go.jp/info:ndljp/pid/3359369</v>
      </c>
    </row>
    <row r="4113" spans="1:8" ht="30" customHeight="1" x14ac:dyDescent="0.15">
      <c r="A4113" s="16" t="s">
        <v>1855</v>
      </c>
      <c r="B4113" s="17" t="s">
        <v>7108</v>
      </c>
      <c r="C4113" s="17" t="s">
        <v>7109</v>
      </c>
      <c r="D4113" s="25" t="s">
        <v>7045</v>
      </c>
      <c r="E4113" s="19" t="s">
        <v>7100</v>
      </c>
      <c r="F4113" s="19" t="s">
        <v>6073</v>
      </c>
      <c r="G4113" s="5" t="str">
        <f>HYPERLINK("http://jsmh.umin.jp/journal/46-3/312-313.pdf")</f>
        <v>http://jsmh.umin.jp/journal/46-3/312-313.pdf</v>
      </c>
      <c r="H4113" s="42" t="str">
        <f t="shared" si="265"/>
        <v>http://dl.ndl.go.jp/info:ndljp/pid/3359369</v>
      </c>
    </row>
    <row r="4114" spans="1:8" ht="30" customHeight="1" x14ac:dyDescent="0.15">
      <c r="A4114" s="16" t="s">
        <v>1855</v>
      </c>
      <c r="B4114" s="17" t="s">
        <v>7110</v>
      </c>
      <c r="C4114" s="17" t="s">
        <v>7111</v>
      </c>
      <c r="D4114" s="25" t="s">
        <v>7045</v>
      </c>
      <c r="E4114" s="19" t="s">
        <v>7100</v>
      </c>
      <c r="F4114" s="19" t="s">
        <v>1779</v>
      </c>
      <c r="G4114" s="5" t="str">
        <f>HYPERLINK("http://jsmh.umin.jp/journal/46-3/314-315.pdf")</f>
        <v>http://jsmh.umin.jp/journal/46-3/314-315.pdf</v>
      </c>
      <c r="H4114" s="42" t="str">
        <f t="shared" si="265"/>
        <v>http://dl.ndl.go.jp/info:ndljp/pid/3359369</v>
      </c>
    </row>
    <row r="4115" spans="1:8" ht="30" customHeight="1" x14ac:dyDescent="0.15">
      <c r="A4115" s="16" t="s">
        <v>1855</v>
      </c>
      <c r="B4115" s="17" t="s">
        <v>7112</v>
      </c>
      <c r="C4115" s="17" t="s">
        <v>5569</v>
      </c>
      <c r="D4115" s="25" t="s">
        <v>7045</v>
      </c>
      <c r="E4115" s="19" t="s">
        <v>7100</v>
      </c>
      <c r="F4115" s="19" t="s">
        <v>1786</v>
      </c>
      <c r="G4115" s="5" t="str">
        <f>HYPERLINK("http://jsmh.umin.jp/journal/46-3/316-317.pdf")</f>
        <v>http://jsmh.umin.jp/journal/46-3/316-317.pdf</v>
      </c>
      <c r="H4115" s="42" t="str">
        <f t="shared" si="265"/>
        <v>http://dl.ndl.go.jp/info:ndljp/pid/3359369</v>
      </c>
    </row>
    <row r="4116" spans="1:8" ht="30" customHeight="1" x14ac:dyDescent="0.15">
      <c r="A4116" s="16" t="s">
        <v>1855</v>
      </c>
      <c r="B4116" s="17" t="s">
        <v>7113</v>
      </c>
      <c r="C4116" s="17" t="s">
        <v>6848</v>
      </c>
      <c r="D4116" s="25" t="s">
        <v>7045</v>
      </c>
      <c r="E4116" s="19" t="s">
        <v>7100</v>
      </c>
      <c r="F4116" s="19" t="s">
        <v>5103</v>
      </c>
      <c r="G4116" s="5" t="str">
        <f>HYPERLINK("http://jsmh.umin.jp/journal/46-3/318-319.pdf")</f>
        <v>http://jsmh.umin.jp/journal/46-3/318-319.pdf</v>
      </c>
      <c r="H4116" s="42" t="str">
        <f t="shared" si="265"/>
        <v>http://dl.ndl.go.jp/info:ndljp/pid/3359369</v>
      </c>
    </row>
    <row r="4117" spans="1:8" ht="30" customHeight="1" x14ac:dyDescent="0.15">
      <c r="A4117" s="16" t="s">
        <v>1855</v>
      </c>
      <c r="B4117" s="17" t="s">
        <v>7114</v>
      </c>
      <c r="C4117" s="17" t="s">
        <v>925</v>
      </c>
      <c r="D4117" s="25" t="s">
        <v>7045</v>
      </c>
      <c r="E4117" s="19" t="s">
        <v>7100</v>
      </c>
      <c r="F4117" s="19" t="s">
        <v>5517</v>
      </c>
      <c r="G4117" s="5" t="str">
        <f>HYPERLINK("http://jsmh.umin.jp/journal/46-3/320-321.pdf")</f>
        <v>http://jsmh.umin.jp/journal/46-3/320-321.pdf</v>
      </c>
      <c r="H4117" s="42" t="str">
        <f t="shared" si="265"/>
        <v>http://dl.ndl.go.jp/info:ndljp/pid/3359369</v>
      </c>
    </row>
    <row r="4118" spans="1:8" ht="30" customHeight="1" x14ac:dyDescent="0.15">
      <c r="A4118" s="16" t="s">
        <v>1855</v>
      </c>
      <c r="B4118" s="17" t="s">
        <v>7115</v>
      </c>
      <c r="C4118" s="17" t="s">
        <v>6300</v>
      </c>
      <c r="D4118" s="25" t="s">
        <v>7045</v>
      </c>
      <c r="E4118" s="19" t="s">
        <v>7100</v>
      </c>
      <c r="F4118" s="19" t="s">
        <v>3129</v>
      </c>
      <c r="G4118" s="5" t="str">
        <f>HYPERLINK("http://jsmh.umin.jp/journal/46-3/322-323.pdf")</f>
        <v>http://jsmh.umin.jp/journal/46-3/322-323.pdf</v>
      </c>
      <c r="H4118" s="42" t="str">
        <f t="shared" si="265"/>
        <v>http://dl.ndl.go.jp/info:ndljp/pid/3359369</v>
      </c>
    </row>
    <row r="4119" spans="1:8" ht="30" customHeight="1" x14ac:dyDescent="0.15">
      <c r="A4119" s="16" t="s">
        <v>1855</v>
      </c>
      <c r="B4119" s="17" t="s">
        <v>7116</v>
      </c>
      <c r="C4119" s="17" t="s">
        <v>4161</v>
      </c>
      <c r="D4119" s="25" t="s">
        <v>7045</v>
      </c>
      <c r="E4119" s="19" t="s">
        <v>7100</v>
      </c>
      <c r="F4119" s="19" t="s">
        <v>3885</v>
      </c>
      <c r="G4119" s="5" t="str">
        <f>HYPERLINK("http://jsmh.umin.jp/journal/46-3/324-325.pdf")</f>
        <v>http://jsmh.umin.jp/journal/46-3/324-325.pdf</v>
      </c>
      <c r="H4119" s="42" t="str">
        <f t="shared" si="265"/>
        <v>http://dl.ndl.go.jp/info:ndljp/pid/3359369</v>
      </c>
    </row>
    <row r="4120" spans="1:8" ht="30" customHeight="1" x14ac:dyDescent="0.15">
      <c r="A4120" s="16" t="s">
        <v>1855</v>
      </c>
      <c r="B4120" s="17" t="s">
        <v>7117</v>
      </c>
      <c r="C4120" s="17" t="s">
        <v>790</v>
      </c>
      <c r="D4120" s="25" t="s">
        <v>7045</v>
      </c>
      <c r="E4120" s="19" t="s">
        <v>7100</v>
      </c>
      <c r="F4120" s="19" t="s">
        <v>3887</v>
      </c>
      <c r="G4120" s="5" t="str">
        <f>HYPERLINK("http://jsmh.umin.jp/journal/46-3/326-327.pdf")</f>
        <v>http://jsmh.umin.jp/journal/46-3/326-327.pdf</v>
      </c>
      <c r="H4120" s="42" t="str">
        <f t="shared" si="265"/>
        <v>http://dl.ndl.go.jp/info:ndljp/pid/3359369</v>
      </c>
    </row>
    <row r="4121" spans="1:8" ht="30" customHeight="1" x14ac:dyDescent="0.15">
      <c r="A4121" s="16" t="s">
        <v>1855</v>
      </c>
      <c r="B4121" s="17" t="s">
        <v>7118</v>
      </c>
      <c r="C4121" s="17" t="s">
        <v>6857</v>
      </c>
      <c r="D4121" s="25" t="s">
        <v>7045</v>
      </c>
      <c r="E4121" s="19" t="s">
        <v>7100</v>
      </c>
      <c r="F4121" s="19" t="s">
        <v>3891</v>
      </c>
      <c r="G4121" s="5" t="str">
        <f>HYPERLINK("http://jsmh.umin.jp/journal/46-3/328-329.pdf")</f>
        <v>http://jsmh.umin.jp/journal/46-3/328-329.pdf</v>
      </c>
      <c r="H4121" s="42" t="str">
        <f t="shared" si="265"/>
        <v>http://dl.ndl.go.jp/info:ndljp/pid/3359369</v>
      </c>
    </row>
    <row r="4122" spans="1:8" ht="30" customHeight="1" x14ac:dyDescent="0.15">
      <c r="A4122" s="16" t="s">
        <v>1855</v>
      </c>
      <c r="B4122" s="17" t="s">
        <v>7119</v>
      </c>
      <c r="C4122" s="17" t="s">
        <v>2465</v>
      </c>
      <c r="D4122" s="25" t="s">
        <v>7045</v>
      </c>
      <c r="E4122" s="19" t="s">
        <v>7100</v>
      </c>
      <c r="F4122" s="19" t="s">
        <v>2987</v>
      </c>
      <c r="G4122" s="5" t="str">
        <f>HYPERLINK("http://jsmh.umin.jp/journal/46-3/330-331.pdf")</f>
        <v>http://jsmh.umin.jp/journal/46-3/330-331.pdf</v>
      </c>
      <c r="H4122" s="42" t="str">
        <f t="shared" si="265"/>
        <v>http://dl.ndl.go.jp/info:ndljp/pid/3359369</v>
      </c>
    </row>
    <row r="4123" spans="1:8" ht="30" customHeight="1" x14ac:dyDescent="0.15">
      <c r="A4123" s="16" t="s">
        <v>1855</v>
      </c>
      <c r="B4123" s="17" t="s">
        <v>10298</v>
      </c>
      <c r="C4123" s="17" t="s">
        <v>5606</v>
      </c>
      <c r="D4123" s="25" t="s">
        <v>7045</v>
      </c>
      <c r="E4123" s="19" t="s">
        <v>7100</v>
      </c>
      <c r="F4123" s="19" t="s">
        <v>1613</v>
      </c>
      <c r="G4123" s="5" t="str">
        <f>HYPERLINK("http://jsmh.umin.jp/journal/46-3/332-333.pdf")</f>
        <v>http://jsmh.umin.jp/journal/46-3/332-333.pdf</v>
      </c>
      <c r="H4123" s="42" t="str">
        <f t="shared" si="265"/>
        <v>http://dl.ndl.go.jp/info:ndljp/pid/3359369</v>
      </c>
    </row>
    <row r="4124" spans="1:8" ht="30" customHeight="1" x14ac:dyDescent="0.15">
      <c r="A4124" s="16" t="s">
        <v>1855</v>
      </c>
      <c r="B4124" s="17" t="s">
        <v>7120</v>
      </c>
      <c r="C4124" s="17" t="s">
        <v>3644</v>
      </c>
      <c r="D4124" s="25" t="s">
        <v>7045</v>
      </c>
      <c r="E4124" s="19" t="s">
        <v>7100</v>
      </c>
      <c r="F4124" s="19" t="s">
        <v>1625</v>
      </c>
      <c r="G4124" s="5" t="str">
        <f>HYPERLINK("http://jsmh.umin.jp/journal/46-3/334-335.pdf")</f>
        <v>http://jsmh.umin.jp/journal/46-3/334-335.pdf</v>
      </c>
      <c r="H4124" s="42" t="str">
        <f t="shared" si="265"/>
        <v>http://dl.ndl.go.jp/info:ndljp/pid/3359369</v>
      </c>
    </row>
    <row r="4125" spans="1:8" ht="30" customHeight="1" x14ac:dyDescent="0.15">
      <c r="A4125" s="16" t="s">
        <v>1855</v>
      </c>
      <c r="B4125" s="17" t="s">
        <v>7121</v>
      </c>
      <c r="C4125" s="17" t="s">
        <v>1764</v>
      </c>
      <c r="D4125" s="25" t="s">
        <v>7045</v>
      </c>
      <c r="E4125" s="19" t="s">
        <v>7100</v>
      </c>
      <c r="F4125" s="19" t="s">
        <v>4887</v>
      </c>
      <c r="G4125" s="5" t="str">
        <f>HYPERLINK("http://jsmh.umin.jp/journal/46-3/336-337.pdf")</f>
        <v>http://jsmh.umin.jp/journal/46-3/336-337.pdf</v>
      </c>
      <c r="H4125" s="42" t="str">
        <f t="shared" si="265"/>
        <v>http://dl.ndl.go.jp/info:ndljp/pid/3359369</v>
      </c>
    </row>
    <row r="4126" spans="1:8" ht="30" customHeight="1" x14ac:dyDescent="0.15">
      <c r="A4126" s="16" t="s">
        <v>1855</v>
      </c>
      <c r="B4126" s="17" t="s">
        <v>7122</v>
      </c>
      <c r="C4126" s="17" t="s">
        <v>10289</v>
      </c>
      <c r="D4126" s="25" t="s">
        <v>7045</v>
      </c>
      <c r="E4126" s="19" t="s">
        <v>7100</v>
      </c>
      <c r="F4126" s="19" t="s">
        <v>4891</v>
      </c>
      <c r="G4126" s="5" t="str">
        <f>HYPERLINK("http://jsmh.umin.jp/journal/46-3/338-339.pdf")</f>
        <v>http://jsmh.umin.jp/journal/46-3/338-339.pdf</v>
      </c>
      <c r="H4126" s="42" t="str">
        <f t="shared" si="265"/>
        <v>http://dl.ndl.go.jp/info:ndljp/pid/3359369</v>
      </c>
    </row>
    <row r="4127" spans="1:8" ht="30" customHeight="1" x14ac:dyDescent="0.15">
      <c r="A4127" s="16" t="s">
        <v>1855</v>
      </c>
      <c r="B4127" s="17" t="s">
        <v>7123</v>
      </c>
      <c r="C4127" s="17" t="s">
        <v>444</v>
      </c>
      <c r="D4127" s="25" t="s">
        <v>7045</v>
      </c>
      <c r="E4127" s="19" t="s">
        <v>7100</v>
      </c>
      <c r="F4127" s="19" t="s">
        <v>4895</v>
      </c>
      <c r="G4127" s="5" t="str">
        <f>HYPERLINK("http://jsmh.umin.jp/journal/46-3/340-341.pdf")</f>
        <v>http://jsmh.umin.jp/journal/46-3/340-341.pdf</v>
      </c>
      <c r="H4127" s="42" t="str">
        <f t="shared" si="265"/>
        <v>http://dl.ndl.go.jp/info:ndljp/pid/3359369</v>
      </c>
    </row>
    <row r="4128" spans="1:8" ht="30" customHeight="1" x14ac:dyDescent="0.15">
      <c r="A4128" s="16" t="s">
        <v>1855</v>
      </c>
      <c r="B4128" s="17" t="s">
        <v>7124</v>
      </c>
      <c r="C4128" s="17" t="s">
        <v>6909</v>
      </c>
      <c r="D4128" s="25" t="s">
        <v>7045</v>
      </c>
      <c r="E4128" s="19" t="s">
        <v>7100</v>
      </c>
      <c r="F4128" s="19" t="s">
        <v>4900</v>
      </c>
      <c r="G4128" s="5" t="str">
        <f>HYPERLINK("http://jsmh.umin.jp/journal/46-3/342-343.pdf")</f>
        <v>http://jsmh.umin.jp/journal/46-3/342-343.pdf</v>
      </c>
      <c r="H4128" s="42" t="str">
        <f t="shared" si="265"/>
        <v>http://dl.ndl.go.jp/info:ndljp/pid/3359369</v>
      </c>
    </row>
    <row r="4129" spans="1:8" ht="30" customHeight="1" x14ac:dyDescent="0.15">
      <c r="A4129" s="16" t="s">
        <v>1855</v>
      </c>
      <c r="B4129" s="17" t="s">
        <v>7125</v>
      </c>
      <c r="C4129" s="17" t="s">
        <v>2071</v>
      </c>
      <c r="D4129" s="25" t="s">
        <v>7045</v>
      </c>
      <c r="E4129" s="19" t="s">
        <v>7100</v>
      </c>
      <c r="F4129" s="19" t="s">
        <v>5135</v>
      </c>
      <c r="G4129" s="5" t="str">
        <f>HYPERLINK("http://jsmh.umin.jp/journal/46-3/344-345.pdf")</f>
        <v>http://jsmh.umin.jp/journal/46-3/344-345.pdf</v>
      </c>
      <c r="H4129" s="42" t="str">
        <f t="shared" si="265"/>
        <v>http://dl.ndl.go.jp/info:ndljp/pid/3359369</v>
      </c>
    </row>
    <row r="4130" spans="1:8" ht="30" customHeight="1" x14ac:dyDescent="0.15">
      <c r="A4130" s="16" t="s">
        <v>1855</v>
      </c>
      <c r="B4130" s="17" t="s">
        <v>7126</v>
      </c>
      <c r="C4130" s="17" t="s">
        <v>6004</v>
      </c>
      <c r="D4130" s="25" t="s">
        <v>7045</v>
      </c>
      <c r="E4130" s="19" t="s">
        <v>7100</v>
      </c>
      <c r="F4130" s="19" t="s">
        <v>6502</v>
      </c>
      <c r="G4130" s="5" t="str">
        <f>HYPERLINK("http://jsmh.umin.jp/journal/46-3/346-347.pdf")</f>
        <v>http://jsmh.umin.jp/journal/46-3/346-347.pdf</v>
      </c>
      <c r="H4130" s="42" t="str">
        <f t="shared" si="265"/>
        <v>http://dl.ndl.go.jp/info:ndljp/pid/3359369</v>
      </c>
    </row>
    <row r="4131" spans="1:8" ht="30" customHeight="1" x14ac:dyDescent="0.15">
      <c r="A4131" s="16" t="s">
        <v>1855</v>
      </c>
      <c r="B4131" s="17" t="s">
        <v>7127</v>
      </c>
      <c r="C4131" s="17" t="s">
        <v>10299</v>
      </c>
      <c r="D4131" s="25" t="s">
        <v>7045</v>
      </c>
      <c r="E4131" s="19" t="s">
        <v>7100</v>
      </c>
      <c r="F4131" s="19" t="s">
        <v>4907</v>
      </c>
      <c r="G4131" s="5" t="str">
        <f>HYPERLINK("http://jsmh.umin.jp/journal/46-3/348-349.pdf")</f>
        <v>http://jsmh.umin.jp/journal/46-3/348-349.pdf</v>
      </c>
      <c r="H4131" s="42" t="str">
        <f t="shared" si="265"/>
        <v>http://dl.ndl.go.jp/info:ndljp/pid/3359369</v>
      </c>
    </row>
    <row r="4132" spans="1:8" ht="30" customHeight="1" x14ac:dyDescent="0.15">
      <c r="A4132" s="16" t="s">
        <v>1855</v>
      </c>
      <c r="B4132" s="17" t="s">
        <v>7128</v>
      </c>
      <c r="C4132" s="17" t="s">
        <v>7129</v>
      </c>
      <c r="D4132" s="25" t="s">
        <v>7045</v>
      </c>
      <c r="E4132" s="19" t="s">
        <v>7100</v>
      </c>
      <c r="F4132" s="19" t="s">
        <v>6506</v>
      </c>
      <c r="G4132" s="5" t="str">
        <f>HYPERLINK("http://jsmh.umin.jp/journal/46-3/350-351.pdf")</f>
        <v>http://jsmh.umin.jp/journal/46-3/350-351.pdf</v>
      </c>
      <c r="H4132" s="42" t="str">
        <f t="shared" si="265"/>
        <v>http://dl.ndl.go.jp/info:ndljp/pid/3359369</v>
      </c>
    </row>
    <row r="4133" spans="1:8" ht="30" customHeight="1" x14ac:dyDescent="0.15">
      <c r="A4133" s="16" t="s">
        <v>1855</v>
      </c>
      <c r="B4133" s="17" t="s">
        <v>7130</v>
      </c>
      <c r="C4133" s="17" t="s">
        <v>7131</v>
      </c>
      <c r="D4133" s="25" t="s">
        <v>7045</v>
      </c>
      <c r="E4133" s="19" t="s">
        <v>7100</v>
      </c>
      <c r="F4133" s="19" t="s">
        <v>3163</v>
      </c>
      <c r="G4133" s="5" t="str">
        <f>HYPERLINK("http://jsmh.umin.jp/journal/46-3/352-353.pdf")</f>
        <v>http://jsmh.umin.jp/journal/46-3/352-353.pdf</v>
      </c>
      <c r="H4133" s="42" t="str">
        <f t="shared" si="265"/>
        <v>http://dl.ndl.go.jp/info:ndljp/pid/3359369</v>
      </c>
    </row>
    <row r="4134" spans="1:8" ht="30" customHeight="1" x14ac:dyDescent="0.15">
      <c r="A4134" s="16" t="s">
        <v>1855</v>
      </c>
      <c r="B4134" s="17" t="s">
        <v>7132</v>
      </c>
      <c r="C4134" s="17" t="s">
        <v>6231</v>
      </c>
      <c r="D4134" s="25" t="s">
        <v>7045</v>
      </c>
      <c r="E4134" s="19" t="s">
        <v>7100</v>
      </c>
      <c r="F4134" s="19" t="s">
        <v>6510</v>
      </c>
      <c r="G4134" s="5" t="str">
        <f>HYPERLINK("http://jsmh.umin.jp/journal/46-3/354-355.pdf")</f>
        <v>http://jsmh.umin.jp/journal/46-3/354-355.pdf</v>
      </c>
      <c r="H4134" s="42" t="str">
        <f t="shared" si="265"/>
        <v>http://dl.ndl.go.jp/info:ndljp/pid/3359369</v>
      </c>
    </row>
    <row r="4135" spans="1:8" ht="30" customHeight="1" x14ac:dyDescent="0.15">
      <c r="A4135" s="16" t="s">
        <v>1855</v>
      </c>
      <c r="B4135" s="17" t="s">
        <v>7133</v>
      </c>
      <c r="C4135" s="17" t="s">
        <v>7134</v>
      </c>
      <c r="D4135" s="25" t="s">
        <v>7045</v>
      </c>
      <c r="E4135" s="19" t="s">
        <v>7100</v>
      </c>
      <c r="F4135" s="19" t="s">
        <v>6513</v>
      </c>
      <c r="G4135" s="5" t="str">
        <f>HYPERLINK("http://jsmh.umin.jp/journal/46-3/356-357.pdf")</f>
        <v>http://jsmh.umin.jp/journal/46-3/356-357.pdf</v>
      </c>
      <c r="H4135" s="42" t="str">
        <f t="shared" si="265"/>
        <v>http://dl.ndl.go.jp/info:ndljp/pid/3359369</v>
      </c>
    </row>
    <row r="4136" spans="1:8" ht="30" customHeight="1" x14ac:dyDescent="0.15">
      <c r="A4136" s="16" t="s">
        <v>1855</v>
      </c>
      <c r="B4136" s="17" t="s">
        <v>7135</v>
      </c>
      <c r="C4136" s="17" t="s">
        <v>6882</v>
      </c>
      <c r="D4136" s="25" t="s">
        <v>7045</v>
      </c>
      <c r="E4136" s="19" t="s">
        <v>7100</v>
      </c>
      <c r="F4136" s="19" t="s">
        <v>6516</v>
      </c>
      <c r="G4136" s="5" t="str">
        <f>HYPERLINK("http://jsmh.umin.jp/journal/46-3/358-359.pdf")</f>
        <v>http://jsmh.umin.jp/journal/46-3/358-359.pdf</v>
      </c>
      <c r="H4136" s="42" t="str">
        <f t="shared" si="265"/>
        <v>http://dl.ndl.go.jp/info:ndljp/pid/3359369</v>
      </c>
    </row>
    <row r="4137" spans="1:8" ht="30" customHeight="1" x14ac:dyDescent="0.15">
      <c r="A4137" s="16" t="s">
        <v>1855</v>
      </c>
      <c r="B4137" s="17" t="s">
        <v>10300</v>
      </c>
      <c r="C4137" s="17" t="s">
        <v>7136</v>
      </c>
      <c r="D4137" s="25" t="s">
        <v>7045</v>
      </c>
      <c r="E4137" s="19" t="s">
        <v>7100</v>
      </c>
      <c r="F4137" s="19" t="s">
        <v>6518</v>
      </c>
      <c r="G4137" s="5" t="str">
        <f>HYPERLINK("http://jsmh.umin.jp/journal/46-3/360-361.pdf")</f>
        <v>http://jsmh.umin.jp/journal/46-3/360-361.pdf</v>
      </c>
      <c r="H4137" s="42" t="str">
        <f t="shared" si="265"/>
        <v>http://dl.ndl.go.jp/info:ndljp/pid/3359369</v>
      </c>
    </row>
    <row r="4138" spans="1:8" ht="30" customHeight="1" x14ac:dyDescent="0.15">
      <c r="A4138" s="16" t="s">
        <v>1855</v>
      </c>
      <c r="B4138" s="17" t="s">
        <v>7137</v>
      </c>
      <c r="C4138" s="17" t="s">
        <v>2937</v>
      </c>
      <c r="D4138" s="25" t="s">
        <v>7045</v>
      </c>
      <c r="E4138" s="19" t="s">
        <v>7100</v>
      </c>
      <c r="F4138" s="19" t="s">
        <v>6521</v>
      </c>
      <c r="G4138" s="5" t="str">
        <f>HYPERLINK("http://jsmh.umin.jp/journal/46-3/362-363.pdf")</f>
        <v>http://jsmh.umin.jp/journal/46-3/362-363.pdf</v>
      </c>
      <c r="H4138" s="42" t="str">
        <f t="shared" si="265"/>
        <v>http://dl.ndl.go.jp/info:ndljp/pid/3359369</v>
      </c>
    </row>
    <row r="4139" spans="1:8" ht="30" customHeight="1" x14ac:dyDescent="0.15">
      <c r="A4139" s="16" t="s">
        <v>1855</v>
      </c>
      <c r="B4139" s="17" t="s">
        <v>10301</v>
      </c>
      <c r="C4139" s="17" t="s">
        <v>6851</v>
      </c>
      <c r="D4139" s="25" t="s">
        <v>7045</v>
      </c>
      <c r="E4139" s="19" t="s">
        <v>7100</v>
      </c>
      <c r="F4139" s="19" t="s">
        <v>3181</v>
      </c>
      <c r="G4139" s="5" t="str">
        <f>HYPERLINK("http://jsmh.umin.jp/journal/46-3/364-365.pdf")</f>
        <v>http://jsmh.umin.jp/journal/46-3/364-365.pdf</v>
      </c>
      <c r="H4139" s="42" t="str">
        <f t="shared" si="265"/>
        <v>http://dl.ndl.go.jp/info:ndljp/pid/3359369</v>
      </c>
    </row>
    <row r="4140" spans="1:8" ht="30" customHeight="1" x14ac:dyDescent="0.15">
      <c r="A4140" s="16" t="s">
        <v>1855</v>
      </c>
      <c r="B4140" s="17" t="s">
        <v>7138</v>
      </c>
      <c r="C4140" s="17" t="s">
        <v>2881</v>
      </c>
      <c r="D4140" s="25" t="s">
        <v>7045</v>
      </c>
      <c r="E4140" s="19" t="s">
        <v>7100</v>
      </c>
      <c r="F4140" s="19" t="s">
        <v>3186</v>
      </c>
      <c r="G4140" s="5" t="str">
        <f>HYPERLINK("http://jsmh.umin.jp/journal/46-3/366-367.pdf")</f>
        <v>http://jsmh.umin.jp/journal/46-3/366-367.pdf</v>
      </c>
      <c r="H4140" s="42" t="str">
        <f t="shared" ref="H4140:H4171" si="266">HYPERLINK("http://dl.ndl.go.jp/info:ndljp/pid/3359369")</f>
        <v>http://dl.ndl.go.jp/info:ndljp/pid/3359369</v>
      </c>
    </row>
    <row r="4141" spans="1:8" ht="30" customHeight="1" x14ac:dyDescent="0.15">
      <c r="A4141" s="16" t="s">
        <v>1855</v>
      </c>
      <c r="B4141" s="17" t="s">
        <v>7139</v>
      </c>
      <c r="C4141" s="17" t="s">
        <v>10260</v>
      </c>
      <c r="D4141" s="25" t="s">
        <v>7045</v>
      </c>
      <c r="E4141" s="19" t="s">
        <v>7100</v>
      </c>
      <c r="F4141" s="19" t="s">
        <v>4251</v>
      </c>
      <c r="G4141" s="5" t="str">
        <f>HYPERLINK("http://jsmh.umin.jp/journal/46-3/368-369.pdf")</f>
        <v>http://jsmh.umin.jp/journal/46-3/368-369.pdf</v>
      </c>
      <c r="H4141" s="42" t="str">
        <f t="shared" si="266"/>
        <v>http://dl.ndl.go.jp/info:ndljp/pid/3359369</v>
      </c>
    </row>
    <row r="4142" spans="1:8" ht="30" customHeight="1" x14ac:dyDescent="0.15">
      <c r="A4142" s="16" t="s">
        <v>1855</v>
      </c>
      <c r="B4142" s="17" t="s">
        <v>7140</v>
      </c>
      <c r="C4142" s="17" t="s">
        <v>6267</v>
      </c>
      <c r="D4142" s="25" t="s">
        <v>7045</v>
      </c>
      <c r="E4142" s="19" t="s">
        <v>7100</v>
      </c>
      <c r="F4142" s="19" t="s">
        <v>6529</v>
      </c>
      <c r="G4142" s="5" t="str">
        <f>HYPERLINK("http://jsmh.umin.jp/journal/46-3/370-371.pdf")</f>
        <v>http://jsmh.umin.jp/journal/46-3/370-371.pdf</v>
      </c>
      <c r="H4142" s="42" t="str">
        <f t="shared" si="266"/>
        <v>http://dl.ndl.go.jp/info:ndljp/pid/3359369</v>
      </c>
    </row>
    <row r="4143" spans="1:8" ht="30" customHeight="1" x14ac:dyDescent="0.15">
      <c r="A4143" s="16" t="s">
        <v>1855</v>
      </c>
      <c r="B4143" s="17" t="s">
        <v>7141</v>
      </c>
      <c r="C4143" s="17" t="s">
        <v>6555</v>
      </c>
      <c r="D4143" s="25" t="s">
        <v>7045</v>
      </c>
      <c r="E4143" s="19" t="s">
        <v>7100</v>
      </c>
      <c r="F4143" s="19" t="s">
        <v>3197</v>
      </c>
      <c r="G4143" s="5" t="str">
        <f>HYPERLINK("http://jsmh.umin.jp/journal/46-3/372-373.pdf")</f>
        <v>http://jsmh.umin.jp/journal/46-3/372-373.pdf</v>
      </c>
      <c r="H4143" s="42" t="str">
        <f t="shared" si="266"/>
        <v>http://dl.ndl.go.jp/info:ndljp/pid/3359369</v>
      </c>
    </row>
    <row r="4144" spans="1:8" ht="30" customHeight="1" x14ac:dyDescent="0.15">
      <c r="A4144" s="16" t="s">
        <v>1855</v>
      </c>
      <c r="B4144" s="17" t="s">
        <v>7142</v>
      </c>
      <c r="C4144" s="17" t="s">
        <v>1932</v>
      </c>
      <c r="D4144" s="25" t="s">
        <v>7045</v>
      </c>
      <c r="E4144" s="19" t="s">
        <v>7100</v>
      </c>
      <c r="F4144" s="19" t="s">
        <v>6533</v>
      </c>
      <c r="G4144" s="5" t="str">
        <f>HYPERLINK("http://jsmh.umin.jp/journal/46-3/374-375.pdf")</f>
        <v>http://jsmh.umin.jp/journal/46-3/374-375.pdf</v>
      </c>
      <c r="H4144" s="42" t="str">
        <f t="shared" si="266"/>
        <v>http://dl.ndl.go.jp/info:ndljp/pid/3359369</v>
      </c>
    </row>
    <row r="4145" spans="1:8" ht="30" customHeight="1" x14ac:dyDescent="0.15">
      <c r="A4145" s="16" t="s">
        <v>1855</v>
      </c>
      <c r="B4145" s="17" t="s">
        <v>7143</v>
      </c>
      <c r="C4145" s="17" t="s">
        <v>7144</v>
      </c>
      <c r="D4145" s="25" t="s">
        <v>7045</v>
      </c>
      <c r="E4145" s="19" t="s">
        <v>7100</v>
      </c>
      <c r="F4145" s="19" t="s">
        <v>6535</v>
      </c>
      <c r="G4145" s="5" t="str">
        <f>HYPERLINK("http://jsmh.umin.jp/journal/46-3/376-377.pdf")</f>
        <v>http://jsmh.umin.jp/journal/46-3/376-377.pdf</v>
      </c>
      <c r="H4145" s="42" t="str">
        <f t="shared" si="266"/>
        <v>http://dl.ndl.go.jp/info:ndljp/pid/3359369</v>
      </c>
    </row>
    <row r="4146" spans="1:8" ht="30" customHeight="1" x14ac:dyDescent="0.15">
      <c r="A4146" s="16" t="s">
        <v>1855</v>
      </c>
      <c r="B4146" s="17" t="s">
        <v>10302</v>
      </c>
      <c r="C4146" s="17" t="s">
        <v>10280</v>
      </c>
      <c r="D4146" s="25" t="s">
        <v>7045</v>
      </c>
      <c r="E4146" s="19" t="s">
        <v>7100</v>
      </c>
      <c r="F4146" s="19" t="s">
        <v>6537</v>
      </c>
      <c r="G4146" s="5" t="str">
        <f>HYPERLINK("http://jsmh.umin.jp/journal/46-3/378-379.pdf")</f>
        <v>http://jsmh.umin.jp/journal/46-3/378-379.pdf</v>
      </c>
      <c r="H4146" s="42" t="str">
        <f t="shared" si="266"/>
        <v>http://dl.ndl.go.jp/info:ndljp/pid/3359369</v>
      </c>
    </row>
    <row r="4147" spans="1:8" ht="30" customHeight="1" x14ac:dyDescent="0.15">
      <c r="A4147" s="16" t="s">
        <v>1855</v>
      </c>
      <c r="B4147" s="17" t="s">
        <v>7145</v>
      </c>
      <c r="C4147" s="17" t="s">
        <v>6705</v>
      </c>
      <c r="D4147" s="25" t="s">
        <v>7045</v>
      </c>
      <c r="E4147" s="19" t="s">
        <v>7100</v>
      </c>
      <c r="F4147" s="19" t="s">
        <v>6540</v>
      </c>
      <c r="G4147" s="5" t="str">
        <f>HYPERLINK("http://jsmh.umin.jp/journal/46-3/380-381.pdf")</f>
        <v>http://jsmh.umin.jp/journal/46-3/380-381.pdf</v>
      </c>
      <c r="H4147" s="42" t="str">
        <f t="shared" si="266"/>
        <v>http://dl.ndl.go.jp/info:ndljp/pid/3359369</v>
      </c>
    </row>
    <row r="4148" spans="1:8" ht="30" customHeight="1" x14ac:dyDescent="0.15">
      <c r="A4148" s="16" t="s">
        <v>1855</v>
      </c>
      <c r="B4148" s="17" t="s">
        <v>7146</v>
      </c>
      <c r="C4148" s="17" t="s">
        <v>5471</v>
      </c>
      <c r="D4148" s="25" t="s">
        <v>7045</v>
      </c>
      <c r="E4148" s="19" t="s">
        <v>7100</v>
      </c>
      <c r="F4148" s="19" t="s">
        <v>6542</v>
      </c>
      <c r="G4148" s="5" t="str">
        <f>HYPERLINK("http://jsmh.umin.jp/journal/46-3/382-383.pdf")</f>
        <v>http://jsmh.umin.jp/journal/46-3/382-383.pdf</v>
      </c>
      <c r="H4148" s="42" t="str">
        <f t="shared" si="266"/>
        <v>http://dl.ndl.go.jp/info:ndljp/pid/3359369</v>
      </c>
    </row>
    <row r="4149" spans="1:8" ht="30" customHeight="1" x14ac:dyDescent="0.15">
      <c r="A4149" s="16" t="s">
        <v>1855</v>
      </c>
      <c r="B4149" s="17" t="s">
        <v>7147</v>
      </c>
      <c r="C4149" s="17" t="s">
        <v>7148</v>
      </c>
      <c r="D4149" s="25" t="s">
        <v>7045</v>
      </c>
      <c r="E4149" s="19" t="s">
        <v>7100</v>
      </c>
      <c r="F4149" s="19" t="s">
        <v>1962</v>
      </c>
      <c r="G4149" s="5" t="str">
        <f>HYPERLINK("http://jsmh.umin.jp/journal/46-3/384-385.pdf")</f>
        <v>http://jsmh.umin.jp/journal/46-3/384-385.pdf</v>
      </c>
      <c r="H4149" s="42" t="str">
        <f t="shared" si="266"/>
        <v>http://dl.ndl.go.jp/info:ndljp/pid/3359369</v>
      </c>
    </row>
    <row r="4150" spans="1:8" ht="30" customHeight="1" x14ac:dyDescent="0.15">
      <c r="A4150" s="16" t="s">
        <v>1855</v>
      </c>
      <c r="B4150" s="17" t="s">
        <v>7149</v>
      </c>
      <c r="C4150" s="17" t="s">
        <v>6686</v>
      </c>
      <c r="D4150" s="25" t="s">
        <v>7045</v>
      </c>
      <c r="E4150" s="19" t="s">
        <v>7100</v>
      </c>
      <c r="F4150" s="19" t="s">
        <v>6546</v>
      </c>
      <c r="G4150" s="5" t="str">
        <f>HYPERLINK("http://jsmh.umin.jp/journal/46-3/386-387.pdf")</f>
        <v>http://jsmh.umin.jp/journal/46-3/386-387.pdf</v>
      </c>
      <c r="H4150" s="42" t="str">
        <f t="shared" si="266"/>
        <v>http://dl.ndl.go.jp/info:ndljp/pid/3359369</v>
      </c>
    </row>
    <row r="4151" spans="1:8" ht="30" customHeight="1" x14ac:dyDescent="0.15">
      <c r="A4151" s="16" t="s">
        <v>1855</v>
      </c>
      <c r="B4151" s="17" t="s">
        <v>7150</v>
      </c>
      <c r="C4151" s="17" t="s">
        <v>5516</v>
      </c>
      <c r="D4151" s="25" t="s">
        <v>7045</v>
      </c>
      <c r="E4151" s="19" t="s">
        <v>7100</v>
      </c>
      <c r="F4151" s="19" t="s">
        <v>6548</v>
      </c>
      <c r="G4151" s="5" t="str">
        <f>HYPERLINK("http://jsmh.umin.jp/journal/46-3/388-389.pdf")</f>
        <v>http://jsmh.umin.jp/journal/46-3/388-389.pdf</v>
      </c>
      <c r="H4151" s="42" t="str">
        <f t="shared" si="266"/>
        <v>http://dl.ndl.go.jp/info:ndljp/pid/3359369</v>
      </c>
    </row>
    <row r="4152" spans="1:8" ht="30" customHeight="1" x14ac:dyDescent="0.15">
      <c r="A4152" s="16" t="s">
        <v>1855</v>
      </c>
      <c r="B4152" s="17" t="s">
        <v>7151</v>
      </c>
      <c r="C4152" s="17" t="s">
        <v>1929</v>
      </c>
      <c r="D4152" s="25" t="s">
        <v>7045</v>
      </c>
      <c r="E4152" s="19" t="s">
        <v>7100</v>
      </c>
      <c r="F4152" s="19" t="s">
        <v>2141</v>
      </c>
      <c r="G4152" s="5" t="str">
        <f>HYPERLINK("http://jsmh.umin.jp/journal/46-3/390-391.pdf")</f>
        <v>http://jsmh.umin.jp/journal/46-3/390-391.pdf</v>
      </c>
      <c r="H4152" s="42" t="str">
        <f t="shared" si="266"/>
        <v>http://dl.ndl.go.jp/info:ndljp/pid/3359369</v>
      </c>
    </row>
    <row r="4153" spans="1:8" ht="30" customHeight="1" x14ac:dyDescent="0.15">
      <c r="A4153" s="16" t="s">
        <v>1855</v>
      </c>
      <c r="B4153" s="17" t="s">
        <v>7152</v>
      </c>
      <c r="C4153" s="17" t="s">
        <v>6640</v>
      </c>
      <c r="D4153" s="25" t="s">
        <v>7045</v>
      </c>
      <c r="E4153" s="19" t="s">
        <v>7100</v>
      </c>
      <c r="F4153" s="19" t="s">
        <v>2148</v>
      </c>
      <c r="G4153" s="5" t="str">
        <f>HYPERLINK("http://jsmh.umin.jp/journal/46-3/392-393.pdf")</f>
        <v>http://jsmh.umin.jp/journal/46-3/392-393.pdf</v>
      </c>
      <c r="H4153" s="42" t="str">
        <f t="shared" si="266"/>
        <v>http://dl.ndl.go.jp/info:ndljp/pid/3359369</v>
      </c>
    </row>
    <row r="4154" spans="1:8" ht="30" customHeight="1" x14ac:dyDescent="0.15">
      <c r="A4154" s="16" t="s">
        <v>1855</v>
      </c>
      <c r="B4154" s="17" t="s">
        <v>7153</v>
      </c>
      <c r="C4154" s="17" t="s">
        <v>7154</v>
      </c>
      <c r="D4154" s="25" t="s">
        <v>7045</v>
      </c>
      <c r="E4154" s="19" t="s">
        <v>7100</v>
      </c>
      <c r="F4154" s="19" t="s">
        <v>6551</v>
      </c>
      <c r="G4154" s="5" t="str">
        <f>HYPERLINK("http://jsmh.umin.jp/journal/46-3/394-395.pdf")</f>
        <v>http://jsmh.umin.jp/journal/46-3/394-395.pdf</v>
      </c>
      <c r="H4154" s="42" t="str">
        <f t="shared" si="266"/>
        <v>http://dl.ndl.go.jp/info:ndljp/pid/3359369</v>
      </c>
    </row>
    <row r="4155" spans="1:8" ht="30" customHeight="1" x14ac:dyDescent="0.15">
      <c r="A4155" s="16" t="s">
        <v>1855</v>
      </c>
      <c r="B4155" s="17" t="s">
        <v>7155</v>
      </c>
      <c r="C4155" s="17" t="s">
        <v>4988</v>
      </c>
      <c r="D4155" s="25" t="s">
        <v>7045</v>
      </c>
      <c r="E4155" s="19" t="s">
        <v>7100</v>
      </c>
      <c r="F4155" s="19" t="s">
        <v>2331</v>
      </c>
      <c r="G4155" s="5" t="str">
        <f>HYPERLINK("http://jsmh.umin.jp/journal/46-3/396-397.pdf")</f>
        <v>http://jsmh.umin.jp/journal/46-3/396-397.pdf</v>
      </c>
      <c r="H4155" s="42" t="str">
        <f t="shared" si="266"/>
        <v>http://dl.ndl.go.jp/info:ndljp/pid/3359369</v>
      </c>
    </row>
    <row r="4156" spans="1:8" ht="30" customHeight="1" x14ac:dyDescent="0.15">
      <c r="A4156" s="16" t="s">
        <v>1855</v>
      </c>
      <c r="B4156" s="17" t="s">
        <v>7156</v>
      </c>
      <c r="C4156" s="17" t="s">
        <v>7157</v>
      </c>
      <c r="D4156" s="25" t="s">
        <v>7045</v>
      </c>
      <c r="E4156" s="19" t="s">
        <v>7100</v>
      </c>
      <c r="F4156" s="19" t="s">
        <v>6553</v>
      </c>
      <c r="G4156" s="5" t="str">
        <f>HYPERLINK("http://jsmh.umin.jp/journal/46-3/398-399.pdf")</f>
        <v>http://jsmh.umin.jp/journal/46-3/398-399.pdf</v>
      </c>
      <c r="H4156" s="42" t="str">
        <f t="shared" si="266"/>
        <v>http://dl.ndl.go.jp/info:ndljp/pid/3359369</v>
      </c>
    </row>
    <row r="4157" spans="1:8" ht="30" customHeight="1" x14ac:dyDescent="0.15">
      <c r="A4157" s="16" t="s">
        <v>1855</v>
      </c>
      <c r="B4157" s="17" t="s">
        <v>7158</v>
      </c>
      <c r="C4157" s="17" t="s">
        <v>4085</v>
      </c>
      <c r="D4157" s="25" t="s">
        <v>7045</v>
      </c>
      <c r="E4157" s="19" t="s">
        <v>7100</v>
      </c>
      <c r="F4157" s="19" t="s">
        <v>6556</v>
      </c>
      <c r="G4157" s="5" t="str">
        <f>HYPERLINK("http://jsmh.umin.jp/journal/46-3/400-401.pdf")</f>
        <v>http://jsmh.umin.jp/journal/46-3/400-401.pdf</v>
      </c>
      <c r="H4157" s="42" t="str">
        <f t="shared" si="266"/>
        <v>http://dl.ndl.go.jp/info:ndljp/pid/3359369</v>
      </c>
    </row>
    <row r="4158" spans="1:8" ht="30" customHeight="1" x14ac:dyDescent="0.15">
      <c r="A4158" s="16" t="s">
        <v>1855</v>
      </c>
      <c r="B4158" s="17" t="s">
        <v>7159</v>
      </c>
      <c r="C4158" s="17" t="s">
        <v>6676</v>
      </c>
      <c r="D4158" s="25" t="s">
        <v>7045</v>
      </c>
      <c r="E4158" s="19" t="s">
        <v>7100</v>
      </c>
      <c r="F4158" s="19" t="s">
        <v>6558</v>
      </c>
      <c r="G4158" s="5" t="str">
        <f>HYPERLINK("http://jsmh.umin.jp/journal/46-3/402-403.pdf")</f>
        <v>http://jsmh.umin.jp/journal/46-3/402-403.pdf</v>
      </c>
      <c r="H4158" s="42" t="str">
        <f t="shared" si="266"/>
        <v>http://dl.ndl.go.jp/info:ndljp/pid/3359369</v>
      </c>
    </row>
    <row r="4159" spans="1:8" ht="30" customHeight="1" x14ac:dyDescent="0.15">
      <c r="A4159" s="16" t="s">
        <v>1855</v>
      </c>
      <c r="B4159" s="17" t="s">
        <v>7160</v>
      </c>
      <c r="C4159" s="17" t="s">
        <v>7161</v>
      </c>
      <c r="D4159" s="25" t="s">
        <v>7045</v>
      </c>
      <c r="E4159" s="19" t="s">
        <v>7100</v>
      </c>
      <c r="F4159" s="19" t="s">
        <v>5749</v>
      </c>
      <c r="G4159" s="5" t="str">
        <f>HYPERLINK("http://jsmh.umin.jp/journal/46-3/404-405.pdf")</f>
        <v>http://jsmh.umin.jp/journal/46-3/404-405.pdf</v>
      </c>
      <c r="H4159" s="42" t="str">
        <f t="shared" si="266"/>
        <v>http://dl.ndl.go.jp/info:ndljp/pid/3359369</v>
      </c>
    </row>
    <row r="4160" spans="1:8" ht="30" customHeight="1" x14ac:dyDescent="0.15">
      <c r="A4160" s="16" t="s">
        <v>1855</v>
      </c>
      <c r="B4160" s="17" t="s">
        <v>7162</v>
      </c>
      <c r="C4160" s="17" t="s">
        <v>7163</v>
      </c>
      <c r="D4160" s="25" t="s">
        <v>7045</v>
      </c>
      <c r="E4160" s="19" t="s">
        <v>7100</v>
      </c>
      <c r="F4160" s="19" t="s">
        <v>7164</v>
      </c>
      <c r="G4160" s="5" t="str">
        <f>HYPERLINK("http://jsmh.umin.jp/journal/46-3/406-407.pdf")</f>
        <v>http://jsmh.umin.jp/journal/46-3/406-407.pdf</v>
      </c>
      <c r="H4160" s="42" t="str">
        <f t="shared" si="266"/>
        <v>http://dl.ndl.go.jp/info:ndljp/pid/3359369</v>
      </c>
    </row>
    <row r="4161" spans="1:8" ht="30" customHeight="1" x14ac:dyDescent="0.15">
      <c r="A4161" s="16" t="s">
        <v>1855</v>
      </c>
      <c r="B4161" s="17" t="s">
        <v>7165</v>
      </c>
      <c r="C4161" s="17" t="s">
        <v>7166</v>
      </c>
      <c r="D4161" s="25" t="s">
        <v>7045</v>
      </c>
      <c r="E4161" s="19" t="s">
        <v>7100</v>
      </c>
      <c r="F4161" s="19" t="s">
        <v>7167</v>
      </c>
      <c r="G4161" s="5" t="str">
        <f>HYPERLINK("http://jsmh.umin.jp/journal/46-3/408-409.pdf")</f>
        <v>http://jsmh.umin.jp/journal/46-3/408-409.pdf</v>
      </c>
      <c r="H4161" s="42" t="str">
        <f t="shared" si="266"/>
        <v>http://dl.ndl.go.jp/info:ndljp/pid/3359369</v>
      </c>
    </row>
    <row r="4162" spans="1:8" ht="30" customHeight="1" x14ac:dyDescent="0.15">
      <c r="A4162" s="16" t="s">
        <v>1855</v>
      </c>
      <c r="B4162" s="17" t="s">
        <v>7168</v>
      </c>
      <c r="C4162" s="17" t="s">
        <v>7169</v>
      </c>
      <c r="D4162" s="25" t="s">
        <v>7045</v>
      </c>
      <c r="E4162" s="19" t="s">
        <v>7100</v>
      </c>
      <c r="F4162" s="19" t="s">
        <v>7170</v>
      </c>
      <c r="G4162" s="5" t="str">
        <f>HYPERLINK("http://jsmh.umin.jp/journal/46-3/410-411.pdf")</f>
        <v>http://jsmh.umin.jp/journal/46-3/410-411.pdf</v>
      </c>
      <c r="H4162" s="42" t="str">
        <f t="shared" si="266"/>
        <v>http://dl.ndl.go.jp/info:ndljp/pid/3359369</v>
      </c>
    </row>
    <row r="4163" spans="1:8" ht="30" customHeight="1" x14ac:dyDescent="0.15">
      <c r="A4163" s="16" t="s">
        <v>1855</v>
      </c>
      <c r="B4163" s="17" t="s">
        <v>7171</v>
      </c>
      <c r="C4163" s="17" t="s">
        <v>2386</v>
      </c>
      <c r="D4163" s="25" t="s">
        <v>7045</v>
      </c>
      <c r="E4163" s="19" t="s">
        <v>7100</v>
      </c>
      <c r="F4163" s="19" t="s">
        <v>7172</v>
      </c>
      <c r="G4163" s="5" t="str">
        <f>HYPERLINK("http://jsmh.umin.jp/journal/46-3/412-413.pdf")</f>
        <v>http://jsmh.umin.jp/journal/46-3/412-413.pdf</v>
      </c>
      <c r="H4163" s="42" t="str">
        <f t="shared" si="266"/>
        <v>http://dl.ndl.go.jp/info:ndljp/pid/3359369</v>
      </c>
    </row>
    <row r="4164" spans="1:8" ht="30" customHeight="1" x14ac:dyDescent="0.15">
      <c r="A4164" s="16" t="s">
        <v>1855</v>
      </c>
      <c r="B4164" s="17" t="s">
        <v>7173</v>
      </c>
      <c r="C4164" s="17" t="s">
        <v>5084</v>
      </c>
      <c r="D4164" s="25" t="s">
        <v>7045</v>
      </c>
      <c r="E4164" s="19" t="s">
        <v>7100</v>
      </c>
      <c r="F4164" s="19" t="s">
        <v>4439</v>
      </c>
      <c r="G4164" s="5" t="str">
        <f>HYPERLINK("http://jsmh.umin.jp/journal/46-3/414-415.pdf")</f>
        <v>http://jsmh.umin.jp/journal/46-3/414-415.pdf</v>
      </c>
      <c r="H4164" s="42" t="str">
        <f t="shared" si="266"/>
        <v>http://dl.ndl.go.jp/info:ndljp/pid/3359369</v>
      </c>
    </row>
    <row r="4165" spans="1:8" ht="30" customHeight="1" x14ac:dyDescent="0.15">
      <c r="A4165" s="16" t="s">
        <v>1855</v>
      </c>
      <c r="B4165" s="17" t="s">
        <v>7174</v>
      </c>
      <c r="C4165" s="17" t="s">
        <v>3482</v>
      </c>
      <c r="D4165" s="25" t="s">
        <v>7045</v>
      </c>
      <c r="E4165" s="19" t="s">
        <v>7100</v>
      </c>
      <c r="F4165" s="19" t="s">
        <v>4443</v>
      </c>
      <c r="G4165" s="5" t="str">
        <f>HYPERLINK("http://jsmh.umin.jp/journal/46-3/416-417.pdf")</f>
        <v>http://jsmh.umin.jp/journal/46-3/416-417.pdf</v>
      </c>
      <c r="H4165" s="42" t="str">
        <f t="shared" si="266"/>
        <v>http://dl.ndl.go.jp/info:ndljp/pid/3359369</v>
      </c>
    </row>
    <row r="4166" spans="1:8" ht="30" customHeight="1" x14ac:dyDescent="0.15">
      <c r="A4166" s="16" t="s">
        <v>1855</v>
      </c>
      <c r="B4166" s="17" t="s">
        <v>7175</v>
      </c>
      <c r="C4166" s="17" t="s">
        <v>7176</v>
      </c>
      <c r="D4166" s="25" t="s">
        <v>7045</v>
      </c>
      <c r="E4166" s="19" t="s">
        <v>7100</v>
      </c>
      <c r="F4166" s="19" t="s">
        <v>4447</v>
      </c>
      <c r="G4166" s="5" t="str">
        <f>HYPERLINK("http://jsmh.umin.jp/journal/46-3/418-419.pdf")</f>
        <v>http://jsmh.umin.jp/journal/46-3/418-419.pdf</v>
      </c>
      <c r="H4166" s="42" t="str">
        <f t="shared" si="266"/>
        <v>http://dl.ndl.go.jp/info:ndljp/pid/3359369</v>
      </c>
    </row>
    <row r="4167" spans="1:8" ht="30" customHeight="1" x14ac:dyDescent="0.15">
      <c r="A4167" s="16" t="s">
        <v>1855</v>
      </c>
      <c r="B4167" s="17" t="s">
        <v>7177</v>
      </c>
      <c r="C4167" s="17" t="s">
        <v>7178</v>
      </c>
      <c r="D4167" s="25" t="s">
        <v>7045</v>
      </c>
      <c r="E4167" s="19" t="s">
        <v>7100</v>
      </c>
      <c r="F4167" s="19" t="s">
        <v>7179</v>
      </c>
      <c r="G4167" s="5" t="str">
        <f>HYPERLINK("http://jsmh.umin.jp/journal/46-3/420-421.pdf")</f>
        <v>http://jsmh.umin.jp/journal/46-3/420-421.pdf</v>
      </c>
      <c r="H4167" s="42" t="str">
        <f t="shared" si="266"/>
        <v>http://dl.ndl.go.jp/info:ndljp/pid/3359369</v>
      </c>
    </row>
    <row r="4168" spans="1:8" ht="30" customHeight="1" x14ac:dyDescent="0.15">
      <c r="A4168" s="16" t="s">
        <v>1855</v>
      </c>
      <c r="B4168" s="17" t="s">
        <v>10303</v>
      </c>
      <c r="C4168" s="17" t="s">
        <v>7180</v>
      </c>
      <c r="D4168" s="25" t="s">
        <v>7045</v>
      </c>
      <c r="E4168" s="19" t="s">
        <v>7100</v>
      </c>
      <c r="F4168" s="19" t="s">
        <v>1988</v>
      </c>
      <c r="G4168" s="5" t="str">
        <f>HYPERLINK("http://jsmh.umin.jp/journal/46-3/422-423.pdf")</f>
        <v>http://jsmh.umin.jp/journal/46-3/422-423.pdf</v>
      </c>
      <c r="H4168" s="42" t="str">
        <f t="shared" si="266"/>
        <v>http://dl.ndl.go.jp/info:ndljp/pid/3359369</v>
      </c>
    </row>
    <row r="4169" spans="1:8" ht="30" customHeight="1" x14ac:dyDescent="0.15">
      <c r="A4169" s="16" t="s">
        <v>1855</v>
      </c>
      <c r="B4169" s="17" t="s">
        <v>7181</v>
      </c>
      <c r="C4169" s="17" t="s">
        <v>5660</v>
      </c>
      <c r="D4169" s="25" t="s">
        <v>7045</v>
      </c>
      <c r="E4169" s="19" t="s">
        <v>7100</v>
      </c>
      <c r="F4169" s="19" t="s">
        <v>4458</v>
      </c>
      <c r="G4169" s="5" t="str">
        <f>HYPERLINK("http://jsmh.umin.jp/journal/46-3/424-425.pdf")</f>
        <v>http://jsmh.umin.jp/journal/46-3/424-425.pdf</v>
      </c>
      <c r="H4169" s="42" t="str">
        <f t="shared" si="266"/>
        <v>http://dl.ndl.go.jp/info:ndljp/pid/3359369</v>
      </c>
    </row>
    <row r="4170" spans="1:8" ht="30" customHeight="1" x14ac:dyDescent="0.15">
      <c r="A4170" s="16" t="s">
        <v>1855</v>
      </c>
      <c r="B4170" s="17" t="s">
        <v>7182</v>
      </c>
      <c r="C4170" s="17" t="s">
        <v>10156</v>
      </c>
      <c r="D4170" s="25" t="s">
        <v>7045</v>
      </c>
      <c r="E4170" s="19" t="s">
        <v>7100</v>
      </c>
      <c r="F4170" s="19" t="s">
        <v>1997</v>
      </c>
      <c r="G4170" s="5" t="str">
        <f>HYPERLINK("http://jsmh.umin.jp/journal/46-3/426-427.pdf")</f>
        <v>http://jsmh.umin.jp/journal/46-3/426-427.pdf</v>
      </c>
      <c r="H4170" s="42" t="str">
        <f t="shared" si="266"/>
        <v>http://dl.ndl.go.jp/info:ndljp/pid/3359369</v>
      </c>
    </row>
    <row r="4171" spans="1:8" ht="30" customHeight="1" x14ac:dyDescent="0.15">
      <c r="A4171" s="16" t="s">
        <v>1855</v>
      </c>
      <c r="B4171" s="17" t="s">
        <v>7183</v>
      </c>
      <c r="C4171" s="17" t="s">
        <v>7184</v>
      </c>
      <c r="D4171" s="25" t="s">
        <v>7045</v>
      </c>
      <c r="E4171" s="19" t="s">
        <v>7100</v>
      </c>
      <c r="F4171" s="19" t="s">
        <v>4465</v>
      </c>
      <c r="G4171" s="5" t="str">
        <f>HYPERLINK("http://jsmh.umin.jp/journal/46-3/428-429.pdf")</f>
        <v>http://jsmh.umin.jp/journal/46-3/428-429.pdf</v>
      </c>
      <c r="H4171" s="42" t="str">
        <f t="shared" si="266"/>
        <v>http://dl.ndl.go.jp/info:ndljp/pid/3359369</v>
      </c>
    </row>
    <row r="4172" spans="1:8" ht="30" customHeight="1" x14ac:dyDescent="0.15">
      <c r="A4172" s="16" t="s">
        <v>1855</v>
      </c>
      <c r="B4172" s="17" t="s">
        <v>7185</v>
      </c>
      <c r="C4172" s="17" t="s">
        <v>2100</v>
      </c>
      <c r="D4172" s="25" t="s">
        <v>7045</v>
      </c>
      <c r="E4172" s="19" t="s">
        <v>7100</v>
      </c>
      <c r="F4172" s="19" t="s">
        <v>6100</v>
      </c>
      <c r="G4172" s="5" t="str">
        <f>HYPERLINK("http://jsmh.umin.jp/journal/46-3/430-431.pdf")</f>
        <v>http://jsmh.umin.jp/journal/46-3/430-431.pdf</v>
      </c>
      <c r="H4172" s="42" t="str">
        <f t="shared" ref="H4172:H4181" si="267">HYPERLINK("http://dl.ndl.go.jp/info:ndljp/pid/3359369")</f>
        <v>http://dl.ndl.go.jp/info:ndljp/pid/3359369</v>
      </c>
    </row>
    <row r="4173" spans="1:8" ht="30" customHeight="1" x14ac:dyDescent="0.15">
      <c r="A4173" s="16" t="s">
        <v>1855</v>
      </c>
      <c r="B4173" s="17" t="s">
        <v>7186</v>
      </c>
      <c r="C4173" s="17" t="s">
        <v>7187</v>
      </c>
      <c r="D4173" s="25" t="s">
        <v>7045</v>
      </c>
      <c r="E4173" s="19" t="s">
        <v>7100</v>
      </c>
      <c r="F4173" s="19" t="s">
        <v>6102</v>
      </c>
      <c r="G4173" s="5" t="str">
        <f>HYPERLINK("http://jsmh.umin.jp/journal/46-3/432-433.pdf")</f>
        <v>http://jsmh.umin.jp/journal/46-3/432-433.pdf</v>
      </c>
      <c r="H4173" s="42" t="str">
        <f t="shared" si="267"/>
        <v>http://dl.ndl.go.jp/info:ndljp/pid/3359369</v>
      </c>
    </row>
    <row r="4174" spans="1:8" ht="30" customHeight="1" x14ac:dyDescent="0.15">
      <c r="A4174" s="16" t="s">
        <v>1855</v>
      </c>
      <c r="B4174" s="17" t="s">
        <v>7188</v>
      </c>
      <c r="C4174" s="17" t="s">
        <v>7189</v>
      </c>
      <c r="D4174" s="25" t="s">
        <v>7045</v>
      </c>
      <c r="E4174" s="19" t="s">
        <v>7100</v>
      </c>
      <c r="F4174" s="19" t="s">
        <v>6317</v>
      </c>
      <c r="G4174" s="5" t="str">
        <f>HYPERLINK("http://jsmh.umin.jp/journal/46-3/434-435.pdf")</f>
        <v>http://jsmh.umin.jp/journal/46-3/434-435.pdf</v>
      </c>
      <c r="H4174" s="42" t="str">
        <f t="shared" si="267"/>
        <v>http://dl.ndl.go.jp/info:ndljp/pid/3359369</v>
      </c>
    </row>
    <row r="4175" spans="1:8" ht="30" customHeight="1" x14ac:dyDescent="0.15">
      <c r="A4175" s="16" t="s">
        <v>1855</v>
      </c>
      <c r="B4175" s="17" t="s">
        <v>7190</v>
      </c>
      <c r="C4175" s="17" t="s">
        <v>5625</v>
      </c>
      <c r="D4175" s="25" t="s">
        <v>7045</v>
      </c>
      <c r="E4175" s="19" t="s">
        <v>7100</v>
      </c>
      <c r="F4175" s="19" t="s">
        <v>6107</v>
      </c>
      <c r="G4175" s="5" t="str">
        <f>HYPERLINK("http://jsmh.umin.jp/journal/46-3/436-437.pdf")</f>
        <v>http://jsmh.umin.jp/journal/46-3/436-437.pdf</v>
      </c>
      <c r="H4175" s="42" t="str">
        <f t="shared" si="267"/>
        <v>http://dl.ndl.go.jp/info:ndljp/pid/3359369</v>
      </c>
    </row>
    <row r="4176" spans="1:8" ht="30" customHeight="1" x14ac:dyDescent="0.15">
      <c r="A4176" s="16" t="s">
        <v>1855</v>
      </c>
      <c r="B4176" s="17" t="s">
        <v>7191</v>
      </c>
      <c r="C4176" s="17" t="s">
        <v>7192</v>
      </c>
      <c r="D4176" s="25" t="s">
        <v>7045</v>
      </c>
      <c r="E4176" s="19" t="s">
        <v>7100</v>
      </c>
      <c r="F4176" s="19" t="s">
        <v>7193</v>
      </c>
      <c r="G4176" s="5" t="str">
        <f>HYPERLINK("http://jsmh.umin.jp/journal/46-3/438-439.pdf")</f>
        <v>http://jsmh.umin.jp/journal/46-3/438-439.pdf</v>
      </c>
      <c r="H4176" s="42" t="str">
        <f t="shared" si="267"/>
        <v>http://dl.ndl.go.jp/info:ndljp/pid/3359369</v>
      </c>
    </row>
    <row r="4177" spans="1:8" ht="30" customHeight="1" x14ac:dyDescent="0.15">
      <c r="A4177" s="16" t="s">
        <v>1855</v>
      </c>
      <c r="B4177" s="17" t="s">
        <v>7194</v>
      </c>
      <c r="C4177" s="17" t="s">
        <v>6920</v>
      </c>
      <c r="D4177" s="25" t="s">
        <v>7045</v>
      </c>
      <c r="E4177" s="19" t="s">
        <v>7100</v>
      </c>
      <c r="F4177" s="19" t="s">
        <v>6112</v>
      </c>
      <c r="G4177" s="5" t="str">
        <f>HYPERLINK("http://jsmh.umin.jp/journal/46-3/440-441.pdf")</f>
        <v>http://jsmh.umin.jp/journal/46-3/440-441.pdf</v>
      </c>
      <c r="H4177" s="42" t="str">
        <f t="shared" si="267"/>
        <v>http://dl.ndl.go.jp/info:ndljp/pid/3359369</v>
      </c>
    </row>
    <row r="4178" spans="1:8" ht="30" customHeight="1" x14ac:dyDescent="0.15">
      <c r="A4178" s="16" t="s">
        <v>1855</v>
      </c>
      <c r="B4178" s="17" t="s">
        <v>7195</v>
      </c>
      <c r="C4178" s="17" t="s">
        <v>7196</v>
      </c>
      <c r="D4178" s="25" t="s">
        <v>7045</v>
      </c>
      <c r="E4178" s="19" t="s">
        <v>7100</v>
      </c>
      <c r="F4178" s="19" t="s">
        <v>6114</v>
      </c>
      <c r="G4178" s="5" t="str">
        <f>HYPERLINK("http://jsmh.umin.jp/journal/46-3/442-443.pdf")</f>
        <v>http://jsmh.umin.jp/journal/46-3/442-443.pdf</v>
      </c>
      <c r="H4178" s="42" t="str">
        <f t="shared" si="267"/>
        <v>http://dl.ndl.go.jp/info:ndljp/pid/3359369</v>
      </c>
    </row>
    <row r="4179" spans="1:8" ht="30" customHeight="1" x14ac:dyDescent="0.15">
      <c r="A4179" s="16" t="s">
        <v>1855</v>
      </c>
      <c r="B4179" s="17" t="s">
        <v>10304</v>
      </c>
      <c r="C4179" s="17" t="s">
        <v>7197</v>
      </c>
      <c r="D4179" s="25" t="s">
        <v>7045</v>
      </c>
      <c r="E4179" s="19" t="s">
        <v>7100</v>
      </c>
      <c r="F4179" s="19" t="s">
        <v>6118</v>
      </c>
      <c r="G4179" s="5" t="str">
        <f>HYPERLINK("http://jsmh.umin.jp/journal/46-3/444-445.pdf")</f>
        <v>http://jsmh.umin.jp/journal/46-3/444-445.pdf</v>
      </c>
      <c r="H4179" s="42" t="str">
        <f t="shared" si="267"/>
        <v>http://dl.ndl.go.jp/info:ndljp/pid/3359369</v>
      </c>
    </row>
    <row r="4180" spans="1:8" ht="30" customHeight="1" x14ac:dyDescent="0.15">
      <c r="A4180" s="16" t="s">
        <v>1855</v>
      </c>
      <c r="B4180" s="17" t="s">
        <v>7198</v>
      </c>
      <c r="C4180" s="17" t="s">
        <v>7199</v>
      </c>
      <c r="D4180" s="25" t="s">
        <v>7045</v>
      </c>
      <c r="E4180" s="19" t="s">
        <v>7100</v>
      </c>
      <c r="F4180" s="19" t="s">
        <v>2494</v>
      </c>
      <c r="G4180" s="5" t="str">
        <f>HYPERLINK("http://jsmh.umin.jp/journal/46-3/446-447.pdf")</f>
        <v>http://jsmh.umin.jp/journal/46-3/446-447.pdf</v>
      </c>
      <c r="H4180" s="42" t="str">
        <f t="shared" si="267"/>
        <v>http://dl.ndl.go.jp/info:ndljp/pid/3359369</v>
      </c>
    </row>
    <row r="4181" spans="1:8" ht="30" customHeight="1" x14ac:dyDescent="0.15">
      <c r="A4181" s="16" t="s">
        <v>1855</v>
      </c>
      <c r="B4181" s="17" t="s">
        <v>7200</v>
      </c>
      <c r="C4181" s="17" t="s">
        <v>4585</v>
      </c>
      <c r="D4181" s="25" t="s">
        <v>7045</v>
      </c>
      <c r="E4181" s="19" t="s">
        <v>7100</v>
      </c>
      <c r="F4181" s="19" t="s">
        <v>4925</v>
      </c>
      <c r="G4181" s="5" t="str">
        <f>HYPERLINK("http://jsmh.umin.jp/journal/46-3/448-449.pdf")</f>
        <v>http://jsmh.umin.jp/journal/46-3/448-449.pdf</v>
      </c>
      <c r="H4181" s="42" t="str">
        <f t="shared" si="267"/>
        <v>http://dl.ndl.go.jp/info:ndljp/pid/3359369</v>
      </c>
    </row>
    <row r="4182" spans="1:8" ht="30" customHeight="1" x14ac:dyDescent="0.15">
      <c r="A4182" s="16" t="s">
        <v>17</v>
      </c>
      <c r="B4182" s="17" t="s">
        <v>7201</v>
      </c>
      <c r="C4182" s="17" t="s">
        <v>6903</v>
      </c>
      <c r="D4182" s="25" t="s">
        <v>7045</v>
      </c>
      <c r="E4182" s="19" t="s">
        <v>7202</v>
      </c>
      <c r="F4182" s="19" t="s">
        <v>7203</v>
      </c>
      <c r="G4182" s="5" t="str">
        <f>HYPERLINK("http://jsmh.umin.jp/journal/46-4/507-551.pdf")</f>
        <v>http://jsmh.umin.jp/journal/46-4/507-551.pdf</v>
      </c>
      <c r="H4182" s="42" t="str">
        <f t="shared" ref="H4182:H4206" si="268">HYPERLINK("http://dl.ndl.go.jp/info:ndljp/pid/3359370")</f>
        <v>http://dl.ndl.go.jp/info:ndljp/pid/3359370</v>
      </c>
    </row>
    <row r="4183" spans="1:8" ht="30" customHeight="1" x14ac:dyDescent="0.15">
      <c r="A4183" s="16"/>
      <c r="B4183" s="17" t="s">
        <v>10626</v>
      </c>
      <c r="C4183" s="17" t="s">
        <v>1781</v>
      </c>
      <c r="D4183" s="25" t="s">
        <v>7045</v>
      </c>
      <c r="E4183" s="19" t="s">
        <v>7202</v>
      </c>
      <c r="F4183" s="19">
        <v>552</v>
      </c>
      <c r="G4183" s="26" t="str">
        <f>HYPERLINK("http://jsmh.umin.jp/journal/46-4/552.pdf")</f>
        <v>http://jsmh.umin.jp/journal/46-4/552.pdf</v>
      </c>
      <c r="H4183" s="42" t="str">
        <f t="shared" si="268"/>
        <v>http://dl.ndl.go.jp/info:ndljp/pid/3359370</v>
      </c>
    </row>
    <row r="4184" spans="1:8" ht="30" customHeight="1" x14ac:dyDescent="0.15">
      <c r="A4184" s="16" t="s">
        <v>17</v>
      </c>
      <c r="B4184" s="17" t="s">
        <v>10305</v>
      </c>
      <c r="C4184" s="17" t="s">
        <v>2969</v>
      </c>
      <c r="D4184" s="25" t="s">
        <v>7045</v>
      </c>
      <c r="E4184" s="19" t="s">
        <v>7202</v>
      </c>
      <c r="F4184" s="19" t="s">
        <v>7204</v>
      </c>
      <c r="G4184" s="5" t="str">
        <f>HYPERLINK("http://jsmh.umin.jp/journal/46-4/553-563.pdf")</f>
        <v>http://jsmh.umin.jp/journal/46-4/553-563.pdf</v>
      </c>
      <c r="H4184" s="42" t="str">
        <f t="shared" si="268"/>
        <v>http://dl.ndl.go.jp/info:ndljp/pid/3359370</v>
      </c>
    </row>
    <row r="4185" spans="1:8" ht="30" customHeight="1" x14ac:dyDescent="0.15">
      <c r="A4185" s="16"/>
      <c r="B4185" s="17" t="s">
        <v>10627</v>
      </c>
      <c r="C4185" s="17" t="s">
        <v>3196</v>
      </c>
      <c r="D4185" s="25" t="s">
        <v>7045</v>
      </c>
      <c r="E4185" s="19" t="s">
        <v>7202</v>
      </c>
      <c r="F4185" s="19">
        <v>564</v>
      </c>
      <c r="G4185" s="26" t="str">
        <f>HYPERLINK("http://jsmh.umin.jp/journal/46-4/564.pdf")</f>
        <v>http://jsmh.umin.jp/journal/46-4/564.pdf</v>
      </c>
      <c r="H4185" s="42" t="str">
        <f t="shared" si="268"/>
        <v>http://dl.ndl.go.jp/info:ndljp/pid/3359370</v>
      </c>
    </row>
    <row r="4186" spans="1:8" ht="30" customHeight="1" x14ac:dyDescent="0.15">
      <c r="A4186" s="16" t="s">
        <v>17</v>
      </c>
      <c r="B4186" s="17" t="s">
        <v>7205</v>
      </c>
      <c r="C4186" s="17" t="s">
        <v>5471</v>
      </c>
      <c r="D4186" s="25" t="s">
        <v>7045</v>
      </c>
      <c r="E4186" s="19" t="s">
        <v>7202</v>
      </c>
      <c r="F4186" s="19" t="s">
        <v>7206</v>
      </c>
      <c r="G4186" s="5" t="str">
        <f>HYPERLINK("http://jsmh.umin.jp/journal/46-4/565-586.pdf")</f>
        <v>http://jsmh.umin.jp/journal/46-4/565-586.pdf</v>
      </c>
      <c r="H4186" s="42" t="str">
        <f t="shared" si="268"/>
        <v>http://dl.ndl.go.jp/info:ndljp/pid/3359370</v>
      </c>
    </row>
    <row r="4187" spans="1:8" ht="30" customHeight="1" x14ac:dyDescent="0.15">
      <c r="A4187" s="16" t="s">
        <v>17</v>
      </c>
      <c r="B4187" s="17" t="s">
        <v>7207</v>
      </c>
      <c r="C4187" s="17" t="s">
        <v>6568</v>
      </c>
      <c r="D4187" s="25" t="s">
        <v>7045</v>
      </c>
      <c r="E4187" s="19" t="s">
        <v>7202</v>
      </c>
      <c r="F4187" s="19" t="s">
        <v>7208</v>
      </c>
      <c r="G4187" s="5" t="str">
        <f>HYPERLINK("http://jsmh.umin.jp/journal/46-4/587-611.pdf")</f>
        <v>http://jsmh.umin.jp/journal/46-4/587-611.pdf</v>
      </c>
      <c r="H4187" s="42" t="str">
        <f t="shared" si="268"/>
        <v>http://dl.ndl.go.jp/info:ndljp/pid/3359370</v>
      </c>
    </row>
    <row r="4188" spans="1:8" ht="30" customHeight="1" x14ac:dyDescent="0.15">
      <c r="A4188" s="16"/>
      <c r="B4188" s="17" t="s">
        <v>10628</v>
      </c>
      <c r="C4188" s="17" t="s">
        <v>2528</v>
      </c>
      <c r="D4188" s="25" t="s">
        <v>7045</v>
      </c>
      <c r="E4188" s="19" t="s">
        <v>7202</v>
      </c>
      <c r="F4188" s="19">
        <v>612</v>
      </c>
      <c r="G4188" s="26" t="str">
        <f>HYPERLINK("http://jsmh.umin.jp/journal/46-4/612.pdf")</f>
        <v>http://jsmh.umin.jp/journal/46-4/612.pdf</v>
      </c>
      <c r="H4188" s="42" t="str">
        <f t="shared" si="268"/>
        <v>http://dl.ndl.go.jp/info:ndljp/pid/3359370</v>
      </c>
    </row>
    <row r="4189" spans="1:8" ht="30" customHeight="1" x14ac:dyDescent="0.15">
      <c r="A4189" s="16" t="s">
        <v>17</v>
      </c>
      <c r="B4189" s="17" t="s">
        <v>7209</v>
      </c>
      <c r="C4189" s="17" t="s">
        <v>6978</v>
      </c>
      <c r="D4189" s="25" t="s">
        <v>7045</v>
      </c>
      <c r="E4189" s="19" t="s">
        <v>7202</v>
      </c>
      <c r="F4189" s="19" t="s">
        <v>7210</v>
      </c>
      <c r="G4189" s="5" t="str">
        <f>HYPERLINK("http://jsmh.umin.jp/journal/46-4/613-639.pdf")</f>
        <v>http://jsmh.umin.jp/journal/46-4/613-639.pdf</v>
      </c>
      <c r="H4189" s="42" t="str">
        <f t="shared" si="268"/>
        <v>http://dl.ndl.go.jp/info:ndljp/pid/3359370</v>
      </c>
    </row>
    <row r="4190" spans="1:8" ht="30" customHeight="1" x14ac:dyDescent="0.15">
      <c r="A4190" s="16" t="s">
        <v>692</v>
      </c>
      <c r="B4190" s="17" t="s">
        <v>7211</v>
      </c>
      <c r="C4190" s="17" t="s">
        <v>4870</v>
      </c>
      <c r="D4190" s="25" t="s">
        <v>7045</v>
      </c>
      <c r="E4190" s="19" t="s">
        <v>7202</v>
      </c>
      <c r="F4190" s="19" t="s">
        <v>7212</v>
      </c>
      <c r="G4190" s="5" t="str">
        <f>HYPERLINK("http://jsmh.umin.jp/journal/46-4/640-647.pdf")</f>
        <v>http://jsmh.umin.jp/journal/46-4/640-647.pdf</v>
      </c>
      <c r="H4190" s="42" t="str">
        <f t="shared" si="268"/>
        <v>http://dl.ndl.go.jp/info:ndljp/pid/3359370</v>
      </c>
    </row>
    <row r="4191" spans="1:8" ht="30" customHeight="1" x14ac:dyDescent="0.15">
      <c r="A4191" s="16" t="s">
        <v>692</v>
      </c>
      <c r="B4191" s="17" t="s">
        <v>7213</v>
      </c>
      <c r="C4191" s="17" t="s">
        <v>7214</v>
      </c>
      <c r="D4191" s="25" t="s">
        <v>7045</v>
      </c>
      <c r="E4191" s="19" t="s">
        <v>7202</v>
      </c>
      <c r="F4191" s="19" t="s">
        <v>7215</v>
      </c>
      <c r="G4191" s="5" t="str">
        <f>HYPERLINK("http://jsmh.umin.jp/journal/46-4/648-657.pdf")</f>
        <v>http://jsmh.umin.jp/journal/46-4/648-657.pdf</v>
      </c>
      <c r="H4191" s="42" t="str">
        <f t="shared" si="268"/>
        <v>http://dl.ndl.go.jp/info:ndljp/pid/3359370</v>
      </c>
    </row>
    <row r="4192" spans="1:8" ht="30" customHeight="1" x14ac:dyDescent="0.15">
      <c r="A4192" s="16" t="s">
        <v>558</v>
      </c>
      <c r="B4192" s="17" t="s">
        <v>7216</v>
      </c>
      <c r="C4192" s="17" t="s">
        <v>1097</v>
      </c>
      <c r="D4192" s="25" t="s">
        <v>7045</v>
      </c>
      <c r="E4192" s="19" t="s">
        <v>7202</v>
      </c>
      <c r="F4192" s="19" t="s">
        <v>6374</v>
      </c>
      <c r="G4192" s="5" t="str">
        <f>HYPERLINK("http://jsmh.umin.jp/journal/46-4/659-660.pdf")</f>
        <v>http://jsmh.umin.jp/journal/46-4/659-660.pdf</v>
      </c>
      <c r="H4192" s="42" t="str">
        <f t="shared" si="268"/>
        <v>http://dl.ndl.go.jp/info:ndljp/pid/3359370</v>
      </c>
    </row>
    <row r="4193" spans="1:8" ht="30" customHeight="1" x14ac:dyDescent="0.15">
      <c r="A4193" s="16" t="s">
        <v>558</v>
      </c>
      <c r="B4193" s="17" t="s">
        <v>7217</v>
      </c>
      <c r="C4193" s="17" t="s">
        <v>479</v>
      </c>
      <c r="D4193" s="25" t="s">
        <v>7045</v>
      </c>
      <c r="E4193" s="19" t="s">
        <v>7202</v>
      </c>
      <c r="F4193" s="19" t="s">
        <v>5398</v>
      </c>
      <c r="G4193" s="5" t="str">
        <f>HYPERLINK("http://jsmh.umin.jp/journal/46-4/660-661.pdf")</f>
        <v>http://jsmh.umin.jp/journal/46-4/660-661.pdf</v>
      </c>
      <c r="H4193" s="42" t="str">
        <f t="shared" si="268"/>
        <v>http://dl.ndl.go.jp/info:ndljp/pid/3359370</v>
      </c>
    </row>
    <row r="4194" spans="1:8" ht="30" customHeight="1" x14ac:dyDescent="0.15">
      <c r="A4194" s="16" t="s">
        <v>558</v>
      </c>
      <c r="B4194" s="17" t="s">
        <v>7218</v>
      </c>
      <c r="C4194" s="17" t="s">
        <v>790</v>
      </c>
      <c r="D4194" s="25" t="s">
        <v>7045</v>
      </c>
      <c r="E4194" s="19" t="s">
        <v>7202</v>
      </c>
      <c r="F4194" s="19" t="s">
        <v>5400</v>
      </c>
      <c r="G4194" s="5" t="str">
        <f>HYPERLINK("http://jsmh.umin.jp/journal/46-4/661-662.pdf")</f>
        <v>http://jsmh.umin.jp/journal/46-4/661-662.pdf</v>
      </c>
      <c r="H4194" s="42" t="str">
        <f t="shared" si="268"/>
        <v>http://dl.ndl.go.jp/info:ndljp/pid/3359370</v>
      </c>
    </row>
    <row r="4195" spans="1:8" ht="30" customHeight="1" x14ac:dyDescent="0.15">
      <c r="A4195" s="16" t="s">
        <v>558</v>
      </c>
      <c r="B4195" s="17" t="s">
        <v>7219</v>
      </c>
      <c r="C4195" s="17" t="s">
        <v>7220</v>
      </c>
      <c r="D4195" s="25" t="s">
        <v>7045</v>
      </c>
      <c r="E4195" s="19" t="s">
        <v>7202</v>
      </c>
      <c r="F4195" s="19" t="s">
        <v>7221</v>
      </c>
      <c r="G4195" s="5" t="str">
        <f>HYPERLINK("http://jsmh.umin.jp/journal/46-4/662-669.pdf")</f>
        <v>http://jsmh.umin.jp/journal/46-4/662-669.pdf</v>
      </c>
      <c r="H4195" s="42" t="str">
        <f t="shared" si="268"/>
        <v>http://dl.ndl.go.jp/info:ndljp/pid/3359370</v>
      </c>
    </row>
    <row r="4196" spans="1:8" ht="30" customHeight="1" x14ac:dyDescent="0.15">
      <c r="A4196" s="16" t="s">
        <v>3720</v>
      </c>
      <c r="B4196" s="17" t="s">
        <v>10306</v>
      </c>
      <c r="C4196" s="17" t="s">
        <v>4085</v>
      </c>
      <c r="D4196" s="25" t="s">
        <v>7045</v>
      </c>
      <c r="E4196" s="19" t="s">
        <v>7202</v>
      </c>
      <c r="F4196" s="19" t="s">
        <v>7222</v>
      </c>
      <c r="G4196" s="5" t="str">
        <f>HYPERLINK("http://jsmh.umin.jp/journal/46-4/669-671.pdf")</f>
        <v>http://jsmh.umin.jp/journal/46-4/669-671.pdf</v>
      </c>
      <c r="H4196" s="42" t="str">
        <f t="shared" si="268"/>
        <v>http://dl.ndl.go.jp/info:ndljp/pid/3359370</v>
      </c>
    </row>
    <row r="4197" spans="1:8" ht="30" customHeight="1" x14ac:dyDescent="0.15">
      <c r="A4197" s="16" t="s">
        <v>3720</v>
      </c>
      <c r="B4197" s="17" t="s">
        <v>7223</v>
      </c>
      <c r="C4197" s="17" t="s">
        <v>4085</v>
      </c>
      <c r="D4197" s="25" t="s">
        <v>7045</v>
      </c>
      <c r="E4197" s="19" t="s">
        <v>7202</v>
      </c>
      <c r="F4197" s="19" t="s">
        <v>7224</v>
      </c>
      <c r="G4197" s="5" t="str">
        <f>HYPERLINK("http://jsmh.umin.jp/journal/46-4/671-672.pdf")</f>
        <v>http://jsmh.umin.jp/journal/46-4/671-672.pdf</v>
      </c>
      <c r="H4197" s="42" t="str">
        <f t="shared" si="268"/>
        <v>http://dl.ndl.go.jp/info:ndljp/pid/3359370</v>
      </c>
    </row>
    <row r="4198" spans="1:8" ht="30" customHeight="1" x14ac:dyDescent="0.15">
      <c r="A4198" s="16" t="s">
        <v>3720</v>
      </c>
      <c r="B4198" s="17" t="s">
        <v>7225</v>
      </c>
      <c r="C4198" s="17" t="s">
        <v>2937</v>
      </c>
      <c r="D4198" s="25" t="s">
        <v>7045</v>
      </c>
      <c r="E4198" s="19" t="s">
        <v>7202</v>
      </c>
      <c r="F4198" s="19" t="s">
        <v>7226</v>
      </c>
      <c r="G4198" s="5" t="str">
        <f>HYPERLINK("http://jsmh.umin.jp/journal/46-4/672-675.pdf")</f>
        <v>http://jsmh.umin.jp/journal/46-4/672-675.pdf</v>
      </c>
      <c r="H4198" s="42" t="str">
        <f t="shared" si="268"/>
        <v>http://dl.ndl.go.jp/info:ndljp/pid/3359370</v>
      </c>
    </row>
    <row r="4199" spans="1:8" ht="30" customHeight="1" x14ac:dyDescent="0.15">
      <c r="A4199" s="16" t="s">
        <v>3720</v>
      </c>
      <c r="B4199" s="17" t="s">
        <v>7227</v>
      </c>
      <c r="C4199" s="17" t="s">
        <v>6300</v>
      </c>
      <c r="D4199" s="25" t="s">
        <v>7045</v>
      </c>
      <c r="E4199" s="19" t="s">
        <v>7202</v>
      </c>
      <c r="F4199" s="19" t="s">
        <v>7228</v>
      </c>
      <c r="G4199" s="5" t="str">
        <f>HYPERLINK("http://jsmh.umin.jp/journal/46-4/675-677.pdf")</f>
        <v>http://jsmh.umin.jp/journal/46-4/675-677.pdf</v>
      </c>
      <c r="H4199" s="42" t="str">
        <f t="shared" si="268"/>
        <v>http://dl.ndl.go.jp/info:ndljp/pid/3359370</v>
      </c>
    </row>
    <row r="4200" spans="1:8" ht="30" customHeight="1" x14ac:dyDescent="0.15">
      <c r="A4200" s="16" t="s">
        <v>2990</v>
      </c>
      <c r="B4200" s="17" t="s">
        <v>7229</v>
      </c>
      <c r="C4200" s="17" t="s">
        <v>2465</v>
      </c>
      <c r="D4200" s="25" t="s">
        <v>7045</v>
      </c>
      <c r="E4200" s="19" t="s">
        <v>7202</v>
      </c>
      <c r="F4200" s="19" t="s">
        <v>7230</v>
      </c>
      <c r="G4200" s="5" t="str">
        <f>HYPERLINK("http://jsmh.umin.jp/journal/46-4/677-679.pdf")</f>
        <v>http://jsmh.umin.jp/journal/46-4/677-679.pdf</v>
      </c>
      <c r="H4200" s="42" t="str">
        <f t="shared" si="268"/>
        <v>http://dl.ndl.go.jp/info:ndljp/pid/3359370</v>
      </c>
    </row>
    <row r="4201" spans="1:8" ht="30" customHeight="1" x14ac:dyDescent="0.15">
      <c r="A4201" s="16" t="s">
        <v>2990</v>
      </c>
      <c r="B4201" s="17" t="s">
        <v>7231</v>
      </c>
      <c r="C4201" s="17" t="s">
        <v>444</v>
      </c>
      <c r="D4201" s="25" t="s">
        <v>7045</v>
      </c>
      <c r="E4201" s="19" t="s">
        <v>7202</v>
      </c>
      <c r="F4201" s="19" t="s">
        <v>7232</v>
      </c>
      <c r="G4201" s="5" t="str">
        <f>HYPERLINK("http://jsmh.umin.jp/journal/46-4/679-681.pdf")</f>
        <v>http://jsmh.umin.jp/journal/46-4/679-681.pdf</v>
      </c>
      <c r="H4201" s="42" t="str">
        <f t="shared" si="268"/>
        <v>http://dl.ndl.go.jp/info:ndljp/pid/3359370</v>
      </c>
    </row>
    <row r="4202" spans="1:8" ht="30" customHeight="1" x14ac:dyDescent="0.15">
      <c r="A4202" s="16" t="s">
        <v>2990</v>
      </c>
      <c r="B4202" s="17" t="s">
        <v>7233</v>
      </c>
      <c r="C4202" s="17" t="s">
        <v>6705</v>
      </c>
      <c r="D4202" s="25" t="s">
        <v>7045</v>
      </c>
      <c r="E4202" s="19" t="s">
        <v>7202</v>
      </c>
      <c r="F4202" s="19" t="s">
        <v>7234</v>
      </c>
      <c r="G4202" s="5" t="str">
        <f>HYPERLINK("http://jsmh.umin.jp/journal/46-4/681-682.pdf")</f>
        <v>http://jsmh.umin.jp/journal/46-4/681-682.pdf</v>
      </c>
      <c r="H4202" s="42" t="str">
        <f t="shared" si="268"/>
        <v>http://dl.ndl.go.jp/info:ndljp/pid/3359370</v>
      </c>
    </row>
    <row r="4203" spans="1:8" ht="30" customHeight="1" x14ac:dyDescent="0.15">
      <c r="A4203" s="16" t="s">
        <v>2990</v>
      </c>
      <c r="B4203" s="17" t="s">
        <v>7235</v>
      </c>
      <c r="C4203" s="17" t="s">
        <v>1764</v>
      </c>
      <c r="D4203" s="25" t="s">
        <v>7045</v>
      </c>
      <c r="E4203" s="19" t="s">
        <v>7202</v>
      </c>
      <c r="F4203" s="19" t="s">
        <v>7236</v>
      </c>
      <c r="G4203" s="5" t="str">
        <f>HYPERLINK("http://jsmh.umin.jp/journal/46-4/682-684.pdf")</f>
        <v>http://jsmh.umin.jp/journal/46-4/682-684.pdf</v>
      </c>
      <c r="H4203" s="42" t="str">
        <f t="shared" si="268"/>
        <v>http://dl.ndl.go.jp/info:ndljp/pid/3359370</v>
      </c>
    </row>
    <row r="4204" spans="1:8" ht="30" customHeight="1" x14ac:dyDescent="0.15">
      <c r="A4204" s="16" t="s">
        <v>2990</v>
      </c>
      <c r="B4204" s="17" t="s">
        <v>7237</v>
      </c>
      <c r="C4204" s="17" t="s">
        <v>5080</v>
      </c>
      <c r="D4204" s="25" t="s">
        <v>7045</v>
      </c>
      <c r="E4204" s="19" t="s">
        <v>7202</v>
      </c>
      <c r="F4204" s="19" t="s">
        <v>7238</v>
      </c>
      <c r="G4204" s="5" t="str">
        <f>HYPERLINK("http://jsmh.umin.jp/journal/46-4/684-685.pdf")</f>
        <v>http://jsmh.umin.jp/journal/46-4/684-685.pdf</v>
      </c>
      <c r="H4204" s="42" t="str">
        <f t="shared" si="268"/>
        <v>http://dl.ndl.go.jp/info:ndljp/pid/3359370</v>
      </c>
    </row>
    <row r="4205" spans="1:8" ht="30" customHeight="1" x14ac:dyDescent="0.15">
      <c r="A4205" s="16" t="s">
        <v>2990</v>
      </c>
      <c r="B4205" s="17" t="s">
        <v>7239</v>
      </c>
      <c r="C4205" s="17" t="s">
        <v>4085</v>
      </c>
      <c r="D4205" s="25" t="s">
        <v>7045</v>
      </c>
      <c r="E4205" s="19" t="s">
        <v>7202</v>
      </c>
      <c r="F4205" s="19" t="s">
        <v>10594</v>
      </c>
      <c r="G4205" s="26" t="str">
        <f>HYPERLINK("http://jsmh.umin.jp/journal/46-4/686.pdf")</f>
        <v>http://jsmh.umin.jp/journal/46-4/686.pdf</v>
      </c>
      <c r="H4205" s="42" t="str">
        <f t="shared" si="268"/>
        <v>http://dl.ndl.go.jp/info:ndljp/pid/3359370</v>
      </c>
    </row>
    <row r="4206" spans="1:8" ht="30" customHeight="1" x14ac:dyDescent="0.15">
      <c r="A4206" s="16" t="s">
        <v>2990</v>
      </c>
      <c r="B4206" s="17" t="s">
        <v>7240</v>
      </c>
      <c r="C4206" s="17" t="s">
        <v>48</v>
      </c>
      <c r="D4206" s="25" t="s">
        <v>7045</v>
      </c>
      <c r="E4206" s="19" t="s">
        <v>7202</v>
      </c>
      <c r="F4206" s="19" t="s">
        <v>7241</v>
      </c>
      <c r="G4206" s="4" t="str">
        <f>HYPERLINK("http://jsmh.umin.jp/journal/46-4/687-688.pdf")</f>
        <v>http://jsmh.umin.jp/journal/46-4/687-688.pdf</v>
      </c>
      <c r="H4206" s="42" t="str">
        <f t="shared" si="268"/>
        <v>http://dl.ndl.go.jp/info:ndljp/pid/3359370</v>
      </c>
    </row>
    <row r="4207" spans="1:8" ht="30" customHeight="1" x14ac:dyDescent="0.15">
      <c r="A4207" s="16" t="s">
        <v>17</v>
      </c>
      <c r="B4207" s="17" t="s">
        <v>7115</v>
      </c>
      <c r="C4207" s="17" t="s">
        <v>6300</v>
      </c>
      <c r="D4207" s="18" t="s">
        <v>7242</v>
      </c>
      <c r="E4207" s="19" t="s">
        <v>7243</v>
      </c>
      <c r="F4207" s="19" t="s">
        <v>7244</v>
      </c>
      <c r="G4207" s="4" t="str">
        <f>HYPERLINK("http://jsmh.umin.jp/journal/47-1/3-32.pdf")</f>
        <v>http://jsmh.umin.jp/journal/47-1/3-32.pdf</v>
      </c>
      <c r="H4207" s="43"/>
    </row>
    <row r="4208" spans="1:8" ht="30" customHeight="1" x14ac:dyDescent="0.15">
      <c r="A4208" s="16" t="s">
        <v>17</v>
      </c>
      <c r="B4208" s="17" t="s">
        <v>7245</v>
      </c>
      <c r="C4208" s="17" t="s">
        <v>10280</v>
      </c>
      <c r="D4208" s="25" t="s">
        <v>7242</v>
      </c>
      <c r="E4208" s="19" t="s">
        <v>7243</v>
      </c>
      <c r="F4208" s="19" t="s">
        <v>7246</v>
      </c>
      <c r="G4208" s="5" t="str">
        <f>HYPERLINK("http://jsmh.umin.jp/journal/47-1/33-81.pdf")</f>
        <v>http://jsmh.umin.jp/journal/47-1/33-81.pdf</v>
      </c>
      <c r="H4208" s="43"/>
    </row>
    <row r="4209" spans="1:8" ht="30" customHeight="1" x14ac:dyDescent="0.15">
      <c r="A4209" s="16"/>
      <c r="B4209" s="17" t="s">
        <v>10307</v>
      </c>
      <c r="C4209" s="17" t="s">
        <v>5295</v>
      </c>
      <c r="D4209" s="25" t="s">
        <v>7242</v>
      </c>
      <c r="E4209" s="19" t="s">
        <v>7243</v>
      </c>
      <c r="F4209" s="19" t="s">
        <v>10595</v>
      </c>
      <c r="G4209" s="26" t="str">
        <f>HYPERLINK("http://jsmh.umin.jp/journal/47-1/82.pdf")</f>
        <v>http://jsmh.umin.jp/journal/47-1/82.pdf</v>
      </c>
      <c r="H4209" s="43"/>
    </row>
    <row r="4210" spans="1:8" ht="30" customHeight="1" x14ac:dyDescent="0.15">
      <c r="A4210" s="16" t="s">
        <v>17</v>
      </c>
      <c r="B4210" s="17" t="s">
        <v>7247</v>
      </c>
      <c r="C4210" s="17" t="s">
        <v>7248</v>
      </c>
      <c r="D4210" s="25" t="s">
        <v>7242</v>
      </c>
      <c r="E4210" s="19" t="s">
        <v>7243</v>
      </c>
      <c r="F4210" s="19" t="s">
        <v>7249</v>
      </c>
      <c r="G4210" s="5" t="str">
        <f>HYPERLINK("http://jsmh.umin.jp/journal/47-1/83-103.pdf")</f>
        <v>http://jsmh.umin.jp/journal/47-1/83-103.pdf</v>
      </c>
      <c r="H4210" s="43"/>
    </row>
    <row r="4211" spans="1:8" ht="30" customHeight="1" x14ac:dyDescent="0.15">
      <c r="A4211" s="16"/>
      <c r="B4211" s="17" t="s">
        <v>10613</v>
      </c>
      <c r="C4211" s="17" t="s">
        <v>5080</v>
      </c>
      <c r="D4211" s="25" t="s">
        <v>7242</v>
      </c>
      <c r="E4211" s="19" t="s">
        <v>7243</v>
      </c>
      <c r="F4211" s="19" t="s">
        <v>10596</v>
      </c>
      <c r="G4211" s="26" t="str">
        <f>HYPERLINK("http://jsmh.umin.jp/journal/47-1/104.pdf")</f>
        <v>http://jsmh.umin.jp/journal/47-1/104.pdf</v>
      </c>
      <c r="H4211" s="43"/>
    </row>
    <row r="4212" spans="1:8" ht="30" customHeight="1" x14ac:dyDescent="0.15">
      <c r="A4212" s="16" t="s">
        <v>3387</v>
      </c>
      <c r="B4212" s="17" t="s">
        <v>7250</v>
      </c>
      <c r="C4212" s="17" t="s">
        <v>10156</v>
      </c>
      <c r="D4212" s="25" t="s">
        <v>7242</v>
      </c>
      <c r="E4212" s="19" t="s">
        <v>7243</v>
      </c>
      <c r="F4212" s="19" t="s">
        <v>7251</v>
      </c>
      <c r="G4212" s="5" t="str">
        <f>HYPERLINK("http://jsmh.umin.jp/journal/47-1/105-118.pdf")</f>
        <v>http://jsmh.umin.jp/journal/47-1/105-118.pdf</v>
      </c>
      <c r="H4212" s="43"/>
    </row>
    <row r="4213" spans="1:8" ht="30" customHeight="1" x14ac:dyDescent="0.15">
      <c r="A4213" s="16" t="s">
        <v>3387</v>
      </c>
      <c r="B4213" s="17" t="s">
        <v>7252</v>
      </c>
      <c r="C4213" s="17" t="s">
        <v>7253</v>
      </c>
      <c r="D4213" s="25" t="s">
        <v>7242</v>
      </c>
      <c r="E4213" s="19" t="s">
        <v>7243</v>
      </c>
      <c r="F4213" s="19" t="s">
        <v>7254</v>
      </c>
      <c r="G4213" s="5" t="str">
        <f>HYPERLINK("http://jsmh.umin.jp/journal/47-1/119-162.pdf")</f>
        <v>http://jsmh.umin.jp/journal/47-1/119-162.pdf</v>
      </c>
      <c r="H4213" s="43"/>
    </row>
    <row r="4214" spans="1:8" ht="30" customHeight="1" x14ac:dyDescent="0.15">
      <c r="A4214" s="16" t="s">
        <v>692</v>
      </c>
      <c r="B4214" s="17" t="s">
        <v>7255</v>
      </c>
      <c r="C4214" s="17" t="s">
        <v>6300</v>
      </c>
      <c r="D4214" s="25" t="s">
        <v>7242</v>
      </c>
      <c r="E4214" s="19" t="s">
        <v>7243</v>
      </c>
      <c r="F4214" s="19" t="s">
        <v>7256</v>
      </c>
      <c r="G4214" s="5" t="str">
        <f>HYPERLINK("http://jsmh.umin.jp/journal/47-1/163-178.pdf")</f>
        <v>http://jsmh.umin.jp/journal/47-1/163-178.pdf</v>
      </c>
      <c r="H4214" s="43"/>
    </row>
    <row r="4215" spans="1:8" ht="30" customHeight="1" x14ac:dyDescent="0.15">
      <c r="A4215" s="16" t="s">
        <v>558</v>
      </c>
      <c r="B4215" s="17" t="s">
        <v>7257</v>
      </c>
      <c r="C4215" s="17" t="s">
        <v>5410</v>
      </c>
      <c r="D4215" s="25" t="s">
        <v>7242</v>
      </c>
      <c r="E4215" s="19" t="s">
        <v>7243</v>
      </c>
      <c r="F4215" s="19" t="s">
        <v>2566</v>
      </c>
      <c r="G4215" s="5" t="str">
        <f>HYPERLINK("http://jsmh.umin.jp/journal/47-1/179-180.pdf")</f>
        <v>http://jsmh.umin.jp/journal/47-1/179-180.pdf</v>
      </c>
      <c r="H4215" s="43"/>
    </row>
    <row r="4216" spans="1:8" ht="30" customHeight="1" x14ac:dyDescent="0.15">
      <c r="A4216" s="16" t="s">
        <v>558</v>
      </c>
      <c r="B4216" s="17" t="s">
        <v>7258</v>
      </c>
      <c r="C4216" s="17" t="s">
        <v>479</v>
      </c>
      <c r="D4216" s="25" t="s">
        <v>7242</v>
      </c>
      <c r="E4216" s="19" t="s">
        <v>7243</v>
      </c>
      <c r="F4216" s="19" t="s">
        <v>1713</v>
      </c>
      <c r="G4216" s="5" t="str">
        <f>HYPERLINK("http://jsmh.umin.jp/journal/47-1/180-181.pdf")</f>
        <v>http://jsmh.umin.jp/journal/47-1/180-181.pdf</v>
      </c>
      <c r="H4216" s="43"/>
    </row>
    <row r="4217" spans="1:8" ht="30" customHeight="1" x14ac:dyDescent="0.15">
      <c r="A4217" s="16" t="s">
        <v>3720</v>
      </c>
      <c r="B4217" s="17" t="s">
        <v>7259</v>
      </c>
      <c r="C4217" s="17" t="s">
        <v>2465</v>
      </c>
      <c r="D4217" s="25" t="s">
        <v>7242</v>
      </c>
      <c r="E4217" s="19" t="s">
        <v>7243</v>
      </c>
      <c r="F4217" s="19" t="s">
        <v>2928</v>
      </c>
      <c r="G4217" s="5" t="str">
        <f>HYPERLINK("http://jsmh.umin.jp/journal/47-1/181-182.pdf")</f>
        <v>http://jsmh.umin.jp/journal/47-1/181-182.pdf</v>
      </c>
      <c r="H4217" s="43"/>
    </row>
    <row r="4218" spans="1:8" ht="30" customHeight="1" x14ac:dyDescent="0.15">
      <c r="A4218" s="16" t="s">
        <v>3720</v>
      </c>
      <c r="B4218" s="17" t="s">
        <v>7260</v>
      </c>
      <c r="C4218" s="17" t="s">
        <v>3655</v>
      </c>
      <c r="D4218" s="25" t="s">
        <v>7242</v>
      </c>
      <c r="E4218" s="19" t="s">
        <v>7243</v>
      </c>
      <c r="F4218" s="19" t="s">
        <v>3670</v>
      </c>
      <c r="G4218" s="5" t="str">
        <f>HYPERLINK("http://jsmh.umin.jp/journal/47-1/182-184.pdf")</f>
        <v>http://jsmh.umin.jp/journal/47-1/182-184.pdf</v>
      </c>
      <c r="H4218" s="43"/>
    </row>
    <row r="4219" spans="1:8" ht="30" customHeight="1" x14ac:dyDescent="0.15">
      <c r="A4219" s="16" t="s">
        <v>2990</v>
      </c>
      <c r="B4219" s="17" t="s">
        <v>7261</v>
      </c>
      <c r="C4219" s="17" t="s">
        <v>5052</v>
      </c>
      <c r="D4219" s="25" t="s">
        <v>7242</v>
      </c>
      <c r="E4219" s="19" t="s">
        <v>7243</v>
      </c>
      <c r="F4219" s="19" t="s">
        <v>3672</v>
      </c>
      <c r="G4219" s="5" t="str">
        <f>HYPERLINK("http://jsmh.umin.jp/journal/47-1/184-186.pdf")</f>
        <v>http://jsmh.umin.jp/journal/47-1/184-186.pdf</v>
      </c>
      <c r="H4219" s="43"/>
    </row>
    <row r="4220" spans="1:8" ht="30" customHeight="1" x14ac:dyDescent="0.15">
      <c r="A4220" s="16" t="s">
        <v>2990</v>
      </c>
      <c r="B4220" s="17" t="s">
        <v>7262</v>
      </c>
      <c r="C4220" s="17" t="s">
        <v>7102</v>
      </c>
      <c r="D4220" s="25" t="s">
        <v>7242</v>
      </c>
      <c r="E4220" s="19" t="s">
        <v>7243</v>
      </c>
      <c r="F4220" s="19" t="s">
        <v>1721</v>
      </c>
      <c r="G4220" s="5" t="str">
        <f>HYPERLINK("http://jsmh.umin.jp/journal/47-1/186-187.pdf")</f>
        <v>http://jsmh.umin.jp/journal/47-1/186-187.pdf</v>
      </c>
      <c r="H4220" s="43"/>
    </row>
    <row r="4221" spans="1:8" ht="30" customHeight="1" x14ac:dyDescent="0.15">
      <c r="A4221" s="16" t="s">
        <v>2990</v>
      </c>
      <c r="B4221" s="17" t="s">
        <v>7263</v>
      </c>
      <c r="C4221" s="17" t="s">
        <v>3024</v>
      </c>
      <c r="D4221" s="25" t="s">
        <v>7242</v>
      </c>
      <c r="E4221" s="19" t="s">
        <v>7243</v>
      </c>
      <c r="F4221" s="19" t="s">
        <v>2580</v>
      </c>
      <c r="G4221" s="5" t="str">
        <f>HYPERLINK("http://jsmh.umin.jp/journal/47-1/188-189.pdf")</f>
        <v>http://jsmh.umin.jp/journal/47-1/188-189.pdf</v>
      </c>
      <c r="H4221" s="43"/>
    </row>
    <row r="4222" spans="1:8" ht="30" customHeight="1" x14ac:dyDescent="0.15">
      <c r="A4222" s="16" t="s">
        <v>2990</v>
      </c>
      <c r="B4222" s="17" t="s">
        <v>7264</v>
      </c>
      <c r="C4222" s="17" t="s">
        <v>672</v>
      </c>
      <c r="D4222" s="25" t="s">
        <v>7242</v>
      </c>
      <c r="E4222" s="19" t="s">
        <v>7243</v>
      </c>
      <c r="F4222" s="19" t="s">
        <v>2935</v>
      </c>
      <c r="G4222" s="5" t="str">
        <f>HYPERLINK("http://jsmh.umin.jp/journal/47-1/189-191.pdf")</f>
        <v>http://jsmh.umin.jp/journal/47-1/189-191.pdf</v>
      </c>
      <c r="H4222" s="43"/>
    </row>
    <row r="4223" spans="1:8" ht="30" customHeight="1" x14ac:dyDescent="0.15">
      <c r="A4223" s="16" t="s">
        <v>17</v>
      </c>
      <c r="B4223" s="17" t="s">
        <v>10308</v>
      </c>
      <c r="C4223" s="17" t="s">
        <v>10309</v>
      </c>
      <c r="D4223" s="25" t="s">
        <v>7242</v>
      </c>
      <c r="E4223" s="19" t="s">
        <v>7243</v>
      </c>
      <c r="F4223" s="19" t="s">
        <v>7265</v>
      </c>
      <c r="G4223" s="5" t="str">
        <f>HYPERLINK("http://jsmh.umin.jp/journal/47-1/226-193.pdf")</f>
        <v>http://jsmh.umin.jp/journal/47-1/226-193.pdf</v>
      </c>
      <c r="H4223" s="43"/>
    </row>
    <row r="4224" spans="1:8" ht="30" customHeight="1" x14ac:dyDescent="0.15">
      <c r="A4224" s="16" t="s">
        <v>17</v>
      </c>
      <c r="B4224" s="17" t="s">
        <v>7266</v>
      </c>
      <c r="C4224" s="17" t="s">
        <v>7267</v>
      </c>
      <c r="D4224" s="25" t="s">
        <v>7242</v>
      </c>
      <c r="E4224" s="19" t="s">
        <v>7268</v>
      </c>
      <c r="F4224" s="19" t="s">
        <v>4856</v>
      </c>
      <c r="G4224" s="5" t="str">
        <f>HYPERLINK("http://jsmh.umin.jp/journal/47-2/229-260.pdf")</f>
        <v>http://jsmh.umin.jp/journal/47-2/229-260.pdf</v>
      </c>
      <c r="H4224" s="43"/>
    </row>
    <row r="4225" spans="1:8" ht="30" customHeight="1" x14ac:dyDescent="0.15">
      <c r="A4225" s="16" t="s">
        <v>17</v>
      </c>
      <c r="B4225" s="17" t="s">
        <v>7269</v>
      </c>
      <c r="C4225" s="17" t="s">
        <v>7248</v>
      </c>
      <c r="D4225" s="25" t="s">
        <v>7242</v>
      </c>
      <c r="E4225" s="19" t="s">
        <v>7268</v>
      </c>
      <c r="F4225" s="19" t="s">
        <v>7270</v>
      </c>
      <c r="G4225" s="5" t="str">
        <f>HYPERLINK("http://jsmh.umin.jp/journal/47-2/261-281.pdf")</f>
        <v>http://jsmh.umin.jp/journal/47-2/261-281.pdf</v>
      </c>
      <c r="H4225" s="43"/>
    </row>
    <row r="4226" spans="1:8" ht="30" customHeight="1" x14ac:dyDescent="0.15">
      <c r="A4226" s="16" t="s">
        <v>17</v>
      </c>
      <c r="B4226" s="17" t="s">
        <v>7271</v>
      </c>
      <c r="C4226" s="17" t="s">
        <v>3644</v>
      </c>
      <c r="D4226" s="25" t="s">
        <v>7242</v>
      </c>
      <c r="E4226" s="19" t="s">
        <v>7268</v>
      </c>
      <c r="F4226" s="19" t="s">
        <v>7272</v>
      </c>
      <c r="G4226" s="5" t="str">
        <f>HYPERLINK("http://jsmh.umin.jp/journal/47-2/283-308.pdf")</f>
        <v>http://jsmh.umin.jp/journal/47-2/283-308.pdf</v>
      </c>
      <c r="H4226" s="43"/>
    </row>
    <row r="4227" spans="1:8" ht="30" customHeight="1" x14ac:dyDescent="0.15">
      <c r="A4227" s="16" t="s">
        <v>17</v>
      </c>
      <c r="B4227" s="17" t="s">
        <v>7273</v>
      </c>
      <c r="C4227" s="17" t="s">
        <v>1764</v>
      </c>
      <c r="D4227" s="25" t="s">
        <v>7242</v>
      </c>
      <c r="E4227" s="19" t="s">
        <v>7268</v>
      </c>
      <c r="F4227" s="19" t="s">
        <v>7274</v>
      </c>
      <c r="G4227" s="5" t="str">
        <f>HYPERLINK("http://jsmh.umin.jp/journal/47-2/309-336.pdf")</f>
        <v>http://jsmh.umin.jp/journal/47-2/309-336.pdf</v>
      </c>
      <c r="H4227" s="43"/>
    </row>
    <row r="4228" spans="1:8" ht="30" customHeight="1" x14ac:dyDescent="0.15">
      <c r="A4228" s="16" t="s">
        <v>3387</v>
      </c>
      <c r="B4228" s="17" t="s">
        <v>7275</v>
      </c>
      <c r="C4228" s="17" t="s">
        <v>10310</v>
      </c>
      <c r="D4228" s="25" t="s">
        <v>7242</v>
      </c>
      <c r="E4228" s="19" t="s">
        <v>7268</v>
      </c>
      <c r="F4228" s="19" t="s">
        <v>7276</v>
      </c>
      <c r="G4228" s="5" t="str">
        <f>HYPERLINK("http://jsmh.umin.jp/journal/47-2/337-349.pdf")</f>
        <v>http://jsmh.umin.jp/journal/47-2/337-349.pdf</v>
      </c>
      <c r="H4228" s="43"/>
    </row>
    <row r="4229" spans="1:8" ht="30" customHeight="1" x14ac:dyDescent="0.15">
      <c r="A4229" s="16"/>
      <c r="B4229" s="17" t="s">
        <v>10609</v>
      </c>
      <c r="C4229" s="17" t="s">
        <v>5143</v>
      </c>
      <c r="D4229" s="25" t="s">
        <v>7242</v>
      </c>
      <c r="E4229" s="19" t="s">
        <v>7268</v>
      </c>
      <c r="F4229" s="19" t="s">
        <v>10597</v>
      </c>
      <c r="G4229" s="26" t="str">
        <f>HYPERLINK("http://jsmh.umin.jp/journal/47-2/350.pdf")</f>
        <v>http://jsmh.umin.jp/journal/47-2/350.pdf</v>
      </c>
      <c r="H4229" s="43"/>
    </row>
    <row r="4230" spans="1:8" ht="30" customHeight="1" x14ac:dyDescent="0.15">
      <c r="A4230" s="16" t="s">
        <v>3387</v>
      </c>
      <c r="B4230" s="17" t="s">
        <v>7277</v>
      </c>
      <c r="C4230" s="17" t="s">
        <v>7278</v>
      </c>
      <c r="D4230" s="25" t="s">
        <v>7242</v>
      </c>
      <c r="E4230" s="19" t="s">
        <v>7268</v>
      </c>
      <c r="F4230" s="19" t="s">
        <v>7279</v>
      </c>
      <c r="G4230" s="5" t="str">
        <f>HYPERLINK("http://jsmh.umin.jp/journal/47-2/351-365.pdf")</f>
        <v>http://jsmh.umin.jp/journal/47-2/351-365.pdf</v>
      </c>
      <c r="H4230" s="43"/>
    </row>
    <row r="4231" spans="1:8" ht="30" customHeight="1" x14ac:dyDescent="0.15">
      <c r="A4231" s="16"/>
      <c r="B4231" s="17" t="s">
        <v>7280</v>
      </c>
      <c r="C4231" s="17" t="s">
        <v>2465</v>
      </c>
      <c r="D4231" s="25" t="s">
        <v>7242</v>
      </c>
      <c r="E4231" s="19" t="s">
        <v>7268</v>
      </c>
      <c r="F4231" s="19" t="s">
        <v>10598</v>
      </c>
      <c r="G4231" s="26" t="str">
        <f>HYPERLINK("http://jsmh.umin.jp/journal/47-2/366.pdf")</f>
        <v>http://jsmh.umin.jp/journal/47-2/366.pdf</v>
      </c>
      <c r="H4231" s="43"/>
    </row>
    <row r="4232" spans="1:8" ht="30" customHeight="1" x14ac:dyDescent="0.15">
      <c r="A4232" s="16" t="s">
        <v>3387</v>
      </c>
      <c r="B4232" s="17" t="s">
        <v>7281</v>
      </c>
      <c r="C4232" s="17" t="s">
        <v>10156</v>
      </c>
      <c r="D4232" s="25" t="s">
        <v>7242</v>
      </c>
      <c r="E4232" s="19" t="s">
        <v>7268</v>
      </c>
      <c r="F4232" s="19" t="s">
        <v>7282</v>
      </c>
      <c r="G4232" s="5" t="str">
        <f>HYPERLINK("http://jsmh.umin.jp/journal/47-2/367-381.pdf")</f>
        <v>http://jsmh.umin.jp/journal/47-2/367-381.pdf</v>
      </c>
      <c r="H4232" s="43"/>
    </row>
    <row r="4233" spans="1:8" ht="30" customHeight="1" x14ac:dyDescent="0.15">
      <c r="A4233" s="16" t="s">
        <v>692</v>
      </c>
      <c r="B4233" s="17" t="s">
        <v>10311</v>
      </c>
      <c r="C4233" s="17" t="s">
        <v>7283</v>
      </c>
      <c r="D4233" s="25" t="s">
        <v>7242</v>
      </c>
      <c r="E4233" s="19" t="s">
        <v>7268</v>
      </c>
      <c r="F4233" s="19" t="s">
        <v>7284</v>
      </c>
      <c r="G4233" s="5" t="str">
        <f>HYPERLINK("http://jsmh.umin.jp/journal/47-2/382-393.pdf")</f>
        <v>http://jsmh.umin.jp/journal/47-2/382-393.pdf</v>
      </c>
      <c r="H4233" s="43"/>
    </row>
    <row r="4234" spans="1:8" ht="30" customHeight="1" x14ac:dyDescent="0.15">
      <c r="A4234" s="16" t="s">
        <v>692</v>
      </c>
      <c r="B4234" s="17" t="s">
        <v>7285</v>
      </c>
      <c r="C4234" s="17" t="s">
        <v>6300</v>
      </c>
      <c r="D4234" s="25" t="s">
        <v>7242</v>
      </c>
      <c r="E4234" s="19" t="s">
        <v>7268</v>
      </c>
      <c r="F4234" s="19" t="s">
        <v>7286</v>
      </c>
      <c r="G4234" s="5" t="str">
        <f>HYPERLINK("http://jsmh.umin.jp/journal/47-2/394-410.pdf")</f>
        <v>http://jsmh.umin.jp/journal/47-2/394-410.pdf</v>
      </c>
      <c r="H4234" s="43"/>
    </row>
    <row r="4235" spans="1:8" ht="30" customHeight="1" x14ac:dyDescent="0.15">
      <c r="A4235" s="16" t="s">
        <v>558</v>
      </c>
      <c r="B4235" s="17" t="s">
        <v>537</v>
      </c>
      <c r="C4235" s="17"/>
      <c r="D4235" s="25" t="s">
        <v>7242</v>
      </c>
      <c r="E4235" s="19" t="s">
        <v>7268</v>
      </c>
      <c r="F4235" s="19" t="s">
        <v>4432</v>
      </c>
      <c r="G4235" s="5" t="str">
        <f>HYPERLINK("http://jsmh.umin.jp/journal/47-2/411.pdf")</f>
        <v>http://jsmh.umin.jp/journal/47-2/411.pdf</v>
      </c>
      <c r="H4235" s="43"/>
    </row>
    <row r="4236" spans="1:8" ht="30" customHeight="1" x14ac:dyDescent="0.15">
      <c r="A4236" s="16" t="s">
        <v>3720</v>
      </c>
      <c r="B4236" s="17" t="s">
        <v>7287</v>
      </c>
      <c r="C4236" s="17" t="s">
        <v>4085</v>
      </c>
      <c r="D4236" s="25" t="s">
        <v>7242</v>
      </c>
      <c r="E4236" s="19" t="s">
        <v>7268</v>
      </c>
      <c r="F4236" s="19" t="s">
        <v>7172</v>
      </c>
      <c r="G4236" s="5" t="str">
        <f>HYPERLINK("http://jsmh.umin.jp/journal/47-2/412-413.pdf")</f>
        <v>http://jsmh.umin.jp/journal/47-2/412-413.pdf</v>
      </c>
      <c r="H4236" s="43"/>
    </row>
    <row r="4237" spans="1:8" ht="30" customHeight="1" x14ac:dyDescent="0.15">
      <c r="A4237" s="16" t="s">
        <v>3720</v>
      </c>
      <c r="B4237" s="17" t="s">
        <v>7288</v>
      </c>
      <c r="C4237" s="17" t="s">
        <v>2937</v>
      </c>
      <c r="D4237" s="25" t="s">
        <v>7242</v>
      </c>
      <c r="E4237" s="19" t="s">
        <v>7268</v>
      </c>
      <c r="F4237" s="19" t="s">
        <v>7289</v>
      </c>
      <c r="G4237" s="5" t="str">
        <f>HYPERLINK("http://jsmh.umin.jp/journal/47-2/413-415.pdf")</f>
        <v>http://jsmh.umin.jp/journal/47-2/413-415.pdf</v>
      </c>
      <c r="H4237" s="43"/>
    </row>
    <row r="4238" spans="1:8" ht="30" customHeight="1" x14ac:dyDescent="0.15">
      <c r="A4238" s="16" t="s">
        <v>3720</v>
      </c>
      <c r="B4238" s="17" t="s">
        <v>7290</v>
      </c>
      <c r="C4238" s="17" t="s">
        <v>7291</v>
      </c>
      <c r="D4238" s="25" t="s">
        <v>7242</v>
      </c>
      <c r="E4238" s="19" t="s">
        <v>7268</v>
      </c>
      <c r="F4238" s="19" t="s">
        <v>4441</v>
      </c>
      <c r="G4238" s="5" t="str">
        <f>HYPERLINK("http://jsmh.umin.jp/journal/47-2/415-416.pdf")</f>
        <v>http://jsmh.umin.jp/journal/47-2/415-416.pdf</v>
      </c>
      <c r="H4238" s="43"/>
    </row>
    <row r="4239" spans="1:8" ht="30" customHeight="1" x14ac:dyDescent="0.15">
      <c r="A4239" s="16" t="s">
        <v>3720</v>
      </c>
      <c r="B4239" s="17" t="s">
        <v>7292</v>
      </c>
      <c r="C4239" s="17" t="s">
        <v>2937</v>
      </c>
      <c r="D4239" s="25" t="s">
        <v>7242</v>
      </c>
      <c r="E4239" s="19" t="s">
        <v>7268</v>
      </c>
      <c r="F4239" s="19" t="s">
        <v>7293</v>
      </c>
      <c r="G4239" s="5" t="str">
        <f>HYPERLINK("http://jsmh.umin.jp/journal/47-2/416-418.pdf")</f>
        <v>http://jsmh.umin.jp/journal/47-2/416-418.pdf</v>
      </c>
      <c r="H4239" s="43"/>
    </row>
    <row r="4240" spans="1:8" ht="30" customHeight="1" x14ac:dyDescent="0.15">
      <c r="A4240" s="16" t="s">
        <v>3720</v>
      </c>
      <c r="B4240" s="17" t="s">
        <v>7294</v>
      </c>
      <c r="C4240" s="17" t="s">
        <v>10312</v>
      </c>
      <c r="D4240" s="25" t="s">
        <v>7242</v>
      </c>
      <c r="E4240" s="19" t="s">
        <v>7268</v>
      </c>
      <c r="F4240" s="19" t="s">
        <v>7295</v>
      </c>
      <c r="G4240" s="5" t="str">
        <f>HYPERLINK("http://jsmh.umin.jp/journal/47-2/418-420.pdf")</f>
        <v>http://jsmh.umin.jp/journal/47-2/418-420.pdf</v>
      </c>
      <c r="H4240" s="43"/>
    </row>
    <row r="4241" spans="1:8" ht="30" customHeight="1" x14ac:dyDescent="0.15">
      <c r="A4241" s="16" t="s">
        <v>3720</v>
      </c>
      <c r="B4241" s="17" t="s">
        <v>7296</v>
      </c>
      <c r="C4241" s="17" t="s">
        <v>10313</v>
      </c>
      <c r="D4241" s="25" t="s">
        <v>7242</v>
      </c>
      <c r="E4241" s="19" t="s">
        <v>7268</v>
      </c>
      <c r="F4241" s="19" t="s">
        <v>7179</v>
      </c>
      <c r="G4241" s="5" t="str">
        <f>HYPERLINK("http://jsmh.umin.jp/journal/47-2/420-421.pdf")</f>
        <v>http://jsmh.umin.jp/journal/47-2/420-421.pdf</v>
      </c>
      <c r="H4241" s="43"/>
    </row>
    <row r="4242" spans="1:8" ht="30" customHeight="1" x14ac:dyDescent="0.15">
      <c r="A4242" s="16" t="s">
        <v>2990</v>
      </c>
      <c r="B4242" s="17" t="s">
        <v>7297</v>
      </c>
      <c r="C4242" s="17" t="s">
        <v>10280</v>
      </c>
      <c r="D4242" s="25" t="s">
        <v>7242</v>
      </c>
      <c r="E4242" s="19" t="s">
        <v>7268</v>
      </c>
      <c r="F4242" s="19" t="s">
        <v>7298</v>
      </c>
      <c r="G4242" s="5" t="str">
        <f>HYPERLINK("http://jsmh.umin.jp/journal/47-2/422-424.pdf")</f>
        <v>http://jsmh.umin.jp/journal/47-2/422-424.pdf</v>
      </c>
      <c r="H4242" s="43"/>
    </row>
    <row r="4243" spans="1:8" ht="30" customHeight="1" x14ac:dyDescent="0.15">
      <c r="A4243" s="16" t="s">
        <v>2990</v>
      </c>
      <c r="B4243" s="17" t="s">
        <v>7299</v>
      </c>
      <c r="C4243" s="17" t="s">
        <v>5124</v>
      </c>
      <c r="D4243" s="25" t="s">
        <v>7242</v>
      </c>
      <c r="E4243" s="19" t="s">
        <v>7268</v>
      </c>
      <c r="F4243" s="19" t="s">
        <v>4458</v>
      </c>
      <c r="G4243" s="5" t="str">
        <f>HYPERLINK("http://jsmh.umin.jp/journal/47-2/424-425.pdf")</f>
        <v>http://jsmh.umin.jp/journal/47-2/424-425.pdf</v>
      </c>
      <c r="H4243" s="43"/>
    </row>
    <row r="4244" spans="1:8" ht="30" customHeight="1" x14ac:dyDescent="0.15">
      <c r="A4244" s="16" t="s">
        <v>2990</v>
      </c>
      <c r="B4244" s="17" t="s">
        <v>7300</v>
      </c>
      <c r="C4244" s="17" t="s">
        <v>5316</v>
      </c>
      <c r="D4244" s="25" t="s">
        <v>7242</v>
      </c>
      <c r="E4244" s="19" t="s">
        <v>7268</v>
      </c>
      <c r="F4244" s="19" t="s">
        <v>1992</v>
      </c>
      <c r="G4244" s="5" t="str">
        <f>HYPERLINK("http://jsmh.umin.jp/journal/47-2/425-426.pdf")</f>
        <v>http://jsmh.umin.jp/journal/47-2/425-426.pdf</v>
      </c>
      <c r="H4244" s="43"/>
    </row>
    <row r="4245" spans="1:8" ht="30" customHeight="1" x14ac:dyDescent="0.15">
      <c r="A4245" s="16" t="s">
        <v>2990</v>
      </c>
      <c r="B4245" s="17" t="s">
        <v>10314</v>
      </c>
      <c r="C4245" s="17" t="s">
        <v>10214</v>
      </c>
      <c r="D4245" s="25" t="s">
        <v>7242</v>
      </c>
      <c r="E4245" s="19" t="s">
        <v>7268</v>
      </c>
      <c r="F4245" s="19" t="s">
        <v>6096</v>
      </c>
      <c r="G4245" s="5" t="str">
        <f>HYPERLINK("http://jsmh.umin.jp/journal/47-2/426-428.pdf")</f>
        <v>http://jsmh.umin.jp/journal/47-2/426-428.pdf</v>
      </c>
      <c r="H4245" s="43"/>
    </row>
    <row r="4246" spans="1:8" ht="30" customHeight="1" x14ac:dyDescent="0.15">
      <c r="A4246" s="16" t="s">
        <v>17</v>
      </c>
      <c r="B4246" s="17" t="s">
        <v>10315</v>
      </c>
      <c r="C4246" s="17" t="s">
        <v>10309</v>
      </c>
      <c r="D4246" s="25" t="s">
        <v>7242</v>
      </c>
      <c r="E4246" s="19" t="s">
        <v>7268</v>
      </c>
      <c r="F4246" s="19" t="s">
        <v>7301</v>
      </c>
      <c r="G4246" s="5" t="str">
        <f>HYPERLINK("http://jsmh.umin.jp/journal/47-2/452-432.pdf")</f>
        <v>http://jsmh.umin.jp/journal/47-2/452-432.pdf</v>
      </c>
      <c r="H4246" s="43"/>
    </row>
    <row r="4247" spans="1:8" ht="30" customHeight="1" x14ac:dyDescent="0.15">
      <c r="A4247" s="16" t="s">
        <v>1855</v>
      </c>
      <c r="B4247" s="17" t="s">
        <v>7302</v>
      </c>
      <c r="C4247" s="17" t="s">
        <v>1131</v>
      </c>
      <c r="D4247" s="25" t="s">
        <v>7242</v>
      </c>
      <c r="E4247" s="19" t="s">
        <v>7303</v>
      </c>
      <c r="F4247" s="19" t="s">
        <v>7304</v>
      </c>
      <c r="G4247" s="5" t="str">
        <f>HYPERLINK("http://jsmh.umin.jp/journal/47-3/457-459.pdf")</f>
        <v>http://jsmh.umin.jp/journal/47-3/457-459.pdf</v>
      </c>
      <c r="H4247" s="43"/>
    </row>
    <row r="4248" spans="1:8" ht="30" customHeight="1" x14ac:dyDescent="0.15">
      <c r="A4248" s="16" t="s">
        <v>1855</v>
      </c>
      <c r="B4248" s="17" t="s">
        <v>7305</v>
      </c>
      <c r="C4248" s="17" t="s">
        <v>7306</v>
      </c>
      <c r="D4248" s="25" t="s">
        <v>7242</v>
      </c>
      <c r="E4248" s="19" t="s">
        <v>7303</v>
      </c>
      <c r="F4248" s="19" t="s">
        <v>4945</v>
      </c>
      <c r="G4248" s="5" t="str">
        <f>HYPERLINK("http://jsmh.umin.jp/journal/47-3/460-461.pdf")</f>
        <v>http://jsmh.umin.jp/journal/47-3/460-461.pdf</v>
      </c>
      <c r="H4248" s="43"/>
    </row>
    <row r="4249" spans="1:8" ht="30" customHeight="1" x14ac:dyDescent="0.15">
      <c r="A4249" s="16" t="s">
        <v>1855</v>
      </c>
      <c r="B4249" s="17" t="s">
        <v>7307</v>
      </c>
      <c r="C4249" s="17" t="s">
        <v>7184</v>
      </c>
      <c r="D4249" s="25" t="s">
        <v>7242</v>
      </c>
      <c r="E4249" s="19" t="s">
        <v>7303</v>
      </c>
      <c r="F4249" s="19" t="s">
        <v>7308</v>
      </c>
      <c r="G4249" s="5" t="str">
        <f>HYPERLINK("http://jsmh.umin.jp/journal/47-3/462-463.pdf")</f>
        <v>http://jsmh.umin.jp/journal/47-3/462-463.pdf</v>
      </c>
      <c r="H4249" s="43"/>
    </row>
    <row r="4250" spans="1:8" ht="30" customHeight="1" x14ac:dyDescent="0.15">
      <c r="A4250" s="16" t="s">
        <v>1855</v>
      </c>
      <c r="B4250" s="17" t="s">
        <v>7309</v>
      </c>
      <c r="C4250" s="17" t="s">
        <v>6676</v>
      </c>
      <c r="D4250" s="25" t="s">
        <v>7242</v>
      </c>
      <c r="E4250" s="19" t="s">
        <v>7303</v>
      </c>
      <c r="F4250" s="19" t="s">
        <v>7310</v>
      </c>
      <c r="G4250" s="5" t="str">
        <f>HYPERLINK("http://jsmh.umin.jp/journal/47-3/464-465.pdf")</f>
        <v>http://jsmh.umin.jp/journal/47-3/464-465.pdf</v>
      </c>
      <c r="H4250" s="43"/>
    </row>
    <row r="4251" spans="1:8" ht="30" customHeight="1" x14ac:dyDescent="0.15">
      <c r="A4251" s="16" t="s">
        <v>1855</v>
      </c>
      <c r="B4251" s="17" t="s">
        <v>7311</v>
      </c>
      <c r="C4251" s="17" t="s">
        <v>10156</v>
      </c>
      <c r="D4251" s="25" t="s">
        <v>7242</v>
      </c>
      <c r="E4251" s="19" t="s">
        <v>7303</v>
      </c>
      <c r="F4251" s="19" t="s">
        <v>7312</v>
      </c>
      <c r="G4251" s="5" t="str">
        <f>HYPERLINK("http://jsmh.umin.jp/journal/47-3/466-467.pdf")</f>
        <v>http://jsmh.umin.jp/journal/47-3/466-467.pdf</v>
      </c>
      <c r="H4251" s="43"/>
    </row>
    <row r="4252" spans="1:8" ht="30" customHeight="1" x14ac:dyDescent="0.15">
      <c r="A4252" s="16" t="s">
        <v>1855</v>
      </c>
      <c r="B4252" s="17" t="s">
        <v>7313</v>
      </c>
      <c r="C4252" s="17" t="s">
        <v>5084</v>
      </c>
      <c r="D4252" s="25" t="s">
        <v>7242</v>
      </c>
      <c r="E4252" s="19" t="s">
        <v>7303</v>
      </c>
      <c r="F4252" s="19" t="s">
        <v>7314</v>
      </c>
      <c r="G4252" s="5" t="str">
        <f>HYPERLINK("http://jsmh.umin.jp/journal/47-3/468-469.pdf")</f>
        <v>http://jsmh.umin.jp/journal/47-3/468-469.pdf</v>
      </c>
      <c r="H4252" s="43"/>
    </row>
    <row r="4253" spans="1:8" ht="30" customHeight="1" x14ac:dyDescent="0.15">
      <c r="A4253" s="16" t="s">
        <v>1855</v>
      </c>
      <c r="B4253" s="17" t="s">
        <v>7315</v>
      </c>
      <c r="C4253" s="17" t="s">
        <v>7316</v>
      </c>
      <c r="D4253" s="25" t="s">
        <v>7242</v>
      </c>
      <c r="E4253" s="19" t="s">
        <v>7303</v>
      </c>
      <c r="F4253" s="19" t="s">
        <v>7317</v>
      </c>
      <c r="G4253" s="5" t="str">
        <f>HYPERLINK("http://jsmh.umin.jp/journal/47-3/470-471.pdf")</f>
        <v>http://jsmh.umin.jp/journal/47-3/470-471.pdf</v>
      </c>
      <c r="H4253" s="43"/>
    </row>
    <row r="4254" spans="1:8" ht="30" customHeight="1" x14ac:dyDescent="0.15">
      <c r="A4254" s="16" t="s">
        <v>1855</v>
      </c>
      <c r="B4254" s="17" t="s">
        <v>7318</v>
      </c>
      <c r="C4254" s="17" t="s">
        <v>3998</v>
      </c>
      <c r="D4254" s="25" t="s">
        <v>7242</v>
      </c>
      <c r="E4254" s="19" t="s">
        <v>7303</v>
      </c>
      <c r="F4254" s="19" t="s">
        <v>7319</v>
      </c>
      <c r="G4254" s="5" t="str">
        <f>HYPERLINK("http://jsmh.umin.jp/journal/47-3/472-473.pdf")</f>
        <v>http://jsmh.umin.jp/journal/47-3/472-473.pdf</v>
      </c>
      <c r="H4254" s="43"/>
    </row>
    <row r="4255" spans="1:8" ht="30" customHeight="1" x14ac:dyDescent="0.15">
      <c r="A4255" s="16" t="s">
        <v>1855</v>
      </c>
      <c r="B4255" s="17" t="s">
        <v>10316</v>
      </c>
      <c r="C4255" s="17" t="s">
        <v>7320</v>
      </c>
      <c r="D4255" s="25" t="s">
        <v>7242</v>
      </c>
      <c r="E4255" s="19" t="s">
        <v>7303</v>
      </c>
      <c r="F4255" s="19" t="s">
        <v>6959</v>
      </c>
      <c r="G4255" s="5" t="str">
        <f>HYPERLINK("http://jsmh.umin.jp/journal/47-3/474-475.pdf")</f>
        <v>http://jsmh.umin.jp/journal/47-3/474-475.pdf</v>
      </c>
      <c r="H4255" s="43"/>
    </row>
    <row r="4256" spans="1:8" ht="30" customHeight="1" x14ac:dyDescent="0.15">
      <c r="A4256" s="16" t="s">
        <v>1855</v>
      </c>
      <c r="B4256" s="17" t="s">
        <v>7321</v>
      </c>
      <c r="C4256" s="17" t="s">
        <v>7322</v>
      </c>
      <c r="D4256" s="25" t="s">
        <v>7242</v>
      </c>
      <c r="E4256" s="19" t="s">
        <v>7303</v>
      </c>
      <c r="F4256" s="19" t="s">
        <v>7323</v>
      </c>
      <c r="G4256" s="5" t="str">
        <f>HYPERLINK("http://jsmh.umin.jp/journal/47-3/476-477.pdf")</f>
        <v>http://jsmh.umin.jp/journal/47-3/476-477.pdf</v>
      </c>
      <c r="H4256" s="43"/>
    </row>
    <row r="4257" spans="1:8" ht="30" customHeight="1" x14ac:dyDescent="0.15">
      <c r="A4257" s="16" t="s">
        <v>1855</v>
      </c>
      <c r="B4257" s="17" t="s">
        <v>7324</v>
      </c>
      <c r="C4257" s="17" t="s">
        <v>2937</v>
      </c>
      <c r="D4257" s="25" t="s">
        <v>7242</v>
      </c>
      <c r="E4257" s="19" t="s">
        <v>7303</v>
      </c>
      <c r="F4257" s="19" t="s">
        <v>6965</v>
      </c>
      <c r="G4257" s="5" t="str">
        <f>HYPERLINK("http://jsmh.umin.jp/journal/47-3/478-479.pdf")</f>
        <v>http://jsmh.umin.jp/journal/47-3/478-479.pdf</v>
      </c>
      <c r="H4257" s="43"/>
    </row>
    <row r="4258" spans="1:8" ht="30" customHeight="1" x14ac:dyDescent="0.15">
      <c r="A4258" s="16" t="s">
        <v>1855</v>
      </c>
      <c r="B4258" s="17" t="s">
        <v>7325</v>
      </c>
      <c r="C4258" s="17" t="s">
        <v>6004</v>
      </c>
      <c r="D4258" s="25" t="s">
        <v>7242</v>
      </c>
      <c r="E4258" s="19" t="s">
        <v>7303</v>
      </c>
      <c r="F4258" s="19" t="s">
        <v>7326</v>
      </c>
      <c r="G4258" s="5" t="str">
        <f>HYPERLINK("http://jsmh.umin.jp/journal/47-3/480-481.pdf")</f>
        <v>http://jsmh.umin.jp/journal/47-3/480-481.pdf</v>
      </c>
      <c r="H4258" s="43"/>
    </row>
    <row r="4259" spans="1:8" ht="30" customHeight="1" x14ac:dyDescent="0.15">
      <c r="A4259" s="16" t="s">
        <v>1855</v>
      </c>
      <c r="B4259" s="17" t="s">
        <v>7327</v>
      </c>
      <c r="C4259" s="17" t="s">
        <v>4988</v>
      </c>
      <c r="D4259" s="25" t="s">
        <v>7242</v>
      </c>
      <c r="E4259" s="19" t="s">
        <v>7303</v>
      </c>
      <c r="F4259" s="19" t="s">
        <v>7328</v>
      </c>
      <c r="G4259" s="5" t="str">
        <f>HYPERLINK("http://jsmh.umin.jp/journal/47-3/482-483.pdf")</f>
        <v>http://jsmh.umin.jp/journal/47-3/482-483.pdf</v>
      </c>
      <c r="H4259" s="43"/>
    </row>
    <row r="4260" spans="1:8" ht="30" customHeight="1" x14ac:dyDescent="0.15">
      <c r="A4260" s="16" t="s">
        <v>1855</v>
      </c>
      <c r="B4260" s="17" t="s">
        <v>7329</v>
      </c>
      <c r="C4260" s="17" t="s">
        <v>6848</v>
      </c>
      <c r="D4260" s="25" t="s">
        <v>7242</v>
      </c>
      <c r="E4260" s="19" t="s">
        <v>7303</v>
      </c>
      <c r="F4260" s="19" t="s">
        <v>7330</v>
      </c>
      <c r="G4260" s="5" t="str">
        <f>HYPERLINK("http://jsmh.umin.jp/journal/47-3/484-485.pdf")</f>
        <v>http://jsmh.umin.jp/journal/47-3/484-485.pdf</v>
      </c>
      <c r="H4260" s="43"/>
    </row>
    <row r="4261" spans="1:8" ht="30" customHeight="1" x14ac:dyDescent="0.15">
      <c r="A4261" s="16" t="s">
        <v>1855</v>
      </c>
      <c r="B4261" s="17" t="s">
        <v>7331</v>
      </c>
      <c r="C4261" s="17" t="s">
        <v>3312</v>
      </c>
      <c r="D4261" s="25" t="s">
        <v>7242</v>
      </c>
      <c r="E4261" s="19" t="s">
        <v>7303</v>
      </c>
      <c r="F4261" s="19" t="s">
        <v>7332</v>
      </c>
      <c r="G4261" s="5" t="str">
        <f>HYPERLINK("http://jsmh.umin.jp/journal/47-3/486-487.pdf")</f>
        <v>http://jsmh.umin.jp/journal/47-3/486-487.pdf</v>
      </c>
      <c r="H4261" s="43"/>
    </row>
    <row r="4262" spans="1:8" ht="30" customHeight="1" x14ac:dyDescent="0.15">
      <c r="A4262" s="16" t="s">
        <v>1855</v>
      </c>
      <c r="B4262" s="17" t="s">
        <v>7333</v>
      </c>
      <c r="C4262" s="17" t="s">
        <v>6267</v>
      </c>
      <c r="D4262" s="25" t="s">
        <v>7242</v>
      </c>
      <c r="E4262" s="19" t="s">
        <v>7303</v>
      </c>
      <c r="F4262" s="19" t="s">
        <v>7334</v>
      </c>
      <c r="G4262" s="5" t="str">
        <f>HYPERLINK("http://jsmh.umin.jp/journal/47-3/488-489.pdf")</f>
        <v>http://jsmh.umin.jp/journal/47-3/488-489.pdf</v>
      </c>
      <c r="H4262" s="43"/>
    </row>
    <row r="4263" spans="1:8" ht="30" customHeight="1" x14ac:dyDescent="0.15">
      <c r="A4263" s="16" t="s">
        <v>1855</v>
      </c>
      <c r="B4263" s="17" t="s">
        <v>7335</v>
      </c>
      <c r="C4263" s="17" t="s">
        <v>2386</v>
      </c>
      <c r="D4263" s="25" t="s">
        <v>7242</v>
      </c>
      <c r="E4263" s="19" t="s">
        <v>7303</v>
      </c>
      <c r="F4263" s="19" t="s">
        <v>7336</v>
      </c>
      <c r="G4263" s="5" t="str">
        <f>HYPERLINK("http://jsmh.umin.jp/journal/47-3/490-491.pdf")</f>
        <v>http://jsmh.umin.jp/journal/47-3/490-491.pdf</v>
      </c>
      <c r="H4263" s="43"/>
    </row>
    <row r="4264" spans="1:8" ht="30" customHeight="1" x14ac:dyDescent="0.15">
      <c r="A4264" s="16" t="s">
        <v>1855</v>
      </c>
      <c r="B4264" s="17" t="s">
        <v>7337</v>
      </c>
      <c r="C4264" s="17" t="s">
        <v>48</v>
      </c>
      <c r="D4264" s="25" t="s">
        <v>7242</v>
      </c>
      <c r="E4264" s="19" t="s">
        <v>7303</v>
      </c>
      <c r="F4264" s="19" t="s">
        <v>5932</v>
      </c>
      <c r="G4264" s="5" t="str">
        <f>HYPERLINK("http://jsmh.umin.jp/journal/47-3/492-493.pdf")</f>
        <v>http://jsmh.umin.jp/journal/47-3/492-493.pdf</v>
      </c>
      <c r="H4264" s="43"/>
    </row>
    <row r="4265" spans="1:8" ht="30" customHeight="1" x14ac:dyDescent="0.15">
      <c r="A4265" s="16" t="s">
        <v>1855</v>
      </c>
      <c r="B4265" s="17" t="s">
        <v>7338</v>
      </c>
      <c r="C4265" s="17" t="s">
        <v>5837</v>
      </c>
      <c r="D4265" s="25" t="s">
        <v>7242</v>
      </c>
      <c r="E4265" s="19" t="s">
        <v>7303</v>
      </c>
      <c r="F4265" s="19" t="s">
        <v>7339</v>
      </c>
      <c r="G4265" s="5" t="str">
        <f>HYPERLINK("http://jsmh.umin.jp/journal/47-3/494-495.pdf")</f>
        <v>http://jsmh.umin.jp/journal/47-3/494-495.pdf</v>
      </c>
      <c r="H4265" s="43"/>
    </row>
    <row r="4266" spans="1:8" ht="30" customHeight="1" x14ac:dyDescent="0.15">
      <c r="A4266" s="16" t="s">
        <v>1855</v>
      </c>
      <c r="B4266" s="17" t="s">
        <v>7340</v>
      </c>
      <c r="C4266" s="17" t="s">
        <v>2071</v>
      </c>
      <c r="D4266" s="25" t="s">
        <v>7242</v>
      </c>
      <c r="E4266" s="19" t="s">
        <v>7303</v>
      </c>
      <c r="F4266" s="19" t="s">
        <v>7341</v>
      </c>
      <c r="G4266" s="5" t="str">
        <f>HYPERLINK("http://jsmh.umin.jp/journal/47-3/496-497.pdf")</f>
        <v>http://jsmh.umin.jp/journal/47-3/496-497.pdf</v>
      </c>
      <c r="H4266" s="43"/>
    </row>
    <row r="4267" spans="1:8" ht="30" customHeight="1" x14ac:dyDescent="0.15">
      <c r="A4267" s="16" t="s">
        <v>1855</v>
      </c>
      <c r="B4267" s="17" t="s">
        <v>7342</v>
      </c>
      <c r="C4267" s="17" t="s">
        <v>7343</v>
      </c>
      <c r="D4267" s="25" t="s">
        <v>7242</v>
      </c>
      <c r="E4267" s="19" t="s">
        <v>7303</v>
      </c>
      <c r="F4267" s="19" t="s">
        <v>5938</v>
      </c>
      <c r="G4267" s="5" t="str">
        <f>HYPERLINK("http://jsmh.umin.jp/journal/47-3/498-499.pdf")</f>
        <v>http://jsmh.umin.jp/journal/47-3/498-499.pdf</v>
      </c>
      <c r="H4267" s="43"/>
    </row>
    <row r="4268" spans="1:8" ht="30" customHeight="1" x14ac:dyDescent="0.15">
      <c r="A4268" s="16" t="s">
        <v>1855</v>
      </c>
      <c r="B4268" s="17" t="s">
        <v>7344</v>
      </c>
      <c r="C4268" s="17" t="s">
        <v>2465</v>
      </c>
      <c r="D4268" s="25" t="s">
        <v>7242</v>
      </c>
      <c r="E4268" s="19" t="s">
        <v>7303</v>
      </c>
      <c r="F4268" s="19" t="s">
        <v>2718</v>
      </c>
      <c r="G4268" s="5" t="str">
        <f>HYPERLINK("http://jsmh.umin.jp/journal/47-3/500-501.pdf")</f>
        <v>http://jsmh.umin.jp/journal/47-3/500-501.pdf</v>
      </c>
      <c r="H4268" s="43"/>
    </row>
    <row r="4269" spans="1:8" ht="30" customHeight="1" x14ac:dyDescent="0.15">
      <c r="A4269" s="16" t="s">
        <v>1855</v>
      </c>
      <c r="B4269" s="17" t="s">
        <v>7345</v>
      </c>
      <c r="C4269" s="17" t="s">
        <v>7346</v>
      </c>
      <c r="D4269" s="25" t="s">
        <v>7242</v>
      </c>
      <c r="E4269" s="19" t="s">
        <v>7303</v>
      </c>
      <c r="F4269" s="19" t="s">
        <v>5163</v>
      </c>
      <c r="G4269" s="5" t="str">
        <f>HYPERLINK("http://jsmh.umin.jp/journal/47-3/502-503.pdf")</f>
        <v>http://jsmh.umin.jp/journal/47-3/502-503.pdf</v>
      </c>
      <c r="H4269" s="43"/>
    </row>
    <row r="4270" spans="1:8" ht="30" customHeight="1" x14ac:dyDescent="0.15">
      <c r="A4270" s="16" t="s">
        <v>1855</v>
      </c>
      <c r="B4270" s="17" t="s">
        <v>10317</v>
      </c>
      <c r="C4270" s="17" t="s">
        <v>790</v>
      </c>
      <c r="D4270" s="25" t="s">
        <v>7242</v>
      </c>
      <c r="E4270" s="19" t="s">
        <v>7303</v>
      </c>
      <c r="F4270" s="19" t="s">
        <v>7347</v>
      </c>
      <c r="G4270" s="5" t="str">
        <f>HYPERLINK("http://jsmh.umin.jp/journal/47-3/504-505.pdf")</f>
        <v>http://jsmh.umin.jp/journal/47-3/504-505.pdf</v>
      </c>
      <c r="H4270" s="43"/>
    </row>
    <row r="4271" spans="1:8" ht="30" customHeight="1" x14ac:dyDescent="0.15">
      <c r="A4271" s="16" t="s">
        <v>1855</v>
      </c>
      <c r="B4271" s="17" t="s">
        <v>7348</v>
      </c>
      <c r="C4271" s="17" t="s">
        <v>6857</v>
      </c>
      <c r="D4271" s="25" t="s">
        <v>7242</v>
      </c>
      <c r="E4271" s="19" t="s">
        <v>7303</v>
      </c>
      <c r="F4271" s="19" t="s">
        <v>5949</v>
      </c>
      <c r="G4271" s="5" t="str">
        <f>HYPERLINK("http://jsmh.umin.jp/journal/47-3/506-507.pdf")</f>
        <v>http://jsmh.umin.jp/journal/47-3/506-507.pdf</v>
      </c>
      <c r="H4271" s="43"/>
    </row>
    <row r="4272" spans="1:8" ht="30" customHeight="1" x14ac:dyDescent="0.15">
      <c r="A4272" s="16" t="s">
        <v>1855</v>
      </c>
      <c r="B4272" s="17" t="s">
        <v>7349</v>
      </c>
      <c r="C4272" s="17" t="s">
        <v>6909</v>
      </c>
      <c r="D4272" s="25" t="s">
        <v>7242</v>
      </c>
      <c r="E4272" s="19" t="s">
        <v>7303</v>
      </c>
      <c r="F4272" s="19" t="s">
        <v>7350</v>
      </c>
      <c r="G4272" s="5" t="str">
        <f>HYPERLINK("http://jsmh.umin.jp/journal/47-3/508-509.pdf")</f>
        <v>http://jsmh.umin.jp/journal/47-3/508-509.pdf</v>
      </c>
      <c r="H4272" s="43"/>
    </row>
    <row r="4273" spans="1:8" ht="30" customHeight="1" x14ac:dyDescent="0.15">
      <c r="A4273" s="16" t="s">
        <v>1855</v>
      </c>
      <c r="B4273" s="17" t="s">
        <v>7351</v>
      </c>
      <c r="C4273" s="17" t="s">
        <v>7352</v>
      </c>
      <c r="D4273" s="25" t="s">
        <v>7242</v>
      </c>
      <c r="E4273" s="19" t="s">
        <v>7303</v>
      </c>
      <c r="F4273" s="19" t="s">
        <v>5178</v>
      </c>
      <c r="G4273" s="5" t="str">
        <f>HYPERLINK("http://jsmh.umin.jp/journal/47-3/510-511.pdf")</f>
        <v>http://jsmh.umin.jp/journal/47-3/510-511.pdf</v>
      </c>
      <c r="H4273" s="43"/>
    </row>
    <row r="4274" spans="1:8" ht="30" customHeight="1" x14ac:dyDescent="0.15">
      <c r="A4274" s="16" t="s">
        <v>1855</v>
      </c>
      <c r="B4274" s="17" t="s">
        <v>7353</v>
      </c>
      <c r="C4274" s="17" t="s">
        <v>6882</v>
      </c>
      <c r="D4274" s="25" t="s">
        <v>7242</v>
      </c>
      <c r="E4274" s="19" t="s">
        <v>7303</v>
      </c>
      <c r="F4274" s="19" t="s">
        <v>5182</v>
      </c>
      <c r="G4274" s="5" t="str">
        <f>HYPERLINK("http://jsmh.umin.jp/journal/47-3/512-513.pdf")</f>
        <v>http://jsmh.umin.jp/journal/47-3/512-513.pdf</v>
      </c>
      <c r="H4274" s="43"/>
    </row>
    <row r="4275" spans="1:8" ht="30" customHeight="1" x14ac:dyDescent="0.15">
      <c r="A4275" s="16" t="s">
        <v>1855</v>
      </c>
      <c r="B4275" s="17" t="s">
        <v>7354</v>
      </c>
      <c r="C4275" s="17" t="s">
        <v>6370</v>
      </c>
      <c r="D4275" s="25" t="s">
        <v>7242</v>
      </c>
      <c r="E4275" s="19" t="s">
        <v>7303</v>
      </c>
      <c r="F4275" s="19" t="s">
        <v>7355</v>
      </c>
      <c r="G4275" s="5" t="str">
        <f>HYPERLINK("http://jsmh.umin.jp/journal/47-3/514-515.pdf")</f>
        <v>http://jsmh.umin.jp/journal/47-3/514-515.pdf</v>
      </c>
      <c r="H4275" s="43"/>
    </row>
    <row r="4276" spans="1:8" ht="30" customHeight="1" x14ac:dyDescent="0.15">
      <c r="A4276" s="16" t="s">
        <v>1855</v>
      </c>
      <c r="B4276" s="17" t="s">
        <v>7356</v>
      </c>
      <c r="C4276" s="17" t="s">
        <v>7109</v>
      </c>
      <c r="D4276" s="25" t="s">
        <v>7242</v>
      </c>
      <c r="E4276" s="19" t="s">
        <v>7303</v>
      </c>
      <c r="F4276" s="19" t="s">
        <v>5186</v>
      </c>
      <c r="G4276" s="5" t="str">
        <f>HYPERLINK("http://jsmh.umin.jp/journal/47-3/516-517.pdf")</f>
        <v>http://jsmh.umin.jp/journal/47-3/516-517.pdf</v>
      </c>
      <c r="H4276" s="43"/>
    </row>
    <row r="4277" spans="1:8" ht="30" customHeight="1" x14ac:dyDescent="0.15">
      <c r="A4277" s="16" t="s">
        <v>1855</v>
      </c>
      <c r="B4277" s="17" t="s">
        <v>10318</v>
      </c>
      <c r="C4277" s="17" t="s">
        <v>6838</v>
      </c>
      <c r="D4277" s="25" t="s">
        <v>7242</v>
      </c>
      <c r="E4277" s="19" t="s">
        <v>7303</v>
      </c>
      <c r="F4277" s="19" t="s">
        <v>7357</v>
      </c>
      <c r="G4277" s="5" t="str">
        <f>HYPERLINK("http://jsmh.umin.jp/journal/47-3/518-519.pdf")</f>
        <v>http://jsmh.umin.jp/journal/47-3/518-519.pdf</v>
      </c>
      <c r="H4277" s="43"/>
    </row>
    <row r="4278" spans="1:8" ht="30" customHeight="1" x14ac:dyDescent="0.15">
      <c r="A4278" s="16" t="s">
        <v>1855</v>
      </c>
      <c r="B4278" s="17" t="s">
        <v>7358</v>
      </c>
      <c r="C4278" s="17" t="s">
        <v>7359</v>
      </c>
      <c r="D4278" s="25" t="s">
        <v>7242</v>
      </c>
      <c r="E4278" s="19" t="s">
        <v>7303</v>
      </c>
      <c r="F4278" s="19" t="s">
        <v>4669</v>
      </c>
      <c r="G4278" s="5" t="str">
        <f>HYPERLINK("http://jsmh.umin.jp/journal/47-3/520-521.pdf")</f>
        <v>http://jsmh.umin.jp/journal/47-3/520-521.pdf</v>
      </c>
      <c r="H4278" s="43"/>
    </row>
    <row r="4279" spans="1:8" ht="30" customHeight="1" x14ac:dyDescent="0.15">
      <c r="A4279" s="16" t="s">
        <v>1855</v>
      </c>
      <c r="B4279" s="17" t="s">
        <v>7360</v>
      </c>
      <c r="C4279" s="17" t="s">
        <v>10289</v>
      </c>
      <c r="D4279" s="25" t="s">
        <v>7242</v>
      </c>
      <c r="E4279" s="19" t="s">
        <v>7303</v>
      </c>
      <c r="F4279" s="19" t="s">
        <v>5550</v>
      </c>
      <c r="G4279" s="5" t="str">
        <f>HYPERLINK("http://jsmh.umin.jp/journal/47-3/522-523.pdf")</f>
        <v>http://jsmh.umin.jp/journal/47-3/522-523.pdf</v>
      </c>
      <c r="H4279" s="43"/>
    </row>
    <row r="4280" spans="1:8" ht="30" customHeight="1" x14ac:dyDescent="0.15">
      <c r="A4280" s="16" t="s">
        <v>1855</v>
      </c>
      <c r="B4280" s="17" t="s">
        <v>7361</v>
      </c>
      <c r="C4280" s="17" t="s">
        <v>5516</v>
      </c>
      <c r="D4280" s="25" t="s">
        <v>7242</v>
      </c>
      <c r="E4280" s="19" t="s">
        <v>7303</v>
      </c>
      <c r="F4280" s="19" t="s">
        <v>7362</v>
      </c>
      <c r="G4280" s="5" t="str">
        <f>HYPERLINK("http://jsmh.umin.jp/journal/47-3/524-525.pdf")</f>
        <v>http://jsmh.umin.jp/journal/47-3/524-525.pdf</v>
      </c>
      <c r="H4280" s="43"/>
    </row>
    <row r="4281" spans="1:8" ht="30" customHeight="1" x14ac:dyDescent="0.15">
      <c r="A4281" s="16" t="s">
        <v>1855</v>
      </c>
      <c r="B4281" s="17" t="s">
        <v>7363</v>
      </c>
      <c r="C4281" s="17" t="s">
        <v>7364</v>
      </c>
      <c r="D4281" s="25" t="s">
        <v>7242</v>
      </c>
      <c r="E4281" s="19" t="s">
        <v>7303</v>
      </c>
      <c r="F4281" s="19" t="s">
        <v>4480</v>
      </c>
      <c r="G4281" s="5" t="str">
        <f>HYPERLINK("http://jsmh.umin.jp/journal/47-3/526-527.pdf")</f>
        <v>http://jsmh.umin.jp/journal/47-3/526-527.pdf</v>
      </c>
      <c r="H4281" s="43"/>
    </row>
    <row r="4282" spans="1:8" ht="30" customHeight="1" x14ac:dyDescent="0.15">
      <c r="A4282" s="16" t="s">
        <v>1855</v>
      </c>
      <c r="B4282" s="17" t="s">
        <v>7365</v>
      </c>
      <c r="C4282" s="17" t="s">
        <v>7366</v>
      </c>
      <c r="D4282" s="25" t="s">
        <v>7242</v>
      </c>
      <c r="E4282" s="19" t="s">
        <v>7303</v>
      </c>
      <c r="F4282" s="19" t="s">
        <v>4486</v>
      </c>
      <c r="G4282" s="5" t="str">
        <f>HYPERLINK("http://jsmh.umin.jp/journal/47-3/528-529.pdf")</f>
        <v>http://jsmh.umin.jp/journal/47-3/528-529.pdf</v>
      </c>
      <c r="H4282" s="43"/>
    </row>
    <row r="4283" spans="1:8" ht="30" customHeight="1" x14ac:dyDescent="0.15">
      <c r="A4283" s="16" t="s">
        <v>1855</v>
      </c>
      <c r="B4283" s="17" t="s">
        <v>10319</v>
      </c>
      <c r="C4283" s="17" t="s">
        <v>7176</v>
      </c>
      <c r="D4283" s="25" t="s">
        <v>7242</v>
      </c>
      <c r="E4283" s="19" t="s">
        <v>7303</v>
      </c>
      <c r="F4283" s="19" t="s">
        <v>4490</v>
      </c>
      <c r="G4283" s="5" t="str">
        <f>HYPERLINK("http://jsmh.umin.jp/journal/47-3/530-531.pdf")</f>
        <v>http://jsmh.umin.jp/journal/47-3/530-531.pdf</v>
      </c>
      <c r="H4283" s="43"/>
    </row>
    <row r="4284" spans="1:8" ht="30" customHeight="1" x14ac:dyDescent="0.15">
      <c r="A4284" s="16" t="s">
        <v>1855</v>
      </c>
      <c r="B4284" s="17" t="s">
        <v>7367</v>
      </c>
      <c r="C4284" s="17" t="s">
        <v>7148</v>
      </c>
      <c r="D4284" s="25" t="s">
        <v>7242</v>
      </c>
      <c r="E4284" s="19" t="s">
        <v>7303</v>
      </c>
      <c r="F4284" s="19" t="s">
        <v>4688</v>
      </c>
      <c r="G4284" s="5" t="str">
        <f>HYPERLINK("http://jsmh.umin.jp/journal/47-3/532-533.pdf")</f>
        <v>http://jsmh.umin.jp/journal/47-3/532-533.pdf</v>
      </c>
      <c r="H4284" s="43"/>
    </row>
    <row r="4285" spans="1:8" ht="30" customHeight="1" x14ac:dyDescent="0.15">
      <c r="A4285" s="16" t="s">
        <v>1855</v>
      </c>
      <c r="B4285" s="17" t="s">
        <v>7368</v>
      </c>
      <c r="C4285" s="17" t="s">
        <v>5471</v>
      </c>
      <c r="D4285" s="25" t="s">
        <v>7242</v>
      </c>
      <c r="E4285" s="19" t="s">
        <v>7303</v>
      </c>
      <c r="F4285" s="19" t="s">
        <v>4493</v>
      </c>
      <c r="G4285" s="5" t="str">
        <f>HYPERLINK("http://jsmh.umin.jp/journal/47-3/534-535.pdf")</f>
        <v>http://jsmh.umin.jp/journal/47-3/534-535.pdf</v>
      </c>
      <c r="H4285" s="43"/>
    </row>
    <row r="4286" spans="1:8" ht="30" customHeight="1" x14ac:dyDescent="0.15">
      <c r="A4286" s="16" t="s">
        <v>1855</v>
      </c>
      <c r="B4286" s="17" t="s">
        <v>7369</v>
      </c>
      <c r="C4286" s="17" t="s">
        <v>2881</v>
      </c>
      <c r="D4286" s="25" t="s">
        <v>7242</v>
      </c>
      <c r="E4286" s="19" t="s">
        <v>7303</v>
      </c>
      <c r="F4286" s="19" t="s">
        <v>4694</v>
      </c>
      <c r="G4286" s="5" t="str">
        <f>HYPERLINK("http://jsmh.umin.jp/journal/47-3/536-537.pdf")</f>
        <v>http://jsmh.umin.jp/journal/47-3/536-537.pdf</v>
      </c>
      <c r="H4286" s="43"/>
    </row>
    <row r="4287" spans="1:8" ht="30" customHeight="1" x14ac:dyDescent="0.15">
      <c r="A4287" s="16" t="s">
        <v>1855</v>
      </c>
      <c r="B4287" s="17" t="s">
        <v>7370</v>
      </c>
      <c r="C4287" s="17" t="s">
        <v>7180</v>
      </c>
      <c r="D4287" s="25" t="s">
        <v>7242</v>
      </c>
      <c r="E4287" s="19" t="s">
        <v>7303</v>
      </c>
      <c r="F4287" s="19" t="s">
        <v>4500</v>
      </c>
      <c r="G4287" s="5" t="str">
        <f>HYPERLINK("http://jsmh.umin.jp/journal/47-3/538-539.pdf")</f>
        <v>http://jsmh.umin.jp/journal/47-3/538-539.pdf</v>
      </c>
      <c r="H4287" s="43"/>
    </row>
    <row r="4288" spans="1:8" ht="30" customHeight="1" x14ac:dyDescent="0.15">
      <c r="A4288" s="16" t="s">
        <v>1855</v>
      </c>
      <c r="B4288" s="17" t="s">
        <v>7371</v>
      </c>
      <c r="C4288" s="17" t="s">
        <v>7372</v>
      </c>
      <c r="D4288" s="25" t="s">
        <v>7242</v>
      </c>
      <c r="E4288" s="19" t="s">
        <v>7303</v>
      </c>
      <c r="F4288" s="19" t="s">
        <v>4699</v>
      </c>
      <c r="G4288" s="5" t="str">
        <f>HYPERLINK("http://jsmh.umin.jp/journal/47-3/540-541.pdf")</f>
        <v>http://jsmh.umin.jp/journal/47-3/540-541.pdf</v>
      </c>
      <c r="H4288" s="43"/>
    </row>
    <row r="4289" spans="1:8" ht="30" customHeight="1" x14ac:dyDescent="0.15">
      <c r="A4289" s="16" t="s">
        <v>1855</v>
      </c>
      <c r="B4289" s="17" t="s">
        <v>7373</v>
      </c>
      <c r="C4289" s="17" t="s">
        <v>7197</v>
      </c>
      <c r="D4289" s="25" t="s">
        <v>7242</v>
      </c>
      <c r="E4289" s="19" t="s">
        <v>7303</v>
      </c>
      <c r="F4289" s="19" t="s">
        <v>7374</v>
      </c>
      <c r="G4289" s="5" t="str">
        <f>HYPERLINK("http://jsmh.umin.jp/journal/47-3/542-543.pdf")</f>
        <v>http://jsmh.umin.jp/journal/47-3/542-543.pdf</v>
      </c>
      <c r="H4289" s="43"/>
    </row>
    <row r="4290" spans="1:8" ht="30" customHeight="1" x14ac:dyDescent="0.15">
      <c r="A4290" s="16" t="s">
        <v>1855</v>
      </c>
      <c r="B4290" s="17" t="s">
        <v>7375</v>
      </c>
      <c r="C4290" s="17" t="s">
        <v>4039</v>
      </c>
      <c r="D4290" s="25" t="s">
        <v>7242</v>
      </c>
      <c r="E4290" s="19" t="s">
        <v>7303</v>
      </c>
      <c r="F4290" s="19" t="s">
        <v>4508</v>
      </c>
      <c r="G4290" s="5" t="str">
        <f>HYPERLINK("http://jsmh.umin.jp/journal/47-3/544-545.pdf")</f>
        <v>http://jsmh.umin.jp/journal/47-3/544-545.pdf</v>
      </c>
      <c r="H4290" s="43"/>
    </row>
    <row r="4291" spans="1:8" ht="30" customHeight="1" x14ac:dyDescent="0.15">
      <c r="A4291" s="16" t="s">
        <v>1855</v>
      </c>
      <c r="B4291" s="17" t="s">
        <v>7376</v>
      </c>
      <c r="C4291" s="17" t="s">
        <v>7377</v>
      </c>
      <c r="D4291" s="25" t="s">
        <v>7242</v>
      </c>
      <c r="E4291" s="19" t="s">
        <v>7303</v>
      </c>
      <c r="F4291" s="19" t="s">
        <v>4707</v>
      </c>
      <c r="G4291" s="5" t="str">
        <f>HYPERLINK("http://jsmh.umin.jp/journal/47-3/546-547.pdf")</f>
        <v>http://jsmh.umin.jp/journal/47-3/546-547.pdf</v>
      </c>
      <c r="H4291" s="43"/>
    </row>
    <row r="4292" spans="1:8" ht="30" customHeight="1" x14ac:dyDescent="0.15">
      <c r="A4292" s="16" t="s">
        <v>1855</v>
      </c>
      <c r="B4292" s="17" t="s">
        <v>7378</v>
      </c>
      <c r="C4292" s="17" t="s">
        <v>6640</v>
      </c>
      <c r="D4292" s="25" t="s">
        <v>7242</v>
      </c>
      <c r="E4292" s="19" t="s">
        <v>7303</v>
      </c>
      <c r="F4292" s="19" t="s">
        <v>6581</v>
      </c>
      <c r="G4292" s="5" t="str">
        <f>HYPERLINK("http://jsmh.umin.jp/journal/47-3/548-549.pdf")</f>
        <v>http://jsmh.umin.jp/journal/47-3/548-549.pdf</v>
      </c>
      <c r="H4292" s="43"/>
    </row>
    <row r="4293" spans="1:8" ht="30" customHeight="1" x14ac:dyDescent="0.15">
      <c r="A4293" s="16" t="s">
        <v>1855</v>
      </c>
      <c r="B4293" s="17" t="s">
        <v>7379</v>
      </c>
      <c r="C4293" s="17" t="s">
        <v>6686</v>
      </c>
      <c r="D4293" s="25" t="s">
        <v>7242</v>
      </c>
      <c r="E4293" s="19" t="s">
        <v>7303</v>
      </c>
      <c r="F4293" s="19" t="s">
        <v>7380</v>
      </c>
      <c r="G4293" s="5" t="str">
        <f>HYPERLINK("http://jsmh.umin.jp/journal/47-3/550-551.pdf")</f>
        <v>http://jsmh.umin.jp/journal/47-3/550-551.pdf</v>
      </c>
      <c r="H4293" s="43"/>
    </row>
    <row r="4294" spans="1:8" ht="30" customHeight="1" x14ac:dyDescent="0.15">
      <c r="A4294" s="16" t="s">
        <v>1855</v>
      </c>
      <c r="B4294" s="17" t="s">
        <v>7381</v>
      </c>
      <c r="C4294" s="17" t="s">
        <v>6300</v>
      </c>
      <c r="D4294" s="25" t="s">
        <v>7242</v>
      </c>
      <c r="E4294" s="19" t="s">
        <v>7303</v>
      </c>
      <c r="F4294" s="19" t="s">
        <v>7382</v>
      </c>
      <c r="G4294" s="5" t="str">
        <f>HYPERLINK("http://jsmh.umin.jp/journal/47-3/552-553.pdf")</f>
        <v>http://jsmh.umin.jp/journal/47-3/552-553.pdf</v>
      </c>
      <c r="H4294" s="43"/>
    </row>
    <row r="4295" spans="1:8" ht="30" customHeight="1" x14ac:dyDescent="0.15">
      <c r="A4295" s="16" t="s">
        <v>1855</v>
      </c>
      <c r="B4295" s="17" t="s">
        <v>7383</v>
      </c>
      <c r="C4295" s="17" t="s">
        <v>6705</v>
      </c>
      <c r="D4295" s="25" t="s">
        <v>7242</v>
      </c>
      <c r="E4295" s="19" t="s">
        <v>7303</v>
      </c>
      <c r="F4295" s="19" t="s">
        <v>7384</v>
      </c>
      <c r="G4295" s="5" t="str">
        <f>HYPERLINK("http://jsmh.umin.jp/journal/47-3/554-555.pdf")</f>
        <v>http://jsmh.umin.jp/journal/47-3/554-555.pdf</v>
      </c>
      <c r="H4295" s="43"/>
    </row>
    <row r="4296" spans="1:8" ht="30" customHeight="1" x14ac:dyDescent="0.15">
      <c r="A4296" s="16" t="s">
        <v>1855</v>
      </c>
      <c r="B4296" s="17" t="s">
        <v>7385</v>
      </c>
      <c r="C4296" s="17" t="s">
        <v>5588</v>
      </c>
      <c r="D4296" s="25" t="s">
        <v>7242</v>
      </c>
      <c r="E4296" s="19" t="s">
        <v>7303</v>
      </c>
      <c r="F4296" s="19" t="s">
        <v>6595</v>
      </c>
      <c r="G4296" s="5" t="str">
        <f>HYPERLINK("http://jsmh.umin.jp/journal/47-3/556-557.pdf")</f>
        <v>http://jsmh.umin.jp/journal/47-3/556-557.pdf</v>
      </c>
      <c r="H4296" s="43"/>
    </row>
    <row r="4297" spans="1:8" ht="30" customHeight="1" x14ac:dyDescent="0.15">
      <c r="A4297" s="16" t="s">
        <v>1855</v>
      </c>
      <c r="B4297" s="17" t="s">
        <v>10320</v>
      </c>
      <c r="C4297" s="17" t="s">
        <v>10280</v>
      </c>
      <c r="D4297" s="25" t="s">
        <v>7242</v>
      </c>
      <c r="E4297" s="19" t="s">
        <v>7303</v>
      </c>
      <c r="F4297" s="19" t="s">
        <v>7386</v>
      </c>
      <c r="G4297" s="5" t="str">
        <f>HYPERLINK("http://jsmh.umin.jp/journal/47-3/558-559.pdf")</f>
        <v>http://jsmh.umin.jp/journal/47-3/558-559.pdf</v>
      </c>
      <c r="H4297" s="43"/>
    </row>
    <row r="4298" spans="1:8" ht="30" customHeight="1" x14ac:dyDescent="0.15">
      <c r="A4298" s="16" t="s">
        <v>1855</v>
      </c>
      <c r="B4298" s="17" t="s">
        <v>7387</v>
      </c>
      <c r="C4298" s="17" t="s">
        <v>10299</v>
      </c>
      <c r="D4298" s="25" t="s">
        <v>7242</v>
      </c>
      <c r="E4298" s="19" t="s">
        <v>7303</v>
      </c>
      <c r="F4298" s="19" t="s">
        <v>6602</v>
      </c>
      <c r="G4298" s="5" t="str">
        <f>HYPERLINK("http://jsmh.umin.jp/journal/47-3/560-561.pdf")</f>
        <v>http://jsmh.umin.jp/journal/47-3/560-561.pdf</v>
      </c>
      <c r="H4298" s="43"/>
    </row>
    <row r="4299" spans="1:8" ht="30" customHeight="1" x14ac:dyDescent="0.15">
      <c r="A4299" s="16" t="s">
        <v>1855</v>
      </c>
      <c r="B4299" s="17" t="s">
        <v>7388</v>
      </c>
      <c r="C4299" s="17" t="s">
        <v>4892</v>
      </c>
      <c r="D4299" s="25" t="s">
        <v>7242</v>
      </c>
      <c r="E4299" s="19" t="s">
        <v>7303</v>
      </c>
      <c r="F4299" s="19" t="s">
        <v>7389</v>
      </c>
      <c r="G4299" s="5" t="str">
        <f>HYPERLINK("http://jsmh.umin.jp/journal/47-3/562-563.pdf")</f>
        <v>http://jsmh.umin.jp/journal/47-3/562-563.pdf</v>
      </c>
      <c r="H4299" s="43"/>
    </row>
    <row r="4300" spans="1:8" ht="30" customHeight="1" x14ac:dyDescent="0.15">
      <c r="A4300" s="16" t="s">
        <v>1855</v>
      </c>
      <c r="B4300" s="17" t="s">
        <v>7390</v>
      </c>
      <c r="C4300" s="17" t="s">
        <v>7391</v>
      </c>
      <c r="D4300" s="25" t="s">
        <v>7242</v>
      </c>
      <c r="E4300" s="19" t="s">
        <v>7303</v>
      </c>
      <c r="F4300" s="19" t="s">
        <v>6611</v>
      </c>
      <c r="G4300" s="5" t="str">
        <f>HYPERLINK("http://jsmh.umin.jp/journal/47-3/564-565.pdf")</f>
        <v>http://jsmh.umin.jp/journal/47-3/564-565.pdf</v>
      </c>
      <c r="H4300" s="43"/>
    </row>
    <row r="4301" spans="1:8" ht="30" customHeight="1" x14ac:dyDescent="0.15">
      <c r="A4301" s="16" t="s">
        <v>1855</v>
      </c>
      <c r="B4301" s="17" t="s">
        <v>7392</v>
      </c>
      <c r="C4301" s="17" t="s">
        <v>5660</v>
      </c>
      <c r="D4301" s="25" t="s">
        <v>7242</v>
      </c>
      <c r="E4301" s="19" t="s">
        <v>7303</v>
      </c>
      <c r="F4301" s="19" t="s">
        <v>6614</v>
      </c>
      <c r="G4301" s="5" t="str">
        <f>HYPERLINK("http://jsmh.umin.jp/journal/47-3/566-567.pdf")</f>
        <v>http://jsmh.umin.jp/journal/47-3/566-567.pdf</v>
      </c>
      <c r="H4301" s="43"/>
    </row>
    <row r="4302" spans="1:8" ht="30" customHeight="1" x14ac:dyDescent="0.15">
      <c r="A4302" s="16" t="s">
        <v>1855</v>
      </c>
      <c r="B4302" s="17" t="s">
        <v>7393</v>
      </c>
      <c r="C4302" s="17" t="s">
        <v>1764</v>
      </c>
      <c r="D4302" s="25" t="s">
        <v>7242</v>
      </c>
      <c r="E4302" s="19" t="s">
        <v>7303</v>
      </c>
      <c r="F4302" s="19" t="s">
        <v>7394</v>
      </c>
      <c r="G4302" s="5" t="str">
        <f>HYPERLINK("http://jsmh.umin.jp/journal/47-3/568-569.pdf")</f>
        <v>http://jsmh.umin.jp/journal/47-3/568-569.pdf</v>
      </c>
      <c r="H4302" s="43"/>
    </row>
    <row r="4303" spans="1:8" ht="30" customHeight="1" x14ac:dyDescent="0.15">
      <c r="A4303" s="16" t="s">
        <v>1855</v>
      </c>
      <c r="B4303" s="17" t="s">
        <v>7395</v>
      </c>
      <c r="C4303" s="17" t="s">
        <v>4085</v>
      </c>
      <c r="D4303" s="25" t="s">
        <v>7242</v>
      </c>
      <c r="E4303" s="19" t="s">
        <v>7303</v>
      </c>
      <c r="F4303" s="19" t="s">
        <v>7396</v>
      </c>
      <c r="G4303" s="5" t="str">
        <f>HYPERLINK("http://jsmh.umin.jp/journal/47-3/570-571.pdf")</f>
        <v>http://jsmh.umin.jp/journal/47-3/570-571.pdf</v>
      </c>
      <c r="H4303" s="43"/>
    </row>
    <row r="4304" spans="1:8" ht="30" customHeight="1" x14ac:dyDescent="0.15">
      <c r="A4304" s="16" t="s">
        <v>1855</v>
      </c>
      <c r="B4304" s="17" t="s">
        <v>7397</v>
      </c>
      <c r="C4304" s="17" t="s">
        <v>4848</v>
      </c>
      <c r="D4304" s="25" t="s">
        <v>7242</v>
      </c>
      <c r="E4304" s="19" t="s">
        <v>7303</v>
      </c>
      <c r="F4304" s="19" t="s">
        <v>7398</v>
      </c>
      <c r="G4304" s="5" t="str">
        <f>HYPERLINK("http://jsmh.umin.jp/journal/47-3/572-573.pdf")</f>
        <v>http://jsmh.umin.jp/journal/47-3/572-573.pdf</v>
      </c>
      <c r="H4304" s="43"/>
    </row>
    <row r="4305" spans="1:8" ht="30" customHeight="1" x14ac:dyDescent="0.15">
      <c r="A4305" s="16" t="s">
        <v>1855</v>
      </c>
      <c r="B4305" s="17" t="s">
        <v>7399</v>
      </c>
      <c r="C4305" s="17" t="s">
        <v>1082</v>
      </c>
      <c r="D4305" s="25" t="s">
        <v>7242</v>
      </c>
      <c r="E4305" s="19" t="s">
        <v>7303</v>
      </c>
      <c r="F4305" s="19" t="s">
        <v>7400</v>
      </c>
      <c r="G4305" s="5" t="str">
        <f>HYPERLINK("http://jsmh.umin.jp/journal/47-3/574-575.pdf")</f>
        <v>http://jsmh.umin.jp/journal/47-3/574-575.pdf</v>
      </c>
      <c r="H4305" s="43"/>
    </row>
    <row r="4306" spans="1:8" ht="30" customHeight="1" x14ac:dyDescent="0.15">
      <c r="A4306" s="16" t="s">
        <v>1855</v>
      </c>
      <c r="B4306" s="17" t="s">
        <v>7401</v>
      </c>
      <c r="C4306" s="17" t="s">
        <v>444</v>
      </c>
      <c r="D4306" s="25" t="s">
        <v>7242</v>
      </c>
      <c r="E4306" s="19" t="s">
        <v>7303</v>
      </c>
      <c r="F4306" s="19" t="s">
        <v>6791</v>
      </c>
      <c r="G4306" s="5" t="str">
        <f>HYPERLINK("http://jsmh.umin.jp/journal/47-3/576-577.pdf")</f>
        <v>http://jsmh.umin.jp/journal/47-3/576-577.pdf</v>
      </c>
      <c r="H4306" s="43"/>
    </row>
    <row r="4307" spans="1:8" ht="30" customHeight="1" x14ac:dyDescent="0.15">
      <c r="A4307" s="16" t="s">
        <v>1855</v>
      </c>
      <c r="B4307" s="17" t="s">
        <v>7402</v>
      </c>
      <c r="C4307" s="17" t="s">
        <v>7403</v>
      </c>
      <c r="D4307" s="25" t="s">
        <v>7242</v>
      </c>
      <c r="E4307" s="19" t="s">
        <v>7303</v>
      </c>
      <c r="F4307" s="19" t="s">
        <v>6793</v>
      </c>
      <c r="G4307" s="5" t="str">
        <f>HYPERLINK("http://jsmh.umin.jp/journal/47-3/578-579.pdf")</f>
        <v>http://jsmh.umin.jp/journal/47-3/578-579.pdf</v>
      </c>
      <c r="H4307" s="43"/>
    </row>
    <row r="4308" spans="1:8" ht="30" customHeight="1" x14ac:dyDescent="0.15">
      <c r="A4308" s="16" t="s">
        <v>1855</v>
      </c>
      <c r="B4308" s="17" t="s">
        <v>7404</v>
      </c>
      <c r="C4308" s="17" t="s">
        <v>7405</v>
      </c>
      <c r="D4308" s="25" t="s">
        <v>7242</v>
      </c>
      <c r="E4308" s="19" t="s">
        <v>7303</v>
      </c>
      <c r="F4308" s="19" t="s">
        <v>7406</v>
      </c>
      <c r="G4308" s="5" t="str">
        <f>HYPERLINK("http://jsmh.umin.jp/journal/47-3/580-581.pdf")</f>
        <v>http://jsmh.umin.jp/journal/47-3/580-581.pdf</v>
      </c>
      <c r="H4308" s="43"/>
    </row>
    <row r="4309" spans="1:8" ht="30" customHeight="1" x14ac:dyDescent="0.15">
      <c r="A4309" s="16" t="s">
        <v>1855</v>
      </c>
      <c r="B4309" s="17" t="s">
        <v>10321</v>
      </c>
      <c r="C4309" s="17" t="s">
        <v>1070</v>
      </c>
      <c r="D4309" s="25" t="s">
        <v>7242</v>
      </c>
      <c r="E4309" s="19" t="s">
        <v>7303</v>
      </c>
      <c r="F4309" s="19" t="s">
        <v>6801</v>
      </c>
      <c r="G4309" s="5" t="str">
        <f>HYPERLINK("http://jsmh.umin.jp/journal/47-3/582-583.pdf")</f>
        <v>http://jsmh.umin.jp/journal/47-3/582-583.pdf</v>
      </c>
      <c r="H4309" s="43"/>
    </row>
    <row r="4310" spans="1:8" ht="30" customHeight="1" x14ac:dyDescent="0.15">
      <c r="A4310" s="16" t="s">
        <v>1855</v>
      </c>
      <c r="B4310" s="17" t="s">
        <v>7407</v>
      </c>
      <c r="C4310" s="17" t="s">
        <v>5080</v>
      </c>
      <c r="D4310" s="25" t="s">
        <v>7242</v>
      </c>
      <c r="E4310" s="19" t="s">
        <v>7303</v>
      </c>
      <c r="F4310" s="19" t="s">
        <v>7408</v>
      </c>
      <c r="G4310" s="5" t="str">
        <f>HYPERLINK("http://jsmh.umin.jp/journal/47-3/584-585.pdf")</f>
        <v>http://jsmh.umin.jp/journal/47-3/584-585.pdf</v>
      </c>
      <c r="H4310" s="43"/>
    </row>
    <row r="4311" spans="1:8" ht="30" customHeight="1" x14ac:dyDescent="0.15">
      <c r="A4311" s="16" t="s">
        <v>1855</v>
      </c>
      <c r="B4311" s="17" t="s">
        <v>7409</v>
      </c>
      <c r="C4311" s="17" t="s">
        <v>4585</v>
      </c>
      <c r="D4311" s="25" t="s">
        <v>7242</v>
      </c>
      <c r="E4311" s="19" t="s">
        <v>7303</v>
      </c>
      <c r="F4311" s="19" t="s">
        <v>7410</v>
      </c>
      <c r="G4311" s="5" t="str">
        <f>HYPERLINK("http://jsmh.umin.jp/journal/47-3/586-587.pdf")</f>
        <v>http://jsmh.umin.jp/journal/47-3/586-587.pdf</v>
      </c>
      <c r="H4311" s="43"/>
    </row>
    <row r="4312" spans="1:8" ht="30" customHeight="1" x14ac:dyDescent="0.15">
      <c r="A4312" s="16" t="s">
        <v>1855</v>
      </c>
      <c r="B4312" s="17" t="s">
        <v>7411</v>
      </c>
      <c r="C4312" s="17" t="s">
        <v>3655</v>
      </c>
      <c r="D4312" s="25" t="s">
        <v>7242</v>
      </c>
      <c r="E4312" s="19" t="s">
        <v>7303</v>
      </c>
      <c r="F4312" s="19" t="s">
        <v>7412</v>
      </c>
      <c r="G4312" s="5" t="str">
        <f>HYPERLINK("http://jsmh.umin.jp/journal/47-3/588-589.pdf")</f>
        <v>http://jsmh.umin.jp/journal/47-3/588-589.pdf</v>
      </c>
      <c r="H4312" s="43"/>
    </row>
    <row r="4313" spans="1:8" ht="30" customHeight="1" x14ac:dyDescent="0.15">
      <c r="A4313" s="16" t="s">
        <v>1855</v>
      </c>
      <c r="B4313" s="17" t="s">
        <v>7413</v>
      </c>
      <c r="C4313" s="17" t="s">
        <v>5569</v>
      </c>
      <c r="D4313" s="25" t="s">
        <v>7242</v>
      </c>
      <c r="E4313" s="19" t="s">
        <v>7303</v>
      </c>
      <c r="F4313" s="19" t="s">
        <v>7414</v>
      </c>
      <c r="G4313" s="5" t="str">
        <f>HYPERLINK("http://jsmh.umin.jp/journal/47-3/590-591.pdf")</f>
        <v>http://jsmh.umin.jp/journal/47-3/590-591.pdf</v>
      </c>
      <c r="H4313" s="43"/>
    </row>
    <row r="4314" spans="1:8" ht="30" customHeight="1" x14ac:dyDescent="0.15">
      <c r="A4314" s="16" t="s">
        <v>1855</v>
      </c>
      <c r="B4314" s="17" t="s">
        <v>7415</v>
      </c>
      <c r="C4314" s="17" t="s">
        <v>7136</v>
      </c>
      <c r="D4314" s="25" t="s">
        <v>7242</v>
      </c>
      <c r="E4314" s="19" t="s">
        <v>7303</v>
      </c>
      <c r="F4314" s="19" t="s">
        <v>7416</v>
      </c>
      <c r="G4314" s="5" t="str">
        <f>HYPERLINK("http://jsmh.umin.jp/journal/47-3/592-593.pdf")</f>
        <v>http://jsmh.umin.jp/journal/47-3/592-593.pdf</v>
      </c>
      <c r="H4314" s="43"/>
    </row>
    <row r="4315" spans="1:8" ht="30" customHeight="1" x14ac:dyDescent="0.15">
      <c r="A4315" s="16" t="s">
        <v>1855</v>
      </c>
      <c r="B4315" s="17" t="s">
        <v>7417</v>
      </c>
      <c r="C4315" s="17" t="s">
        <v>6656</v>
      </c>
      <c r="D4315" s="25" t="s">
        <v>7242</v>
      </c>
      <c r="E4315" s="19" t="s">
        <v>7303</v>
      </c>
      <c r="F4315" s="19" t="s">
        <v>7418</v>
      </c>
      <c r="G4315" s="5" t="str">
        <f>HYPERLINK("http://jsmh.umin.jp/journal/47-3/594-595.pdf")</f>
        <v>http://jsmh.umin.jp/journal/47-3/594-595.pdf</v>
      </c>
      <c r="H4315" s="43"/>
    </row>
    <row r="4316" spans="1:8" ht="30" customHeight="1" x14ac:dyDescent="0.15">
      <c r="A4316" s="16" t="s">
        <v>1855</v>
      </c>
      <c r="B4316" s="17" t="s">
        <v>7419</v>
      </c>
      <c r="C4316" s="17" t="s">
        <v>7420</v>
      </c>
      <c r="D4316" s="25" t="s">
        <v>7242</v>
      </c>
      <c r="E4316" s="19" t="s">
        <v>7303</v>
      </c>
      <c r="F4316" s="19" t="s">
        <v>5775</v>
      </c>
      <c r="G4316" s="5" t="str">
        <f>HYPERLINK("http://jsmh.umin.jp/journal/47-3/596-597.pdf")</f>
        <v>http://jsmh.umin.jp/journal/47-3/596-597.pdf</v>
      </c>
      <c r="H4316" s="43"/>
    </row>
    <row r="4317" spans="1:8" ht="30" customHeight="1" x14ac:dyDescent="0.15">
      <c r="A4317" s="16" t="s">
        <v>1855</v>
      </c>
      <c r="B4317" s="17" t="s">
        <v>7421</v>
      </c>
      <c r="C4317" s="17" t="s">
        <v>7422</v>
      </c>
      <c r="D4317" s="25" t="s">
        <v>7242</v>
      </c>
      <c r="E4317" s="19" t="s">
        <v>7303</v>
      </c>
      <c r="F4317" s="19" t="s">
        <v>7423</v>
      </c>
      <c r="G4317" s="5" t="str">
        <f>HYPERLINK("http://jsmh.umin.jp/journal/47-3/598-599.pdf")</f>
        <v>http://jsmh.umin.jp/journal/47-3/598-599.pdf</v>
      </c>
      <c r="H4317" s="43"/>
    </row>
    <row r="4318" spans="1:8" ht="30" customHeight="1" x14ac:dyDescent="0.15">
      <c r="A4318" s="16" t="s">
        <v>1855</v>
      </c>
      <c r="B4318" s="17" t="s">
        <v>7424</v>
      </c>
      <c r="C4318" s="17" t="s">
        <v>1929</v>
      </c>
      <c r="D4318" s="25" t="s">
        <v>7242</v>
      </c>
      <c r="E4318" s="19" t="s">
        <v>7303</v>
      </c>
      <c r="F4318" s="19" t="s">
        <v>5782</v>
      </c>
      <c r="G4318" s="5" t="str">
        <f>HYPERLINK("http://jsmh.umin.jp/journal/47-3/600-601.pdf")</f>
        <v>http://jsmh.umin.jp/journal/47-3/600-601.pdf</v>
      </c>
      <c r="H4318" s="43"/>
    </row>
    <row r="4319" spans="1:8" ht="30" customHeight="1" x14ac:dyDescent="0.15">
      <c r="A4319" s="16" t="s">
        <v>1855</v>
      </c>
      <c r="B4319" s="17" t="s">
        <v>7425</v>
      </c>
      <c r="C4319" s="17" t="s">
        <v>2233</v>
      </c>
      <c r="D4319" s="25" t="s">
        <v>7242</v>
      </c>
      <c r="E4319" s="19" t="s">
        <v>7303</v>
      </c>
      <c r="F4319" s="19" t="s">
        <v>7426</v>
      </c>
      <c r="G4319" s="5" t="str">
        <f>HYPERLINK("http://jsmh.umin.jp/journal/47-3/602-603.pdf")</f>
        <v>http://jsmh.umin.jp/journal/47-3/602-603.pdf</v>
      </c>
      <c r="H4319" s="43"/>
    </row>
    <row r="4320" spans="1:8" ht="30" customHeight="1" x14ac:dyDescent="0.15">
      <c r="A4320" s="16" t="s">
        <v>1855</v>
      </c>
      <c r="B4320" s="17" t="s">
        <v>7427</v>
      </c>
      <c r="C4320" s="17" t="s">
        <v>6920</v>
      </c>
      <c r="D4320" s="25" t="s">
        <v>7242</v>
      </c>
      <c r="E4320" s="19" t="s">
        <v>7303</v>
      </c>
      <c r="F4320" s="19" t="s">
        <v>5789</v>
      </c>
      <c r="G4320" s="5" t="str">
        <f>HYPERLINK("http://jsmh.umin.jp/journal/47-3/604-605.pdf")</f>
        <v>http://jsmh.umin.jp/journal/47-3/604-605.pdf</v>
      </c>
      <c r="H4320" s="43"/>
    </row>
    <row r="4321" spans="1:8" ht="30" customHeight="1" x14ac:dyDescent="0.15">
      <c r="A4321" s="16"/>
      <c r="B4321" s="17" t="s">
        <v>7428</v>
      </c>
      <c r="C4321" s="17"/>
      <c r="D4321" s="25" t="s">
        <v>7242</v>
      </c>
      <c r="E4321" s="19" t="s">
        <v>7303</v>
      </c>
      <c r="F4321" s="19" t="s">
        <v>7429</v>
      </c>
      <c r="G4321" s="5" t="str">
        <f>HYPERLINK("http://jsmh.umin.jp/journal/47-3/606-657.pdf")</f>
        <v>http://jsmh.umin.jp/journal/47-3/606-657.pdf</v>
      </c>
      <c r="H4321" s="43"/>
    </row>
    <row r="4322" spans="1:8" ht="30" customHeight="1" x14ac:dyDescent="0.15">
      <c r="A4322" s="16" t="s">
        <v>17</v>
      </c>
      <c r="B4322" s="17" t="s">
        <v>7430</v>
      </c>
      <c r="C4322" s="17" t="s">
        <v>7431</v>
      </c>
      <c r="D4322" s="25" t="s">
        <v>7242</v>
      </c>
      <c r="E4322" s="19" t="s">
        <v>7432</v>
      </c>
      <c r="F4322" s="19" t="s">
        <v>7433</v>
      </c>
      <c r="G4322" s="5" t="str">
        <f>HYPERLINK("http://jsmh.umin.jp/journal/47-4/665-696.pdf")</f>
        <v>http://jsmh.umin.jp/journal/47-4/665-696.pdf</v>
      </c>
      <c r="H4322" s="43"/>
    </row>
    <row r="4323" spans="1:8" ht="30" customHeight="1" x14ac:dyDescent="0.15">
      <c r="A4323" s="16" t="s">
        <v>17</v>
      </c>
      <c r="B4323" s="17" t="s">
        <v>7434</v>
      </c>
      <c r="C4323" s="17" t="s">
        <v>7435</v>
      </c>
      <c r="D4323" s="25" t="s">
        <v>7242</v>
      </c>
      <c r="E4323" s="19" t="s">
        <v>7432</v>
      </c>
      <c r="F4323" s="19" t="s">
        <v>7436</v>
      </c>
      <c r="G4323" s="5" t="str">
        <f>HYPERLINK("http://jsmh.umin.jp/journal/47-4/697-755.pdf")</f>
        <v>http://jsmh.umin.jp/journal/47-4/697-755.pdf</v>
      </c>
      <c r="H4323" s="43"/>
    </row>
    <row r="4324" spans="1:8" ht="30" customHeight="1" x14ac:dyDescent="0.15">
      <c r="A4324" s="16" t="s">
        <v>558</v>
      </c>
      <c r="B4324" s="17" t="s">
        <v>10616</v>
      </c>
      <c r="C4324" s="17" t="s">
        <v>2233</v>
      </c>
      <c r="D4324" s="25" t="s">
        <v>7242</v>
      </c>
      <c r="E4324" s="19" t="s">
        <v>7432</v>
      </c>
      <c r="F4324" s="19" t="s">
        <v>7437</v>
      </c>
      <c r="G4324" s="5" t="str">
        <f>HYPERLINK("http://jsmh.umin.jp/journal/47-4/756.pdf")</f>
        <v>http://jsmh.umin.jp/journal/47-4/756.pdf</v>
      </c>
      <c r="H4324" s="43"/>
    </row>
    <row r="4325" spans="1:8" ht="30" customHeight="1" x14ac:dyDescent="0.15">
      <c r="A4325" s="16" t="s">
        <v>17</v>
      </c>
      <c r="B4325" s="17" t="s">
        <v>7438</v>
      </c>
      <c r="C4325" s="17" t="s">
        <v>5084</v>
      </c>
      <c r="D4325" s="25" t="s">
        <v>7242</v>
      </c>
      <c r="E4325" s="19" t="s">
        <v>7432</v>
      </c>
      <c r="F4325" s="19" t="s">
        <v>7439</v>
      </c>
      <c r="G4325" s="5" t="str">
        <f>HYPERLINK("http://jsmh.umin.jp/journal/47-4/757-796.pdf")</f>
        <v>http://jsmh.umin.jp/journal/47-4/757-796.pdf</v>
      </c>
      <c r="H4325" s="43"/>
    </row>
    <row r="4326" spans="1:8" ht="30" customHeight="1" x14ac:dyDescent="0.15">
      <c r="A4326" s="16" t="s">
        <v>17</v>
      </c>
      <c r="B4326" s="17" t="s">
        <v>7440</v>
      </c>
      <c r="C4326" s="17" t="s">
        <v>5569</v>
      </c>
      <c r="D4326" s="25" t="s">
        <v>7242</v>
      </c>
      <c r="E4326" s="19" t="s">
        <v>7432</v>
      </c>
      <c r="F4326" s="19" t="s">
        <v>7441</v>
      </c>
      <c r="G4326" s="5" t="str">
        <f>HYPERLINK("http://jsmh.umin.jp/journal/47-4/797-818.pdf")</f>
        <v>http://jsmh.umin.jp/journal/47-4/797-818.pdf</v>
      </c>
      <c r="H4326" s="43"/>
    </row>
    <row r="4327" spans="1:8" ht="30" customHeight="1" x14ac:dyDescent="0.15">
      <c r="A4327" s="16" t="s">
        <v>3387</v>
      </c>
      <c r="B4327" s="17" t="s">
        <v>7442</v>
      </c>
      <c r="C4327" s="17" t="s">
        <v>5542</v>
      </c>
      <c r="D4327" s="25" t="s">
        <v>7242</v>
      </c>
      <c r="E4327" s="19" t="s">
        <v>7432</v>
      </c>
      <c r="F4327" s="19" t="s">
        <v>7443</v>
      </c>
      <c r="G4327" s="5" t="str">
        <f>HYPERLINK("http://jsmh.umin.jp/journal/47-4/819-826.pdf")</f>
        <v>http://jsmh.umin.jp/journal/47-4/819-826.pdf</v>
      </c>
      <c r="H4327" s="43"/>
    </row>
    <row r="4328" spans="1:8" ht="30" customHeight="1" x14ac:dyDescent="0.15">
      <c r="A4328" s="16" t="s">
        <v>692</v>
      </c>
      <c r="B4328" s="17" t="s">
        <v>7444</v>
      </c>
      <c r="C4328" s="17" t="s">
        <v>6300</v>
      </c>
      <c r="D4328" s="25" t="s">
        <v>7242</v>
      </c>
      <c r="E4328" s="19" t="s">
        <v>7432</v>
      </c>
      <c r="F4328" s="19" t="s">
        <v>7445</v>
      </c>
      <c r="G4328" s="5" t="str">
        <f>HYPERLINK("http://jsmh.umin.jp/journal/47-4/827-843.pdf")</f>
        <v>http://jsmh.umin.jp/journal/47-4/827-843.pdf</v>
      </c>
      <c r="H4328" s="43"/>
    </row>
    <row r="4329" spans="1:8" ht="30" customHeight="1" x14ac:dyDescent="0.15">
      <c r="A4329" s="16" t="s">
        <v>692</v>
      </c>
      <c r="B4329" s="17" t="s">
        <v>10322</v>
      </c>
      <c r="C4329" s="17" t="s">
        <v>7283</v>
      </c>
      <c r="D4329" s="25" t="s">
        <v>7242</v>
      </c>
      <c r="E4329" s="19" t="s">
        <v>7432</v>
      </c>
      <c r="F4329" s="19" t="s">
        <v>7446</v>
      </c>
      <c r="G4329" s="5" t="str">
        <f>HYPERLINK("http://jsmh.umin.jp/journal/47-4/844-853.pdf")</f>
        <v>http://jsmh.umin.jp/journal/47-4/844-853.pdf</v>
      </c>
      <c r="H4329" s="43"/>
    </row>
    <row r="4330" spans="1:8" ht="30" customHeight="1" x14ac:dyDescent="0.15">
      <c r="A4330" s="16" t="s">
        <v>3720</v>
      </c>
      <c r="B4330" s="17" t="s">
        <v>7447</v>
      </c>
      <c r="C4330" s="17" t="s">
        <v>7448</v>
      </c>
      <c r="D4330" s="25" t="s">
        <v>7242</v>
      </c>
      <c r="E4330" s="19" t="s">
        <v>7432</v>
      </c>
      <c r="F4330" s="19" t="s">
        <v>7449</v>
      </c>
      <c r="G4330" s="5" t="str">
        <f>HYPERLINK("http://jsmh.umin.jp/journal/47-4/854-855.pdf")</f>
        <v>http://jsmh.umin.jp/journal/47-4/854-855.pdf</v>
      </c>
      <c r="H4330" s="43"/>
    </row>
    <row r="4331" spans="1:8" ht="30" customHeight="1" x14ac:dyDescent="0.15">
      <c r="A4331" s="16" t="s">
        <v>558</v>
      </c>
      <c r="B4331" s="17" t="s">
        <v>537</v>
      </c>
      <c r="C4331" s="17"/>
      <c r="D4331" s="25" t="s">
        <v>7242</v>
      </c>
      <c r="E4331" s="19" t="s">
        <v>7432</v>
      </c>
      <c r="F4331" s="19" t="s">
        <v>7450</v>
      </c>
      <c r="G4331" s="5" t="str">
        <f>HYPERLINK("http://jsmh.umin.jp/journal/47-4/854.pdf")</f>
        <v>http://jsmh.umin.jp/journal/47-4/854.pdf</v>
      </c>
      <c r="H4331" s="43"/>
    </row>
    <row r="4332" spans="1:8" ht="30" customHeight="1" x14ac:dyDescent="0.15">
      <c r="A4332" s="16" t="s">
        <v>3720</v>
      </c>
      <c r="B4332" s="17" t="s">
        <v>7451</v>
      </c>
      <c r="C4332" s="17" t="s">
        <v>7452</v>
      </c>
      <c r="D4332" s="25" t="s">
        <v>7242</v>
      </c>
      <c r="E4332" s="19" t="s">
        <v>7432</v>
      </c>
      <c r="F4332" s="19" t="s">
        <v>7453</v>
      </c>
      <c r="G4332" s="5" t="str">
        <f>HYPERLINK("http://jsmh.umin.jp/journal/47-4/855-857.pdf")</f>
        <v>http://jsmh.umin.jp/journal/47-4/855-857.pdf</v>
      </c>
      <c r="H4332" s="43"/>
    </row>
    <row r="4333" spans="1:8" ht="30" customHeight="1" x14ac:dyDescent="0.15">
      <c r="A4333" s="16" t="s">
        <v>3720</v>
      </c>
      <c r="B4333" s="17" t="s">
        <v>7454</v>
      </c>
      <c r="C4333" s="17" t="s">
        <v>444</v>
      </c>
      <c r="D4333" s="25" t="s">
        <v>7242</v>
      </c>
      <c r="E4333" s="19" t="s">
        <v>7432</v>
      </c>
      <c r="F4333" s="19" t="s">
        <v>7455</v>
      </c>
      <c r="G4333" s="5" t="str">
        <f>HYPERLINK("http://jsmh.umin.jp/journal/47-4/857-859.pdf")</f>
        <v>http://jsmh.umin.jp/journal/47-4/857-859.pdf</v>
      </c>
      <c r="H4333" s="43"/>
    </row>
    <row r="4334" spans="1:8" ht="30" customHeight="1" x14ac:dyDescent="0.15">
      <c r="A4334" s="16" t="s">
        <v>3720</v>
      </c>
      <c r="B4334" s="17" t="s">
        <v>7456</v>
      </c>
      <c r="C4334" s="17" t="s">
        <v>5221</v>
      </c>
      <c r="D4334" s="25" t="s">
        <v>7242</v>
      </c>
      <c r="E4334" s="19" t="s">
        <v>7432</v>
      </c>
      <c r="F4334" s="19" t="s">
        <v>7457</v>
      </c>
      <c r="G4334" s="5" t="str">
        <f>HYPERLINK("http://jsmh.umin.jp/journal/47-4/859-860.pdf")</f>
        <v>http://jsmh.umin.jp/journal/47-4/859-860.pdf</v>
      </c>
      <c r="H4334" s="43"/>
    </row>
    <row r="4335" spans="1:8" ht="30" customHeight="1" x14ac:dyDescent="0.15">
      <c r="A4335" s="16" t="s">
        <v>3720</v>
      </c>
      <c r="B4335" s="17" t="s">
        <v>7458</v>
      </c>
      <c r="C4335" s="17" t="s">
        <v>7452</v>
      </c>
      <c r="D4335" s="25" t="s">
        <v>7242</v>
      </c>
      <c r="E4335" s="19" t="s">
        <v>7432</v>
      </c>
      <c r="F4335" s="19" t="s">
        <v>7459</v>
      </c>
      <c r="G4335" s="5" t="str">
        <f>HYPERLINK("http://jsmh.umin.jp/journal/47-4/860-862.pdf")</f>
        <v>http://jsmh.umin.jp/journal/47-4/860-862.pdf</v>
      </c>
      <c r="H4335" s="43"/>
    </row>
    <row r="4336" spans="1:8" ht="30" customHeight="1" x14ac:dyDescent="0.15">
      <c r="A4336" s="16" t="s">
        <v>2990</v>
      </c>
      <c r="B4336" s="17" t="s">
        <v>7460</v>
      </c>
      <c r="C4336" s="17" t="s">
        <v>2327</v>
      </c>
      <c r="D4336" s="25" t="s">
        <v>7242</v>
      </c>
      <c r="E4336" s="19" t="s">
        <v>7432</v>
      </c>
      <c r="F4336" s="19" t="s">
        <v>7461</v>
      </c>
      <c r="G4336" s="5" t="str">
        <f>HYPERLINK("http://jsmh.umin.jp/journal/47-4/862-863.pdf")</f>
        <v>http://jsmh.umin.jp/journal/47-4/862-863.pdf</v>
      </c>
      <c r="H4336" s="43"/>
    </row>
    <row r="4337" spans="1:8" ht="30" customHeight="1" x14ac:dyDescent="0.15">
      <c r="A4337" s="16" t="s">
        <v>2990</v>
      </c>
      <c r="B4337" s="17" t="s">
        <v>10323</v>
      </c>
      <c r="C4337" s="17" t="s">
        <v>4342</v>
      </c>
      <c r="D4337" s="25" t="s">
        <v>7242</v>
      </c>
      <c r="E4337" s="19" t="s">
        <v>7432</v>
      </c>
      <c r="F4337" s="19" t="s">
        <v>7462</v>
      </c>
      <c r="G4337" s="5" t="str">
        <f>HYPERLINK("http://jsmh.umin.jp/journal/47-4/863-865.pdf")</f>
        <v>http://jsmh.umin.jp/journal/47-4/863-865.pdf</v>
      </c>
      <c r="H4337" s="43"/>
    </row>
    <row r="4338" spans="1:8" ht="30" customHeight="1" x14ac:dyDescent="0.15">
      <c r="A4338" s="16" t="s">
        <v>2990</v>
      </c>
      <c r="B4338" s="17" t="s">
        <v>7463</v>
      </c>
      <c r="C4338" s="17" t="s">
        <v>5295</v>
      </c>
      <c r="D4338" s="25" t="s">
        <v>7242</v>
      </c>
      <c r="E4338" s="19" t="s">
        <v>7432</v>
      </c>
      <c r="F4338" s="19" t="s">
        <v>7464</v>
      </c>
      <c r="G4338" s="5" t="str">
        <f>HYPERLINK("http://jsmh.umin.jp/journal/47-4/865-866.pdf")</f>
        <v>http://jsmh.umin.jp/journal/47-4/865-866.pdf</v>
      </c>
      <c r="H4338" s="43"/>
    </row>
    <row r="4339" spans="1:8" ht="30" customHeight="1" x14ac:dyDescent="0.15">
      <c r="A4339" s="16" t="s">
        <v>2990</v>
      </c>
      <c r="B4339" s="17" t="s">
        <v>7465</v>
      </c>
      <c r="C4339" s="17" t="s">
        <v>2937</v>
      </c>
      <c r="D4339" s="25" t="s">
        <v>7242</v>
      </c>
      <c r="E4339" s="19" t="s">
        <v>7432</v>
      </c>
      <c r="F4339" s="19" t="s">
        <v>7466</v>
      </c>
      <c r="G4339" s="5" t="str">
        <f>HYPERLINK("http://jsmh.umin.jp/journal/47-4/866-868.pdf")</f>
        <v>http://jsmh.umin.jp/journal/47-4/866-868.pdf</v>
      </c>
      <c r="H4339" s="43"/>
    </row>
    <row r="4340" spans="1:8" ht="30" customHeight="1" x14ac:dyDescent="0.15">
      <c r="A4340" s="16" t="s">
        <v>2990</v>
      </c>
      <c r="B4340" s="17" t="s">
        <v>7467</v>
      </c>
      <c r="C4340" s="17" t="s">
        <v>7468</v>
      </c>
      <c r="D4340" s="25" t="s">
        <v>7242</v>
      </c>
      <c r="E4340" s="19" t="s">
        <v>7432</v>
      </c>
      <c r="F4340" s="19" t="s">
        <v>7469</v>
      </c>
      <c r="G4340" s="5" t="str">
        <f>HYPERLINK("http://jsmh.umin.jp/journal/47-4/868-869.pdf")</f>
        <v>http://jsmh.umin.jp/journal/47-4/868-869.pdf</v>
      </c>
      <c r="H4340" s="43"/>
    </row>
    <row r="4341" spans="1:8" ht="30" customHeight="1" x14ac:dyDescent="0.15">
      <c r="A4341" s="16" t="s">
        <v>2990</v>
      </c>
      <c r="B4341" s="17" t="s">
        <v>7470</v>
      </c>
      <c r="C4341" s="17" t="s">
        <v>2528</v>
      </c>
      <c r="D4341" s="25" t="s">
        <v>7242</v>
      </c>
      <c r="E4341" s="19" t="s">
        <v>7432</v>
      </c>
      <c r="F4341" s="19" t="s">
        <v>7471</v>
      </c>
      <c r="G4341" s="5" t="str">
        <f>HYPERLINK("http://jsmh.umin.jp/journal/47-4/869-870.pdf")</f>
        <v>http://jsmh.umin.jp/journal/47-4/869-870.pdf</v>
      </c>
      <c r="H4341" s="43"/>
    </row>
    <row r="4342" spans="1:8" ht="30" customHeight="1" x14ac:dyDescent="0.15">
      <c r="A4342" s="16" t="s">
        <v>2990</v>
      </c>
      <c r="B4342" s="17" t="s">
        <v>7472</v>
      </c>
      <c r="C4342" s="17" t="s">
        <v>5058</v>
      </c>
      <c r="D4342" s="25" t="s">
        <v>7242</v>
      </c>
      <c r="E4342" s="19" t="s">
        <v>7432</v>
      </c>
      <c r="F4342" s="19" t="s">
        <v>7473</v>
      </c>
      <c r="G4342" s="5" t="str">
        <f>HYPERLINK("http://jsmh.umin.jp/journal/47-4/870-871.pdf")</f>
        <v>http://jsmh.umin.jp/journal/47-4/870-871.pdf</v>
      </c>
      <c r="H4342" s="43"/>
    </row>
    <row r="4343" spans="1:8" ht="30" customHeight="1" x14ac:dyDescent="0.15">
      <c r="A4343" s="16" t="s">
        <v>2990</v>
      </c>
      <c r="B4343" s="17" t="s">
        <v>7474</v>
      </c>
      <c r="C4343" s="17" t="s">
        <v>444</v>
      </c>
      <c r="D4343" s="25" t="s">
        <v>7242</v>
      </c>
      <c r="E4343" s="19" t="s">
        <v>7432</v>
      </c>
      <c r="F4343" s="19" t="s">
        <v>7475</v>
      </c>
      <c r="G4343" s="5" t="str">
        <f>HYPERLINK("http://jsmh.umin.jp/journal/47-4/871-873.pdf")</f>
        <v>http://jsmh.umin.jp/journal/47-4/871-873.pdf</v>
      </c>
      <c r="H4343" s="43"/>
    </row>
    <row r="4344" spans="1:8" ht="30" customHeight="1" x14ac:dyDescent="0.15">
      <c r="A4344" s="16" t="s">
        <v>17</v>
      </c>
      <c r="B4344" s="17" t="s">
        <v>7476</v>
      </c>
      <c r="C4344" s="17" t="s">
        <v>3196</v>
      </c>
      <c r="D4344" s="18" t="s">
        <v>7477</v>
      </c>
      <c r="E4344" s="19" t="s">
        <v>7478</v>
      </c>
      <c r="F4344" s="19" t="s">
        <v>6806</v>
      </c>
      <c r="G4344" s="4" t="str">
        <f>HYPERLINK("http://jsmh.umin.jp/journal/48-1/3-30.pdf")</f>
        <v>http://jsmh.umin.jp/journal/48-1/3-30.pdf</v>
      </c>
      <c r="H4344" s="43"/>
    </row>
    <row r="4345" spans="1:8" ht="30" customHeight="1" x14ac:dyDescent="0.15">
      <c r="A4345" s="16" t="s">
        <v>17</v>
      </c>
      <c r="B4345" s="17" t="s">
        <v>7479</v>
      </c>
      <c r="C4345" s="17" t="s">
        <v>1764</v>
      </c>
      <c r="D4345" s="25" t="s">
        <v>7477</v>
      </c>
      <c r="E4345" s="19" t="s">
        <v>7478</v>
      </c>
      <c r="F4345" s="19" t="s">
        <v>7480</v>
      </c>
      <c r="G4345" s="5" t="str">
        <f>HYPERLINK("http://jsmh.umin.jp/journal/48-1/31-51.pdf")</f>
        <v>http://jsmh.umin.jp/journal/48-1/31-51.pdf</v>
      </c>
      <c r="H4345" s="43"/>
    </row>
    <row r="4346" spans="1:8" ht="30" customHeight="1" x14ac:dyDescent="0.15">
      <c r="A4346" s="16" t="s">
        <v>558</v>
      </c>
      <c r="B4346" s="17" t="s">
        <v>10615</v>
      </c>
      <c r="C4346" s="17" t="s">
        <v>925</v>
      </c>
      <c r="D4346" s="25" t="s">
        <v>7477</v>
      </c>
      <c r="E4346" s="19" t="s">
        <v>7478</v>
      </c>
      <c r="F4346" s="19" t="s">
        <v>1106</v>
      </c>
      <c r="G4346" s="5" t="str">
        <f>HYPERLINK("http://jsmh.umin.jp/journal/48-1/52.pdf")</f>
        <v>http://jsmh.umin.jp/journal/48-1/52.pdf</v>
      </c>
      <c r="H4346" s="43"/>
    </row>
    <row r="4347" spans="1:8" ht="30" customHeight="1" x14ac:dyDescent="0.15">
      <c r="A4347" s="16" t="s">
        <v>17</v>
      </c>
      <c r="B4347" s="17" t="s">
        <v>10324</v>
      </c>
      <c r="C4347" s="17" t="s">
        <v>790</v>
      </c>
      <c r="D4347" s="25" t="s">
        <v>7477</v>
      </c>
      <c r="E4347" s="19" t="s">
        <v>7478</v>
      </c>
      <c r="F4347" s="19" t="s">
        <v>7481</v>
      </c>
      <c r="G4347" s="5" t="str">
        <f>HYPERLINK("http://jsmh.umin.jp/journal/48-1/53-65.pdf")</f>
        <v>http://jsmh.umin.jp/journal/48-1/53-65.pdf</v>
      </c>
      <c r="H4347" s="43"/>
    </row>
    <row r="4348" spans="1:8" ht="30" customHeight="1" x14ac:dyDescent="0.15">
      <c r="A4348" s="16" t="s">
        <v>558</v>
      </c>
      <c r="B4348" s="17" t="s">
        <v>10614</v>
      </c>
      <c r="C4348" s="17" t="s">
        <v>6300</v>
      </c>
      <c r="D4348" s="25" t="s">
        <v>7477</v>
      </c>
      <c r="E4348" s="19" t="s">
        <v>7478</v>
      </c>
      <c r="F4348" s="19" t="s">
        <v>560</v>
      </c>
      <c r="G4348" s="5" t="str">
        <f>HYPERLINK("http://jsmh.umin.jp/journal/48-1/66.pdf")</f>
        <v>http://jsmh.umin.jp/journal/48-1/66.pdf</v>
      </c>
      <c r="H4348" s="43"/>
    </row>
    <row r="4349" spans="1:8" ht="30" customHeight="1" x14ac:dyDescent="0.15">
      <c r="A4349" s="16" t="s">
        <v>3387</v>
      </c>
      <c r="B4349" s="17" t="s">
        <v>7482</v>
      </c>
      <c r="C4349" s="17" t="s">
        <v>7483</v>
      </c>
      <c r="D4349" s="25" t="s">
        <v>7477</v>
      </c>
      <c r="E4349" s="19" t="s">
        <v>7478</v>
      </c>
      <c r="F4349" s="19" t="s">
        <v>7484</v>
      </c>
      <c r="G4349" s="5" t="str">
        <f>HYPERLINK("http://jsmh.umin.jp/journal/48-1/67-79.pdf")</f>
        <v>http://jsmh.umin.jp/journal/48-1/67-79.pdf</v>
      </c>
      <c r="H4349" s="43"/>
    </row>
    <row r="4350" spans="1:8" ht="30" customHeight="1" x14ac:dyDescent="0.15">
      <c r="A4350" s="16" t="s">
        <v>558</v>
      </c>
      <c r="B4350" s="17" t="s">
        <v>7485</v>
      </c>
      <c r="C4350" s="17" t="s">
        <v>5471</v>
      </c>
      <c r="D4350" s="25" t="s">
        <v>7477</v>
      </c>
      <c r="E4350" s="19" t="s">
        <v>7478</v>
      </c>
      <c r="F4350" s="19" t="s">
        <v>2514</v>
      </c>
      <c r="G4350" s="5" t="str">
        <f>HYPERLINK("http://jsmh.umin.jp/journal/48-1/80.pdf")</f>
        <v>http://jsmh.umin.jp/journal/48-1/80.pdf</v>
      </c>
      <c r="H4350" s="43"/>
    </row>
    <row r="4351" spans="1:8" ht="30" customHeight="1" x14ac:dyDescent="0.15">
      <c r="A4351" s="16" t="s">
        <v>4265</v>
      </c>
      <c r="B4351" s="17" t="s">
        <v>7486</v>
      </c>
      <c r="C4351" s="17" t="s">
        <v>6823</v>
      </c>
      <c r="D4351" s="25" t="s">
        <v>7477</v>
      </c>
      <c r="E4351" s="19" t="s">
        <v>7478</v>
      </c>
      <c r="F4351" s="19" t="s">
        <v>7487</v>
      </c>
      <c r="G4351" s="5" t="str">
        <f>HYPERLINK("http://jsmh.umin.jp/journal/48-1/81-89.pdf")</f>
        <v>http://jsmh.umin.jp/journal/48-1/81-89.pdf</v>
      </c>
      <c r="H4351" s="43"/>
    </row>
    <row r="4352" spans="1:8" ht="30" customHeight="1" x14ac:dyDescent="0.15">
      <c r="A4352" s="16" t="s">
        <v>692</v>
      </c>
      <c r="B4352" s="17" t="s">
        <v>7488</v>
      </c>
      <c r="C4352" s="17" t="s">
        <v>1764</v>
      </c>
      <c r="D4352" s="25" t="s">
        <v>7477</v>
      </c>
      <c r="E4352" s="19" t="s">
        <v>7478</v>
      </c>
      <c r="F4352" s="19" t="s">
        <v>7489</v>
      </c>
      <c r="G4352" s="5" t="str">
        <f>HYPERLINK("http://jsmh.umin.jp/journal/48-1/90-103.pdf")</f>
        <v>http://jsmh.umin.jp/journal/48-1/90-103.pdf</v>
      </c>
      <c r="H4352" s="43"/>
    </row>
    <row r="4353" spans="1:8" ht="30" customHeight="1" x14ac:dyDescent="0.15">
      <c r="A4353" s="16" t="s">
        <v>3720</v>
      </c>
      <c r="B4353" s="17" t="s">
        <v>7490</v>
      </c>
      <c r="C4353" s="17" t="s">
        <v>4085</v>
      </c>
      <c r="D4353" s="25" t="s">
        <v>7477</v>
      </c>
      <c r="E4353" s="19" t="s">
        <v>7478</v>
      </c>
      <c r="F4353" s="19" t="s">
        <v>5021</v>
      </c>
      <c r="G4353" s="5" t="str">
        <f>HYPERLINK("http://jsmh.umin.jp/journal/48-1/104-106.pdf")</f>
        <v>http://jsmh.umin.jp/journal/48-1/104-106.pdf</v>
      </c>
      <c r="H4353" s="43"/>
    </row>
    <row r="4354" spans="1:8" ht="30" customHeight="1" x14ac:dyDescent="0.15">
      <c r="A4354" s="16" t="s">
        <v>558</v>
      </c>
      <c r="B4354" s="17" t="s">
        <v>537</v>
      </c>
      <c r="C4354" s="17"/>
      <c r="D4354" s="25" t="s">
        <v>7477</v>
      </c>
      <c r="E4354" s="19" t="s">
        <v>7478</v>
      </c>
      <c r="F4354" s="19" t="s">
        <v>50</v>
      </c>
      <c r="G4354" s="5" t="str">
        <f>HYPERLINK("http://jsmh.umin.jp/journal/48-1/104.pdf")</f>
        <v>http://jsmh.umin.jp/journal/48-1/104.pdf</v>
      </c>
      <c r="H4354" s="43"/>
    </row>
    <row r="4355" spans="1:8" ht="30" customHeight="1" x14ac:dyDescent="0.15">
      <c r="A4355" s="16" t="s">
        <v>3720</v>
      </c>
      <c r="B4355" s="17" t="s">
        <v>7491</v>
      </c>
      <c r="C4355" s="17" t="s">
        <v>4039</v>
      </c>
      <c r="D4355" s="25" t="s">
        <v>7477</v>
      </c>
      <c r="E4355" s="19" t="s">
        <v>7478</v>
      </c>
      <c r="F4355" s="19" t="s">
        <v>5023</v>
      </c>
      <c r="G4355" s="5" t="str">
        <f>HYPERLINK("http://jsmh.umin.jp/journal/48-1/106-108.pdf")</f>
        <v>http://jsmh.umin.jp/journal/48-1/106-108.pdf</v>
      </c>
      <c r="H4355" s="43"/>
    </row>
    <row r="4356" spans="1:8" ht="30" customHeight="1" x14ac:dyDescent="0.15">
      <c r="A4356" s="16" t="s">
        <v>2990</v>
      </c>
      <c r="B4356" s="17" t="s">
        <v>7492</v>
      </c>
      <c r="C4356" s="17" t="s">
        <v>10140</v>
      </c>
      <c r="D4356" s="25" t="s">
        <v>7477</v>
      </c>
      <c r="E4356" s="19" t="s">
        <v>7478</v>
      </c>
      <c r="F4356" s="19" t="s">
        <v>3604</v>
      </c>
      <c r="G4356" s="5" t="str">
        <f>HYPERLINK("http://jsmh.umin.jp/journal/48-1/108-110.pdf")</f>
        <v>http://jsmh.umin.jp/journal/48-1/108-110.pdf</v>
      </c>
      <c r="H4356" s="43"/>
    </row>
    <row r="4357" spans="1:8" ht="30" customHeight="1" x14ac:dyDescent="0.15">
      <c r="A4357" s="16" t="s">
        <v>2990</v>
      </c>
      <c r="B4357" s="17" t="s">
        <v>10325</v>
      </c>
      <c r="C4357" s="17" t="s">
        <v>1994</v>
      </c>
      <c r="D4357" s="25" t="s">
        <v>7477</v>
      </c>
      <c r="E4357" s="19" t="s">
        <v>7478</v>
      </c>
      <c r="F4357" s="19" t="s">
        <v>2389</v>
      </c>
      <c r="G4357" s="5" t="str">
        <f>HYPERLINK("http://jsmh.umin.jp/journal/48-1/110-111.pdf")</f>
        <v>http://jsmh.umin.jp/journal/48-1/110-111.pdf</v>
      </c>
      <c r="H4357" s="43"/>
    </row>
    <row r="4358" spans="1:8" ht="30" customHeight="1" x14ac:dyDescent="0.15">
      <c r="A4358" s="16" t="s">
        <v>2990</v>
      </c>
      <c r="B4358" s="17" t="s">
        <v>7493</v>
      </c>
      <c r="C4358" s="17" t="s">
        <v>2891</v>
      </c>
      <c r="D4358" s="25" t="s">
        <v>7477</v>
      </c>
      <c r="E4358" s="19" t="s">
        <v>7478</v>
      </c>
      <c r="F4358" s="19" t="s">
        <v>6192</v>
      </c>
      <c r="G4358" s="5" t="str">
        <f>HYPERLINK("http://jsmh.umin.jp/journal/48-1/111-113.pdf")</f>
        <v>http://jsmh.umin.jp/journal/48-1/111-113.pdf</v>
      </c>
      <c r="H4358" s="43"/>
    </row>
    <row r="4359" spans="1:8" ht="30" customHeight="1" x14ac:dyDescent="0.15">
      <c r="A4359" s="16" t="s">
        <v>2990</v>
      </c>
      <c r="B4359" s="17" t="s">
        <v>7494</v>
      </c>
      <c r="C4359" s="17" t="s">
        <v>48</v>
      </c>
      <c r="D4359" s="25" t="s">
        <v>7477</v>
      </c>
      <c r="E4359" s="19" t="s">
        <v>7478</v>
      </c>
      <c r="F4359" s="19" t="s">
        <v>3608</v>
      </c>
      <c r="G4359" s="5" t="str">
        <f>HYPERLINK("http://jsmh.umin.jp/journal/48-1/113-115.pdf")</f>
        <v>http://jsmh.umin.jp/journal/48-1/113-115.pdf</v>
      </c>
      <c r="H4359" s="43"/>
    </row>
    <row r="4360" spans="1:8" ht="30" customHeight="1" x14ac:dyDescent="0.15">
      <c r="A4360" s="16" t="s">
        <v>2990</v>
      </c>
      <c r="B4360" s="17" t="s">
        <v>7495</v>
      </c>
      <c r="C4360" s="17" t="s">
        <v>444</v>
      </c>
      <c r="D4360" s="25" t="s">
        <v>7477</v>
      </c>
      <c r="E4360" s="19" t="s">
        <v>7478</v>
      </c>
      <c r="F4360" s="19" t="s">
        <v>3610</v>
      </c>
      <c r="G4360" s="5" t="str">
        <f>HYPERLINK("http://jsmh.umin.jp/journal/48-1/115-117.pdf")</f>
        <v>http://jsmh.umin.jp/journal/48-1/115-117.pdf</v>
      </c>
      <c r="H4360" s="43"/>
    </row>
    <row r="4361" spans="1:8" ht="30" customHeight="1" x14ac:dyDescent="0.15">
      <c r="A4361" s="16" t="s">
        <v>2990</v>
      </c>
      <c r="B4361" s="17" t="s">
        <v>10326</v>
      </c>
      <c r="C4361" s="17" t="s">
        <v>6078</v>
      </c>
      <c r="D4361" s="25" t="s">
        <v>7477</v>
      </c>
      <c r="E4361" s="19" t="s">
        <v>7478</v>
      </c>
      <c r="F4361" s="19" t="s">
        <v>2402</v>
      </c>
      <c r="G4361" s="5" t="str">
        <f>HYPERLINK("http://jsmh.umin.jp/journal/48-1/117-118.pdf")</f>
        <v>http://jsmh.umin.jp/journal/48-1/117-118.pdf</v>
      </c>
      <c r="H4361" s="43"/>
    </row>
    <row r="4362" spans="1:8" ht="30" customHeight="1" x14ac:dyDescent="0.15">
      <c r="A4362" s="16" t="s">
        <v>2990</v>
      </c>
      <c r="B4362" s="17" t="s">
        <v>7496</v>
      </c>
      <c r="C4362" s="17" t="s">
        <v>7497</v>
      </c>
      <c r="D4362" s="25" t="s">
        <v>7477</v>
      </c>
      <c r="E4362" s="19" t="s">
        <v>7478</v>
      </c>
      <c r="F4362" s="19" t="s">
        <v>6198</v>
      </c>
      <c r="G4362" s="5" t="str">
        <f>HYPERLINK("http://jsmh.umin.jp/journal/48-1/118-120.pdf")</f>
        <v>http://jsmh.umin.jp/journal/48-1/118-120.pdf</v>
      </c>
      <c r="H4362" s="43"/>
    </row>
    <row r="4363" spans="1:8" ht="30" customHeight="1" x14ac:dyDescent="0.15">
      <c r="A4363" s="16" t="s">
        <v>2990</v>
      </c>
      <c r="B4363" s="17" t="s">
        <v>7498</v>
      </c>
      <c r="C4363" s="17" t="s">
        <v>4585</v>
      </c>
      <c r="D4363" s="25" t="s">
        <v>7477</v>
      </c>
      <c r="E4363" s="19" t="s">
        <v>7478</v>
      </c>
      <c r="F4363" s="19" t="s">
        <v>2406</v>
      </c>
      <c r="G4363" s="5" t="str">
        <f>HYPERLINK("http://jsmh.umin.jp/journal/48-1/120-121.pdf")</f>
        <v>http://jsmh.umin.jp/journal/48-1/120-121.pdf</v>
      </c>
      <c r="H4363" s="43"/>
    </row>
    <row r="4364" spans="1:8" ht="30" customHeight="1" x14ac:dyDescent="0.15">
      <c r="A4364" s="16" t="s">
        <v>2990</v>
      </c>
      <c r="B4364" s="17" t="s">
        <v>7499</v>
      </c>
      <c r="C4364" s="17" t="s">
        <v>3655</v>
      </c>
      <c r="D4364" s="25" t="s">
        <v>7477</v>
      </c>
      <c r="E4364" s="19" t="s">
        <v>7478</v>
      </c>
      <c r="F4364" s="19" t="s">
        <v>3617</v>
      </c>
      <c r="G4364" s="5" t="str">
        <f>HYPERLINK("http://jsmh.umin.jp/journal/48-1/121-123.pdf")</f>
        <v>http://jsmh.umin.jp/journal/48-1/121-123.pdf</v>
      </c>
      <c r="H4364" s="43"/>
    </row>
    <row r="4365" spans="1:8" ht="30" customHeight="1" x14ac:dyDescent="0.15">
      <c r="A4365" s="16" t="s">
        <v>2990</v>
      </c>
      <c r="B4365" s="17" t="s">
        <v>7500</v>
      </c>
      <c r="C4365" s="17" t="s">
        <v>4085</v>
      </c>
      <c r="D4365" s="25" t="s">
        <v>7477</v>
      </c>
      <c r="E4365" s="19" t="s">
        <v>7478</v>
      </c>
      <c r="F4365" s="19" t="s">
        <v>6200</v>
      </c>
      <c r="G4365" s="5" t="str">
        <f>HYPERLINK("http://jsmh.umin.jp/journal/48-1/123-124.pdf")</f>
        <v>http://jsmh.umin.jp/journal/48-1/123-124.pdf</v>
      </c>
      <c r="H4365" s="43"/>
    </row>
    <row r="4366" spans="1:8" ht="30" customHeight="1" x14ac:dyDescent="0.15">
      <c r="A4366" s="16" t="s">
        <v>558</v>
      </c>
      <c r="B4366" s="17" t="s">
        <v>7501</v>
      </c>
      <c r="C4366" s="17"/>
      <c r="D4366" s="25" t="s">
        <v>7477</v>
      </c>
      <c r="E4366" s="19" t="s">
        <v>7478</v>
      </c>
      <c r="F4366" s="19" t="s">
        <v>7502</v>
      </c>
      <c r="G4366" s="5" t="str">
        <f>HYPERLINK("http://jsmh.umin.jp/journal/48-1/125-129.pdf")</f>
        <v>http://jsmh.umin.jp/journal/48-1/125-129.pdf</v>
      </c>
      <c r="H4366" s="43"/>
    </row>
    <row r="4367" spans="1:8" ht="30" customHeight="1" x14ac:dyDescent="0.15">
      <c r="A4367" s="16" t="s">
        <v>17</v>
      </c>
      <c r="B4367" s="17" t="s">
        <v>7503</v>
      </c>
      <c r="C4367" s="17" t="s">
        <v>7504</v>
      </c>
      <c r="D4367" s="25" t="s">
        <v>7477</v>
      </c>
      <c r="E4367" s="19" t="s">
        <v>7478</v>
      </c>
      <c r="F4367" s="19" t="s">
        <v>7505</v>
      </c>
      <c r="G4367" s="5" t="str">
        <f>HYPERLINK("http://jsmh.umin.jp/journal/48-1/152-131.pdf")</f>
        <v>http://jsmh.umin.jp/journal/48-1/152-131.pdf</v>
      </c>
      <c r="H4367" s="43"/>
    </row>
    <row r="4368" spans="1:8" ht="30" customHeight="1" x14ac:dyDescent="0.15">
      <c r="A4368" s="16" t="s">
        <v>17</v>
      </c>
      <c r="B4368" s="17" t="s">
        <v>7506</v>
      </c>
      <c r="C4368" s="17" t="s">
        <v>6909</v>
      </c>
      <c r="D4368" s="25" t="s">
        <v>7477</v>
      </c>
      <c r="E4368" s="19" t="s">
        <v>7507</v>
      </c>
      <c r="F4368" s="19" t="s">
        <v>7508</v>
      </c>
      <c r="G4368" s="5" t="str">
        <f>HYPERLINK("http://jsmh.umin.jp/journal/48-2/155-174.pdf")</f>
        <v>http://jsmh.umin.jp/journal/48-2/155-174.pdf</v>
      </c>
      <c r="H4368" s="43"/>
    </row>
    <row r="4369" spans="1:8" ht="30" customHeight="1" x14ac:dyDescent="0.15">
      <c r="A4369" s="16" t="s">
        <v>17</v>
      </c>
      <c r="B4369" s="17" t="s">
        <v>7509</v>
      </c>
      <c r="C4369" s="17" t="s">
        <v>790</v>
      </c>
      <c r="D4369" s="25" t="s">
        <v>7477</v>
      </c>
      <c r="E4369" s="19" t="s">
        <v>7507</v>
      </c>
      <c r="F4369" s="19" t="s">
        <v>7510</v>
      </c>
      <c r="G4369" s="5" t="str">
        <f>HYPERLINK("http://jsmh.umin.jp/journal/48-2/175-184.pdf")</f>
        <v>http://jsmh.umin.jp/journal/48-2/175-184.pdf</v>
      </c>
      <c r="H4369" s="43"/>
    </row>
    <row r="4370" spans="1:8" ht="30" customHeight="1" x14ac:dyDescent="0.15">
      <c r="A4370" s="16" t="s">
        <v>17</v>
      </c>
      <c r="B4370" s="17" t="s">
        <v>7511</v>
      </c>
      <c r="C4370" s="17" t="s">
        <v>3196</v>
      </c>
      <c r="D4370" s="25" t="s">
        <v>7477</v>
      </c>
      <c r="E4370" s="19" t="s">
        <v>7507</v>
      </c>
      <c r="F4370" s="19" t="s">
        <v>7512</v>
      </c>
      <c r="G4370" s="5" t="str">
        <f>HYPERLINK("http://jsmh.umin.jp/journal/48-2/185-204.pdf")</f>
        <v>http://jsmh.umin.jp/journal/48-2/185-204.pdf</v>
      </c>
      <c r="H4370" s="43"/>
    </row>
    <row r="4371" spans="1:8" ht="30" customHeight="1" x14ac:dyDescent="0.15">
      <c r="A4371" s="16" t="s">
        <v>17</v>
      </c>
      <c r="B4371" s="17" t="s">
        <v>7513</v>
      </c>
      <c r="C4371" s="17" t="s">
        <v>10310</v>
      </c>
      <c r="D4371" s="25" t="s">
        <v>7477</v>
      </c>
      <c r="E4371" s="19" t="s">
        <v>7507</v>
      </c>
      <c r="F4371" s="19" t="s">
        <v>7514</v>
      </c>
      <c r="G4371" s="5" t="str">
        <f>HYPERLINK("http://jsmh.umin.jp/journal/48-2/205-217.pdf")</f>
        <v>http://jsmh.umin.jp/journal/48-2/205-217.pdf</v>
      </c>
      <c r="H4371" s="43"/>
    </row>
    <row r="4372" spans="1:8" ht="30" customHeight="1" x14ac:dyDescent="0.15">
      <c r="A4372" s="16" t="s">
        <v>558</v>
      </c>
      <c r="B4372" s="17" t="s">
        <v>10617</v>
      </c>
      <c r="C4372" s="17" t="s">
        <v>4039</v>
      </c>
      <c r="D4372" s="25" t="s">
        <v>7477</v>
      </c>
      <c r="E4372" s="19" t="s">
        <v>7507</v>
      </c>
      <c r="F4372" s="19" t="s">
        <v>2957</v>
      </c>
      <c r="G4372" s="5" t="str">
        <f>HYPERLINK("http://jsmh.umin.jp/journal/48-2/218.pdf")</f>
        <v>http://jsmh.umin.jp/journal/48-2/218.pdf</v>
      </c>
      <c r="H4372" s="43"/>
    </row>
    <row r="4373" spans="1:8" ht="30" customHeight="1" x14ac:dyDescent="0.15">
      <c r="A4373" s="16" t="s">
        <v>3387</v>
      </c>
      <c r="B4373" s="17" t="s">
        <v>7515</v>
      </c>
      <c r="C4373" s="17" t="s">
        <v>7161</v>
      </c>
      <c r="D4373" s="25" t="s">
        <v>7477</v>
      </c>
      <c r="E4373" s="19" t="s">
        <v>7507</v>
      </c>
      <c r="F4373" s="19" t="s">
        <v>7516</v>
      </c>
      <c r="G4373" s="5" t="str">
        <f>HYPERLINK("http://jsmh.umin.jp/journal/48-2/219-225.pdf")</f>
        <v>http://jsmh.umin.jp/journal/48-2/219-225.pdf</v>
      </c>
      <c r="H4373" s="43"/>
    </row>
    <row r="4374" spans="1:8" ht="30" customHeight="1" x14ac:dyDescent="0.15">
      <c r="A4374" s="16" t="s">
        <v>692</v>
      </c>
      <c r="B4374" s="17" t="s">
        <v>7517</v>
      </c>
      <c r="C4374" s="17" t="s">
        <v>6300</v>
      </c>
      <c r="D4374" s="25" t="s">
        <v>7477</v>
      </c>
      <c r="E4374" s="19" t="s">
        <v>7507</v>
      </c>
      <c r="F4374" s="19" t="s">
        <v>7518</v>
      </c>
      <c r="G4374" s="5" t="str">
        <f>HYPERLINK("http://jsmh.umin.jp/journal/48-2/226-258.pdf")</f>
        <v>http://jsmh.umin.jp/journal/48-2/226-258.pdf</v>
      </c>
      <c r="H4374" s="43"/>
    </row>
    <row r="4375" spans="1:8" ht="30" customHeight="1" x14ac:dyDescent="0.15">
      <c r="A4375" s="16" t="s">
        <v>692</v>
      </c>
      <c r="B4375" s="17" t="s">
        <v>7519</v>
      </c>
      <c r="C4375" s="17" t="s">
        <v>7283</v>
      </c>
      <c r="D4375" s="25" t="s">
        <v>7477</v>
      </c>
      <c r="E4375" s="19" t="s">
        <v>7507</v>
      </c>
      <c r="F4375" s="19" t="s">
        <v>7520</v>
      </c>
      <c r="G4375" s="5" t="str">
        <f>HYPERLINK("http://jsmh.umin.jp/journal/48-2/259-266.pdf")</f>
        <v>http://jsmh.umin.jp/journal/48-2/259-266.pdf</v>
      </c>
      <c r="H4375" s="43"/>
    </row>
    <row r="4376" spans="1:8" ht="30" customHeight="1" x14ac:dyDescent="0.15">
      <c r="A4376" s="16" t="s">
        <v>692</v>
      </c>
      <c r="B4376" s="17" t="s">
        <v>7521</v>
      </c>
      <c r="C4376" s="17" t="s">
        <v>7522</v>
      </c>
      <c r="D4376" s="25" t="s">
        <v>7477</v>
      </c>
      <c r="E4376" s="19" t="s">
        <v>7507</v>
      </c>
      <c r="F4376" s="19" t="s">
        <v>7523</v>
      </c>
      <c r="G4376" s="5" t="str">
        <f>HYPERLINK("http://jsmh.umin.jp/journal/48-2/267-296.pdf")</f>
        <v>http://jsmh.umin.jp/journal/48-2/267-296.pdf</v>
      </c>
      <c r="H4376" s="43"/>
    </row>
    <row r="4377" spans="1:8" ht="30" customHeight="1" x14ac:dyDescent="0.15">
      <c r="A4377" s="16" t="s">
        <v>3223</v>
      </c>
      <c r="B4377" s="17" t="s">
        <v>7524</v>
      </c>
      <c r="C4377" s="17" t="s">
        <v>4770</v>
      </c>
      <c r="D4377" s="25" t="s">
        <v>7477</v>
      </c>
      <c r="E4377" s="19" t="s">
        <v>7507</v>
      </c>
      <c r="F4377" s="19" t="s">
        <v>1413</v>
      </c>
      <c r="G4377" s="5" t="str">
        <f>HYPERLINK("http://jsmh.umin.jp/journal/48-2/297-298.pdf")</f>
        <v>http://jsmh.umin.jp/journal/48-2/297-298.pdf</v>
      </c>
      <c r="H4377" s="43"/>
    </row>
    <row r="4378" spans="1:8" ht="30" customHeight="1" x14ac:dyDescent="0.15">
      <c r="A4378" s="16" t="s">
        <v>3223</v>
      </c>
      <c r="B4378" s="17" t="s">
        <v>7525</v>
      </c>
      <c r="C4378" s="17" t="s">
        <v>1097</v>
      </c>
      <c r="D4378" s="25" t="s">
        <v>7477</v>
      </c>
      <c r="E4378" s="19" t="s">
        <v>7507</v>
      </c>
      <c r="F4378" s="19" t="s">
        <v>1939</v>
      </c>
      <c r="G4378" s="5" t="str">
        <f>HYPERLINK("http://jsmh.umin.jp/journal/48-2/299-300.pdf")</f>
        <v>http://jsmh.umin.jp/journal/48-2/299-300.pdf</v>
      </c>
      <c r="H4378" s="43"/>
    </row>
    <row r="4379" spans="1:8" ht="30" customHeight="1" x14ac:dyDescent="0.15">
      <c r="A4379" s="16" t="s">
        <v>3223</v>
      </c>
      <c r="B4379" s="17" t="s">
        <v>7526</v>
      </c>
      <c r="C4379" s="17" t="s">
        <v>7527</v>
      </c>
      <c r="D4379" s="25" t="s">
        <v>7477</v>
      </c>
      <c r="E4379" s="19" t="s">
        <v>7507</v>
      </c>
      <c r="F4379" s="19" t="s">
        <v>3111</v>
      </c>
      <c r="G4379" s="5" t="str">
        <f>HYPERLINK("http://jsmh.umin.jp/journal/48-2/301-303.pdf")</f>
        <v>http://jsmh.umin.jp/journal/48-2/301-303.pdf</v>
      </c>
      <c r="H4379" s="43"/>
    </row>
    <row r="4380" spans="1:8" ht="30" customHeight="1" x14ac:dyDescent="0.15">
      <c r="A4380" s="16" t="s">
        <v>3720</v>
      </c>
      <c r="B4380" s="17" t="s">
        <v>7528</v>
      </c>
      <c r="C4380" s="17" t="s">
        <v>2465</v>
      </c>
      <c r="D4380" s="25" t="s">
        <v>7477</v>
      </c>
      <c r="E4380" s="19" t="s">
        <v>7507</v>
      </c>
      <c r="F4380" s="19" t="s">
        <v>1426</v>
      </c>
      <c r="G4380" s="5" t="str">
        <f>HYPERLINK("http://jsmh.umin.jp/journal/48-2/304-305.pdf")</f>
        <v>http://jsmh.umin.jp/journal/48-2/304-305.pdf</v>
      </c>
      <c r="H4380" s="43"/>
    </row>
    <row r="4381" spans="1:8" ht="30" customHeight="1" x14ac:dyDescent="0.15">
      <c r="A4381" s="16" t="s">
        <v>558</v>
      </c>
      <c r="B4381" s="17" t="s">
        <v>7529</v>
      </c>
      <c r="C4381" s="17"/>
      <c r="D4381" s="25" t="s">
        <v>7477</v>
      </c>
      <c r="E4381" s="19" t="s">
        <v>7507</v>
      </c>
      <c r="F4381" s="19" t="s">
        <v>7530</v>
      </c>
      <c r="G4381" s="5" t="str">
        <f>HYPERLINK("http://jsmh.umin.jp/journal/48-2/304.pdf")</f>
        <v>http://jsmh.umin.jp/journal/48-2/304.pdf</v>
      </c>
      <c r="H4381" s="43"/>
    </row>
    <row r="4382" spans="1:8" ht="30" customHeight="1" x14ac:dyDescent="0.15">
      <c r="A4382" s="16" t="s">
        <v>3720</v>
      </c>
      <c r="B4382" s="17" t="s">
        <v>10327</v>
      </c>
      <c r="C4382" s="17" t="s">
        <v>2937</v>
      </c>
      <c r="D4382" s="25" t="s">
        <v>7477</v>
      </c>
      <c r="E4382" s="19" t="s">
        <v>7507</v>
      </c>
      <c r="F4382" s="19" t="s">
        <v>5507</v>
      </c>
      <c r="G4382" s="5" t="str">
        <f>HYPERLINK("http://jsmh.umin.jp/journal/48-2/306-308.pdf")</f>
        <v>http://jsmh.umin.jp/journal/48-2/306-308.pdf</v>
      </c>
      <c r="H4382" s="43"/>
    </row>
    <row r="4383" spans="1:8" ht="30" customHeight="1" x14ac:dyDescent="0.15">
      <c r="A4383" s="16" t="s">
        <v>2990</v>
      </c>
      <c r="B4383" s="17" t="s">
        <v>7531</v>
      </c>
      <c r="C4383" s="17" t="s">
        <v>7316</v>
      </c>
      <c r="D4383" s="25" t="s">
        <v>7477</v>
      </c>
      <c r="E4383" s="19" t="s">
        <v>7507</v>
      </c>
      <c r="F4383" s="19" t="s">
        <v>1432</v>
      </c>
      <c r="G4383" s="5" t="str">
        <f>HYPERLINK("http://jsmh.umin.jp/journal/48-2/308-309.pdf")</f>
        <v>http://jsmh.umin.jp/journal/48-2/308-309.pdf</v>
      </c>
      <c r="H4383" s="43"/>
    </row>
    <row r="4384" spans="1:8" ht="30" customHeight="1" x14ac:dyDescent="0.15">
      <c r="A4384" s="16" t="s">
        <v>2990</v>
      </c>
      <c r="B4384" s="17" t="s">
        <v>7532</v>
      </c>
      <c r="C4384" s="17" t="s">
        <v>3409</v>
      </c>
      <c r="D4384" s="25" t="s">
        <v>7477</v>
      </c>
      <c r="E4384" s="19" t="s">
        <v>7507</v>
      </c>
      <c r="F4384" s="19" t="s">
        <v>6071</v>
      </c>
      <c r="G4384" s="5" t="str">
        <f>HYPERLINK("http://jsmh.umin.jp/journal/48-2/310-311.pdf")</f>
        <v>http://jsmh.umin.jp/journal/48-2/310-311.pdf</v>
      </c>
      <c r="H4384" s="43"/>
    </row>
    <row r="4385" spans="1:8" ht="30" customHeight="1" x14ac:dyDescent="0.15">
      <c r="A4385" s="16" t="s">
        <v>2990</v>
      </c>
      <c r="B4385" s="17" t="s">
        <v>10328</v>
      </c>
      <c r="C4385" s="17" t="s">
        <v>7533</v>
      </c>
      <c r="D4385" s="25" t="s">
        <v>7477</v>
      </c>
      <c r="E4385" s="19" t="s">
        <v>7507</v>
      </c>
      <c r="F4385" s="19" t="s">
        <v>5510</v>
      </c>
      <c r="G4385" s="5" t="str">
        <f>HYPERLINK("http://jsmh.umin.jp/journal/48-2/311-312.pdf")</f>
        <v>http://jsmh.umin.jp/journal/48-2/311-312.pdf</v>
      </c>
      <c r="H4385" s="43"/>
    </row>
    <row r="4386" spans="1:8" ht="30" customHeight="1" x14ac:dyDescent="0.15">
      <c r="A4386" s="16" t="s">
        <v>2990</v>
      </c>
      <c r="B4386" s="17" t="s">
        <v>7534</v>
      </c>
      <c r="C4386" s="17" t="s">
        <v>5625</v>
      </c>
      <c r="D4386" s="25" t="s">
        <v>7477</v>
      </c>
      <c r="E4386" s="19" t="s">
        <v>7507</v>
      </c>
      <c r="F4386" s="19" t="s">
        <v>1774</v>
      </c>
      <c r="G4386" s="5" t="str">
        <f>HYPERLINK("http://jsmh.umin.jp/journal/48-2/313-314.pdf")</f>
        <v>http://jsmh.umin.jp/journal/48-2/313-314.pdf</v>
      </c>
      <c r="H4386" s="43"/>
    </row>
    <row r="4387" spans="1:8" ht="30" customHeight="1" x14ac:dyDescent="0.15">
      <c r="A4387" s="16" t="s">
        <v>1855</v>
      </c>
      <c r="B4387" s="17" t="s">
        <v>7535</v>
      </c>
      <c r="C4387" s="17" t="s">
        <v>444</v>
      </c>
      <c r="D4387" s="25" t="s">
        <v>7477</v>
      </c>
      <c r="E4387" s="19" t="s">
        <v>7536</v>
      </c>
      <c r="F4387" s="19" t="s">
        <v>7537</v>
      </c>
      <c r="G4387" s="5" t="str">
        <f>HYPERLINK("http://jsmh.umin.jp/journal/48-3/323-325.pdf")</f>
        <v>http://jsmh.umin.jp/journal/48-3/323-325.pdf</v>
      </c>
      <c r="H4387" s="43"/>
    </row>
    <row r="4388" spans="1:8" ht="30" customHeight="1" x14ac:dyDescent="0.15">
      <c r="A4388" s="16" t="s">
        <v>1855</v>
      </c>
      <c r="B4388" s="17" t="s">
        <v>7538</v>
      </c>
      <c r="C4388" s="17" t="s">
        <v>1823</v>
      </c>
      <c r="D4388" s="25" t="s">
        <v>7477</v>
      </c>
      <c r="E4388" s="19" t="s">
        <v>7536</v>
      </c>
      <c r="F4388" s="19" t="s">
        <v>3887</v>
      </c>
      <c r="G4388" s="5" t="str">
        <f>HYPERLINK("http://jsmh.umin.jp/journal/48-3/326-327.pdf")</f>
        <v>http://jsmh.umin.jp/journal/48-3/326-327.pdf</v>
      </c>
      <c r="H4388" s="43"/>
    </row>
    <row r="4389" spans="1:8" ht="30" customHeight="1" x14ac:dyDescent="0.15">
      <c r="A4389" s="16" t="s">
        <v>1855</v>
      </c>
      <c r="B4389" s="17" t="s">
        <v>7539</v>
      </c>
      <c r="C4389" s="17" t="s">
        <v>7540</v>
      </c>
      <c r="D4389" s="25" t="s">
        <v>7477</v>
      </c>
      <c r="E4389" s="19" t="s">
        <v>7536</v>
      </c>
      <c r="F4389" s="19" t="s">
        <v>3891</v>
      </c>
      <c r="G4389" s="5" t="str">
        <f>HYPERLINK("http://jsmh.umin.jp/journal/48-3/328-329.pdf")</f>
        <v>http://jsmh.umin.jp/journal/48-3/328-329.pdf</v>
      </c>
      <c r="H4389" s="43"/>
    </row>
    <row r="4390" spans="1:8" ht="30" customHeight="1" x14ac:dyDescent="0.15">
      <c r="A4390" s="16" t="s">
        <v>1855</v>
      </c>
      <c r="B4390" s="17" t="s">
        <v>7541</v>
      </c>
      <c r="C4390" s="17" t="s">
        <v>7542</v>
      </c>
      <c r="D4390" s="25" t="s">
        <v>7477</v>
      </c>
      <c r="E4390" s="19" t="s">
        <v>7536</v>
      </c>
      <c r="F4390" s="19" t="s">
        <v>2987</v>
      </c>
      <c r="G4390" s="5" t="str">
        <f>HYPERLINK("http://jsmh.umin.jp/journal/48-3/330-331.pdf")</f>
        <v>http://jsmh.umin.jp/journal/48-3/330-331.pdf</v>
      </c>
      <c r="H4390" s="43"/>
    </row>
    <row r="4391" spans="1:8" ht="30" customHeight="1" x14ac:dyDescent="0.15">
      <c r="A4391" s="16" t="s">
        <v>1855</v>
      </c>
      <c r="B4391" s="17" t="s">
        <v>7543</v>
      </c>
      <c r="C4391" s="17" t="s">
        <v>1929</v>
      </c>
      <c r="D4391" s="25" t="s">
        <v>7477</v>
      </c>
      <c r="E4391" s="19" t="s">
        <v>7536</v>
      </c>
      <c r="F4391" s="19" t="s">
        <v>1613</v>
      </c>
      <c r="G4391" s="5" t="str">
        <f>HYPERLINK("http://jsmh.umin.jp/journal/48-3/332-333.pdf")</f>
        <v>http://jsmh.umin.jp/journal/48-3/332-333.pdf</v>
      </c>
      <c r="H4391" s="43"/>
    </row>
    <row r="4392" spans="1:8" ht="30" customHeight="1" x14ac:dyDescent="0.15">
      <c r="A4392" s="16" t="s">
        <v>1855</v>
      </c>
      <c r="B4392" s="17" t="s">
        <v>7544</v>
      </c>
      <c r="C4392" s="17" t="s">
        <v>5471</v>
      </c>
      <c r="D4392" s="25" t="s">
        <v>7477</v>
      </c>
      <c r="E4392" s="19" t="s">
        <v>7536</v>
      </c>
      <c r="F4392" s="19" t="s">
        <v>1625</v>
      </c>
      <c r="G4392" s="5" t="str">
        <f>HYPERLINK("http://jsmh.umin.jp/journal/48-3/334-335.pdf")</f>
        <v>http://jsmh.umin.jp/journal/48-3/334-335.pdf</v>
      </c>
      <c r="H4392" s="43"/>
    </row>
    <row r="4393" spans="1:8" ht="30" customHeight="1" x14ac:dyDescent="0.15">
      <c r="A4393" s="16" t="s">
        <v>1855</v>
      </c>
      <c r="B4393" s="17" t="s">
        <v>7545</v>
      </c>
      <c r="C4393" s="17" t="s">
        <v>48</v>
      </c>
      <c r="D4393" s="25" t="s">
        <v>7477</v>
      </c>
      <c r="E4393" s="19" t="s">
        <v>7536</v>
      </c>
      <c r="F4393" s="19" t="s">
        <v>4887</v>
      </c>
      <c r="G4393" s="5" t="str">
        <f>HYPERLINK("http://jsmh.umin.jp/journal/48-3/336-337.pdf")</f>
        <v>http://jsmh.umin.jp/journal/48-3/336-337.pdf</v>
      </c>
      <c r="H4393" s="43"/>
    </row>
    <row r="4394" spans="1:8" ht="30" customHeight="1" x14ac:dyDescent="0.15">
      <c r="A4394" s="16" t="s">
        <v>1855</v>
      </c>
      <c r="B4394" s="17" t="s">
        <v>7546</v>
      </c>
      <c r="C4394" s="17" t="s">
        <v>6267</v>
      </c>
      <c r="D4394" s="25" t="s">
        <v>7477</v>
      </c>
      <c r="E4394" s="19" t="s">
        <v>7536</v>
      </c>
      <c r="F4394" s="19" t="s">
        <v>4891</v>
      </c>
      <c r="G4394" s="5" t="str">
        <f>HYPERLINK("http://jsmh.umin.jp/journal/48-3/338-339.pdf")</f>
        <v>http://jsmh.umin.jp/journal/48-3/338-339.pdf</v>
      </c>
      <c r="H4394" s="43"/>
    </row>
    <row r="4395" spans="1:8" ht="30" customHeight="1" x14ac:dyDescent="0.15">
      <c r="A4395" s="16" t="s">
        <v>1855</v>
      </c>
      <c r="B4395" s="17" t="s">
        <v>10329</v>
      </c>
      <c r="C4395" s="17" t="s">
        <v>7547</v>
      </c>
      <c r="D4395" s="25" t="s">
        <v>7477</v>
      </c>
      <c r="E4395" s="19" t="s">
        <v>7536</v>
      </c>
      <c r="F4395" s="19" t="s">
        <v>4895</v>
      </c>
      <c r="G4395" s="5" t="str">
        <f>HYPERLINK("http://jsmh.umin.jp/journal/48-3/340-341.pdf")</f>
        <v>http://jsmh.umin.jp/journal/48-3/340-341.pdf</v>
      </c>
      <c r="H4395" s="43"/>
    </row>
    <row r="4396" spans="1:8" ht="30" customHeight="1" x14ac:dyDescent="0.15">
      <c r="A4396" s="16" t="s">
        <v>1855</v>
      </c>
      <c r="B4396" s="17" t="s">
        <v>7548</v>
      </c>
      <c r="C4396" s="17" t="s">
        <v>4988</v>
      </c>
      <c r="D4396" s="25" t="s">
        <v>7477</v>
      </c>
      <c r="E4396" s="19" t="s">
        <v>7536</v>
      </c>
      <c r="F4396" s="19" t="s">
        <v>4900</v>
      </c>
      <c r="G4396" s="5" t="str">
        <f>HYPERLINK("http://jsmh.umin.jp/journal/48-3/342-343.pdf")</f>
        <v>http://jsmh.umin.jp/journal/48-3/342-343.pdf</v>
      </c>
      <c r="H4396" s="43"/>
    </row>
    <row r="4397" spans="1:8" ht="30" customHeight="1" x14ac:dyDescent="0.15">
      <c r="A4397" s="16" t="s">
        <v>1855</v>
      </c>
      <c r="B4397" s="17" t="s">
        <v>7549</v>
      </c>
      <c r="C4397" s="17" t="s">
        <v>10156</v>
      </c>
      <c r="D4397" s="25" t="s">
        <v>7477</v>
      </c>
      <c r="E4397" s="19" t="s">
        <v>7536</v>
      </c>
      <c r="F4397" s="19" t="s">
        <v>5135</v>
      </c>
      <c r="G4397" s="5" t="str">
        <f>HYPERLINK("http://jsmh.umin.jp/journal/48-3/344-345.pdf")</f>
        <v>http://jsmh.umin.jp/journal/48-3/344-345.pdf</v>
      </c>
      <c r="H4397" s="43"/>
    </row>
    <row r="4398" spans="1:8" ht="30" customHeight="1" x14ac:dyDescent="0.15">
      <c r="A4398" s="16" t="s">
        <v>1855</v>
      </c>
      <c r="B4398" s="17" t="s">
        <v>7550</v>
      </c>
      <c r="C4398" s="17" t="s">
        <v>6676</v>
      </c>
      <c r="D4398" s="25" t="s">
        <v>7477</v>
      </c>
      <c r="E4398" s="19" t="s">
        <v>7536</v>
      </c>
      <c r="F4398" s="19" t="s">
        <v>6502</v>
      </c>
      <c r="G4398" s="5" t="str">
        <f>HYPERLINK("http://jsmh.umin.jp/journal/48-3/346-347.pdf")</f>
        <v>http://jsmh.umin.jp/journal/48-3/346-347.pdf</v>
      </c>
      <c r="H4398" s="43"/>
    </row>
    <row r="4399" spans="1:8" ht="30" customHeight="1" x14ac:dyDescent="0.15">
      <c r="A4399" s="16" t="s">
        <v>1855</v>
      </c>
      <c r="B4399" s="17" t="s">
        <v>7551</v>
      </c>
      <c r="C4399" s="17" t="s">
        <v>4892</v>
      </c>
      <c r="D4399" s="25" t="s">
        <v>7477</v>
      </c>
      <c r="E4399" s="19" t="s">
        <v>7536</v>
      </c>
      <c r="F4399" s="19" t="s">
        <v>4907</v>
      </c>
      <c r="G4399" s="5" t="str">
        <f>HYPERLINK("http://jsmh.umin.jp/journal/48-3/348-349.pdf")</f>
        <v>http://jsmh.umin.jp/journal/48-3/348-349.pdf</v>
      </c>
      <c r="H4399" s="43"/>
    </row>
    <row r="4400" spans="1:8" ht="30" customHeight="1" x14ac:dyDescent="0.15">
      <c r="A4400" s="16" t="s">
        <v>1855</v>
      </c>
      <c r="B4400" s="17" t="s">
        <v>7552</v>
      </c>
      <c r="C4400" s="17" t="s">
        <v>6640</v>
      </c>
      <c r="D4400" s="25" t="s">
        <v>7477</v>
      </c>
      <c r="E4400" s="19" t="s">
        <v>7536</v>
      </c>
      <c r="F4400" s="19" t="s">
        <v>6506</v>
      </c>
      <c r="G4400" s="5" t="str">
        <f>HYPERLINK("http://jsmh.umin.jp/journal/48-3/350-351.pdf")</f>
        <v>http://jsmh.umin.jp/journal/48-3/350-351.pdf</v>
      </c>
      <c r="H4400" s="43"/>
    </row>
    <row r="4401" spans="1:8" ht="30" customHeight="1" x14ac:dyDescent="0.15">
      <c r="A4401" s="16" t="s">
        <v>1855</v>
      </c>
      <c r="B4401" s="17" t="s">
        <v>7553</v>
      </c>
      <c r="C4401" s="17" t="s">
        <v>4085</v>
      </c>
      <c r="D4401" s="25" t="s">
        <v>7477</v>
      </c>
      <c r="E4401" s="19" t="s">
        <v>7536</v>
      </c>
      <c r="F4401" s="19" t="s">
        <v>3163</v>
      </c>
      <c r="G4401" s="5" t="str">
        <f>HYPERLINK("http://jsmh.umin.jp/journal/48-3/352-353.pdf")</f>
        <v>http://jsmh.umin.jp/journal/48-3/352-353.pdf</v>
      </c>
      <c r="H4401" s="43"/>
    </row>
    <row r="4402" spans="1:8" ht="30" customHeight="1" x14ac:dyDescent="0.15">
      <c r="A4402" s="16" t="s">
        <v>1855</v>
      </c>
      <c r="B4402" s="17" t="s">
        <v>7554</v>
      </c>
      <c r="C4402" s="17" t="s">
        <v>7372</v>
      </c>
      <c r="D4402" s="25" t="s">
        <v>7477</v>
      </c>
      <c r="E4402" s="19" t="s">
        <v>7536</v>
      </c>
      <c r="F4402" s="19" t="s">
        <v>6510</v>
      </c>
      <c r="G4402" s="5" t="str">
        <f>HYPERLINK("http://jsmh.umin.jp/journal/48-3/354-355.pdf")</f>
        <v>http://jsmh.umin.jp/journal/48-3/354-355.pdf</v>
      </c>
      <c r="H4402" s="43"/>
    </row>
    <row r="4403" spans="1:8" ht="30" customHeight="1" x14ac:dyDescent="0.15">
      <c r="A4403" s="16" t="s">
        <v>1855</v>
      </c>
      <c r="B4403" s="17" t="s">
        <v>7555</v>
      </c>
      <c r="C4403" s="17" t="s">
        <v>5516</v>
      </c>
      <c r="D4403" s="25" t="s">
        <v>7477</v>
      </c>
      <c r="E4403" s="19" t="s">
        <v>7536</v>
      </c>
      <c r="F4403" s="19" t="s">
        <v>6513</v>
      </c>
      <c r="G4403" s="5" t="str">
        <f>HYPERLINK("http://jsmh.umin.jp/journal/48-3/356-357.pdf")</f>
        <v>http://jsmh.umin.jp/journal/48-3/356-357.pdf</v>
      </c>
      <c r="H4403" s="43"/>
    </row>
    <row r="4404" spans="1:8" ht="30" customHeight="1" x14ac:dyDescent="0.15">
      <c r="A4404" s="16" t="s">
        <v>1855</v>
      </c>
      <c r="B4404" s="17" t="s">
        <v>7556</v>
      </c>
      <c r="C4404" s="17" t="s">
        <v>7557</v>
      </c>
      <c r="D4404" s="25" t="s">
        <v>7477</v>
      </c>
      <c r="E4404" s="19" t="s">
        <v>7536</v>
      </c>
      <c r="F4404" s="19" t="s">
        <v>6516</v>
      </c>
      <c r="G4404" s="5" t="str">
        <f>HYPERLINK("http://jsmh.umin.jp/journal/48-3/358-359.pdf")</f>
        <v>http://jsmh.umin.jp/journal/48-3/358-359.pdf</v>
      </c>
      <c r="H4404" s="43"/>
    </row>
    <row r="4405" spans="1:8" ht="30" customHeight="1" x14ac:dyDescent="0.15">
      <c r="A4405" s="16" t="s">
        <v>1855</v>
      </c>
      <c r="B4405" s="17" t="s">
        <v>7558</v>
      </c>
      <c r="C4405" s="17" t="s">
        <v>5588</v>
      </c>
      <c r="D4405" s="25" t="s">
        <v>7477</v>
      </c>
      <c r="E4405" s="19" t="s">
        <v>7536</v>
      </c>
      <c r="F4405" s="19" t="s">
        <v>6518</v>
      </c>
      <c r="G4405" s="5" t="str">
        <f>HYPERLINK("http://jsmh.umin.jp/journal/48-3/360-361.pdf")</f>
        <v>http://jsmh.umin.jp/journal/48-3/360-361.pdf</v>
      </c>
      <c r="H4405" s="43"/>
    </row>
    <row r="4406" spans="1:8" ht="30" customHeight="1" x14ac:dyDescent="0.15">
      <c r="A4406" s="16" t="s">
        <v>1855</v>
      </c>
      <c r="B4406" s="17" t="s">
        <v>7559</v>
      </c>
      <c r="C4406" s="17" t="s">
        <v>3644</v>
      </c>
      <c r="D4406" s="25" t="s">
        <v>7477</v>
      </c>
      <c r="E4406" s="19" t="s">
        <v>7536</v>
      </c>
      <c r="F4406" s="19" t="s">
        <v>6521</v>
      </c>
      <c r="G4406" s="5" t="str">
        <f>HYPERLINK("http://jsmh.umin.jp/journal/48-3/362-363.pdf")</f>
        <v>http://jsmh.umin.jp/journal/48-3/362-363.pdf</v>
      </c>
      <c r="H4406" s="43"/>
    </row>
    <row r="4407" spans="1:8" ht="30" customHeight="1" x14ac:dyDescent="0.15">
      <c r="A4407" s="16" t="s">
        <v>1855</v>
      </c>
      <c r="B4407" s="17" t="s">
        <v>7560</v>
      </c>
      <c r="C4407" s="17" t="s">
        <v>10289</v>
      </c>
      <c r="D4407" s="25" t="s">
        <v>7477</v>
      </c>
      <c r="E4407" s="19" t="s">
        <v>7536</v>
      </c>
      <c r="F4407" s="19" t="s">
        <v>3181</v>
      </c>
      <c r="G4407" s="5" t="str">
        <f>HYPERLINK("http://jsmh.umin.jp/journal/48-3/364-365.pdf")</f>
        <v>http://jsmh.umin.jp/journal/48-3/364-365.pdf</v>
      </c>
      <c r="H4407" s="43"/>
    </row>
    <row r="4408" spans="1:8" ht="30" customHeight="1" x14ac:dyDescent="0.15">
      <c r="A4408" s="16" t="s">
        <v>1855</v>
      </c>
      <c r="B4408" s="17" t="s">
        <v>7561</v>
      </c>
      <c r="C4408" s="17" t="s">
        <v>6705</v>
      </c>
      <c r="D4408" s="25" t="s">
        <v>7477</v>
      </c>
      <c r="E4408" s="19" t="s">
        <v>7536</v>
      </c>
      <c r="F4408" s="19" t="s">
        <v>3186</v>
      </c>
      <c r="G4408" s="5" t="str">
        <f>HYPERLINK("http://jsmh.umin.jp/journal/48-3/366-367.pdf")</f>
        <v>http://jsmh.umin.jp/journal/48-3/366-367.pdf</v>
      </c>
      <c r="H4408" s="43"/>
    </row>
    <row r="4409" spans="1:8" ht="30" customHeight="1" x14ac:dyDescent="0.15">
      <c r="A4409" s="16" t="s">
        <v>1855</v>
      </c>
      <c r="B4409" s="17" t="s">
        <v>7562</v>
      </c>
      <c r="C4409" s="17" t="s">
        <v>5084</v>
      </c>
      <c r="D4409" s="25" t="s">
        <v>7477</v>
      </c>
      <c r="E4409" s="19" t="s">
        <v>7536</v>
      </c>
      <c r="F4409" s="19" t="s">
        <v>4251</v>
      </c>
      <c r="G4409" s="5" t="str">
        <f>HYPERLINK("http://jsmh.umin.jp/journal/48-3/368-369.pdf")</f>
        <v>http://jsmh.umin.jp/journal/48-3/368-369.pdf</v>
      </c>
      <c r="H4409" s="43"/>
    </row>
    <row r="4410" spans="1:8" ht="30" customHeight="1" x14ac:dyDescent="0.15">
      <c r="A4410" s="16" t="s">
        <v>1855</v>
      </c>
      <c r="B4410" s="17" t="s">
        <v>7563</v>
      </c>
      <c r="C4410" s="17" t="s">
        <v>7564</v>
      </c>
      <c r="D4410" s="25" t="s">
        <v>7477</v>
      </c>
      <c r="E4410" s="19" t="s">
        <v>7536</v>
      </c>
      <c r="F4410" s="19" t="s">
        <v>6529</v>
      </c>
      <c r="G4410" s="5" t="str">
        <f>HYPERLINK("http://jsmh.umin.jp/journal/48-3/370-371.pdf")</f>
        <v>http://jsmh.umin.jp/journal/48-3/370-371.pdf</v>
      </c>
      <c r="H4410" s="43"/>
    </row>
    <row r="4411" spans="1:8" ht="30" customHeight="1" x14ac:dyDescent="0.15">
      <c r="A4411" s="16" t="s">
        <v>1855</v>
      </c>
      <c r="B4411" s="17" t="s">
        <v>10330</v>
      </c>
      <c r="C4411" s="17" t="s">
        <v>7448</v>
      </c>
      <c r="D4411" s="25" t="s">
        <v>7477</v>
      </c>
      <c r="E4411" s="19" t="s">
        <v>7536</v>
      </c>
      <c r="F4411" s="19" t="s">
        <v>3197</v>
      </c>
      <c r="G4411" s="5" t="str">
        <f>HYPERLINK("http://jsmh.umin.jp/journal/48-3/372-373.pdf")</f>
        <v>http://jsmh.umin.jp/journal/48-3/372-373.pdf</v>
      </c>
      <c r="H4411" s="43"/>
    </row>
    <row r="4412" spans="1:8" ht="30" customHeight="1" x14ac:dyDescent="0.15">
      <c r="A4412" s="16" t="s">
        <v>1855</v>
      </c>
      <c r="B4412" s="17" t="s">
        <v>10331</v>
      </c>
      <c r="C4412" s="17" t="s">
        <v>7320</v>
      </c>
      <c r="D4412" s="25" t="s">
        <v>7477</v>
      </c>
      <c r="E4412" s="19" t="s">
        <v>7536</v>
      </c>
      <c r="F4412" s="19" t="s">
        <v>6533</v>
      </c>
      <c r="G4412" s="5" t="str">
        <f>HYPERLINK("http://jsmh.umin.jp/journal/48-3/374-375.pdf")</f>
        <v>http://jsmh.umin.jp/journal/48-3/374-375.pdf</v>
      </c>
      <c r="H4412" s="43"/>
    </row>
    <row r="4413" spans="1:8" ht="30" customHeight="1" x14ac:dyDescent="0.15">
      <c r="A4413" s="16" t="s">
        <v>1855</v>
      </c>
      <c r="B4413" s="17" t="s">
        <v>7565</v>
      </c>
      <c r="C4413" s="17" t="s">
        <v>7322</v>
      </c>
      <c r="D4413" s="25" t="s">
        <v>7477</v>
      </c>
      <c r="E4413" s="19" t="s">
        <v>7536</v>
      </c>
      <c r="F4413" s="19" t="s">
        <v>6535</v>
      </c>
      <c r="G4413" s="5" t="str">
        <f>HYPERLINK("http://jsmh.umin.jp/journal/48-3/376-377.pdf")</f>
        <v>http://jsmh.umin.jp/journal/48-3/376-377.pdf</v>
      </c>
      <c r="H4413" s="43"/>
    </row>
    <row r="4414" spans="1:8" ht="30" customHeight="1" x14ac:dyDescent="0.15">
      <c r="A4414" s="16" t="s">
        <v>1855</v>
      </c>
      <c r="B4414" s="17" t="s">
        <v>7566</v>
      </c>
      <c r="C4414" s="17" t="s">
        <v>7567</v>
      </c>
      <c r="D4414" s="25" t="s">
        <v>7477</v>
      </c>
      <c r="E4414" s="19" t="s">
        <v>7536</v>
      </c>
      <c r="F4414" s="19" t="s">
        <v>6537</v>
      </c>
      <c r="G4414" s="5" t="str">
        <f>HYPERLINK("http://jsmh.umin.jp/journal/48-3/378-379.pdf")</f>
        <v>http://jsmh.umin.jp/journal/48-3/378-379.pdf</v>
      </c>
      <c r="H4414" s="43"/>
    </row>
    <row r="4415" spans="1:8" ht="30" customHeight="1" x14ac:dyDescent="0.15">
      <c r="A4415" s="16" t="s">
        <v>1855</v>
      </c>
      <c r="B4415" s="17" t="s">
        <v>7568</v>
      </c>
      <c r="C4415" s="17" t="s">
        <v>2386</v>
      </c>
      <c r="D4415" s="25" t="s">
        <v>7477</v>
      </c>
      <c r="E4415" s="19" t="s">
        <v>7536</v>
      </c>
      <c r="F4415" s="19" t="s">
        <v>6540</v>
      </c>
      <c r="G4415" s="5" t="str">
        <f>HYPERLINK("http://jsmh.umin.jp/journal/48-3/380-381.pdf")</f>
        <v>http://jsmh.umin.jp/journal/48-3/380-381.pdf</v>
      </c>
      <c r="H4415" s="43"/>
    </row>
    <row r="4416" spans="1:8" ht="30" customHeight="1" x14ac:dyDescent="0.15">
      <c r="A4416" s="16" t="s">
        <v>1855</v>
      </c>
      <c r="B4416" s="17" t="s">
        <v>7569</v>
      </c>
      <c r="C4416" s="17" t="s">
        <v>4039</v>
      </c>
      <c r="D4416" s="25" t="s">
        <v>7477</v>
      </c>
      <c r="E4416" s="19" t="s">
        <v>7536</v>
      </c>
      <c r="F4416" s="19" t="s">
        <v>6542</v>
      </c>
      <c r="G4416" s="5" t="str">
        <f>HYPERLINK("http://jsmh.umin.jp/journal/48-3/382-383.pdf")</f>
        <v>http://jsmh.umin.jp/journal/48-3/382-383.pdf</v>
      </c>
      <c r="H4416" s="43"/>
    </row>
    <row r="4417" spans="1:8" ht="30" customHeight="1" x14ac:dyDescent="0.15">
      <c r="A4417" s="16" t="s">
        <v>1855</v>
      </c>
      <c r="B4417" s="17" t="s">
        <v>7570</v>
      </c>
      <c r="C4417" s="17" t="s">
        <v>7571</v>
      </c>
      <c r="D4417" s="25" t="s">
        <v>7477</v>
      </c>
      <c r="E4417" s="19" t="s">
        <v>7536</v>
      </c>
      <c r="F4417" s="19" t="s">
        <v>1962</v>
      </c>
      <c r="G4417" s="5" t="str">
        <f>HYPERLINK("http://jsmh.umin.jp/journal/48-3/384-385.pdf")</f>
        <v>http://jsmh.umin.jp/journal/48-3/384-385.pdf</v>
      </c>
      <c r="H4417" s="43"/>
    </row>
    <row r="4418" spans="1:8" ht="30" customHeight="1" x14ac:dyDescent="0.15">
      <c r="A4418" s="16" t="s">
        <v>1855</v>
      </c>
      <c r="B4418" s="17" t="s">
        <v>7572</v>
      </c>
      <c r="C4418" s="17" t="s">
        <v>7197</v>
      </c>
      <c r="D4418" s="25" t="s">
        <v>7477</v>
      </c>
      <c r="E4418" s="19" t="s">
        <v>7536</v>
      </c>
      <c r="F4418" s="19" t="s">
        <v>6546</v>
      </c>
      <c r="G4418" s="5" t="str">
        <f>HYPERLINK("http://jsmh.umin.jp/journal/48-3/386-387.pdf")</f>
        <v>http://jsmh.umin.jp/journal/48-3/386-387.pdf</v>
      </c>
      <c r="H4418" s="43"/>
    </row>
    <row r="4419" spans="1:8" ht="30" customHeight="1" x14ac:dyDescent="0.15">
      <c r="A4419" s="16" t="s">
        <v>1855</v>
      </c>
      <c r="B4419" s="17" t="s">
        <v>7573</v>
      </c>
      <c r="C4419" s="17" t="s">
        <v>6004</v>
      </c>
      <c r="D4419" s="25" t="s">
        <v>7477</v>
      </c>
      <c r="E4419" s="19" t="s">
        <v>7536</v>
      </c>
      <c r="F4419" s="19" t="s">
        <v>6548</v>
      </c>
      <c r="G4419" s="5" t="str">
        <f>HYPERLINK("http://jsmh.umin.jp/journal/48-3/388-389.pdf")</f>
        <v>http://jsmh.umin.jp/journal/48-3/388-389.pdf</v>
      </c>
      <c r="H4419" s="43"/>
    </row>
    <row r="4420" spans="1:8" ht="30" customHeight="1" x14ac:dyDescent="0.15">
      <c r="A4420" s="16" t="s">
        <v>1855</v>
      </c>
      <c r="B4420" s="17" t="s">
        <v>7574</v>
      </c>
      <c r="C4420" s="17" t="s">
        <v>7366</v>
      </c>
      <c r="D4420" s="25" t="s">
        <v>7477</v>
      </c>
      <c r="E4420" s="19" t="s">
        <v>7536</v>
      </c>
      <c r="F4420" s="19" t="s">
        <v>2141</v>
      </c>
      <c r="G4420" s="5" t="str">
        <f>HYPERLINK("http://jsmh.umin.jp/journal/48-3/390-391.pdf")</f>
        <v>http://jsmh.umin.jp/journal/48-3/390-391.pdf</v>
      </c>
      <c r="H4420" s="43"/>
    </row>
    <row r="4421" spans="1:8" ht="30" customHeight="1" x14ac:dyDescent="0.15">
      <c r="A4421" s="16" t="s">
        <v>1855</v>
      </c>
      <c r="B4421" s="17" t="s">
        <v>7575</v>
      </c>
      <c r="C4421" s="17" t="s">
        <v>7420</v>
      </c>
      <c r="D4421" s="25" t="s">
        <v>7477</v>
      </c>
      <c r="E4421" s="19" t="s">
        <v>7536</v>
      </c>
      <c r="F4421" s="19" t="s">
        <v>2148</v>
      </c>
      <c r="G4421" s="5" t="str">
        <f>HYPERLINK("http://jsmh.umin.jp/journal/48-3/392-393.pdf")</f>
        <v>http://jsmh.umin.jp/journal/48-3/392-393.pdf</v>
      </c>
      <c r="H4421" s="43"/>
    </row>
    <row r="4422" spans="1:8" ht="30" customHeight="1" x14ac:dyDescent="0.15">
      <c r="A4422" s="16" t="s">
        <v>1855</v>
      </c>
      <c r="B4422" s="17" t="s">
        <v>7576</v>
      </c>
      <c r="C4422" s="17" t="s">
        <v>7176</v>
      </c>
      <c r="D4422" s="25" t="s">
        <v>7477</v>
      </c>
      <c r="E4422" s="19" t="s">
        <v>7536</v>
      </c>
      <c r="F4422" s="19" t="s">
        <v>6551</v>
      </c>
      <c r="G4422" s="5" t="str">
        <f>HYPERLINK("http://jsmh.umin.jp/journal/48-3/394-395.pdf")</f>
        <v>http://jsmh.umin.jp/journal/48-3/394-395.pdf</v>
      </c>
      <c r="H4422" s="43"/>
    </row>
    <row r="4423" spans="1:8" ht="30" customHeight="1" x14ac:dyDescent="0.15">
      <c r="A4423" s="16" t="s">
        <v>1855</v>
      </c>
      <c r="B4423" s="17" t="s">
        <v>7577</v>
      </c>
      <c r="C4423" s="17" t="s">
        <v>7136</v>
      </c>
      <c r="D4423" s="25" t="s">
        <v>7477</v>
      </c>
      <c r="E4423" s="19" t="s">
        <v>7536</v>
      </c>
      <c r="F4423" s="19" t="s">
        <v>2331</v>
      </c>
      <c r="G4423" s="5" t="str">
        <f>HYPERLINK("http://jsmh.umin.jp/journal/48-3/396-397.pdf")</f>
        <v>http://jsmh.umin.jp/journal/48-3/396-397.pdf</v>
      </c>
      <c r="H4423" s="43"/>
    </row>
    <row r="4424" spans="1:8" ht="30" customHeight="1" x14ac:dyDescent="0.15">
      <c r="A4424" s="16" t="s">
        <v>1855</v>
      </c>
      <c r="B4424" s="17" t="s">
        <v>7578</v>
      </c>
      <c r="C4424" s="17" t="s">
        <v>5569</v>
      </c>
      <c r="D4424" s="25" t="s">
        <v>7477</v>
      </c>
      <c r="E4424" s="19" t="s">
        <v>7536</v>
      </c>
      <c r="F4424" s="19" t="s">
        <v>6553</v>
      </c>
      <c r="G4424" s="5" t="str">
        <f>HYPERLINK("http://jsmh.umin.jp/journal/48-3/398-399.pdf")</f>
        <v>http://jsmh.umin.jp/journal/48-3/398-399.pdf</v>
      </c>
      <c r="H4424" s="43"/>
    </row>
    <row r="4425" spans="1:8" ht="30" customHeight="1" x14ac:dyDescent="0.15">
      <c r="A4425" s="16" t="s">
        <v>1855</v>
      </c>
      <c r="B4425" s="17" t="s">
        <v>7579</v>
      </c>
      <c r="C4425" s="17" t="s">
        <v>6882</v>
      </c>
      <c r="D4425" s="25" t="s">
        <v>7477</v>
      </c>
      <c r="E4425" s="19" t="s">
        <v>7536</v>
      </c>
      <c r="F4425" s="19" t="s">
        <v>6556</v>
      </c>
      <c r="G4425" s="5" t="str">
        <f>HYPERLINK("http://jsmh.umin.jp/journal/48-3/400-401.pdf")</f>
        <v>http://jsmh.umin.jp/journal/48-3/400-401.pdf</v>
      </c>
      <c r="H4425" s="43"/>
    </row>
    <row r="4426" spans="1:8" ht="30" customHeight="1" x14ac:dyDescent="0.15">
      <c r="A4426" s="16" t="s">
        <v>1855</v>
      </c>
      <c r="B4426" s="17" t="s">
        <v>7580</v>
      </c>
      <c r="C4426" s="17" t="s">
        <v>6568</v>
      </c>
      <c r="D4426" s="25" t="s">
        <v>7477</v>
      </c>
      <c r="E4426" s="19" t="s">
        <v>7536</v>
      </c>
      <c r="F4426" s="19" t="s">
        <v>6558</v>
      </c>
      <c r="G4426" s="5" t="str">
        <f>HYPERLINK("http://jsmh.umin.jp/journal/48-3/402-403.pdf")</f>
        <v>http://jsmh.umin.jp/journal/48-3/402-403.pdf</v>
      </c>
      <c r="H4426" s="43"/>
    </row>
    <row r="4427" spans="1:8" ht="30" customHeight="1" x14ac:dyDescent="0.15">
      <c r="A4427" s="16" t="s">
        <v>1855</v>
      </c>
      <c r="B4427" s="17" t="s">
        <v>7581</v>
      </c>
      <c r="C4427" s="17" t="s">
        <v>10332</v>
      </c>
      <c r="D4427" s="25" t="s">
        <v>7477</v>
      </c>
      <c r="E4427" s="19" t="s">
        <v>7536</v>
      </c>
      <c r="F4427" s="19" t="s">
        <v>5749</v>
      </c>
      <c r="G4427" s="5" t="str">
        <f>HYPERLINK("http://jsmh.umin.jp/journal/48-3/404-405.pdf")</f>
        <v>http://jsmh.umin.jp/journal/48-3/404-405.pdf</v>
      </c>
      <c r="H4427" s="43"/>
    </row>
    <row r="4428" spans="1:8" ht="30" customHeight="1" x14ac:dyDescent="0.15">
      <c r="A4428" s="16" t="s">
        <v>1855</v>
      </c>
      <c r="B4428" s="17" t="s">
        <v>7582</v>
      </c>
      <c r="C4428" s="17" t="s">
        <v>7583</v>
      </c>
      <c r="D4428" s="25" t="s">
        <v>7477</v>
      </c>
      <c r="E4428" s="19" t="s">
        <v>7536</v>
      </c>
      <c r="F4428" s="19" t="s">
        <v>7164</v>
      </c>
      <c r="G4428" s="5" t="str">
        <f>HYPERLINK("http://jsmh.umin.jp/journal/48-3/406-407.pdf")</f>
        <v>http://jsmh.umin.jp/journal/48-3/406-407.pdf</v>
      </c>
      <c r="H4428" s="43"/>
    </row>
    <row r="4429" spans="1:8" ht="30" customHeight="1" x14ac:dyDescent="0.15">
      <c r="A4429" s="16" t="s">
        <v>1855</v>
      </c>
      <c r="B4429" s="17" t="s">
        <v>7584</v>
      </c>
      <c r="C4429" s="17" t="s">
        <v>7585</v>
      </c>
      <c r="D4429" s="25" t="s">
        <v>7477</v>
      </c>
      <c r="E4429" s="19" t="s">
        <v>7536</v>
      </c>
      <c r="F4429" s="19" t="s">
        <v>7167</v>
      </c>
      <c r="G4429" s="5" t="str">
        <f>HYPERLINK("http://jsmh.umin.jp/journal/48-3/408-409.pdf")</f>
        <v>http://jsmh.umin.jp/journal/48-3/408-409.pdf</v>
      </c>
      <c r="H4429" s="43"/>
    </row>
    <row r="4430" spans="1:8" ht="30" customHeight="1" x14ac:dyDescent="0.15">
      <c r="A4430" s="16" t="s">
        <v>1855</v>
      </c>
      <c r="B4430" s="17" t="s">
        <v>7586</v>
      </c>
      <c r="C4430" s="17" t="s">
        <v>6909</v>
      </c>
      <c r="D4430" s="25" t="s">
        <v>7477</v>
      </c>
      <c r="E4430" s="19" t="s">
        <v>7536</v>
      </c>
      <c r="F4430" s="19" t="s">
        <v>7170</v>
      </c>
      <c r="G4430" s="5" t="str">
        <f>HYPERLINK("http://jsmh.umin.jp/journal/48-3/410-411.pdf")</f>
        <v>http://jsmh.umin.jp/journal/48-3/410-411.pdf</v>
      </c>
      <c r="H4430" s="43"/>
    </row>
    <row r="4431" spans="1:8" ht="30" customHeight="1" x14ac:dyDescent="0.15">
      <c r="A4431" s="16" t="s">
        <v>1855</v>
      </c>
      <c r="B4431" s="17" t="s">
        <v>7587</v>
      </c>
      <c r="C4431" s="17" t="s">
        <v>7588</v>
      </c>
      <c r="D4431" s="25" t="s">
        <v>7477</v>
      </c>
      <c r="E4431" s="19" t="s">
        <v>7536</v>
      </c>
      <c r="F4431" s="19" t="s">
        <v>7172</v>
      </c>
      <c r="G4431" s="5" t="str">
        <f>HYPERLINK("http://jsmh.umin.jp/journal/48-3/412-413.pdf")</f>
        <v>http://jsmh.umin.jp/journal/48-3/412-413.pdf</v>
      </c>
      <c r="H4431" s="43"/>
    </row>
    <row r="4432" spans="1:8" ht="30" customHeight="1" x14ac:dyDescent="0.15">
      <c r="A4432" s="16" t="s">
        <v>1855</v>
      </c>
      <c r="B4432" s="17" t="s">
        <v>7589</v>
      </c>
      <c r="C4432" s="17" t="s">
        <v>2881</v>
      </c>
      <c r="D4432" s="25" t="s">
        <v>7477</v>
      </c>
      <c r="E4432" s="19" t="s">
        <v>7536</v>
      </c>
      <c r="F4432" s="19" t="s">
        <v>4439</v>
      </c>
      <c r="G4432" s="5" t="str">
        <f>HYPERLINK("http://jsmh.umin.jp/journal/48-3/414-415.pdf")</f>
        <v>http://jsmh.umin.jp/journal/48-3/414-415.pdf</v>
      </c>
      <c r="H4432" s="43"/>
    </row>
    <row r="4433" spans="1:8" ht="30" customHeight="1" x14ac:dyDescent="0.15">
      <c r="A4433" s="16" t="s">
        <v>1855</v>
      </c>
      <c r="B4433" s="17" t="s">
        <v>7590</v>
      </c>
      <c r="C4433" s="17" t="s">
        <v>7352</v>
      </c>
      <c r="D4433" s="25" t="s">
        <v>7477</v>
      </c>
      <c r="E4433" s="19" t="s">
        <v>7536</v>
      </c>
      <c r="F4433" s="19" t="s">
        <v>4443</v>
      </c>
      <c r="G4433" s="5" t="str">
        <f>HYPERLINK("http://jsmh.umin.jp/journal/48-3/416-417.pdf")</f>
        <v>http://jsmh.umin.jp/journal/48-3/416-417.pdf</v>
      </c>
      <c r="H4433" s="43"/>
    </row>
    <row r="4434" spans="1:8" ht="30" customHeight="1" x14ac:dyDescent="0.15">
      <c r="A4434" s="16" t="s">
        <v>1855</v>
      </c>
      <c r="B4434" s="17" t="s">
        <v>7591</v>
      </c>
      <c r="C4434" s="17" t="s">
        <v>6078</v>
      </c>
      <c r="D4434" s="25" t="s">
        <v>7477</v>
      </c>
      <c r="E4434" s="19" t="s">
        <v>7536</v>
      </c>
      <c r="F4434" s="19" t="s">
        <v>4447</v>
      </c>
      <c r="G4434" s="5" t="str">
        <f>HYPERLINK("http://jsmh.umin.jp/journal/48-3/418-419.pdf")</f>
        <v>http://jsmh.umin.jp/journal/48-3/418-419.pdf</v>
      </c>
      <c r="H4434" s="43"/>
    </row>
    <row r="4435" spans="1:8" ht="30" customHeight="1" x14ac:dyDescent="0.15">
      <c r="A4435" s="16" t="s">
        <v>1855</v>
      </c>
      <c r="B4435" s="17" t="s">
        <v>7592</v>
      </c>
      <c r="C4435" s="17" t="s">
        <v>7593</v>
      </c>
      <c r="D4435" s="25" t="s">
        <v>7477</v>
      </c>
      <c r="E4435" s="19" t="s">
        <v>7536</v>
      </c>
      <c r="F4435" s="19" t="s">
        <v>7179</v>
      </c>
      <c r="G4435" s="5" t="str">
        <f>HYPERLINK("http://jsmh.umin.jp/journal/48-3/420-421.pdf")</f>
        <v>http://jsmh.umin.jp/journal/48-3/420-421.pdf</v>
      </c>
      <c r="H4435" s="43"/>
    </row>
    <row r="4436" spans="1:8" ht="30" customHeight="1" x14ac:dyDescent="0.15">
      <c r="A4436" s="16" t="s">
        <v>1855</v>
      </c>
      <c r="B4436" s="17" t="s">
        <v>7594</v>
      </c>
      <c r="C4436" s="17" t="s">
        <v>10608</v>
      </c>
      <c r="D4436" s="25" t="s">
        <v>7477</v>
      </c>
      <c r="E4436" s="19" t="s">
        <v>7536</v>
      </c>
      <c r="F4436" s="19" t="s">
        <v>1988</v>
      </c>
      <c r="G4436" s="5" t="str">
        <f>HYPERLINK("http://jsmh.umin.jp/journal/48-3/422-423.pdf")</f>
        <v>http://jsmh.umin.jp/journal/48-3/422-423.pdf</v>
      </c>
      <c r="H4436" s="43"/>
    </row>
    <row r="4437" spans="1:8" ht="30" customHeight="1" x14ac:dyDescent="0.15">
      <c r="A4437" s="16" t="s">
        <v>1855</v>
      </c>
      <c r="B4437" s="17" t="s">
        <v>7595</v>
      </c>
      <c r="C4437" s="17" t="s">
        <v>5464</v>
      </c>
      <c r="D4437" s="25" t="s">
        <v>7477</v>
      </c>
      <c r="E4437" s="19" t="s">
        <v>7536</v>
      </c>
      <c r="F4437" s="19" t="s">
        <v>4458</v>
      </c>
      <c r="G4437" s="5" t="str">
        <f>HYPERLINK("http://jsmh.umin.jp/journal/48-3/424-425.pdf")</f>
        <v>http://jsmh.umin.jp/journal/48-3/424-425.pdf</v>
      </c>
      <c r="H4437" s="43"/>
    </row>
    <row r="4438" spans="1:8" ht="30" customHeight="1" x14ac:dyDescent="0.15">
      <c r="A4438" s="16" t="s">
        <v>1855</v>
      </c>
      <c r="B4438" s="17" t="s">
        <v>7596</v>
      </c>
      <c r="C4438" s="17" t="s">
        <v>1147</v>
      </c>
      <c r="D4438" s="25" t="s">
        <v>7477</v>
      </c>
      <c r="E4438" s="19" t="s">
        <v>7536</v>
      </c>
      <c r="F4438" s="19" t="s">
        <v>1997</v>
      </c>
      <c r="G4438" s="5" t="str">
        <f>HYPERLINK("http://jsmh.umin.jp/journal/48-3/426-427.pdf")</f>
        <v>http://jsmh.umin.jp/journal/48-3/426-427.pdf</v>
      </c>
      <c r="H4438" s="43"/>
    </row>
    <row r="4439" spans="1:8" ht="30" customHeight="1" x14ac:dyDescent="0.15">
      <c r="A4439" s="16" t="s">
        <v>1855</v>
      </c>
      <c r="B4439" s="17" t="s">
        <v>7597</v>
      </c>
      <c r="C4439" s="17" t="s">
        <v>6565</v>
      </c>
      <c r="D4439" s="25" t="s">
        <v>7477</v>
      </c>
      <c r="E4439" s="19" t="s">
        <v>7536</v>
      </c>
      <c r="F4439" s="19" t="s">
        <v>4465</v>
      </c>
      <c r="G4439" s="5" t="str">
        <f>HYPERLINK("http://jsmh.umin.jp/journal/48-3/428-429.pdf")</f>
        <v>http://jsmh.umin.jp/journal/48-3/428-429.pdf</v>
      </c>
      <c r="H4439" s="43"/>
    </row>
    <row r="4440" spans="1:8" ht="30" customHeight="1" x14ac:dyDescent="0.15">
      <c r="A4440" s="16" t="s">
        <v>1855</v>
      </c>
      <c r="B4440" s="17" t="s">
        <v>10333</v>
      </c>
      <c r="C4440" s="17" t="s">
        <v>10280</v>
      </c>
      <c r="D4440" s="25" t="s">
        <v>7477</v>
      </c>
      <c r="E4440" s="19" t="s">
        <v>7536</v>
      </c>
      <c r="F4440" s="19" t="s">
        <v>6100</v>
      </c>
      <c r="G4440" s="5" t="str">
        <f>HYPERLINK("http://jsmh.umin.jp/journal/48-3/430-431.pdf")</f>
        <v>http://jsmh.umin.jp/journal/48-3/430-431.pdf</v>
      </c>
      <c r="H4440" s="43"/>
    </row>
    <row r="4441" spans="1:8" ht="30" customHeight="1" x14ac:dyDescent="0.15">
      <c r="A4441" s="16" t="s">
        <v>1855</v>
      </c>
      <c r="B4441" s="17" t="s">
        <v>7598</v>
      </c>
      <c r="C4441" s="17" t="s">
        <v>10299</v>
      </c>
      <c r="D4441" s="25" t="s">
        <v>7477</v>
      </c>
      <c r="E4441" s="19" t="s">
        <v>7536</v>
      </c>
      <c r="F4441" s="19" t="s">
        <v>6102</v>
      </c>
      <c r="G4441" s="5" t="str">
        <f>HYPERLINK("http://jsmh.umin.jp/journal/48-3/432-433.pdf")</f>
        <v>http://jsmh.umin.jp/journal/48-3/432-433.pdf</v>
      </c>
      <c r="H4441" s="43"/>
    </row>
    <row r="4442" spans="1:8" ht="30" customHeight="1" x14ac:dyDescent="0.15">
      <c r="A4442" s="16" t="s">
        <v>1855</v>
      </c>
      <c r="B4442" s="17" t="s">
        <v>7599</v>
      </c>
      <c r="C4442" s="17" t="s">
        <v>2071</v>
      </c>
      <c r="D4442" s="25" t="s">
        <v>7477</v>
      </c>
      <c r="E4442" s="19" t="s">
        <v>7536</v>
      </c>
      <c r="F4442" s="19" t="s">
        <v>6317</v>
      </c>
      <c r="G4442" s="5" t="str">
        <f>HYPERLINK("http://jsmh.umin.jp/journal/48-3/434-435.pdf")</f>
        <v>http://jsmh.umin.jp/journal/48-3/434-435.pdf</v>
      </c>
      <c r="H4442" s="43"/>
    </row>
    <row r="4443" spans="1:8" ht="30" customHeight="1" x14ac:dyDescent="0.15">
      <c r="A4443" s="16" t="s">
        <v>1855</v>
      </c>
      <c r="B4443" s="17" t="s">
        <v>7600</v>
      </c>
      <c r="C4443" s="17" t="s">
        <v>3167</v>
      </c>
      <c r="D4443" s="25" t="s">
        <v>7477</v>
      </c>
      <c r="E4443" s="19" t="s">
        <v>7536</v>
      </c>
      <c r="F4443" s="19" t="s">
        <v>6107</v>
      </c>
      <c r="G4443" s="5" t="str">
        <f>HYPERLINK("http://jsmh.umin.jp/journal/48-3/436-437.pdf")</f>
        <v>http://jsmh.umin.jp/journal/48-3/436-437.pdf</v>
      </c>
      <c r="H4443" s="43"/>
    </row>
    <row r="4444" spans="1:8" ht="30" customHeight="1" x14ac:dyDescent="0.15">
      <c r="A4444" s="16" t="s">
        <v>1855</v>
      </c>
      <c r="B4444" s="17" t="s">
        <v>7601</v>
      </c>
      <c r="C4444" s="17" t="s">
        <v>7602</v>
      </c>
      <c r="D4444" s="25" t="s">
        <v>7477</v>
      </c>
      <c r="E4444" s="19" t="s">
        <v>7536</v>
      </c>
      <c r="F4444" s="19" t="s">
        <v>7193</v>
      </c>
      <c r="G4444" s="5" t="str">
        <f>HYPERLINK("http://jsmh.umin.jp/journal/48-3/438-439.pdf")</f>
        <v>http://jsmh.umin.jp/journal/48-3/438-439.pdf</v>
      </c>
      <c r="H4444" s="43"/>
    </row>
    <row r="4445" spans="1:8" ht="30" customHeight="1" x14ac:dyDescent="0.15">
      <c r="A4445" s="16" t="s">
        <v>1855</v>
      </c>
      <c r="B4445" s="17" t="s">
        <v>7603</v>
      </c>
      <c r="C4445" s="17" t="s">
        <v>3199</v>
      </c>
      <c r="D4445" s="25" t="s">
        <v>7477</v>
      </c>
      <c r="E4445" s="19" t="s">
        <v>7536</v>
      </c>
      <c r="F4445" s="19" t="s">
        <v>6112</v>
      </c>
      <c r="G4445" s="5" t="str">
        <f>HYPERLINK("http://jsmh.umin.jp/journal/48-3/440-441.pdf")</f>
        <v>http://jsmh.umin.jp/journal/48-3/440-441.pdf</v>
      </c>
      <c r="H4445" s="43"/>
    </row>
    <row r="4446" spans="1:8" ht="30" customHeight="1" x14ac:dyDescent="0.15">
      <c r="A4446" s="16" t="s">
        <v>1855</v>
      </c>
      <c r="B4446" s="17" t="s">
        <v>7604</v>
      </c>
      <c r="C4446" s="17" t="s">
        <v>7605</v>
      </c>
      <c r="D4446" s="25" t="s">
        <v>7477</v>
      </c>
      <c r="E4446" s="19" t="s">
        <v>7536</v>
      </c>
      <c r="F4446" s="19" t="s">
        <v>6114</v>
      </c>
      <c r="G4446" s="5" t="str">
        <f>HYPERLINK("http://jsmh.umin.jp/journal/48-3/442-443.pdf")</f>
        <v>http://jsmh.umin.jp/journal/48-3/442-443.pdf</v>
      </c>
      <c r="H4446" s="43"/>
    </row>
    <row r="4447" spans="1:8" ht="30" customHeight="1" x14ac:dyDescent="0.15">
      <c r="A4447" s="16" t="s">
        <v>1855</v>
      </c>
      <c r="B4447" s="17" t="s">
        <v>7606</v>
      </c>
      <c r="C4447" s="17" t="s">
        <v>905</v>
      </c>
      <c r="D4447" s="25" t="s">
        <v>7477</v>
      </c>
      <c r="E4447" s="19" t="s">
        <v>7536</v>
      </c>
      <c r="F4447" s="19" t="s">
        <v>6118</v>
      </c>
      <c r="G4447" s="5" t="str">
        <f>HYPERLINK("http://jsmh.umin.jp/journal/48-3/444-445.pdf")</f>
        <v>http://jsmh.umin.jp/journal/48-3/444-445.pdf</v>
      </c>
      <c r="H4447" s="43"/>
    </row>
    <row r="4448" spans="1:8" ht="30" customHeight="1" x14ac:dyDescent="0.15">
      <c r="A4448" s="16" t="s">
        <v>1855</v>
      </c>
      <c r="B4448" s="17" t="s">
        <v>7607</v>
      </c>
      <c r="C4448" s="17" t="s">
        <v>672</v>
      </c>
      <c r="D4448" s="25" t="s">
        <v>7477</v>
      </c>
      <c r="E4448" s="19" t="s">
        <v>7536</v>
      </c>
      <c r="F4448" s="19" t="s">
        <v>2494</v>
      </c>
      <c r="G4448" s="5" t="str">
        <f>HYPERLINK("http://jsmh.umin.jp/journal/48-3/446-447.pdf")</f>
        <v>http://jsmh.umin.jp/journal/48-3/446-447.pdf</v>
      </c>
      <c r="H4448" s="43"/>
    </row>
    <row r="4449" spans="1:8" ht="30" customHeight="1" x14ac:dyDescent="0.15">
      <c r="A4449" s="16" t="s">
        <v>1855</v>
      </c>
      <c r="B4449" s="17" t="s">
        <v>7608</v>
      </c>
      <c r="C4449" s="17" t="s">
        <v>7609</v>
      </c>
      <c r="D4449" s="25" t="s">
        <v>7477</v>
      </c>
      <c r="E4449" s="19" t="s">
        <v>7536</v>
      </c>
      <c r="F4449" s="19" t="s">
        <v>4925</v>
      </c>
      <c r="G4449" s="5" t="str">
        <f>HYPERLINK("http://jsmh.umin.jp/journal/48-3/448-449.pdf")</f>
        <v>http://jsmh.umin.jp/journal/48-3/448-449.pdf</v>
      </c>
      <c r="H4449" s="43"/>
    </row>
    <row r="4450" spans="1:8" ht="30" customHeight="1" x14ac:dyDescent="0.15">
      <c r="A4450" s="16" t="s">
        <v>1855</v>
      </c>
      <c r="B4450" s="17" t="s">
        <v>7610</v>
      </c>
      <c r="C4450" s="17" t="s">
        <v>7611</v>
      </c>
      <c r="D4450" s="25" t="s">
        <v>7477</v>
      </c>
      <c r="E4450" s="19" t="s">
        <v>7536</v>
      </c>
      <c r="F4450" s="19" t="s">
        <v>4094</v>
      </c>
      <c r="G4450" s="5" t="str">
        <f>HYPERLINK("http://jsmh.umin.jp/journal/48-3/450-451.pdf")</f>
        <v>http://jsmh.umin.jp/journal/48-3/450-451.pdf</v>
      </c>
      <c r="H4450" s="43"/>
    </row>
    <row r="4451" spans="1:8" ht="30" customHeight="1" x14ac:dyDescent="0.15">
      <c r="A4451" s="16" t="s">
        <v>1855</v>
      </c>
      <c r="B4451" s="17" t="s">
        <v>7612</v>
      </c>
      <c r="C4451" s="17" t="s">
        <v>7613</v>
      </c>
      <c r="D4451" s="25" t="s">
        <v>7477</v>
      </c>
      <c r="E4451" s="19" t="s">
        <v>7536</v>
      </c>
      <c r="F4451" s="19" t="s">
        <v>4932</v>
      </c>
      <c r="G4451" s="5" t="str">
        <f>HYPERLINK("http://jsmh.umin.jp/journal/48-3/452-453.pdf")</f>
        <v>http://jsmh.umin.jp/journal/48-3/452-453.pdf</v>
      </c>
      <c r="H4451" s="43"/>
    </row>
    <row r="4452" spans="1:8" ht="30" customHeight="1" x14ac:dyDescent="0.15">
      <c r="A4452" s="16" t="s">
        <v>1855</v>
      </c>
      <c r="B4452" s="17" t="s">
        <v>7614</v>
      </c>
      <c r="C4452" s="17" t="s">
        <v>10334</v>
      </c>
      <c r="D4452" s="25" t="s">
        <v>7477</v>
      </c>
      <c r="E4452" s="19" t="s">
        <v>7536</v>
      </c>
      <c r="F4452" s="19" t="s">
        <v>4101</v>
      </c>
      <c r="G4452" s="5" t="str">
        <f>HYPERLINK("http://jsmh.umin.jp/journal/48-3/454-455.pdf")</f>
        <v>http://jsmh.umin.jp/journal/48-3/454-455.pdf</v>
      </c>
      <c r="H4452" s="43"/>
    </row>
    <row r="4453" spans="1:8" ht="30" customHeight="1" x14ac:dyDescent="0.15">
      <c r="A4453" s="16" t="s">
        <v>1855</v>
      </c>
      <c r="B4453" s="17" t="s">
        <v>7615</v>
      </c>
      <c r="C4453" s="17" t="s">
        <v>7316</v>
      </c>
      <c r="D4453" s="25" t="s">
        <v>7477</v>
      </c>
      <c r="E4453" s="19" t="s">
        <v>7536</v>
      </c>
      <c r="F4453" s="19" t="s">
        <v>4107</v>
      </c>
      <c r="G4453" s="5" t="str">
        <f>HYPERLINK("http://jsmh.umin.jp/journal/48-3/456-457.pdf")</f>
        <v>http://jsmh.umin.jp/journal/48-3/456-457.pdf</v>
      </c>
      <c r="H4453" s="43"/>
    </row>
    <row r="4454" spans="1:8" ht="30" customHeight="1" x14ac:dyDescent="0.15">
      <c r="A4454" s="16" t="s">
        <v>1855</v>
      </c>
      <c r="B4454" s="17" t="s">
        <v>7616</v>
      </c>
      <c r="C4454" s="17" t="s">
        <v>7617</v>
      </c>
      <c r="D4454" s="25" t="s">
        <v>7477</v>
      </c>
      <c r="E4454" s="19" t="s">
        <v>7536</v>
      </c>
      <c r="F4454" s="19" t="s">
        <v>4940</v>
      </c>
      <c r="G4454" s="5" t="str">
        <f>HYPERLINK("http://jsmh.umin.jp/journal/48-3/458-459.pdf")</f>
        <v>http://jsmh.umin.jp/journal/48-3/458-459.pdf</v>
      </c>
      <c r="H4454" s="43"/>
    </row>
    <row r="4455" spans="1:8" ht="30" customHeight="1" x14ac:dyDescent="0.15">
      <c r="A4455" s="16" t="s">
        <v>1855</v>
      </c>
      <c r="B4455" s="17" t="s">
        <v>7618</v>
      </c>
      <c r="C4455" s="17" t="s">
        <v>6903</v>
      </c>
      <c r="D4455" s="25" t="s">
        <v>7477</v>
      </c>
      <c r="E4455" s="19" t="s">
        <v>7536</v>
      </c>
      <c r="F4455" s="19" t="s">
        <v>4945</v>
      </c>
      <c r="G4455" s="5" t="str">
        <f>HYPERLINK("http://jsmh.umin.jp/journal/48-3/460-461.pdf")</f>
        <v>http://jsmh.umin.jp/journal/48-3/460-461.pdf</v>
      </c>
      <c r="H4455" s="43"/>
    </row>
    <row r="4456" spans="1:8" ht="30" customHeight="1" x14ac:dyDescent="0.15">
      <c r="A4456" s="16" t="s">
        <v>1855</v>
      </c>
      <c r="B4456" s="17" t="s">
        <v>7619</v>
      </c>
      <c r="C4456" s="17" t="s">
        <v>7391</v>
      </c>
      <c r="D4456" s="25" t="s">
        <v>7477</v>
      </c>
      <c r="E4456" s="19" t="s">
        <v>7536</v>
      </c>
      <c r="F4456" s="19" t="s">
        <v>7308</v>
      </c>
      <c r="G4456" s="5" t="str">
        <f>HYPERLINK("http://jsmh.umin.jp/journal/48-3/462-463.pdf")</f>
        <v>http://jsmh.umin.jp/journal/48-3/462-463.pdf</v>
      </c>
      <c r="H4456" s="43"/>
    </row>
    <row r="4457" spans="1:8" ht="30" customHeight="1" x14ac:dyDescent="0.15">
      <c r="A4457" s="16" t="s">
        <v>1855</v>
      </c>
      <c r="B4457" s="17" t="s">
        <v>7620</v>
      </c>
      <c r="C4457" s="17" t="s">
        <v>7621</v>
      </c>
      <c r="D4457" s="25" t="s">
        <v>7477</v>
      </c>
      <c r="E4457" s="19" t="s">
        <v>7536</v>
      </c>
      <c r="F4457" s="19" t="s">
        <v>7310</v>
      </c>
      <c r="G4457" s="5" t="str">
        <f>HYPERLINK("http://jsmh.umin.jp/journal/48-3/464-465.pdf")</f>
        <v>http://jsmh.umin.jp/journal/48-3/464-465.pdf</v>
      </c>
      <c r="H4457" s="43"/>
    </row>
    <row r="4458" spans="1:8" ht="30" customHeight="1" x14ac:dyDescent="0.15">
      <c r="A4458" s="16" t="s">
        <v>1855</v>
      </c>
      <c r="B4458" s="17" t="s">
        <v>7622</v>
      </c>
      <c r="C4458" s="17" t="s">
        <v>3082</v>
      </c>
      <c r="D4458" s="25" t="s">
        <v>7477</v>
      </c>
      <c r="E4458" s="19" t="s">
        <v>7536</v>
      </c>
      <c r="F4458" s="19" t="s">
        <v>7312</v>
      </c>
      <c r="G4458" s="5" t="str">
        <f>HYPERLINK("http://jsmh.umin.jp/journal/48-3/466-467.pdf")</f>
        <v>http://jsmh.umin.jp/journal/48-3/466-467.pdf</v>
      </c>
      <c r="H4458" s="43"/>
    </row>
    <row r="4459" spans="1:8" ht="30" customHeight="1" x14ac:dyDescent="0.15">
      <c r="A4459" s="16" t="s">
        <v>1855</v>
      </c>
      <c r="B4459" s="17" t="s">
        <v>7623</v>
      </c>
      <c r="C4459" s="17" t="s">
        <v>10335</v>
      </c>
      <c r="D4459" s="25" t="s">
        <v>7477</v>
      </c>
      <c r="E4459" s="19" t="s">
        <v>7536</v>
      </c>
      <c r="F4459" s="19" t="s">
        <v>7314</v>
      </c>
      <c r="G4459" s="5" t="str">
        <f>HYPERLINK("http://jsmh.umin.jp/journal/48-3/468-469.pdf")</f>
        <v>http://jsmh.umin.jp/journal/48-3/468-469.pdf</v>
      </c>
      <c r="H4459" s="43"/>
    </row>
    <row r="4460" spans="1:8" ht="30" customHeight="1" x14ac:dyDescent="0.15">
      <c r="A4460" s="16" t="s">
        <v>1855</v>
      </c>
      <c r="B4460" s="17" t="s">
        <v>7624</v>
      </c>
      <c r="C4460" s="17" t="s">
        <v>7625</v>
      </c>
      <c r="D4460" s="25" t="s">
        <v>7477</v>
      </c>
      <c r="E4460" s="19" t="s">
        <v>7536</v>
      </c>
      <c r="F4460" s="19" t="s">
        <v>7317</v>
      </c>
      <c r="G4460" s="5" t="str">
        <f>HYPERLINK("http://jsmh.umin.jp/journal/48-3/470-471.pdf")</f>
        <v>http://jsmh.umin.jp/journal/48-3/470-471.pdf</v>
      </c>
      <c r="H4460" s="43"/>
    </row>
    <row r="4461" spans="1:8" ht="30" customHeight="1" x14ac:dyDescent="0.15">
      <c r="A4461" s="16" t="s">
        <v>1855</v>
      </c>
      <c r="B4461" s="17" t="s">
        <v>7626</v>
      </c>
      <c r="C4461" s="17" t="s">
        <v>6857</v>
      </c>
      <c r="D4461" s="25" t="s">
        <v>7477</v>
      </c>
      <c r="E4461" s="19" t="s">
        <v>7536</v>
      </c>
      <c r="F4461" s="19" t="s">
        <v>7319</v>
      </c>
      <c r="G4461" s="5" t="str">
        <f>HYPERLINK("http://jsmh.umin.jp/journal/48-3/472-473.pdf")</f>
        <v>http://jsmh.umin.jp/journal/48-3/472-473.pdf</v>
      </c>
      <c r="H4461" s="43"/>
    </row>
    <row r="4462" spans="1:8" ht="30" customHeight="1" x14ac:dyDescent="0.15">
      <c r="A4462" s="16" t="s">
        <v>1855</v>
      </c>
      <c r="B4462" s="17" t="s">
        <v>10336</v>
      </c>
      <c r="C4462" s="17" t="s">
        <v>790</v>
      </c>
      <c r="D4462" s="25" t="s">
        <v>7477</v>
      </c>
      <c r="E4462" s="19" t="s">
        <v>7536</v>
      </c>
      <c r="F4462" s="19" t="s">
        <v>6959</v>
      </c>
      <c r="G4462" s="5" t="str">
        <f>HYPERLINK("http://jsmh.umin.jp/journal/48-3/474-475.pdf")</f>
        <v>http://jsmh.umin.jp/journal/48-3/474-475.pdf</v>
      </c>
      <c r="H4462" s="43"/>
    </row>
    <row r="4463" spans="1:8" ht="30" customHeight="1" x14ac:dyDescent="0.15">
      <c r="A4463" s="16" t="s">
        <v>1855</v>
      </c>
      <c r="B4463" s="17" t="s">
        <v>10337</v>
      </c>
      <c r="C4463" s="17" t="s">
        <v>6851</v>
      </c>
      <c r="D4463" s="25" t="s">
        <v>7477</v>
      </c>
      <c r="E4463" s="19" t="s">
        <v>7536</v>
      </c>
      <c r="F4463" s="19" t="s">
        <v>7323</v>
      </c>
      <c r="G4463" s="5" t="str">
        <f>HYPERLINK("http://jsmh.umin.jp/journal/48-3/476-477.pdf")</f>
        <v>http://jsmh.umin.jp/journal/48-3/476-477.pdf</v>
      </c>
      <c r="H4463" s="43"/>
    </row>
    <row r="4464" spans="1:8" ht="30" customHeight="1" x14ac:dyDescent="0.15">
      <c r="A4464" s="16" t="s">
        <v>1855</v>
      </c>
      <c r="B4464" s="17" t="s">
        <v>7627</v>
      </c>
      <c r="C4464" s="17" t="s">
        <v>2465</v>
      </c>
      <c r="D4464" s="25" t="s">
        <v>7477</v>
      </c>
      <c r="E4464" s="19" t="s">
        <v>7536</v>
      </c>
      <c r="F4464" s="19" t="s">
        <v>6965</v>
      </c>
      <c r="G4464" s="5" t="str">
        <f>HYPERLINK("http://jsmh.umin.jp/journal/48-3/478-479.pdf")</f>
        <v>http://jsmh.umin.jp/journal/48-3/478-479.pdf</v>
      </c>
      <c r="H4464" s="43"/>
    </row>
    <row r="4465" spans="1:8" ht="30" customHeight="1" x14ac:dyDescent="0.15">
      <c r="A4465" s="16"/>
      <c r="B4465" s="17" t="s">
        <v>7628</v>
      </c>
      <c r="C4465" s="17"/>
      <c r="D4465" s="25" t="s">
        <v>7477</v>
      </c>
      <c r="E4465" s="19" t="s">
        <v>7536</v>
      </c>
      <c r="F4465" s="19" t="s">
        <v>7629</v>
      </c>
      <c r="G4465" s="5" t="str">
        <f>HYPERLINK("http://jsmh.umin.jp/journal/48-3/480-534.pdf")</f>
        <v>http://jsmh.umin.jp/journal/48-3/480-534.pdf</v>
      </c>
      <c r="H4465" s="43"/>
    </row>
    <row r="4466" spans="1:8" ht="30" customHeight="1" x14ac:dyDescent="0.15">
      <c r="A4466" s="16" t="s">
        <v>17</v>
      </c>
      <c r="B4466" s="17" t="s">
        <v>7630</v>
      </c>
      <c r="C4466" s="17" t="s">
        <v>7359</v>
      </c>
      <c r="D4466" s="25" t="s">
        <v>7477</v>
      </c>
      <c r="E4466" s="19" t="s">
        <v>7631</v>
      </c>
      <c r="F4466" s="19" t="s">
        <v>7632</v>
      </c>
      <c r="G4466" s="5" t="str">
        <f>HYPERLINK("http://jsmh.umin.jp/journal/48-4/541-573.pdf")</f>
        <v>http://jsmh.umin.jp/journal/48-4/541-573.pdf</v>
      </c>
      <c r="H4466" s="43"/>
    </row>
    <row r="4467" spans="1:8" ht="30" customHeight="1" x14ac:dyDescent="0.15">
      <c r="A4467" s="16"/>
      <c r="B4467" s="17" t="s">
        <v>10629</v>
      </c>
      <c r="C4467" s="17" t="s">
        <v>4039</v>
      </c>
      <c r="D4467" s="25" t="s">
        <v>7477</v>
      </c>
      <c r="E4467" s="19" t="s">
        <v>7631</v>
      </c>
      <c r="F4467" s="19">
        <v>574</v>
      </c>
      <c r="G4467" s="26" t="str">
        <f>HYPERLINK("http://jsmh.umin.jp/journal/48-4/574.pdf")</f>
        <v>http://jsmh.umin.jp/journal/48-4/574.pdf</v>
      </c>
      <c r="H4467" s="43"/>
    </row>
    <row r="4468" spans="1:8" ht="30" customHeight="1" x14ac:dyDescent="0.15">
      <c r="A4468" s="16" t="s">
        <v>17</v>
      </c>
      <c r="B4468" s="17" t="s">
        <v>7633</v>
      </c>
      <c r="C4468" s="17" t="s">
        <v>5052</v>
      </c>
      <c r="D4468" s="25" t="s">
        <v>7477</v>
      </c>
      <c r="E4468" s="19" t="s">
        <v>7631</v>
      </c>
      <c r="F4468" s="19" t="s">
        <v>7634</v>
      </c>
      <c r="G4468" s="5" t="str">
        <f>HYPERLINK("http://jsmh.umin.jp/journal/48-4/575-595.pdf")</f>
        <v>http://jsmh.umin.jp/journal/48-4/575-595.pdf</v>
      </c>
      <c r="H4468" s="43"/>
    </row>
    <row r="4469" spans="1:8" ht="30" customHeight="1" x14ac:dyDescent="0.15">
      <c r="A4469" s="16"/>
      <c r="B4469" s="17" t="s">
        <v>10630</v>
      </c>
      <c r="C4469" s="17" t="s">
        <v>1764</v>
      </c>
      <c r="D4469" s="25" t="s">
        <v>7477</v>
      </c>
      <c r="E4469" s="19" t="s">
        <v>7631</v>
      </c>
      <c r="F4469" s="19">
        <v>596</v>
      </c>
      <c r="G4469" s="26" t="str">
        <f>HYPERLINK("http://jsmh.umin.jp/journal/48-4/596.pdf")</f>
        <v>http://jsmh.umin.jp/journal/48-4/596.pdf</v>
      </c>
      <c r="H4469" s="43"/>
    </row>
    <row r="4470" spans="1:8" ht="30" customHeight="1" x14ac:dyDescent="0.15">
      <c r="A4470" s="16" t="s">
        <v>3387</v>
      </c>
      <c r="B4470" s="17" t="s">
        <v>7635</v>
      </c>
      <c r="C4470" s="17" t="s">
        <v>7316</v>
      </c>
      <c r="D4470" s="25" t="s">
        <v>7477</v>
      </c>
      <c r="E4470" s="19" t="s">
        <v>7631</v>
      </c>
      <c r="F4470" s="19" t="s">
        <v>7636</v>
      </c>
      <c r="G4470" s="5" t="str">
        <f>HYPERLINK("http://jsmh.umin.jp/journal/48-4/597-616.pdf")</f>
        <v>http://jsmh.umin.jp/journal/48-4/597-616.pdf</v>
      </c>
      <c r="H4470" s="43"/>
    </row>
    <row r="4471" spans="1:8" ht="30" customHeight="1" x14ac:dyDescent="0.15">
      <c r="A4471" s="16" t="s">
        <v>7637</v>
      </c>
      <c r="B4471" s="17" t="s">
        <v>7638</v>
      </c>
      <c r="C4471" s="17" t="s">
        <v>10338</v>
      </c>
      <c r="D4471" s="25" t="s">
        <v>7477</v>
      </c>
      <c r="E4471" s="19" t="s">
        <v>7631</v>
      </c>
      <c r="F4471" s="19" t="s">
        <v>7639</v>
      </c>
      <c r="G4471" s="5" t="str">
        <f>HYPERLINK("http://jsmh.umin.jp/journal/48-4/617-636.pdf")</f>
        <v>http://jsmh.umin.jp/journal/48-4/617-636.pdf</v>
      </c>
      <c r="H4471" s="43"/>
    </row>
    <row r="4472" spans="1:8" ht="30" customHeight="1" x14ac:dyDescent="0.15">
      <c r="A4472" s="16" t="s">
        <v>692</v>
      </c>
      <c r="B4472" s="17" t="s">
        <v>7640</v>
      </c>
      <c r="C4472" s="17" t="s">
        <v>4870</v>
      </c>
      <c r="D4472" s="25" t="s">
        <v>7477</v>
      </c>
      <c r="E4472" s="19" t="s">
        <v>7631</v>
      </c>
      <c r="F4472" s="19" t="s">
        <v>7641</v>
      </c>
      <c r="G4472" s="5" t="str">
        <f>HYPERLINK("http://jsmh.umin.jp/journal/48-4/637-647.pdf")</f>
        <v>http://jsmh.umin.jp/journal/48-4/637-647.pdf</v>
      </c>
      <c r="H4472" s="43"/>
    </row>
    <row r="4473" spans="1:8" ht="30" customHeight="1" x14ac:dyDescent="0.15">
      <c r="A4473" s="16" t="s">
        <v>692</v>
      </c>
      <c r="B4473" s="17" t="s">
        <v>7642</v>
      </c>
      <c r="C4473" s="17" t="s">
        <v>2465</v>
      </c>
      <c r="D4473" s="25" t="s">
        <v>7477</v>
      </c>
      <c r="E4473" s="19" t="s">
        <v>7631</v>
      </c>
      <c r="F4473" s="19" t="s">
        <v>7643</v>
      </c>
      <c r="G4473" s="5" t="str">
        <f>HYPERLINK("http://jsmh.umin.jp/journal/48-4/648-653.pdf")</f>
        <v>http://jsmh.umin.jp/journal/48-4/648-653.pdf</v>
      </c>
      <c r="H4473" s="43"/>
    </row>
    <row r="4474" spans="1:8" ht="30" customHeight="1" x14ac:dyDescent="0.15">
      <c r="A4474" s="16" t="s">
        <v>3223</v>
      </c>
      <c r="B4474" s="17" t="s">
        <v>7644</v>
      </c>
      <c r="C4474" s="17" t="s">
        <v>7645</v>
      </c>
      <c r="D4474" s="25" t="s">
        <v>7477</v>
      </c>
      <c r="E4474" s="19" t="s">
        <v>7631</v>
      </c>
      <c r="F4474" s="19" t="s">
        <v>7646</v>
      </c>
      <c r="G4474" s="5" t="str">
        <f>HYPERLINK("http://jsmh.umin.jp/journal/48-4/654-656.pdf")</f>
        <v>http://jsmh.umin.jp/journal/48-4/654-656.pdf</v>
      </c>
      <c r="H4474" s="43"/>
    </row>
    <row r="4475" spans="1:8" ht="30" customHeight="1" x14ac:dyDescent="0.15">
      <c r="A4475" s="16" t="s">
        <v>3223</v>
      </c>
      <c r="B4475" s="17" t="s">
        <v>7647</v>
      </c>
      <c r="C4475" s="17" t="s">
        <v>3655</v>
      </c>
      <c r="D4475" s="25" t="s">
        <v>7477</v>
      </c>
      <c r="E4475" s="19" t="s">
        <v>7631</v>
      </c>
      <c r="F4475" s="19" t="s">
        <v>7648</v>
      </c>
      <c r="G4475" s="5" t="str">
        <f>HYPERLINK("http://jsmh.umin.jp/journal/48-4/657-660.pdf")</f>
        <v>http://jsmh.umin.jp/journal/48-4/657-660.pdf</v>
      </c>
      <c r="H4475" s="43"/>
    </row>
    <row r="4476" spans="1:8" ht="30" customHeight="1" x14ac:dyDescent="0.15">
      <c r="A4476" s="16" t="s">
        <v>3223</v>
      </c>
      <c r="B4476" s="17" t="s">
        <v>7649</v>
      </c>
      <c r="C4476" s="17" t="s">
        <v>10339</v>
      </c>
      <c r="D4476" s="25" t="s">
        <v>7477</v>
      </c>
      <c r="E4476" s="19" t="s">
        <v>7631</v>
      </c>
      <c r="F4476" s="19" t="s">
        <v>7650</v>
      </c>
      <c r="G4476" s="5" t="str">
        <f>HYPERLINK("http://jsmh.umin.jp/journal/48-4/661-663.pdf")</f>
        <v>http://jsmh.umin.jp/journal/48-4/661-663.pdf</v>
      </c>
      <c r="H4476" s="43"/>
    </row>
    <row r="4477" spans="1:8" ht="30" customHeight="1" x14ac:dyDescent="0.15">
      <c r="A4477" s="16" t="s">
        <v>3720</v>
      </c>
      <c r="B4477" s="17" t="s">
        <v>7651</v>
      </c>
      <c r="C4477" s="17" t="s">
        <v>2937</v>
      </c>
      <c r="D4477" s="25" t="s">
        <v>7477</v>
      </c>
      <c r="E4477" s="19" t="s">
        <v>7631</v>
      </c>
      <c r="F4477" s="19" t="s">
        <v>7652</v>
      </c>
      <c r="G4477" s="5" t="str">
        <f>HYPERLINK("http://jsmh.umin.jp/journal/48-4/664-666.pdf")</f>
        <v>http://jsmh.umin.jp/journal/48-4/664-666.pdf</v>
      </c>
      <c r="H4477" s="43"/>
    </row>
    <row r="4478" spans="1:8" ht="30" customHeight="1" x14ac:dyDescent="0.15">
      <c r="A4478" s="16" t="s">
        <v>558</v>
      </c>
      <c r="B4478" s="17" t="s">
        <v>537</v>
      </c>
      <c r="C4478" s="17"/>
      <c r="D4478" s="25" t="s">
        <v>7477</v>
      </c>
      <c r="E4478" s="19" t="s">
        <v>7631</v>
      </c>
      <c r="F4478" s="19" t="s">
        <v>7653</v>
      </c>
      <c r="G4478" s="5" t="str">
        <f>HYPERLINK("http://jsmh.umin.jp/journal/48-4/664.pdf")</f>
        <v>http://jsmh.umin.jp/journal/48-4/664.pdf</v>
      </c>
      <c r="H4478" s="43"/>
    </row>
    <row r="4479" spans="1:8" ht="30" customHeight="1" x14ac:dyDescent="0.15">
      <c r="A4479" s="16" t="s">
        <v>3720</v>
      </c>
      <c r="B4479" s="17" t="s">
        <v>7654</v>
      </c>
      <c r="C4479" s="17" t="s">
        <v>2465</v>
      </c>
      <c r="D4479" s="25" t="s">
        <v>7477</v>
      </c>
      <c r="E4479" s="19" t="s">
        <v>7631</v>
      </c>
      <c r="F4479" s="19" t="s">
        <v>7655</v>
      </c>
      <c r="G4479" s="5" t="str">
        <f>HYPERLINK("http://jsmh.umin.jp/journal/48-4/666-667.pdf")</f>
        <v>http://jsmh.umin.jp/journal/48-4/666-667.pdf</v>
      </c>
      <c r="H4479" s="43"/>
    </row>
    <row r="4480" spans="1:8" ht="30" customHeight="1" x14ac:dyDescent="0.15">
      <c r="A4480" s="16" t="s">
        <v>3720</v>
      </c>
      <c r="B4480" s="17" t="s">
        <v>7656</v>
      </c>
      <c r="C4480" s="17" t="s">
        <v>5660</v>
      </c>
      <c r="D4480" s="25" t="s">
        <v>7477</v>
      </c>
      <c r="E4480" s="19" t="s">
        <v>7631</v>
      </c>
      <c r="F4480" s="19" t="s">
        <v>6384</v>
      </c>
      <c r="G4480" s="5" t="str">
        <f>HYPERLINK("http://jsmh.umin.jp/journal/48-4/667-668.pdf")</f>
        <v>http://jsmh.umin.jp/journal/48-4/667-668.pdf</v>
      </c>
      <c r="H4480" s="43"/>
    </row>
    <row r="4481" spans="1:8" ht="30" customHeight="1" x14ac:dyDescent="0.15">
      <c r="A4481" s="16" t="s">
        <v>3720</v>
      </c>
      <c r="B4481" s="17" t="s">
        <v>7657</v>
      </c>
      <c r="C4481" s="17" t="s">
        <v>4085</v>
      </c>
      <c r="D4481" s="25" t="s">
        <v>7477</v>
      </c>
      <c r="E4481" s="19" t="s">
        <v>7631</v>
      </c>
      <c r="F4481" s="19" t="s">
        <v>7658</v>
      </c>
      <c r="G4481" s="5" t="str">
        <f>HYPERLINK("http://jsmh.umin.jp/journal/48-4/669-670.pdf")</f>
        <v>http://jsmh.umin.jp/journal/48-4/669-670.pdf</v>
      </c>
      <c r="H4481" s="43"/>
    </row>
    <row r="4482" spans="1:8" ht="30" customHeight="1" x14ac:dyDescent="0.15">
      <c r="A4482" s="16" t="s">
        <v>2990</v>
      </c>
      <c r="B4482" s="17" t="s">
        <v>7659</v>
      </c>
      <c r="C4482" s="17" t="s">
        <v>1994</v>
      </c>
      <c r="D4482" s="25" t="s">
        <v>7477</v>
      </c>
      <c r="E4482" s="19" t="s">
        <v>7631</v>
      </c>
      <c r="F4482" s="19" t="s">
        <v>6388</v>
      </c>
      <c r="G4482" s="5" t="str">
        <f>HYPERLINK("http://jsmh.umin.jp/journal/48-4/670-671.pdf")</f>
        <v>http://jsmh.umin.jp/journal/48-4/670-671.pdf</v>
      </c>
      <c r="H4482" s="43"/>
    </row>
    <row r="4483" spans="1:8" ht="30" customHeight="1" x14ac:dyDescent="0.15">
      <c r="A4483" s="16" t="s">
        <v>2990</v>
      </c>
      <c r="B4483" s="17" t="s">
        <v>7660</v>
      </c>
      <c r="C4483" s="17" t="s">
        <v>2781</v>
      </c>
      <c r="D4483" s="25" t="s">
        <v>7477</v>
      </c>
      <c r="E4483" s="19" t="s">
        <v>7631</v>
      </c>
      <c r="F4483" s="19" t="s">
        <v>7661</v>
      </c>
      <c r="G4483" s="5" t="str">
        <f>HYPERLINK("http://jsmh.umin.jp/journal/48-4/671-673.pdf")</f>
        <v>http://jsmh.umin.jp/journal/48-4/671-673.pdf</v>
      </c>
      <c r="H4483" s="43"/>
    </row>
    <row r="4484" spans="1:8" ht="30" customHeight="1" x14ac:dyDescent="0.15">
      <c r="A4484" s="16" t="s">
        <v>2990</v>
      </c>
      <c r="B4484" s="17" t="s">
        <v>7662</v>
      </c>
      <c r="C4484" s="17" t="s">
        <v>1929</v>
      </c>
      <c r="D4484" s="25" t="s">
        <v>7477</v>
      </c>
      <c r="E4484" s="19" t="s">
        <v>7631</v>
      </c>
      <c r="F4484" s="19" t="s">
        <v>7663</v>
      </c>
      <c r="G4484" s="5" t="str">
        <f>HYPERLINK("http://jsmh.umin.jp/journal/48-4/673-675.pdf")</f>
        <v>http://jsmh.umin.jp/journal/48-4/673-675.pdf</v>
      </c>
      <c r="H4484" s="43"/>
    </row>
    <row r="4485" spans="1:8" ht="30" customHeight="1" x14ac:dyDescent="0.15">
      <c r="A4485" s="16" t="s">
        <v>2990</v>
      </c>
      <c r="B4485" s="17" t="s">
        <v>7664</v>
      </c>
      <c r="C4485" s="17" t="s">
        <v>4085</v>
      </c>
      <c r="D4485" s="25" t="s">
        <v>7477</v>
      </c>
      <c r="E4485" s="19" t="s">
        <v>7631</v>
      </c>
      <c r="F4485" s="19" t="s">
        <v>7228</v>
      </c>
      <c r="G4485" s="5" t="str">
        <f>HYPERLINK("http://jsmh.umin.jp/journal/48-4/675-677.pdf")</f>
        <v>http://jsmh.umin.jp/journal/48-4/675-677.pdf</v>
      </c>
      <c r="H4485" s="43"/>
    </row>
    <row r="4486" spans="1:8" ht="30" customHeight="1" x14ac:dyDescent="0.15">
      <c r="A4486" s="16" t="s">
        <v>2990</v>
      </c>
      <c r="B4486" s="17" t="s">
        <v>7665</v>
      </c>
      <c r="C4486" s="17" t="s">
        <v>6990</v>
      </c>
      <c r="D4486" s="25" t="s">
        <v>7477</v>
      </c>
      <c r="E4486" s="19" t="s">
        <v>7631</v>
      </c>
      <c r="F4486" s="19" t="s">
        <v>7666</v>
      </c>
      <c r="G4486" s="5" t="str">
        <f>HYPERLINK("http://jsmh.umin.jp/journal/48-4/677-678.pdf")</f>
        <v>http://jsmh.umin.jp/journal/48-4/677-678.pdf</v>
      </c>
      <c r="H4486" s="43"/>
    </row>
    <row r="4487" spans="1:8" ht="30" customHeight="1" x14ac:dyDescent="0.15">
      <c r="A4487" s="16" t="s">
        <v>2990</v>
      </c>
      <c r="B4487" s="17" t="s">
        <v>7667</v>
      </c>
      <c r="C4487" s="17" t="s">
        <v>2233</v>
      </c>
      <c r="D4487" s="25" t="s">
        <v>7477</v>
      </c>
      <c r="E4487" s="19" t="s">
        <v>7631</v>
      </c>
      <c r="F4487" s="19" t="s">
        <v>7668</v>
      </c>
      <c r="G4487" s="5" t="str">
        <f>HYPERLINK("http://jsmh.umin.jp/journal/48-4/678-679.pdf")</f>
        <v>http://jsmh.umin.jp/journal/48-4/678-679.pdf</v>
      </c>
      <c r="H4487" s="43"/>
    </row>
    <row r="4488" spans="1:8" ht="30" customHeight="1" x14ac:dyDescent="0.15">
      <c r="A4488" s="16" t="s">
        <v>2990</v>
      </c>
      <c r="B4488" s="17" t="s">
        <v>7669</v>
      </c>
      <c r="C4488" s="17" t="s">
        <v>4085</v>
      </c>
      <c r="D4488" s="25" t="s">
        <v>7477</v>
      </c>
      <c r="E4488" s="19" t="s">
        <v>7631</v>
      </c>
      <c r="F4488" s="19" t="s">
        <v>7232</v>
      </c>
      <c r="G4488" s="5" t="str">
        <f>HYPERLINK("http://jsmh.umin.jp/journal/48-4/679-681.pdf")</f>
        <v>http://jsmh.umin.jp/journal/48-4/679-681.pdf</v>
      </c>
      <c r="H4488" s="43"/>
    </row>
    <row r="4489" spans="1:8" ht="30" customHeight="1" x14ac:dyDescent="0.15">
      <c r="A4489" s="16" t="s">
        <v>558</v>
      </c>
      <c r="B4489" s="17" t="s">
        <v>7670</v>
      </c>
      <c r="C4489" s="17"/>
      <c r="D4489" s="25" t="s">
        <v>7477</v>
      </c>
      <c r="E4489" s="19" t="s">
        <v>7631</v>
      </c>
      <c r="F4489" s="19" t="s">
        <v>7671</v>
      </c>
      <c r="G4489" s="5" t="str">
        <f>HYPERLINK("http://jsmh.umin.jp/journal/48-4/683-688.pdf")</f>
        <v>http://jsmh.umin.jp/journal/48-4/683-688.pdf</v>
      </c>
      <c r="H4489" s="43"/>
    </row>
    <row r="4490" spans="1:8" ht="30" customHeight="1" x14ac:dyDescent="0.15">
      <c r="A4490" s="16" t="s">
        <v>17</v>
      </c>
      <c r="B4490" s="17" t="s">
        <v>7672</v>
      </c>
      <c r="C4490" s="17" t="s">
        <v>10340</v>
      </c>
      <c r="D4490" s="25" t="s">
        <v>7477</v>
      </c>
      <c r="E4490" s="19" t="s">
        <v>7631</v>
      </c>
      <c r="F4490" s="19" t="s">
        <v>7673</v>
      </c>
      <c r="G4490" s="5" t="str">
        <f>HYPERLINK("http://jsmh.umin.jp/journal/48-4/692-720.pdf")</f>
        <v>http://jsmh.umin.jp/journal/48-4/692-720.pdf</v>
      </c>
      <c r="H4490" s="43"/>
    </row>
    <row r="4491" spans="1:8" ht="30" customHeight="1" x14ac:dyDescent="0.15">
      <c r="A4491" s="16" t="s">
        <v>1855</v>
      </c>
      <c r="B4491" s="17" t="s">
        <v>7674</v>
      </c>
      <c r="C4491" s="17" t="s">
        <v>6640</v>
      </c>
      <c r="D4491" s="18" t="s">
        <v>7675</v>
      </c>
      <c r="E4491" s="19" t="s">
        <v>7676</v>
      </c>
      <c r="F4491" s="19" t="s">
        <v>7677</v>
      </c>
      <c r="G4491" s="4" t="str">
        <f>HYPERLINK("http://jsmh.umin.jp/journal/49-1/6-10.pdf")</f>
        <v>http://jsmh.umin.jp/journal/49-1/6-10.pdf</v>
      </c>
      <c r="H4491" s="43"/>
    </row>
    <row r="4492" spans="1:8" ht="30" customHeight="1" x14ac:dyDescent="0.15">
      <c r="A4492" s="16" t="s">
        <v>1855</v>
      </c>
      <c r="B4492" s="17" t="s">
        <v>7678</v>
      </c>
      <c r="C4492" s="17" t="s">
        <v>1070</v>
      </c>
      <c r="D4492" s="25" t="s">
        <v>7675</v>
      </c>
      <c r="E4492" s="19" t="s">
        <v>7676</v>
      </c>
      <c r="F4492" s="19" t="s">
        <v>7679</v>
      </c>
      <c r="G4492" s="5" t="str">
        <f>HYPERLINK("http://jsmh.umin.jp/journal/49-1/11-13.pdf")</f>
        <v>http://jsmh.umin.jp/journal/49-1/11-13.pdf</v>
      </c>
      <c r="H4492" s="43"/>
    </row>
    <row r="4493" spans="1:8" ht="30" customHeight="1" x14ac:dyDescent="0.15">
      <c r="A4493" s="16" t="s">
        <v>1855</v>
      </c>
      <c r="B4493" s="17" t="s">
        <v>7680</v>
      </c>
      <c r="C4493" s="17" t="s">
        <v>1070</v>
      </c>
      <c r="D4493" s="25" t="s">
        <v>7675</v>
      </c>
      <c r="E4493" s="19" t="s">
        <v>7676</v>
      </c>
      <c r="F4493" s="19" t="s">
        <v>357</v>
      </c>
      <c r="G4493" s="5" t="str">
        <f>HYPERLINK("http://jsmh.umin.jp/journal/49-1/14-15.pdf")</f>
        <v>http://jsmh.umin.jp/journal/49-1/14-15.pdf</v>
      </c>
      <c r="H4493" s="43"/>
    </row>
    <row r="4494" spans="1:8" ht="30" customHeight="1" x14ac:dyDescent="0.15">
      <c r="A4494" s="16" t="s">
        <v>1855</v>
      </c>
      <c r="B4494" s="17" t="s">
        <v>7681</v>
      </c>
      <c r="C4494" s="17" t="s">
        <v>10341</v>
      </c>
      <c r="D4494" s="25" t="s">
        <v>7675</v>
      </c>
      <c r="E4494" s="19" t="s">
        <v>7676</v>
      </c>
      <c r="F4494" s="19" t="s">
        <v>361</v>
      </c>
      <c r="G4494" s="5" t="str">
        <f>HYPERLINK("http://jsmh.umin.jp/journal/49-1/16-17.pdf")</f>
        <v>http://jsmh.umin.jp/journal/49-1/16-17.pdf</v>
      </c>
      <c r="H4494" s="43"/>
    </row>
    <row r="4495" spans="1:8" ht="30" customHeight="1" x14ac:dyDescent="0.15">
      <c r="A4495" s="16" t="s">
        <v>1855</v>
      </c>
      <c r="B4495" s="17" t="s">
        <v>7682</v>
      </c>
      <c r="C4495" s="17" t="s">
        <v>10342</v>
      </c>
      <c r="D4495" s="25" t="s">
        <v>7675</v>
      </c>
      <c r="E4495" s="19" t="s">
        <v>7676</v>
      </c>
      <c r="F4495" s="19" t="s">
        <v>370</v>
      </c>
      <c r="G4495" s="5" t="str">
        <f>HYPERLINK("http://jsmh.umin.jp/journal/49-1/18-19.pdf")</f>
        <v>http://jsmh.umin.jp/journal/49-1/18-19.pdf</v>
      </c>
      <c r="H4495" s="43"/>
    </row>
    <row r="4496" spans="1:8" ht="30" customHeight="1" x14ac:dyDescent="0.15">
      <c r="A4496" s="16" t="s">
        <v>1855</v>
      </c>
      <c r="B4496" s="17" t="s">
        <v>7683</v>
      </c>
      <c r="C4496" s="17" t="s">
        <v>10343</v>
      </c>
      <c r="D4496" s="25" t="s">
        <v>7675</v>
      </c>
      <c r="E4496" s="19" t="s">
        <v>7676</v>
      </c>
      <c r="F4496" s="19" t="s">
        <v>377</v>
      </c>
      <c r="G4496" s="5" t="str">
        <f>HYPERLINK("http://jsmh.umin.jp/journal/49-1/20-21.pdf")</f>
        <v>http://jsmh.umin.jp/journal/49-1/20-21.pdf</v>
      </c>
      <c r="H4496" s="43"/>
    </row>
    <row r="4497" spans="1:8" ht="30" customHeight="1" x14ac:dyDescent="0.15">
      <c r="A4497" s="16" t="s">
        <v>1855</v>
      </c>
      <c r="B4497" s="17" t="s">
        <v>7684</v>
      </c>
      <c r="C4497" s="17" t="s">
        <v>10344</v>
      </c>
      <c r="D4497" s="25" t="s">
        <v>7675</v>
      </c>
      <c r="E4497" s="19" t="s">
        <v>7676</v>
      </c>
      <c r="F4497" s="19" t="s">
        <v>384</v>
      </c>
      <c r="G4497" s="5" t="str">
        <f>HYPERLINK("http://jsmh.umin.jp/journal/49-1/22-23.pdf")</f>
        <v>http://jsmh.umin.jp/journal/49-1/22-23.pdf</v>
      </c>
      <c r="H4497" s="43"/>
    </row>
    <row r="4498" spans="1:8" ht="30" customHeight="1" x14ac:dyDescent="0.15">
      <c r="A4498" s="16" t="s">
        <v>1855</v>
      </c>
      <c r="B4498" s="17" t="s">
        <v>7685</v>
      </c>
      <c r="C4498" s="17" t="s">
        <v>6882</v>
      </c>
      <c r="D4498" s="25" t="s">
        <v>7675</v>
      </c>
      <c r="E4498" s="19" t="s">
        <v>7676</v>
      </c>
      <c r="F4498" s="19" t="s">
        <v>389</v>
      </c>
      <c r="G4498" s="5" t="str">
        <f>HYPERLINK("http://jsmh.umin.jp/journal/49-1/24-25.pdf")</f>
        <v>http://jsmh.umin.jp/journal/49-1/24-25.pdf</v>
      </c>
      <c r="H4498" s="43"/>
    </row>
    <row r="4499" spans="1:8" ht="30" customHeight="1" x14ac:dyDescent="0.15">
      <c r="A4499" s="16" t="s">
        <v>1855</v>
      </c>
      <c r="B4499" s="17" t="s">
        <v>7686</v>
      </c>
      <c r="C4499" s="17" t="s">
        <v>5569</v>
      </c>
      <c r="D4499" s="25" t="s">
        <v>7675</v>
      </c>
      <c r="E4499" s="19" t="s">
        <v>7676</v>
      </c>
      <c r="F4499" s="19" t="s">
        <v>521</v>
      </c>
      <c r="G4499" s="5" t="str">
        <f>HYPERLINK("http://jsmh.umin.jp/journal/49-1/26-27.pdf")</f>
        <v>http://jsmh.umin.jp/journal/49-1/26-27.pdf</v>
      </c>
      <c r="H4499" s="43"/>
    </row>
    <row r="4500" spans="1:8" ht="30" customHeight="1" x14ac:dyDescent="0.15">
      <c r="A4500" s="16" t="s">
        <v>1855</v>
      </c>
      <c r="B4500" s="17" t="s">
        <v>7687</v>
      </c>
      <c r="C4500" s="17" t="s">
        <v>7688</v>
      </c>
      <c r="D4500" s="25" t="s">
        <v>7675</v>
      </c>
      <c r="E4500" s="19" t="s">
        <v>7676</v>
      </c>
      <c r="F4500" s="19" t="s">
        <v>401</v>
      </c>
      <c r="G4500" s="5" t="str">
        <f>HYPERLINK("http://jsmh.umin.jp/journal/49-1/28-29.pdf")</f>
        <v>http://jsmh.umin.jp/journal/49-1/28-29.pdf</v>
      </c>
      <c r="H4500" s="43"/>
    </row>
    <row r="4501" spans="1:8" ht="30" customHeight="1" x14ac:dyDescent="0.15">
      <c r="A4501" s="16" t="s">
        <v>1855</v>
      </c>
      <c r="B4501" s="17" t="s">
        <v>7689</v>
      </c>
      <c r="C4501" s="17" t="s">
        <v>854</v>
      </c>
      <c r="D4501" s="25" t="s">
        <v>7675</v>
      </c>
      <c r="E4501" s="19" t="s">
        <v>7676</v>
      </c>
      <c r="F4501" s="19" t="s">
        <v>746</v>
      </c>
      <c r="G4501" s="5" t="str">
        <f>HYPERLINK("http://jsmh.umin.jp/journal/49-1/30-31.pdf")</f>
        <v>http://jsmh.umin.jp/journal/49-1/30-31.pdf</v>
      </c>
      <c r="H4501" s="43"/>
    </row>
    <row r="4502" spans="1:8" ht="30" customHeight="1" x14ac:dyDescent="0.15">
      <c r="A4502" s="16" t="s">
        <v>1855</v>
      </c>
      <c r="B4502" s="17" t="s">
        <v>7690</v>
      </c>
      <c r="C4502" s="17" t="s">
        <v>10260</v>
      </c>
      <c r="D4502" s="25" t="s">
        <v>7675</v>
      </c>
      <c r="E4502" s="19" t="s">
        <v>7676</v>
      </c>
      <c r="F4502" s="19" t="s">
        <v>1469</v>
      </c>
      <c r="G4502" s="5" t="str">
        <f>HYPERLINK("http://jsmh.umin.jp/journal/49-1/32-33.pdf")</f>
        <v>http://jsmh.umin.jp/journal/49-1/32-33.pdf</v>
      </c>
      <c r="H4502" s="43"/>
    </row>
    <row r="4503" spans="1:8" ht="30" customHeight="1" x14ac:dyDescent="0.15">
      <c r="A4503" s="16" t="s">
        <v>1855</v>
      </c>
      <c r="B4503" s="17" t="s">
        <v>7691</v>
      </c>
      <c r="C4503" s="17" t="s">
        <v>7688</v>
      </c>
      <c r="D4503" s="25" t="s">
        <v>7675</v>
      </c>
      <c r="E4503" s="19" t="s">
        <v>7676</v>
      </c>
      <c r="F4503" s="19" t="s">
        <v>753</v>
      </c>
      <c r="G4503" s="5" t="str">
        <f>HYPERLINK("http://jsmh.umin.jp/journal/49-1/34-35.pdf")</f>
        <v>http://jsmh.umin.jp/journal/49-1/34-35.pdf</v>
      </c>
      <c r="H4503" s="43"/>
    </row>
    <row r="4504" spans="1:8" ht="30" customHeight="1" x14ac:dyDescent="0.15">
      <c r="A4504" s="16" t="s">
        <v>1855</v>
      </c>
      <c r="B4504" s="17" t="s">
        <v>7692</v>
      </c>
      <c r="C4504" s="17" t="s">
        <v>1764</v>
      </c>
      <c r="D4504" s="25" t="s">
        <v>7675</v>
      </c>
      <c r="E4504" s="19" t="s">
        <v>7676</v>
      </c>
      <c r="F4504" s="19" t="s">
        <v>758</v>
      </c>
      <c r="G4504" s="5" t="str">
        <f>HYPERLINK("http://jsmh.umin.jp/journal/49-1/36-37.pdf")</f>
        <v>http://jsmh.umin.jp/journal/49-1/36-37.pdf</v>
      </c>
      <c r="H4504" s="43"/>
    </row>
    <row r="4505" spans="1:8" ht="30" customHeight="1" x14ac:dyDescent="0.15">
      <c r="A4505" s="16" t="s">
        <v>1855</v>
      </c>
      <c r="B4505" s="17" t="s">
        <v>7693</v>
      </c>
      <c r="C4505" s="17" t="s">
        <v>2386</v>
      </c>
      <c r="D4505" s="25" t="s">
        <v>7675</v>
      </c>
      <c r="E4505" s="19" t="s">
        <v>7676</v>
      </c>
      <c r="F4505" s="19" t="s">
        <v>765</v>
      </c>
      <c r="G4505" s="5" t="str">
        <f>HYPERLINK("http://jsmh.umin.jp/journal/49-1/38-39.pdf")</f>
        <v>http://jsmh.umin.jp/journal/49-1/38-39.pdf</v>
      </c>
      <c r="H4505" s="43"/>
    </row>
    <row r="4506" spans="1:8" ht="30" customHeight="1" x14ac:dyDescent="0.15">
      <c r="A4506" s="16" t="s">
        <v>1855</v>
      </c>
      <c r="B4506" s="17" t="s">
        <v>7694</v>
      </c>
      <c r="C4506" s="17" t="s">
        <v>4039</v>
      </c>
      <c r="D4506" s="25" t="s">
        <v>7675</v>
      </c>
      <c r="E4506" s="19" t="s">
        <v>7676</v>
      </c>
      <c r="F4506" s="19" t="s">
        <v>1481</v>
      </c>
      <c r="G4506" s="5" t="str">
        <f>HYPERLINK("http://jsmh.umin.jp/journal/49-1/40-41.pdf")</f>
        <v>http://jsmh.umin.jp/journal/49-1/40-41.pdf</v>
      </c>
      <c r="H4506" s="43"/>
    </row>
    <row r="4507" spans="1:8" ht="30" customHeight="1" x14ac:dyDescent="0.15">
      <c r="A4507" s="16" t="s">
        <v>1855</v>
      </c>
      <c r="B4507" s="17" t="s">
        <v>7695</v>
      </c>
      <c r="C4507" s="17" t="s">
        <v>7372</v>
      </c>
      <c r="D4507" s="25" t="s">
        <v>7675</v>
      </c>
      <c r="E4507" s="19" t="s">
        <v>7676</v>
      </c>
      <c r="F4507" s="19" t="s">
        <v>1153</v>
      </c>
      <c r="G4507" s="5" t="str">
        <f>HYPERLINK("http://jsmh.umin.jp/journal/49-1/42-43.pdf")</f>
        <v>http://jsmh.umin.jp/journal/49-1/42-43.pdf</v>
      </c>
      <c r="H4507" s="43"/>
    </row>
    <row r="4508" spans="1:8" ht="30" customHeight="1" x14ac:dyDescent="0.15">
      <c r="A4508" s="16" t="s">
        <v>1855</v>
      </c>
      <c r="B4508" s="17" t="s">
        <v>7696</v>
      </c>
      <c r="C4508" s="17" t="s">
        <v>7697</v>
      </c>
      <c r="D4508" s="25" t="s">
        <v>7675</v>
      </c>
      <c r="E4508" s="19" t="s">
        <v>7676</v>
      </c>
      <c r="F4508" s="19" t="s">
        <v>1159</v>
      </c>
      <c r="G4508" s="5" t="str">
        <f>HYPERLINK("http://jsmh.umin.jp/journal/49-1/44-45.pdf")</f>
        <v>http://jsmh.umin.jp/journal/49-1/44-45.pdf</v>
      </c>
      <c r="H4508" s="43"/>
    </row>
    <row r="4509" spans="1:8" ht="30" customHeight="1" x14ac:dyDescent="0.15">
      <c r="A4509" s="16" t="s">
        <v>1855</v>
      </c>
      <c r="B4509" s="17" t="s">
        <v>7698</v>
      </c>
      <c r="C4509" s="17" t="s">
        <v>7352</v>
      </c>
      <c r="D4509" s="25" t="s">
        <v>7675</v>
      </c>
      <c r="E4509" s="19" t="s">
        <v>7676</v>
      </c>
      <c r="F4509" s="19" t="s">
        <v>1163</v>
      </c>
      <c r="G4509" s="5" t="str">
        <f>HYPERLINK("http://jsmh.umin.jp/journal/49-1/46-47.pdf")</f>
        <v>http://jsmh.umin.jp/journal/49-1/46-47.pdf</v>
      </c>
      <c r="H4509" s="43"/>
    </row>
    <row r="4510" spans="1:8" ht="30" customHeight="1" x14ac:dyDescent="0.15">
      <c r="A4510" s="16" t="s">
        <v>1855</v>
      </c>
      <c r="B4510" s="17" t="s">
        <v>7699</v>
      </c>
      <c r="C4510" s="17" t="s">
        <v>5837</v>
      </c>
      <c r="D4510" s="25" t="s">
        <v>7675</v>
      </c>
      <c r="E4510" s="19" t="s">
        <v>7676</v>
      </c>
      <c r="F4510" s="19" t="s">
        <v>1091</v>
      </c>
      <c r="G4510" s="5" t="str">
        <f>HYPERLINK("http://jsmh.umin.jp/journal/49-1/48-49.pdf")</f>
        <v>http://jsmh.umin.jp/journal/49-1/48-49.pdf</v>
      </c>
      <c r="H4510" s="43"/>
    </row>
    <row r="4511" spans="1:8" ht="30" customHeight="1" x14ac:dyDescent="0.15">
      <c r="A4511" s="16" t="s">
        <v>1855</v>
      </c>
      <c r="B4511" s="17" t="s">
        <v>7700</v>
      </c>
      <c r="C4511" s="17" t="s">
        <v>2937</v>
      </c>
      <c r="D4511" s="25" t="s">
        <v>7675</v>
      </c>
      <c r="E4511" s="19" t="s">
        <v>7676</v>
      </c>
      <c r="F4511" s="19" t="s">
        <v>1101</v>
      </c>
      <c r="G4511" s="5" t="str">
        <f>HYPERLINK("http://jsmh.umin.jp/journal/49-1/50-51.pdf")</f>
        <v>http://jsmh.umin.jp/journal/49-1/50-51.pdf</v>
      </c>
      <c r="H4511" s="43"/>
    </row>
    <row r="4512" spans="1:8" ht="30" customHeight="1" x14ac:dyDescent="0.15">
      <c r="A4512" s="16" t="s">
        <v>1855</v>
      </c>
      <c r="B4512" s="17" t="s">
        <v>7701</v>
      </c>
      <c r="C4512" s="17" t="s">
        <v>10156</v>
      </c>
      <c r="D4512" s="25" t="s">
        <v>7675</v>
      </c>
      <c r="E4512" s="19" t="s">
        <v>7676</v>
      </c>
      <c r="F4512" s="19" t="s">
        <v>1287</v>
      </c>
      <c r="G4512" s="5" t="str">
        <f>HYPERLINK("http://jsmh.umin.jp/journal/49-1/52-53.pdf")</f>
        <v>http://jsmh.umin.jp/journal/49-1/52-53.pdf</v>
      </c>
      <c r="H4512" s="43"/>
    </row>
    <row r="4513" spans="1:8" ht="30" customHeight="1" x14ac:dyDescent="0.15">
      <c r="A4513" s="16" t="s">
        <v>1855</v>
      </c>
      <c r="B4513" s="17" t="s">
        <v>7702</v>
      </c>
      <c r="C4513" s="17" t="s">
        <v>7320</v>
      </c>
      <c r="D4513" s="25" t="s">
        <v>7675</v>
      </c>
      <c r="E4513" s="19" t="s">
        <v>7676</v>
      </c>
      <c r="F4513" s="19" t="s">
        <v>889</v>
      </c>
      <c r="G4513" s="5" t="str">
        <f>HYPERLINK("http://jsmh.umin.jp/journal/49-1/54-55.pdf")</f>
        <v>http://jsmh.umin.jp/journal/49-1/54-55.pdf</v>
      </c>
      <c r="H4513" s="43"/>
    </row>
    <row r="4514" spans="1:8" ht="30" customHeight="1" x14ac:dyDescent="0.15">
      <c r="A4514" s="16" t="s">
        <v>1855</v>
      </c>
      <c r="B4514" s="17" t="s">
        <v>7703</v>
      </c>
      <c r="C4514" s="17" t="s">
        <v>790</v>
      </c>
      <c r="D4514" s="25" t="s">
        <v>7675</v>
      </c>
      <c r="E4514" s="19" t="s">
        <v>7676</v>
      </c>
      <c r="F4514" s="19" t="s">
        <v>1180</v>
      </c>
      <c r="G4514" s="5" t="str">
        <f>HYPERLINK("http://jsmh.umin.jp/journal/49-1/56-57.pdf")</f>
        <v>http://jsmh.umin.jp/journal/49-1/56-57.pdf</v>
      </c>
      <c r="H4514" s="43"/>
    </row>
    <row r="4515" spans="1:8" ht="30" customHeight="1" x14ac:dyDescent="0.15">
      <c r="A4515" s="16" t="s">
        <v>1855</v>
      </c>
      <c r="B4515" s="17" t="s">
        <v>7704</v>
      </c>
      <c r="C4515" s="17" t="s">
        <v>6568</v>
      </c>
      <c r="D4515" s="25" t="s">
        <v>7675</v>
      </c>
      <c r="E4515" s="19" t="s">
        <v>7676</v>
      </c>
      <c r="F4515" s="19" t="s">
        <v>714</v>
      </c>
      <c r="G4515" s="5" t="str">
        <f>HYPERLINK("http://jsmh.umin.jp/journal/49-1/58-59.pdf")</f>
        <v>http://jsmh.umin.jp/journal/49-1/58-59.pdf</v>
      </c>
      <c r="H4515" s="43"/>
    </row>
    <row r="4516" spans="1:8" ht="30" customHeight="1" x14ac:dyDescent="0.15">
      <c r="A4516" s="16" t="s">
        <v>1855</v>
      </c>
      <c r="B4516" s="17" t="s">
        <v>7705</v>
      </c>
      <c r="C4516" s="17" t="s">
        <v>7706</v>
      </c>
      <c r="D4516" s="25" t="s">
        <v>7675</v>
      </c>
      <c r="E4516" s="19" t="s">
        <v>7676</v>
      </c>
      <c r="F4516" s="19" t="s">
        <v>913</v>
      </c>
      <c r="G4516" s="5" t="str">
        <f>HYPERLINK("http://jsmh.umin.jp/journal/49-1/60-61.pdf")</f>
        <v>http://jsmh.umin.jp/journal/49-1/60-61.pdf</v>
      </c>
      <c r="H4516" s="43"/>
    </row>
    <row r="4517" spans="1:8" ht="30" customHeight="1" x14ac:dyDescent="0.15">
      <c r="A4517" s="16" t="s">
        <v>1855</v>
      </c>
      <c r="B4517" s="17" t="s">
        <v>7707</v>
      </c>
      <c r="C4517" s="17" t="s">
        <v>7176</v>
      </c>
      <c r="D4517" s="25" t="s">
        <v>7675</v>
      </c>
      <c r="E4517" s="19" t="s">
        <v>7676</v>
      </c>
      <c r="F4517" s="19" t="s">
        <v>1192</v>
      </c>
      <c r="G4517" s="5" t="str">
        <f>HYPERLINK("http://jsmh.umin.jp/journal/49-1/62-63.pdf")</f>
        <v>http://jsmh.umin.jp/journal/49-1/62-63.pdf</v>
      </c>
      <c r="H4517" s="43"/>
    </row>
    <row r="4518" spans="1:8" ht="30" customHeight="1" x14ac:dyDescent="0.15">
      <c r="A4518" s="16" t="s">
        <v>1855</v>
      </c>
      <c r="B4518" s="17" t="s">
        <v>10025</v>
      </c>
      <c r="C4518" s="17" t="s">
        <v>7136</v>
      </c>
      <c r="D4518" s="25" t="s">
        <v>7675</v>
      </c>
      <c r="E4518" s="19" t="s">
        <v>7676</v>
      </c>
      <c r="F4518" s="19" t="s">
        <v>1310</v>
      </c>
      <c r="G4518" s="5" t="str">
        <f>HYPERLINK("http://jsmh.umin.jp/journal/49-1/64-65.pdf")</f>
        <v>http://jsmh.umin.jp/journal/49-1/64-65.pdf</v>
      </c>
      <c r="H4518" s="43"/>
    </row>
    <row r="4519" spans="1:8" ht="30" customHeight="1" x14ac:dyDescent="0.15">
      <c r="A4519" s="16" t="s">
        <v>1855</v>
      </c>
      <c r="B4519" s="17" t="s">
        <v>7708</v>
      </c>
      <c r="C4519" s="17" t="s">
        <v>7197</v>
      </c>
      <c r="D4519" s="25" t="s">
        <v>7675</v>
      </c>
      <c r="E4519" s="19" t="s">
        <v>7676</v>
      </c>
      <c r="F4519" s="19" t="s">
        <v>570</v>
      </c>
      <c r="G4519" s="5" t="str">
        <f>HYPERLINK("http://jsmh.umin.jp/journal/49-1/66-67.pdf")</f>
        <v>http://jsmh.umin.jp/journal/49-1/66-67.pdf</v>
      </c>
      <c r="H4519" s="43"/>
    </row>
    <row r="4520" spans="1:8" ht="30" customHeight="1" x14ac:dyDescent="0.15">
      <c r="A4520" s="16" t="s">
        <v>1855</v>
      </c>
      <c r="B4520" s="17" t="s">
        <v>7709</v>
      </c>
      <c r="C4520" s="17" t="s">
        <v>7710</v>
      </c>
      <c r="D4520" s="25" t="s">
        <v>7675</v>
      </c>
      <c r="E4520" s="19" t="s">
        <v>7676</v>
      </c>
      <c r="F4520" s="19" t="s">
        <v>577</v>
      </c>
      <c r="G4520" s="5" t="str">
        <f>HYPERLINK("http://jsmh.umin.jp/journal/49-1/68-69.pdf")</f>
        <v>http://jsmh.umin.jp/journal/49-1/68-69.pdf</v>
      </c>
      <c r="H4520" s="43"/>
    </row>
    <row r="4521" spans="1:8" ht="30" customHeight="1" x14ac:dyDescent="0.15">
      <c r="A4521" s="16" t="s">
        <v>1855</v>
      </c>
      <c r="B4521" s="17" t="s">
        <v>7711</v>
      </c>
      <c r="C4521" s="17" t="s">
        <v>7391</v>
      </c>
      <c r="D4521" s="25" t="s">
        <v>7675</v>
      </c>
      <c r="E4521" s="19" t="s">
        <v>7676</v>
      </c>
      <c r="F4521" s="19" t="s">
        <v>588</v>
      </c>
      <c r="G4521" s="5" t="str">
        <f>HYPERLINK("http://jsmh.umin.jp/journal/49-1/70-71.pdf")</f>
        <v>http://jsmh.umin.jp/journal/49-1/70-71.pdf</v>
      </c>
      <c r="H4521" s="43"/>
    </row>
    <row r="4522" spans="1:8" ht="30" customHeight="1" x14ac:dyDescent="0.15">
      <c r="A4522" s="16" t="s">
        <v>1855</v>
      </c>
      <c r="B4522" s="17" t="s">
        <v>7712</v>
      </c>
      <c r="C4522" s="17" t="s">
        <v>6078</v>
      </c>
      <c r="D4522" s="25" t="s">
        <v>7675</v>
      </c>
      <c r="E4522" s="19" t="s">
        <v>7676</v>
      </c>
      <c r="F4522" s="19" t="s">
        <v>831</v>
      </c>
      <c r="G4522" s="5" t="str">
        <f>HYPERLINK("http://jsmh.umin.jp/journal/49-1/72-73.pdf")</f>
        <v>http://jsmh.umin.jp/journal/49-1/72-73.pdf</v>
      </c>
      <c r="H4522" s="43"/>
    </row>
    <row r="4523" spans="1:8" ht="30" customHeight="1" x14ac:dyDescent="0.15">
      <c r="A4523" s="16" t="s">
        <v>1855</v>
      </c>
      <c r="B4523" s="17" t="s">
        <v>7713</v>
      </c>
      <c r="C4523" s="17" t="s">
        <v>2881</v>
      </c>
      <c r="D4523" s="25" t="s">
        <v>7675</v>
      </c>
      <c r="E4523" s="19" t="s">
        <v>7676</v>
      </c>
      <c r="F4523" s="19" t="s">
        <v>2366</v>
      </c>
      <c r="G4523" s="5" t="str">
        <f>HYPERLINK("http://jsmh.umin.jp/journal/49-1/74-75.pdf")</f>
        <v>http://jsmh.umin.jp/journal/49-1/74-75.pdf</v>
      </c>
      <c r="H4523" s="43"/>
    </row>
    <row r="4524" spans="1:8" ht="30" customHeight="1" x14ac:dyDescent="0.15">
      <c r="A4524" s="16" t="s">
        <v>1855</v>
      </c>
      <c r="B4524" s="17" t="s">
        <v>7714</v>
      </c>
      <c r="C4524" s="17" t="s">
        <v>7377</v>
      </c>
      <c r="D4524" s="25" t="s">
        <v>7675</v>
      </c>
      <c r="E4524" s="19" t="s">
        <v>7676</v>
      </c>
      <c r="F4524" s="19" t="s">
        <v>602</v>
      </c>
      <c r="G4524" s="5" t="str">
        <f>HYPERLINK("http://jsmh.umin.jp/journal/49-1/76-77.pdf")</f>
        <v>http://jsmh.umin.jp/journal/49-1/76-77.pdf</v>
      </c>
      <c r="H4524" s="43"/>
    </row>
    <row r="4525" spans="1:8" ht="30" customHeight="1" x14ac:dyDescent="0.15">
      <c r="A4525" s="16" t="s">
        <v>1855</v>
      </c>
      <c r="B4525" s="17" t="s">
        <v>7715</v>
      </c>
      <c r="C4525" s="17" t="s">
        <v>7420</v>
      </c>
      <c r="D4525" s="25" t="s">
        <v>7675</v>
      </c>
      <c r="E4525" s="19" t="s">
        <v>7676</v>
      </c>
      <c r="F4525" s="19" t="s">
        <v>842</v>
      </c>
      <c r="G4525" s="5" t="str">
        <f>HYPERLINK("http://jsmh.umin.jp/journal/49-1/78-79.pdf")</f>
        <v>http://jsmh.umin.jp/journal/49-1/78-79.pdf</v>
      </c>
      <c r="H4525" s="43"/>
    </row>
    <row r="4526" spans="1:8" ht="30" customHeight="1" x14ac:dyDescent="0.15">
      <c r="A4526" s="16" t="s">
        <v>1855</v>
      </c>
      <c r="B4526" s="17" t="s">
        <v>7716</v>
      </c>
      <c r="C4526" s="17" t="s">
        <v>7366</v>
      </c>
      <c r="D4526" s="25" t="s">
        <v>7675</v>
      </c>
      <c r="E4526" s="19" t="s">
        <v>7676</v>
      </c>
      <c r="F4526" s="19" t="s">
        <v>846</v>
      </c>
      <c r="G4526" s="5" t="str">
        <f>HYPERLINK("http://jsmh.umin.jp/journal/49-1/80-81.pdf")</f>
        <v>http://jsmh.umin.jp/journal/49-1/80-81.pdf</v>
      </c>
      <c r="H4526" s="43"/>
    </row>
    <row r="4527" spans="1:8" ht="30" customHeight="1" x14ac:dyDescent="0.15">
      <c r="A4527" s="16" t="s">
        <v>1855</v>
      </c>
      <c r="B4527" s="17" t="s">
        <v>7717</v>
      </c>
      <c r="C4527" s="17" t="s">
        <v>7583</v>
      </c>
      <c r="D4527" s="25" t="s">
        <v>7675</v>
      </c>
      <c r="E4527" s="19" t="s">
        <v>7676</v>
      </c>
      <c r="F4527" s="19" t="s">
        <v>449</v>
      </c>
      <c r="G4527" s="5" t="str">
        <f>HYPERLINK("http://jsmh.umin.jp/journal/49-1/82-83.pdf")</f>
        <v>http://jsmh.umin.jp/journal/49-1/82-83.pdf</v>
      </c>
      <c r="H4527" s="43"/>
    </row>
    <row r="4528" spans="1:8" ht="30" customHeight="1" x14ac:dyDescent="0.15">
      <c r="A4528" s="16" t="s">
        <v>1855</v>
      </c>
      <c r="B4528" s="17" t="s">
        <v>7718</v>
      </c>
      <c r="C4528" s="17" t="s">
        <v>7719</v>
      </c>
      <c r="D4528" s="25" t="s">
        <v>7675</v>
      </c>
      <c r="E4528" s="19" t="s">
        <v>7676</v>
      </c>
      <c r="F4528" s="19" t="s">
        <v>454</v>
      </c>
      <c r="G4528" s="5" t="str">
        <f>HYPERLINK("http://jsmh.umin.jp/journal/49-1/84-85.pdf")</f>
        <v>http://jsmh.umin.jp/journal/49-1/84-85.pdf</v>
      </c>
      <c r="H4528" s="43"/>
    </row>
    <row r="4529" spans="1:8" ht="30" customHeight="1" x14ac:dyDescent="0.15">
      <c r="A4529" s="16" t="s">
        <v>1855</v>
      </c>
      <c r="B4529" s="17" t="s">
        <v>7720</v>
      </c>
      <c r="C4529" s="17" t="s">
        <v>7542</v>
      </c>
      <c r="D4529" s="25" t="s">
        <v>7675</v>
      </c>
      <c r="E4529" s="19" t="s">
        <v>7676</v>
      </c>
      <c r="F4529" s="19" t="s">
        <v>460</v>
      </c>
      <c r="G4529" s="5" t="str">
        <f>HYPERLINK("http://jsmh.umin.jp/journal/49-1/86-87.pdf")</f>
        <v>http://jsmh.umin.jp/journal/49-1/86-87.pdf</v>
      </c>
      <c r="H4529" s="43"/>
    </row>
    <row r="4530" spans="1:8" ht="30" customHeight="1" x14ac:dyDescent="0.15">
      <c r="A4530" s="16" t="s">
        <v>1855</v>
      </c>
      <c r="B4530" s="17" t="s">
        <v>10611</v>
      </c>
      <c r="C4530" s="17" t="s">
        <v>7180</v>
      </c>
      <c r="D4530" s="25" t="s">
        <v>7675</v>
      </c>
      <c r="E4530" s="19" t="s">
        <v>7676</v>
      </c>
      <c r="F4530" s="19" t="s">
        <v>861</v>
      </c>
      <c r="G4530" s="5" t="str">
        <f>HYPERLINK("http://jsmh.umin.jp/journal/49-1/88-89.pdf")</f>
        <v>http://jsmh.umin.jp/journal/49-1/88-89.pdf</v>
      </c>
      <c r="H4530" s="43" t="s">
        <v>10612</v>
      </c>
    </row>
    <row r="4531" spans="1:8" ht="30" customHeight="1" x14ac:dyDescent="0.15">
      <c r="A4531" s="16" t="s">
        <v>1855</v>
      </c>
      <c r="B4531" s="17" t="s">
        <v>7721</v>
      </c>
      <c r="C4531" s="17" t="s">
        <v>7722</v>
      </c>
      <c r="D4531" s="25" t="s">
        <v>7675</v>
      </c>
      <c r="E4531" s="19" t="s">
        <v>7676</v>
      </c>
      <c r="F4531" s="19" t="s">
        <v>471</v>
      </c>
      <c r="G4531" s="5" t="str">
        <f>HYPERLINK("http://jsmh.umin.jp/journal/49-1/90-91.pdf")</f>
        <v>http://jsmh.umin.jp/journal/49-1/90-91.pdf</v>
      </c>
      <c r="H4531" s="43"/>
    </row>
    <row r="4532" spans="1:8" ht="30" customHeight="1" x14ac:dyDescent="0.15">
      <c r="A4532" s="16" t="s">
        <v>1855</v>
      </c>
      <c r="B4532" s="17" t="s">
        <v>7723</v>
      </c>
      <c r="C4532" s="17" t="s">
        <v>7724</v>
      </c>
      <c r="D4532" s="25" t="s">
        <v>7675</v>
      </c>
      <c r="E4532" s="19" t="s">
        <v>7676</v>
      </c>
      <c r="F4532" s="19" t="s">
        <v>2188</v>
      </c>
      <c r="G4532" s="5" t="str">
        <f>HYPERLINK("http://jsmh.umin.jp/journal/49-1/92-93.pdf")</f>
        <v>http://jsmh.umin.jp/journal/49-1/92-93.pdf</v>
      </c>
      <c r="H4532" s="43"/>
    </row>
    <row r="4533" spans="1:8" ht="30" customHeight="1" x14ac:dyDescent="0.15">
      <c r="A4533" s="16" t="s">
        <v>1855</v>
      </c>
      <c r="B4533" s="17" t="s">
        <v>7725</v>
      </c>
      <c r="C4533" s="17" t="s">
        <v>6452</v>
      </c>
      <c r="D4533" s="25" t="s">
        <v>7675</v>
      </c>
      <c r="E4533" s="19" t="s">
        <v>7676</v>
      </c>
      <c r="F4533" s="19" t="s">
        <v>5011</v>
      </c>
      <c r="G4533" s="5" t="str">
        <f>HYPERLINK("http://jsmh.umin.jp/journal/49-1/94-95.pdf")</f>
        <v>http://jsmh.umin.jp/journal/49-1/94-95.pdf</v>
      </c>
      <c r="H4533" s="43"/>
    </row>
    <row r="4534" spans="1:8" ht="30" customHeight="1" x14ac:dyDescent="0.15">
      <c r="A4534" s="16" t="s">
        <v>1855</v>
      </c>
      <c r="B4534" s="17" t="s">
        <v>7726</v>
      </c>
      <c r="C4534" s="17" t="s">
        <v>7727</v>
      </c>
      <c r="D4534" s="25" t="s">
        <v>7675</v>
      </c>
      <c r="E4534" s="19" t="s">
        <v>7676</v>
      </c>
      <c r="F4534" s="19" t="s">
        <v>4578</v>
      </c>
      <c r="G4534" s="5" t="str">
        <f>HYPERLINK("http://jsmh.umin.jp/journal/49-1/96-97.pdf")</f>
        <v>http://jsmh.umin.jp/journal/49-1/96-97.pdf</v>
      </c>
      <c r="H4534" s="43"/>
    </row>
    <row r="4535" spans="1:8" ht="30" customHeight="1" x14ac:dyDescent="0.15">
      <c r="A4535" s="16" t="s">
        <v>1855</v>
      </c>
      <c r="B4535" s="17" t="s">
        <v>7728</v>
      </c>
      <c r="C4535" s="17" t="s">
        <v>7729</v>
      </c>
      <c r="D4535" s="25" t="s">
        <v>7675</v>
      </c>
      <c r="E4535" s="19" t="s">
        <v>7676</v>
      </c>
      <c r="F4535" s="19" t="s">
        <v>3779</v>
      </c>
      <c r="G4535" s="5" t="str">
        <f>HYPERLINK("http://jsmh.umin.jp/journal/49-1/98-99.pdf")</f>
        <v>http://jsmh.umin.jp/journal/49-1/98-99.pdf</v>
      </c>
      <c r="H4535" s="43"/>
    </row>
    <row r="4536" spans="1:8" ht="30" customHeight="1" x14ac:dyDescent="0.15">
      <c r="A4536" s="16" t="s">
        <v>1855</v>
      </c>
      <c r="B4536" s="17" t="s">
        <v>7730</v>
      </c>
      <c r="C4536" s="17" t="s">
        <v>7154</v>
      </c>
      <c r="D4536" s="25" t="s">
        <v>7675</v>
      </c>
      <c r="E4536" s="19" t="s">
        <v>7676</v>
      </c>
      <c r="F4536" s="19" t="s">
        <v>778</v>
      </c>
      <c r="G4536" s="5" t="str">
        <f>HYPERLINK("http://jsmh.umin.jp/journal/49-1/100-101.pdf")</f>
        <v>http://jsmh.umin.jp/journal/49-1/100-101.pdf</v>
      </c>
      <c r="H4536" s="43"/>
    </row>
    <row r="4537" spans="1:8" ht="30" customHeight="1" x14ac:dyDescent="0.15">
      <c r="A4537" s="16" t="s">
        <v>1855</v>
      </c>
      <c r="B4537" s="17" t="s">
        <v>7731</v>
      </c>
      <c r="C4537" s="17" t="s">
        <v>1929</v>
      </c>
      <c r="D4537" s="25" t="s">
        <v>7675</v>
      </c>
      <c r="E4537" s="19" t="s">
        <v>7676</v>
      </c>
      <c r="F4537" s="19" t="s">
        <v>779</v>
      </c>
      <c r="G4537" s="5" t="str">
        <f>HYPERLINK("http://jsmh.umin.jp/journal/49-1/102-103.pdf")</f>
        <v>http://jsmh.umin.jp/journal/49-1/102-103.pdf</v>
      </c>
      <c r="H4537" s="43"/>
    </row>
    <row r="4538" spans="1:8" ht="30" customHeight="1" x14ac:dyDescent="0.15">
      <c r="A4538" s="16" t="s">
        <v>1855</v>
      </c>
      <c r="B4538" s="17" t="s">
        <v>7732</v>
      </c>
      <c r="C4538" s="17" t="s">
        <v>2071</v>
      </c>
      <c r="D4538" s="25" t="s">
        <v>7675</v>
      </c>
      <c r="E4538" s="19" t="s">
        <v>7676</v>
      </c>
      <c r="F4538" s="19" t="s">
        <v>186</v>
      </c>
      <c r="G4538" s="5" t="str">
        <f>HYPERLINK("http://jsmh.umin.jp/journal/49-1/104-105.pdf")</f>
        <v>http://jsmh.umin.jp/journal/49-1/104-105.pdf</v>
      </c>
      <c r="H4538" s="43"/>
    </row>
    <row r="4539" spans="1:8" ht="30" customHeight="1" x14ac:dyDescent="0.15">
      <c r="A4539" s="16" t="s">
        <v>1855</v>
      </c>
      <c r="B4539" s="17" t="s">
        <v>7733</v>
      </c>
      <c r="C4539" s="17" t="s">
        <v>2465</v>
      </c>
      <c r="D4539" s="25" t="s">
        <v>7675</v>
      </c>
      <c r="E4539" s="19" t="s">
        <v>7676</v>
      </c>
      <c r="F4539" s="19" t="s">
        <v>189</v>
      </c>
      <c r="G4539" s="5" t="str">
        <f>HYPERLINK("http://jsmh.umin.jp/journal/49-1/106-107.pdf")</f>
        <v>http://jsmh.umin.jp/journal/49-1/106-107.pdf</v>
      </c>
      <c r="H4539" s="43"/>
    </row>
    <row r="4540" spans="1:8" ht="30" customHeight="1" x14ac:dyDescent="0.15">
      <c r="A4540" s="16" t="s">
        <v>1855</v>
      </c>
      <c r="B4540" s="17" t="s">
        <v>7734</v>
      </c>
      <c r="C4540" s="17" t="s">
        <v>5084</v>
      </c>
      <c r="D4540" s="25" t="s">
        <v>7675</v>
      </c>
      <c r="E4540" s="19" t="s">
        <v>7676</v>
      </c>
      <c r="F4540" s="19" t="s">
        <v>7064</v>
      </c>
      <c r="G4540" s="5" t="str">
        <f>HYPERLINK("http://jsmh.umin.jp/journal/49-1/108-109.pdf")</f>
        <v>http://jsmh.umin.jp/journal/49-1/108-109.pdf</v>
      </c>
      <c r="H4540" s="43"/>
    </row>
    <row r="4541" spans="1:8" ht="30" customHeight="1" x14ac:dyDescent="0.15">
      <c r="A4541" s="16" t="s">
        <v>1855</v>
      </c>
      <c r="B4541" s="17" t="s">
        <v>7735</v>
      </c>
      <c r="C4541" s="17" t="s">
        <v>7736</v>
      </c>
      <c r="D4541" s="25" t="s">
        <v>7675</v>
      </c>
      <c r="E4541" s="19" t="s">
        <v>7676</v>
      </c>
      <c r="F4541" s="19" t="s">
        <v>2389</v>
      </c>
      <c r="G4541" s="5" t="str">
        <f>HYPERLINK("http://jsmh.umin.jp/journal/49-1/110-111.pdf")</f>
        <v>http://jsmh.umin.jp/journal/49-1/110-111.pdf</v>
      </c>
      <c r="H4541" s="43"/>
    </row>
    <row r="4542" spans="1:8" ht="30" customHeight="1" x14ac:dyDescent="0.15">
      <c r="A4542" s="16" t="s">
        <v>1855</v>
      </c>
      <c r="B4542" s="17" t="s">
        <v>7737</v>
      </c>
      <c r="C4542" s="17" t="s">
        <v>6565</v>
      </c>
      <c r="D4542" s="25" t="s">
        <v>7675</v>
      </c>
      <c r="E4542" s="19" t="s">
        <v>7676</v>
      </c>
      <c r="F4542" s="19" t="s">
        <v>4349</v>
      </c>
      <c r="G4542" s="5" t="str">
        <f>HYPERLINK("http://jsmh.umin.jp/journal/49-1/112-113.pdf")</f>
        <v>http://jsmh.umin.jp/journal/49-1/112-113.pdf</v>
      </c>
      <c r="H4542" s="43"/>
    </row>
    <row r="4543" spans="1:8" ht="30" customHeight="1" x14ac:dyDescent="0.15">
      <c r="A4543" s="16" t="s">
        <v>1855</v>
      </c>
      <c r="B4543" s="17" t="s">
        <v>7738</v>
      </c>
      <c r="C4543" s="17" t="s">
        <v>3644</v>
      </c>
      <c r="D4543" s="25" t="s">
        <v>7675</v>
      </c>
      <c r="E4543" s="19" t="s">
        <v>7676</v>
      </c>
      <c r="F4543" s="19" t="s">
        <v>2396</v>
      </c>
      <c r="G4543" s="5" t="str">
        <f>HYPERLINK("http://jsmh.umin.jp/journal/49-1/114-115.pdf")</f>
        <v>http://jsmh.umin.jp/journal/49-1/114-115.pdf</v>
      </c>
      <c r="H4543" s="43"/>
    </row>
    <row r="4544" spans="1:8" ht="30" customHeight="1" x14ac:dyDescent="0.15">
      <c r="A4544" s="16" t="s">
        <v>1855</v>
      </c>
      <c r="B4544" s="17" t="s">
        <v>7739</v>
      </c>
      <c r="C4544" s="17" t="s">
        <v>7740</v>
      </c>
      <c r="D4544" s="25" t="s">
        <v>7675</v>
      </c>
      <c r="E4544" s="19" t="s">
        <v>7676</v>
      </c>
      <c r="F4544" s="19" t="s">
        <v>2400</v>
      </c>
      <c r="G4544" s="5" t="str">
        <f>HYPERLINK("http://jsmh.umin.jp/journal/49-1/116-117.pdf")</f>
        <v>http://jsmh.umin.jp/journal/49-1/116-117.pdf</v>
      </c>
      <c r="H4544" s="43"/>
    </row>
    <row r="4545" spans="1:8" ht="30" customHeight="1" x14ac:dyDescent="0.15">
      <c r="A4545" s="16" t="s">
        <v>1855</v>
      </c>
      <c r="B4545" s="17" t="s">
        <v>7741</v>
      </c>
      <c r="C4545" s="17" t="s">
        <v>10289</v>
      </c>
      <c r="D4545" s="25" t="s">
        <v>7675</v>
      </c>
      <c r="E4545" s="19" t="s">
        <v>7676</v>
      </c>
      <c r="F4545" s="19" t="s">
        <v>964</v>
      </c>
      <c r="G4545" s="5" t="str">
        <f>HYPERLINK("http://jsmh.umin.jp/journal/49-1/118-119.pdf")</f>
        <v>http://jsmh.umin.jp/journal/49-1/118-119.pdf</v>
      </c>
      <c r="H4545" s="43"/>
    </row>
    <row r="4546" spans="1:8" ht="30" customHeight="1" x14ac:dyDescent="0.15">
      <c r="A4546" s="16" t="s">
        <v>1855</v>
      </c>
      <c r="B4546" s="17" t="s">
        <v>7742</v>
      </c>
      <c r="C4546" s="17" t="s">
        <v>5516</v>
      </c>
      <c r="D4546" s="25" t="s">
        <v>7675</v>
      </c>
      <c r="E4546" s="19" t="s">
        <v>7676</v>
      </c>
      <c r="F4546" s="19" t="s">
        <v>2406</v>
      </c>
      <c r="G4546" s="5" t="str">
        <f>HYPERLINK("http://jsmh.umin.jp/journal/49-1/120-121.pdf")</f>
        <v>http://jsmh.umin.jp/journal/49-1/120-121.pdf</v>
      </c>
      <c r="H4546" s="43"/>
    </row>
    <row r="4547" spans="1:8" ht="30" customHeight="1" x14ac:dyDescent="0.15">
      <c r="A4547" s="16" t="s">
        <v>1855</v>
      </c>
      <c r="B4547" s="17" t="s">
        <v>7743</v>
      </c>
      <c r="C4547" s="17" t="s">
        <v>7316</v>
      </c>
      <c r="D4547" s="25" t="s">
        <v>7675</v>
      </c>
      <c r="E4547" s="19" t="s">
        <v>7676</v>
      </c>
      <c r="F4547" s="19" t="s">
        <v>4598</v>
      </c>
      <c r="G4547" s="5" t="str">
        <f>HYPERLINK("http://jsmh.umin.jp/journal/49-1/122-123.pdf")</f>
        <v>http://jsmh.umin.jp/journal/49-1/122-123.pdf</v>
      </c>
      <c r="H4547" s="43"/>
    </row>
    <row r="4548" spans="1:8" ht="30" customHeight="1" x14ac:dyDescent="0.15">
      <c r="A4548" s="16" t="s">
        <v>1855</v>
      </c>
      <c r="B4548" s="17" t="s">
        <v>7744</v>
      </c>
      <c r="C4548" s="17" t="s">
        <v>7448</v>
      </c>
      <c r="D4548" s="25" t="s">
        <v>7675</v>
      </c>
      <c r="E4548" s="19" t="s">
        <v>7676</v>
      </c>
      <c r="F4548" s="19" t="s">
        <v>7745</v>
      </c>
      <c r="G4548" s="5" t="str">
        <f>HYPERLINK("http://jsmh.umin.jp/journal/49-1/124-125.pdf")</f>
        <v>http://jsmh.umin.jp/journal/49-1/124-125.pdf</v>
      </c>
      <c r="H4548" s="43"/>
    </row>
    <row r="4549" spans="1:8" ht="30" customHeight="1" x14ac:dyDescent="0.15">
      <c r="A4549" s="16" t="s">
        <v>1855</v>
      </c>
      <c r="B4549" s="17" t="s">
        <v>7746</v>
      </c>
      <c r="C4549" s="17" t="s">
        <v>48</v>
      </c>
      <c r="D4549" s="25" t="s">
        <v>7675</v>
      </c>
      <c r="E4549" s="19" t="s">
        <v>7676</v>
      </c>
      <c r="F4549" s="19" t="s">
        <v>2414</v>
      </c>
      <c r="G4549" s="5" t="str">
        <f>HYPERLINK("http://jsmh.umin.jp/journal/49-1/126-127.pdf")</f>
        <v>http://jsmh.umin.jp/journal/49-1/126-127.pdf</v>
      </c>
      <c r="H4549" s="43"/>
    </row>
    <row r="4550" spans="1:8" ht="30" customHeight="1" x14ac:dyDescent="0.15">
      <c r="A4550" s="16" t="s">
        <v>1855</v>
      </c>
      <c r="B4550" s="17" t="s">
        <v>7747</v>
      </c>
      <c r="C4550" s="17" t="s">
        <v>6267</v>
      </c>
      <c r="D4550" s="25" t="s">
        <v>7675</v>
      </c>
      <c r="E4550" s="19" t="s">
        <v>7676</v>
      </c>
      <c r="F4550" s="19" t="s">
        <v>1498</v>
      </c>
      <c r="G4550" s="5" t="str">
        <f>HYPERLINK("http://jsmh.umin.jp/journal/49-1/128-129.pdf")</f>
        <v>http://jsmh.umin.jp/journal/49-1/128-129.pdf</v>
      </c>
      <c r="H4550" s="43"/>
    </row>
    <row r="4551" spans="1:8" ht="30" customHeight="1" x14ac:dyDescent="0.15">
      <c r="A4551" s="16" t="s">
        <v>1855</v>
      </c>
      <c r="B4551" s="17" t="s">
        <v>7748</v>
      </c>
      <c r="C4551" s="17" t="s">
        <v>7749</v>
      </c>
      <c r="D4551" s="25" t="s">
        <v>7675</v>
      </c>
      <c r="E4551" s="19" t="s">
        <v>7676</v>
      </c>
      <c r="F4551" s="19" t="s">
        <v>2213</v>
      </c>
      <c r="G4551" s="5" t="str">
        <f>HYPERLINK("http://jsmh.umin.jp/journal/49-1/130-131.pdf")</f>
        <v>http://jsmh.umin.jp/journal/49-1/130-131.pdf</v>
      </c>
      <c r="H4551" s="43"/>
    </row>
    <row r="4552" spans="1:8" ht="30" customHeight="1" x14ac:dyDescent="0.15">
      <c r="A4552" s="16" t="s">
        <v>1855</v>
      </c>
      <c r="B4552" s="17" t="s">
        <v>7750</v>
      </c>
      <c r="C4552" s="17" t="s">
        <v>444</v>
      </c>
      <c r="D4552" s="25" t="s">
        <v>7675</v>
      </c>
      <c r="E4552" s="19" t="s">
        <v>7676</v>
      </c>
      <c r="F4552" s="19" t="s">
        <v>2217</v>
      </c>
      <c r="G4552" s="5" t="str">
        <f>HYPERLINK("http://jsmh.umin.jp/journal/49-1/132-133.pdf")</f>
        <v>http://jsmh.umin.jp/journal/49-1/132-133.pdf</v>
      </c>
      <c r="H4552" s="43"/>
    </row>
    <row r="4553" spans="1:8" ht="30" customHeight="1" x14ac:dyDescent="0.15">
      <c r="A4553" s="16" t="s">
        <v>1855</v>
      </c>
      <c r="B4553" s="17" t="s">
        <v>7751</v>
      </c>
      <c r="C4553" s="17" t="s">
        <v>1082</v>
      </c>
      <c r="D4553" s="25" t="s">
        <v>7675</v>
      </c>
      <c r="E4553" s="19" t="s">
        <v>7676</v>
      </c>
      <c r="F4553" s="19" t="s">
        <v>2425</v>
      </c>
      <c r="G4553" s="5" t="str">
        <f>HYPERLINK("http://jsmh.umin.jp/journal/49-1/134-135.pdf")</f>
        <v>http://jsmh.umin.jp/journal/49-1/134-135.pdf</v>
      </c>
      <c r="H4553" s="43"/>
    </row>
    <row r="4554" spans="1:8" ht="30" customHeight="1" x14ac:dyDescent="0.15">
      <c r="A4554" s="16" t="s">
        <v>1855</v>
      </c>
      <c r="B4554" s="17" t="s">
        <v>7752</v>
      </c>
      <c r="C4554" s="17" t="s">
        <v>4085</v>
      </c>
      <c r="D4554" s="25" t="s">
        <v>7675</v>
      </c>
      <c r="E4554" s="19" t="s">
        <v>7676</v>
      </c>
      <c r="F4554" s="19" t="s">
        <v>2225</v>
      </c>
      <c r="G4554" s="5" t="str">
        <f>HYPERLINK("http://jsmh.umin.jp/journal/49-1/136-137.pdf")</f>
        <v>http://jsmh.umin.jp/journal/49-1/136-137.pdf</v>
      </c>
      <c r="H4554" s="43"/>
    </row>
    <row r="4555" spans="1:8" ht="30" customHeight="1" x14ac:dyDescent="0.15">
      <c r="A4555" s="16" t="s">
        <v>1855</v>
      </c>
      <c r="B4555" s="17" t="s">
        <v>7753</v>
      </c>
      <c r="C4555" s="17" t="s">
        <v>4988</v>
      </c>
      <c r="D4555" s="25" t="s">
        <v>7675</v>
      </c>
      <c r="E4555" s="19" t="s">
        <v>7676</v>
      </c>
      <c r="F4555" s="19" t="s">
        <v>2228</v>
      </c>
      <c r="G4555" s="5" t="str">
        <f>HYPERLINK("http://jsmh.umin.jp/journal/49-1/138-139.pdf")</f>
        <v>http://jsmh.umin.jp/journal/49-1/138-139.pdf</v>
      </c>
      <c r="H4555" s="43"/>
    </row>
    <row r="4556" spans="1:8" ht="30" customHeight="1" x14ac:dyDescent="0.15">
      <c r="A4556" s="16" t="s">
        <v>1855</v>
      </c>
      <c r="B4556" s="17" t="s">
        <v>7754</v>
      </c>
      <c r="C4556" s="17" t="s">
        <v>10345</v>
      </c>
      <c r="D4556" s="25" t="s">
        <v>7675</v>
      </c>
      <c r="E4556" s="19" t="s">
        <v>7676</v>
      </c>
      <c r="F4556" s="19" t="s">
        <v>2231</v>
      </c>
      <c r="G4556" s="5" t="str">
        <f>HYPERLINK("http://jsmh.umin.jp/journal/49-1/140-141.pdf")</f>
        <v>http://jsmh.umin.jp/journal/49-1/140-141.pdf</v>
      </c>
      <c r="H4556" s="43"/>
    </row>
    <row r="4557" spans="1:8" ht="30" customHeight="1" x14ac:dyDescent="0.15">
      <c r="A4557" s="16" t="s">
        <v>1855</v>
      </c>
      <c r="B4557" s="17" t="s">
        <v>7755</v>
      </c>
      <c r="C4557" s="17" t="s">
        <v>10346</v>
      </c>
      <c r="D4557" s="25" t="s">
        <v>7675</v>
      </c>
      <c r="E4557" s="19" t="s">
        <v>7676</v>
      </c>
      <c r="F4557" s="19" t="s">
        <v>1514</v>
      </c>
      <c r="G4557" s="5" t="str">
        <f>HYPERLINK("http://jsmh.umin.jp/journal/49-1/142-143.pdf")</f>
        <v>http://jsmh.umin.jp/journal/49-1/142-143.pdf</v>
      </c>
      <c r="H4557" s="43"/>
    </row>
    <row r="4558" spans="1:8" ht="30" customHeight="1" x14ac:dyDescent="0.15">
      <c r="A4558" s="16" t="s">
        <v>1855</v>
      </c>
      <c r="B4558" s="17" t="s">
        <v>7756</v>
      </c>
      <c r="C4558" s="17" t="s">
        <v>7322</v>
      </c>
      <c r="D4558" s="25" t="s">
        <v>7675</v>
      </c>
      <c r="E4558" s="19" t="s">
        <v>7676</v>
      </c>
      <c r="F4558" s="19" t="s">
        <v>2761</v>
      </c>
      <c r="G4558" s="5" t="str">
        <f>HYPERLINK("http://jsmh.umin.jp/journal/49-1/144-145.pdf")</f>
        <v>http://jsmh.umin.jp/journal/49-1/144-145.pdf</v>
      </c>
      <c r="H4558" s="43"/>
    </row>
    <row r="4559" spans="1:8" ht="30" customHeight="1" x14ac:dyDescent="0.15">
      <c r="A4559" s="16" t="s">
        <v>1855</v>
      </c>
      <c r="B4559" s="17" t="s">
        <v>7757</v>
      </c>
      <c r="C4559" s="17" t="s">
        <v>7758</v>
      </c>
      <c r="D4559" s="25" t="s">
        <v>7675</v>
      </c>
      <c r="E4559" s="19" t="s">
        <v>7676</v>
      </c>
      <c r="F4559" s="19" t="s">
        <v>1522</v>
      </c>
      <c r="G4559" s="5" t="str">
        <f>HYPERLINK("http://jsmh.umin.jp/journal/49-1/146-147.pdf")</f>
        <v>http://jsmh.umin.jp/journal/49-1/146-147.pdf</v>
      </c>
      <c r="H4559" s="43"/>
    </row>
    <row r="4560" spans="1:8" ht="30" customHeight="1" x14ac:dyDescent="0.15">
      <c r="A4560" s="16" t="s">
        <v>1855</v>
      </c>
      <c r="B4560" s="17" t="s">
        <v>7759</v>
      </c>
      <c r="C4560" s="17" t="s">
        <v>7760</v>
      </c>
      <c r="D4560" s="25" t="s">
        <v>7675</v>
      </c>
      <c r="E4560" s="19" t="s">
        <v>7676</v>
      </c>
      <c r="F4560" s="19" t="s">
        <v>2240</v>
      </c>
      <c r="G4560" s="5" t="str">
        <f>HYPERLINK("http://jsmh.umin.jp/journal/49-1/148-149.pdf")</f>
        <v>http://jsmh.umin.jp/journal/49-1/148-149.pdf</v>
      </c>
      <c r="H4560" s="43"/>
    </row>
    <row r="4561" spans="1:8" ht="30" customHeight="1" x14ac:dyDescent="0.15">
      <c r="A4561" s="16" t="s">
        <v>1855</v>
      </c>
      <c r="B4561" s="17" t="s">
        <v>7761</v>
      </c>
      <c r="C4561" s="17" t="s">
        <v>7762</v>
      </c>
      <c r="D4561" s="25" t="s">
        <v>7675</v>
      </c>
      <c r="E4561" s="19" t="s">
        <v>7676</v>
      </c>
      <c r="F4561" s="19" t="s">
        <v>7763</v>
      </c>
      <c r="G4561" s="5" t="str">
        <f>HYPERLINK("http://jsmh.umin.jp/journal/49-1/150-151.pdf")</f>
        <v>http://jsmh.umin.jp/journal/49-1/150-151.pdf</v>
      </c>
      <c r="H4561" s="43"/>
    </row>
    <row r="4562" spans="1:8" ht="30" customHeight="1" x14ac:dyDescent="0.15">
      <c r="A4562" s="16" t="s">
        <v>692</v>
      </c>
      <c r="B4562" s="17" t="s">
        <v>3924</v>
      </c>
      <c r="C4562" s="17"/>
      <c r="D4562" s="25" t="s">
        <v>7675</v>
      </c>
      <c r="E4562" s="19" t="s">
        <v>7676</v>
      </c>
      <c r="F4562" s="19" t="s">
        <v>7764</v>
      </c>
      <c r="G4562" s="5" t="str">
        <f>HYPERLINK("http://jsmh.umin.jp/journal/49-1/152-200.pdf")</f>
        <v>http://jsmh.umin.jp/journal/49-1/152-200.pdf</v>
      </c>
      <c r="H4562" s="43"/>
    </row>
    <row r="4563" spans="1:8" ht="30" customHeight="1" x14ac:dyDescent="0.15">
      <c r="A4563" s="16" t="s">
        <v>17</v>
      </c>
      <c r="B4563" s="17" t="s">
        <v>7765</v>
      </c>
      <c r="C4563" s="17" t="s">
        <v>10344</v>
      </c>
      <c r="D4563" s="25" t="s">
        <v>7675</v>
      </c>
      <c r="E4563" s="19" t="s">
        <v>7766</v>
      </c>
      <c r="F4563" s="19" t="s">
        <v>7767</v>
      </c>
      <c r="G4563" s="5" t="str">
        <f>HYPERLINK("http://jsmh.umin.jp/journal/49-2/205-221.pdf")</f>
        <v>http://jsmh.umin.jp/journal/49-2/205-221.pdf</v>
      </c>
      <c r="H4563" s="43"/>
    </row>
    <row r="4564" spans="1:8" ht="30" customHeight="1" x14ac:dyDescent="0.15">
      <c r="A4564" s="16" t="s">
        <v>558</v>
      </c>
      <c r="B4564" s="17" t="s">
        <v>10631</v>
      </c>
      <c r="C4564" s="17" t="s">
        <v>4039</v>
      </c>
      <c r="D4564" s="25" t="s">
        <v>7675</v>
      </c>
      <c r="E4564" s="19" t="s">
        <v>7766</v>
      </c>
      <c r="F4564" s="19" t="s">
        <v>1254</v>
      </c>
      <c r="G4564" s="5" t="str">
        <f>HYPERLINK("http://jsmh.umin.jp/journal/49-2/222.pdf")</f>
        <v>http://jsmh.umin.jp/journal/49-2/222.pdf</v>
      </c>
      <c r="H4564" s="43"/>
    </row>
    <row r="4565" spans="1:8" ht="30" customHeight="1" x14ac:dyDescent="0.15">
      <c r="A4565" s="16" t="s">
        <v>17</v>
      </c>
      <c r="B4565" s="17" t="s">
        <v>7768</v>
      </c>
      <c r="C4565" s="17" t="s">
        <v>7372</v>
      </c>
      <c r="D4565" s="25" t="s">
        <v>7675</v>
      </c>
      <c r="E4565" s="19" t="s">
        <v>7766</v>
      </c>
      <c r="F4565" s="19" t="s">
        <v>7769</v>
      </c>
      <c r="G4565" s="5" t="str">
        <f>HYPERLINK("http://jsmh.umin.jp/journal/49-2/223-261.pdf")</f>
        <v>http://jsmh.umin.jp/journal/49-2/223-261.pdf</v>
      </c>
      <c r="H4565" s="43"/>
    </row>
    <row r="4566" spans="1:8" ht="30" customHeight="1" x14ac:dyDescent="0.15">
      <c r="A4566" s="16" t="s">
        <v>558</v>
      </c>
      <c r="B4566" s="17" t="s">
        <v>10632</v>
      </c>
      <c r="C4566" s="17" t="s">
        <v>1534</v>
      </c>
      <c r="D4566" s="25" t="s">
        <v>7675</v>
      </c>
      <c r="E4566" s="19" t="s">
        <v>7766</v>
      </c>
      <c r="F4566" s="19" t="s">
        <v>1021</v>
      </c>
      <c r="G4566" s="5" t="str">
        <f>HYPERLINK("http://jsmh.umin.jp/journal/49-2/262.pdf")</f>
        <v>http://jsmh.umin.jp/journal/49-2/262.pdf</v>
      </c>
      <c r="H4566" s="43"/>
    </row>
    <row r="4567" spans="1:8" ht="30" customHeight="1" x14ac:dyDescent="0.15">
      <c r="A4567" s="16" t="s">
        <v>17</v>
      </c>
      <c r="B4567" s="17" t="s">
        <v>7770</v>
      </c>
      <c r="C4567" s="17" t="s">
        <v>7771</v>
      </c>
      <c r="D4567" s="25" t="s">
        <v>7675</v>
      </c>
      <c r="E4567" s="19" t="s">
        <v>7766</v>
      </c>
      <c r="F4567" s="19" t="s">
        <v>7772</v>
      </c>
      <c r="G4567" s="5" t="str">
        <f>HYPERLINK("http://jsmh.umin.jp/journal/49-2/263-276.pdf")</f>
        <v>http://jsmh.umin.jp/journal/49-2/263-276.pdf</v>
      </c>
      <c r="H4567" s="43"/>
    </row>
    <row r="4568" spans="1:8" ht="30" customHeight="1" x14ac:dyDescent="0.15">
      <c r="A4568" s="16" t="s">
        <v>17</v>
      </c>
      <c r="B4568" s="17" t="s">
        <v>7773</v>
      </c>
      <c r="C4568" s="17" t="s">
        <v>3644</v>
      </c>
      <c r="D4568" s="25" t="s">
        <v>7675</v>
      </c>
      <c r="E4568" s="19" t="s">
        <v>7766</v>
      </c>
      <c r="F4568" s="19" t="s">
        <v>7774</v>
      </c>
      <c r="G4568" s="5" t="str">
        <f>HYPERLINK("http://jsmh.umin.jp/journal/49-2/277-319.pdf")</f>
        <v>http://jsmh.umin.jp/journal/49-2/277-319.pdf</v>
      </c>
      <c r="H4568" s="43"/>
    </row>
    <row r="4569" spans="1:8" ht="30" customHeight="1" x14ac:dyDescent="0.15">
      <c r="A4569" s="16" t="s">
        <v>3387</v>
      </c>
      <c r="B4569" s="17" t="s">
        <v>7775</v>
      </c>
      <c r="C4569" s="17" t="s">
        <v>7776</v>
      </c>
      <c r="D4569" s="25" t="s">
        <v>7675</v>
      </c>
      <c r="E4569" s="19" t="s">
        <v>7766</v>
      </c>
      <c r="F4569" s="19" t="s">
        <v>7777</v>
      </c>
      <c r="G4569" s="5" t="str">
        <f>HYPERLINK("http://jsmh.umin.jp/journal/49-2/321-333.pdf")</f>
        <v>http://jsmh.umin.jp/journal/49-2/321-333.pdf</v>
      </c>
      <c r="H4569" s="43"/>
    </row>
    <row r="4570" spans="1:8" ht="30" customHeight="1" x14ac:dyDescent="0.15">
      <c r="A4570" s="16" t="s">
        <v>7637</v>
      </c>
      <c r="B4570" s="17" t="s">
        <v>7778</v>
      </c>
      <c r="C4570" s="17" t="s">
        <v>3010</v>
      </c>
      <c r="D4570" s="25" t="s">
        <v>7675</v>
      </c>
      <c r="E4570" s="19" t="s">
        <v>7766</v>
      </c>
      <c r="F4570" s="19" t="s">
        <v>7779</v>
      </c>
      <c r="G4570" s="5" t="str">
        <f>HYPERLINK("http://jsmh.umin.jp/journal/49-2/335-352.pdf")</f>
        <v>http://jsmh.umin.jp/journal/49-2/335-352.pdf</v>
      </c>
      <c r="H4570" s="43"/>
    </row>
    <row r="4571" spans="1:8" ht="30" customHeight="1" x14ac:dyDescent="0.15">
      <c r="A4571" s="16" t="s">
        <v>7637</v>
      </c>
      <c r="B4571" s="17" t="s">
        <v>7780</v>
      </c>
      <c r="C4571" s="17" t="s">
        <v>10338</v>
      </c>
      <c r="D4571" s="25" t="s">
        <v>7675</v>
      </c>
      <c r="E4571" s="19" t="s">
        <v>7766</v>
      </c>
      <c r="F4571" s="19" t="s">
        <v>3165</v>
      </c>
      <c r="G4571" s="5" t="str">
        <f>HYPERLINK("http://jsmh.umin.jp/journal/49-2/353-354.pdf")</f>
        <v>http://jsmh.umin.jp/journal/49-2/353-354.pdf</v>
      </c>
      <c r="H4571" s="43"/>
    </row>
    <row r="4572" spans="1:8" ht="30" customHeight="1" x14ac:dyDescent="0.15">
      <c r="A4572" s="16" t="s">
        <v>692</v>
      </c>
      <c r="B4572" s="17" t="s">
        <v>7781</v>
      </c>
      <c r="C4572" s="17" t="s">
        <v>7283</v>
      </c>
      <c r="D4572" s="25" t="s">
        <v>7675</v>
      </c>
      <c r="E4572" s="19" t="s">
        <v>7766</v>
      </c>
      <c r="F4572" s="19" t="s">
        <v>7782</v>
      </c>
      <c r="G4572" s="5" t="str">
        <f>HYPERLINK("http://jsmh.umin.jp/journal/49-2/355-368.pdf")</f>
        <v>http://jsmh.umin.jp/journal/49-2/355-368.pdf</v>
      </c>
      <c r="H4572" s="43"/>
    </row>
    <row r="4573" spans="1:8" ht="30" customHeight="1" x14ac:dyDescent="0.15">
      <c r="A4573" s="16" t="s">
        <v>3223</v>
      </c>
      <c r="B4573" s="17" t="s">
        <v>7783</v>
      </c>
      <c r="C4573" s="17" t="s">
        <v>7784</v>
      </c>
      <c r="D4573" s="25" t="s">
        <v>7675</v>
      </c>
      <c r="E4573" s="19" t="s">
        <v>7766</v>
      </c>
      <c r="F4573" s="19" t="s">
        <v>3192</v>
      </c>
      <c r="G4573" s="5" t="str">
        <f>HYPERLINK("http://jsmh.umin.jp/journal/49-2/369-371.pdf")</f>
        <v>http://jsmh.umin.jp/journal/49-2/369-371.pdf</v>
      </c>
      <c r="H4573" s="43"/>
    </row>
    <row r="4574" spans="1:8" ht="30" customHeight="1" x14ac:dyDescent="0.15">
      <c r="A4574" s="16" t="s">
        <v>558</v>
      </c>
      <c r="B4574" s="17" t="s">
        <v>7785</v>
      </c>
      <c r="C4574" s="17"/>
      <c r="D4574" s="25" t="s">
        <v>7675</v>
      </c>
      <c r="E4574" s="19" t="s">
        <v>7766</v>
      </c>
      <c r="F4574" s="19" t="s">
        <v>3197</v>
      </c>
      <c r="G4574" s="5" t="str">
        <f>HYPERLINK("http://jsmh.umin.jp/journal/49-2/372-373.pdf")</f>
        <v>http://jsmh.umin.jp/journal/49-2/372-373.pdf</v>
      </c>
      <c r="H4574" s="43"/>
    </row>
    <row r="4575" spans="1:8" ht="30" customHeight="1" x14ac:dyDescent="0.15">
      <c r="A4575" s="16" t="s">
        <v>3720</v>
      </c>
      <c r="B4575" s="17" t="s">
        <v>7786</v>
      </c>
      <c r="C4575" s="17" t="s">
        <v>7787</v>
      </c>
      <c r="D4575" s="25" t="s">
        <v>7675</v>
      </c>
      <c r="E4575" s="19" t="s">
        <v>7766</v>
      </c>
      <c r="F4575" s="19" t="s">
        <v>7788</v>
      </c>
      <c r="G4575" s="5" t="str">
        <f>HYPERLINK("http://jsmh.umin.jp/journal/49-2/373-375.pdf")</f>
        <v>http://jsmh.umin.jp/journal/49-2/373-375.pdf</v>
      </c>
      <c r="H4575" s="43"/>
    </row>
    <row r="4576" spans="1:8" ht="30" customHeight="1" x14ac:dyDescent="0.15">
      <c r="A4576" s="16" t="s">
        <v>3720</v>
      </c>
      <c r="B4576" s="17" t="s">
        <v>7789</v>
      </c>
      <c r="C4576" s="17" t="s">
        <v>4085</v>
      </c>
      <c r="D4576" s="25" t="s">
        <v>7675</v>
      </c>
      <c r="E4576" s="19" t="s">
        <v>7766</v>
      </c>
      <c r="F4576" s="19" t="s">
        <v>7790</v>
      </c>
      <c r="G4576" s="5" t="str">
        <f>HYPERLINK("http://jsmh.umin.jp/journal/49-2/375-376.pdf")</f>
        <v>http://jsmh.umin.jp/journal/49-2/375-376.pdf</v>
      </c>
      <c r="H4576" s="43"/>
    </row>
    <row r="4577" spans="1:8" ht="30" customHeight="1" x14ac:dyDescent="0.15">
      <c r="A4577" s="16" t="s">
        <v>3720</v>
      </c>
      <c r="B4577" s="17" t="s">
        <v>7791</v>
      </c>
      <c r="C4577" s="17" t="s">
        <v>3655</v>
      </c>
      <c r="D4577" s="25" t="s">
        <v>7675</v>
      </c>
      <c r="E4577" s="19" t="s">
        <v>7766</v>
      </c>
      <c r="F4577" s="19" t="s">
        <v>7792</v>
      </c>
      <c r="G4577" s="5" t="str">
        <f>HYPERLINK("http://jsmh.umin.jp/journal/49-2/377-378.pdf")</f>
        <v>http://jsmh.umin.jp/journal/49-2/377-378.pdf</v>
      </c>
      <c r="H4577" s="43"/>
    </row>
    <row r="4578" spans="1:8" ht="30" customHeight="1" x14ac:dyDescent="0.15">
      <c r="A4578" s="16" t="s">
        <v>3720</v>
      </c>
      <c r="B4578" s="17" t="s">
        <v>7793</v>
      </c>
      <c r="C4578" s="17" t="s">
        <v>6300</v>
      </c>
      <c r="D4578" s="25" t="s">
        <v>7675</v>
      </c>
      <c r="E4578" s="19" t="s">
        <v>7766</v>
      </c>
      <c r="F4578" s="19" t="s">
        <v>7794</v>
      </c>
      <c r="G4578" s="4" t="str">
        <f>HYPERLINK("http://jsmh.umin.jp/journal/49-2/379-380.pdf")</f>
        <v>http://jsmh.umin.jp/journal/49-2/379-380.pdf</v>
      </c>
      <c r="H4578" s="43"/>
    </row>
    <row r="4579" spans="1:8" ht="30" customHeight="1" x14ac:dyDescent="0.15">
      <c r="A4579" s="16" t="s">
        <v>3720</v>
      </c>
      <c r="B4579" s="17" t="s">
        <v>7795</v>
      </c>
      <c r="C4579" s="17" t="s">
        <v>2937</v>
      </c>
      <c r="D4579" s="25" t="s">
        <v>7675</v>
      </c>
      <c r="E4579" s="19" t="s">
        <v>7766</v>
      </c>
      <c r="F4579" s="19" t="s">
        <v>7796</v>
      </c>
      <c r="G4579" s="5" t="str">
        <f>HYPERLINK("http://jsmh.umin.jp/journal/49-2/381-384.pdf")</f>
        <v>http://jsmh.umin.jp/journal/49-2/381-384.pdf</v>
      </c>
      <c r="H4579" s="43"/>
    </row>
    <row r="4580" spans="1:8" ht="30" customHeight="1" x14ac:dyDescent="0.15">
      <c r="A4580" s="16" t="s">
        <v>3720</v>
      </c>
      <c r="B4580" s="17" t="s">
        <v>7797</v>
      </c>
      <c r="C4580" s="17" t="s">
        <v>2465</v>
      </c>
      <c r="D4580" s="25" t="s">
        <v>7675</v>
      </c>
      <c r="E4580" s="19" t="s">
        <v>7766</v>
      </c>
      <c r="F4580" s="19" t="s">
        <v>1962</v>
      </c>
      <c r="G4580" s="5" t="str">
        <f>HYPERLINK("http://jsmh.umin.jp/journal/49-2/384-385.pdf")</f>
        <v>http://jsmh.umin.jp/journal/49-2/384-385.pdf</v>
      </c>
      <c r="H4580" s="43"/>
    </row>
    <row r="4581" spans="1:8" ht="30" customHeight="1" x14ac:dyDescent="0.15">
      <c r="A4581" s="16" t="s">
        <v>2990</v>
      </c>
      <c r="B4581" s="17" t="s">
        <v>7798</v>
      </c>
      <c r="C4581" s="17" t="s">
        <v>10214</v>
      </c>
      <c r="D4581" s="25" t="s">
        <v>7675</v>
      </c>
      <c r="E4581" s="19" t="s">
        <v>7766</v>
      </c>
      <c r="F4581" s="19" t="s">
        <v>6546</v>
      </c>
      <c r="G4581" s="5" t="str">
        <f>HYPERLINK("http://jsmh.umin.jp/journal/49-2/386-387.pdf")</f>
        <v>http://jsmh.umin.jp/journal/49-2/386-387.pdf</v>
      </c>
      <c r="H4581" s="43"/>
    </row>
    <row r="4582" spans="1:8" ht="30" customHeight="1" x14ac:dyDescent="0.15">
      <c r="A4582" s="16" t="s">
        <v>2990</v>
      </c>
      <c r="B4582" s="17" t="s">
        <v>10347</v>
      </c>
      <c r="C4582" s="17" t="s">
        <v>10214</v>
      </c>
      <c r="D4582" s="25" t="s">
        <v>7675</v>
      </c>
      <c r="E4582" s="19" t="s">
        <v>7766</v>
      </c>
      <c r="F4582" s="19" t="s">
        <v>7799</v>
      </c>
      <c r="G4582" s="5" t="str">
        <f>HYPERLINK("http://jsmh.umin.jp/journal/49-2/387-389.pdf")</f>
        <v>http://jsmh.umin.jp/journal/49-2/387-389.pdf</v>
      </c>
      <c r="H4582" s="43"/>
    </row>
    <row r="4583" spans="1:8" ht="30" customHeight="1" x14ac:dyDescent="0.15">
      <c r="A4583" s="16" t="s">
        <v>2990</v>
      </c>
      <c r="B4583" s="17" t="s">
        <v>7800</v>
      </c>
      <c r="C4583" s="17" t="s">
        <v>10280</v>
      </c>
      <c r="D4583" s="25" t="s">
        <v>7675</v>
      </c>
      <c r="E4583" s="19" t="s">
        <v>7766</v>
      </c>
      <c r="F4583" s="19" t="s">
        <v>5731</v>
      </c>
      <c r="G4583" s="5" t="str">
        <f>HYPERLINK("http://jsmh.umin.jp/journal/49-2/389-390.pdf")</f>
        <v>http://jsmh.umin.jp/journal/49-2/389-390.pdf</v>
      </c>
      <c r="H4583" s="43"/>
    </row>
    <row r="4584" spans="1:8" ht="30" customHeight="1" x14ac:dyDescent="0.15">
      <c r="A4584" s="16" t="s">
        <v>2990</v>
      </c>
      <c r="B4584" s="17" t="s">
        <v>7801</v>
      </c>
      <c r="C4584" s="17" t="s">
        <v>7320</v>
      </c>
      <c r="D4584" s="25" t="s">
        <v>7675</v>
      </c>
      <c r="E4584" s="19" t="s">
        <v>7766</v>
      </c>
      <c r="F4584" s="19" t="s">
        <v>5734</v>
      </c>
      <c r="G4584" s="5" t="str">
        <f>HYPERLINK("http://jsmh.umin.jp/journal/49-2/390-392.pdf")</f>
        <v>http://jsmh.umin.jp/journal/49-2/390-392.pdf</v>
      </c>
      <c r="H4584" s="43"/>
    </row>
    <row r="4585" spans="1:8" ht="30" customHeight="1" x14ac:dyDescent="0.15">
      <c r="A4585" s="16" t="s">
        <v>2990</v>
      </c>
      <c r="B4585" s="17" t="s">
        <v>7802</v>
      </c>
      <c r="C4585" s="17" t="s">
        <v>2386</v>
      </c>
      <c r="D4585" s="25" t="s">
        <v>7675</v>
      </c>
      <c r="E4585" s="19" t="s">
        <v>7766</v>
      </c>
      <c r="F4585" s="19" t="s">
        <v>2148</v>
      </c>
      <c r="G4585" s="5" t="str">
        <f>HYPERLINK("http://jsmh.umin.jp/journal/49-2/392-393.pdf")</f>
        <v>http://jsmh.umin.jp/journal/49-2/392-393.pdf</v>
      </c>
      <c r="H4585" s="43"/>
    </row>
    <row r="4586" spans="1:8" ht="30" customHeight="1" x14ac:dyDescent="0.15">
      <c r="A4586" s="16" t="s">
        <v>2990</v>
      </c>
      <c r="B4586" s="17" t="s">
        <v>7803</v>
      </c>
      <c r="C4586" s="17" t="s">
        <v>4585</v>
      </c>
      <c r="D4586" s="25" t="s">
        <v>7675</v>
      </c>
      <c r="E4586" s="19" t="s">
        <v>7766</v>
      </c>
      <c r="F4586" s="19" t="s">
        <v>7804</v>
      </c>
      <c r="G4586" s="5" t="str">
        <f>HYPERLINK("http://jsmh.umin.jp/journal/49-2/393-395.pdf")</f>
        <v>http://jsmh.umin.jp/journal/49-2/393-395.pdf</v>
      </c>
      <c r="H4586" s="43"/>
    </row>
    <row r="4587" spans="1:8" ht="30" customHeight="1" x14ac:dyDescent="0.15">
      <c r="A4587" s="16" t="s">
        <v>2990</v>
      </c>
      <c r="B4587" s="17" t="s">
        <v>7805</v>
      </c>
      <c r="C4587" s="17" t="s">
        <v>790</v>
      </c>
      <c r="D4587" s="25" t="s">
        <v>7675</v>
      </c>
      <c r="E4587" s="19" t="s">
        <v>7766</v>
      </c>
      <c r="F4587" s="19" t="s">
        <v>2320</v>
      </c>
      <c r="G4587" s="5" t="str">
        <f>HYPERLINK("http://jsmh.umin.jp/journal/49-2/395-396.pdf")</f>
        <v>http://jsmh.umin.jp/journal/49-2/395-396.pdf</v>
      </c>
      <c r="H4587" s="43"/>
    </row>
    <row r="4588" spans="1:8" ht="30" customHeight="1" x14ac:dyDescent="0.15">
      <c r="A4588" s="16" t="s">
        <v>2990</v>
      </c>
      <c r="B4588" s="17" t="s">
        <v>7806</v>
      </c>
      <c r="C4588" s="17" t="s">
        <v>2937</v>
      </c>
      <c r="D4588" s="25" t="s">
        <v>7675</v>
      </c>
      <c r="E4588" s="19" t="s">
        <v>7766</v>
      </c>
      <c r="F4588" s="19" t="s">
        <v>7807</v>
      </c>
      <c r="G4588" s="5" t="str">
        <f>HYPERLINK("http://jsmh.umin.jp/journal/49-2/396-398.pdf")</f>
        <v>http://jsmh.umin.jp/journal/49-2/396-398.pdf</v>
      </c>
      <c r="H4588" s="43"/>
    </row>
    <row r="4589" spans="1:8" ht="30" customHeight="1" x14ac:dyDescent="0.15">
      <c r="A4589" s="16" t="s">
        <v>17</v>
      </c>
      <c r="B4589" s="17" t="s">
        <v>7808</v>
      </c>
      <c r="C4589" s="17" t="s">
        <v>10348</v>
      </c>
      <c r="D4589" s="25" t="s">
        <v>7675</v>
      </c>
      <c r="E4589" s="19" t="s">
        <v>7809</v>
      </c>
      <c r="F4589" s="19" t="s">
        <v>7810</v>
      </c>
      <c r="G4589" s="4" t="str">
        <f>HYPERLINK("http://jsmh.umin.jp/journal/49-3/403-454.pdf")</f>
        <v>http://jsmh.umin.jp/journal/49-3/403-454.pdf</v>
      </c>
      <c r="H4589" s="43"/>
    </row>
    <row r="4590" spans="1:8" ht="30" customHeight="1" x14ac:dyDescent="0.15">
      <c r="A4590" s="16" t="s">
        <v>17</v>
      </c>
      <c r="B4590" s="17" t="s">
        <v>7811</v>
      </c>
      <c r="C4590" s="17" t="s">
        <v>7812</v>
      </c>
      <c r="D4590" s="25" t="s">
        <v>7675</v>
      </c>
      <c r="E4590" s="19" t="s">
        <v>7809</v>
      </c>
      <c r="F4590" s="19" t="s">
        <v>3217</v>
      </c>
      <c r="G4590" s="5" t="str">
        <f>HYPERLINK("http://jsmh.umin.jp/journal/49-3/455-477.pdf")</f>
        <v>http://jsmh.umin.jp/journal/49-3/455-477.pdf</v>
      </c>
      <c r="H4590" s="43"/>
    </row>
    <row r="4591" spans="1:8" ht="30" customHeight="1" x14ac:dyDescent="0.15">
      <c r="A4591" s="16" t="s">
        <v>17</v>
      </c>
      <c r="B4591" s="17" t="s">
        <v>7813</v>
      </c>
      <c r="C4591" s="17" t="s">
        <v>7316</v>
      </c>
      <c r="D4591" s="25" t="s">
        <v>7675</v>
      </c>
      <c r="E4591" s="19" t="s">
        <v>7809</v>
      </c>
      <c r="F4591" s="19" t="s">
        <v>7814</v>
      </c>
      <c r="G4591" s="5" t="str">
        <f>HYPERLINK("http://jsmh.umin.jp/journal/49-3/479-492.pdf")</f>
        <v>http://jsmh.umin.jp/journal/49-3/479-492.pdf</v>
      </c>
      <c r="H4591" s="43"/>
    </row>
    <row r="4592" spans="1:8" ht="30" customHeight="1" x14ac:dyDescent="0.15">
      <c r="A4592" s="16" t="s">
        <v>7637</v>
      </c>
      <c r="B4592" s="17" t="s">
        <v>7815</v>
      </c>
      <c r="C4592" s="17" t="s">
        <v>3644</v>
      </c>
      <c r="D4592" s="25" t="s">
        <v>7675</v>
      </c>
      <c r="E4592" s="19" t="s">
        <v>7809</v>
      </c>
      <c r="F4592" s="19" t="s">
        <v>7816</v>
      </c>
      <c r="G4592" s="5" t="str">
        <f>HYPERLINK("http://jsmh.umin.jp/journal/49-3/493-500.pdf")</f>
        <v>http://jsmh.umin.jp/journal/49-3/493-500.pdf</v>
      </c>
      <c r="H4592" s="43"/>
    </row>
    <row r="4593" spans="1:8" ht="30" customHeight="1" x14ac:dyDescent="0.15">
      <c r="A4593" s="16" t="s">
        <v>692</v>
      </c>
      <c r="B4593" s="17" t="s">
        <v>7817</v>
      </c>
      <c r="C4593" s="17" t="s">
        <v>7818</v>
      </c>
      <c r="D4593" s="25" t="s">
        <v>7675</v>
      </c>
      <c r="E4593" s="19" t="s">
        <v>7809</v>
      </c>
      <c r="F4593" s="19" t="s">
        <v>7819</v>
      </c>
      <c r="G4593" s="5" t="str">
        <f>HYPERLINK("http://jsmh.umin.jp/journal/49-3/501-558.pdf")</f>
        <v>http://jsmh.umin.jp/journal/49-3/501-558.pdf</v>
      </c>
      <c r="H4593" s="43"/>
    </row>
    <row r="4594" spans="1:8" ht="30" customHeight="1" x14ac:dyDescent="0.15">
      <c r="A4594" s="16" t="s">
        <v>3223</v>
      </c>
      <c r="B4594" s="17" t="s">
        <v>7820</v>
      </c>
      <c r="C4594" s="17" t="s">
        <v>7253</v>
      </c>
      <c r="D4594" s="25" t="s">
        <v>7675</v>
      </c>
      <c r="E4594" s="19" t="s">
        <v>7809</v>
      </c>
      <c r="F4594" s="19" t="s">
        <v>7821</v>
      </c>
      <c r="G4594" s="5" t="str">
        <f>HYPERLINK("http://jsmh.umin.jp/journal/49-3/559-561.pdf")</f>
        <v>http://jsmh.umin.jp/journal/49-3/559-561.pdf</v>
      </c>
      <c r="H4594" s="43"/>
    </row>
    <row r="4595" spans="1:8" ht="30" customHeight="1" x14ac:dyDescent="0.15">
      <c r="A4595" s="16" t="s">
        <v>3720</v>
      </c>
      <c r="B4595" s="17" t="s">
        <v>7822</v>
      </c>
      <c r="C4595" s="17" t="s">
        <v>48</v>
      </c>
      <c r="D4595" s="25" t="s">
        <v>7675</v>
      </c>
      <c r="E4595" s="19" t="s">
        <v>7809</v>
      </c>
      <c r="F4595" s="19" t="s">
        <v>6609</v>
      </c>
      <c r="G4595" s="5" t="str">
        <f>HYPERLINK("http://jsmh.umin.jp/journal/49-3/562-564.pdf")</f>
        <v>http://jsmh.umin.jp/journal/49-3/562-564.pdf</v>
      </c>
      <c r="H4595" s="43"/>
    </row>
    <row r="4596" spans="1:8" ht="30" customHeight="1" x14ac:dyDescent="0.15">
      <c r="A4596" s="16" t="s">
        <v>558</v>
      </c>
      <c r="B4596" s="17" t="s">
        <v>7823</v>
      </c>
      <c r="C4596" s="17"/>
      <c r="D4596" s="25" t="s">
        <v>7675</v>
      </c>
      <c r="E4596" s="19" t="s">
        <v>7809</v>
      </c>
      <c r="F4596" s="19" t="s">
        <v>7824</v>
      </c>
      <c r="G4596" s="5" t="str">
        <f>HYPERLINK("http://jsmh.umin.jp/journal/49-3/562.pdf")</f>
        <v>http://jsmh.umin.jp/journal/49-3/562.pdf</v>
      </c>
      <c r="H4596" s="43"/>
    </row>
    <row r="4597" spans="1:8" ht="30" customHeight="1" x14ac:dyDescent="0.15">
      <c r="A4597" s="16" t="s">
        <v>2990</v>
      </c>
      <c r="B4597" s="17" t="s">
        <v>7825</v>
      </c>
      <c r="C4597" s="17" t="s">
        <v>1147</v>
      </c>
      <c r="D4597" s="25" t="s">
        <v>7675</v>
      </c>
      <c r="E4597" s="19" t="s">
        <v>7809</v>
      </c>
      <c r="F4597" s="19" t="s">
        <v>6611</v>
      </c>
      <c r="G4597" s="5" t="str">
        <f>HYPERLINK("http://jsmh.umin.jp/journal/49-3/564-565.pdf")</f>
        <v>http://jsmh.umin.jp/journal/49-3/564-565.pdf</v>
      </c>
      <c r="H4597" s="43"/>
    </row>
    <row r="4598" spans="1:8" ht="30" customHeight="1" x14ac:dyDescent="0.15">
      <c r="A4598" s="16" t="s">
        <v>2990</v>
      </c>
      <c r="B4598" s="17" t="s">
        <v>7826</v>
      </c>
      <c r="C4598" s="17" t="s">
        <v>2667</v>
      </c>
      <c r="D4598" s="25" t="s">
        <v>7675</v>
      </c>
      <c r="E4598" s="19" t="s">
        <v>7809</v>
      </c>
      <c r="F4598" s="19" t="s">
        <v>7827</v>
      </c>
      <c r="G4598" s="5" t="str">
        <f>HYPERLINK("http://jsmh.umin.jp/journal/49-3/565-567.pdf")</f>
        <v>http://jsmh.umin.jp/journal/49-3/565-567.pdf</v>
      </c>
      <c r="H4598" s="43"/>
    </row>
    <row r="4599" spans="1:8" ht="30" customHeight="1" x14ac:dyDescent="0.15">
      <c r="A4599" s="16" t="s">
        <v>2990</v>
      </c>
      <c r="B4599" s="17" t="s">
        <v>7828</v>
      </c>
      <c r="C4599" s="17" t="s">
        <v>6857</v>
      </c>
      <c r="D4599" s="25" t="s">
        <v>7675</v>
      </c>
      <c r="E4599" s="19" t="s">
        <v>7809</v>
      </c>
      <c r="F4599" s="19" t="s">
        <v>7829</v>
      </c>
      <c r="G4599" s="5" t="str">
        <f>HYPERLINK("http://jsmh.umin.jp/journal/49-3/567-568.pdf")</f>
        <v>http://jsmh.umin.jp/journal/49-3/567-568.pdf</v>
      </c>
      <c r="H4599" s="43"/>
    </row>
    <row r="4600" spans="1:8" ht="30" customHeight="1" x14ac:dyDescent="0.15">
      <c r="A4600" s="16" t="s">
        <v>2990</v>
      </c>
      <c r="B4600" s="17" t="s">
        <v>7830</v>
      </c>
      <c r="C4600" s="17" t="s">
        <v>5516</v>
      </c>
      <c r="D4600" s="25" t="s">
        <v>7675</v>
      </c>
      <c r="E4600" s="19" t="s">
        <v>7809</v>
      </c>
      <c r="F4600" s="19" t="s">
        <v>7394</v>
      </c>
      <c r="G4600" s="5" t="str">
        <f>HYPERLINK("http://jsmh.umin.jp/journal/49-3/568-569.pdf")</f>
        <v>http://jsmh.umin.jp/journal/49-3/568-569.pdf</v>
      </c>
      <c r="H4600" s="43"/>
    </row>
    <row r="4601" spans="1:8" ht="30" customHeight="1" x14ac:dyDescent="0.15">
      <c r="A4601" s="16" t="s">
        <v>2990</v>
      </c>
      <c r="B4601" s="17" t="s">
        <v>7831</v>
      </c>
      <c r="C4601" s="17" t="s">
        <v>4161</v>
      </c>
      <c r="D4601" s="25" t="s">
        <v>7675</v>
      </c>
      <c r="E4601" s="19" t="s">
        <v>7809</v>
      </c>
      <c r="F4601" s="19" t="s">
        <v>7396</v>
      </c>
      <c r="G4601" s="5" t="str">
        <f>HYPERLINK("http://jsmh.umin.jp/journal/49-3/570-571.pdf")</f>
        <v>http://jsmh.umin.jp/journal/49-3/570-571.pdf</v>
      </c>
      <c r="H4601" s="43"/>
    </row>
    <row r="4602" spans="1:8" ht="30" customHeight="1" x14ac:dyDescent="0.15">
      <c r="A4602" s="16" t="s">
        <v>2990</v>
      </c>
      <c r="B4602" s="17" t="s">
        <v>7832</v>
      </c>
      <c r="C4602" s="17" t="s">
        <v>3839</v>
      </c>
      <c r="D4602" s="25" t="s">
        <v>7675</v>
      </c>
      <c r="E4602" s="19" t="s">
        <v>7809</v>
      </c>
      <c r="F4602" s="19" t="s">
        <v>7833</v>
      </c>
      <c r="G4602" s="5" t="str">
        <f>HYPERLINK("http://jsmh.umin.jp/journal/49-3/571-572.pdf")</f>
        <v>http://jsmh.umin.jp/journal/49-3/571-572.pdf</v>
      </c>
      <c r="H4602" s="43"/>
    </row>
    <row r="4603" spans="1:8" ht="30" customHeight="1" x14ac:dyDescent="0.15">
      <c r="A4603" s="16" t="s">
        <v>2990</v>
      </c>
      <c r="B4603" s="17" t="s">
        <v>10349</v>
      </c>
      <c r="C4603" s="17" t="s">
        <v>3905</v>
      </c>
      <c r="D4603" s="25" t="s">
        <v>7675</v>
      </c>
      <c r="E4603" s="19" t="s">
        <v>7809</v>
      </c>
      <c r="F4603" s="19" t="s">
        <v>7834</v>
      </c>
      <c r="G4603" s="5" t="str">
        <f>HYPERLINK("http://jsmh.umin.jp/journal/49-3/572-574.pdf")</f>
        <v>http://jsmh.umin.jp/journal/49-3/572-574.pdf</v>
      </c>
      <c r="H4603" s="43"/>
    </row>
    <row r="4604" spans="1:8" ht="30" customHeight="1" x14ac:dyDescent="0.15">
      <c r="A4604" s="16" t="s">
        <v>2990</v>
      </c>
      <c r="B4604" s="17" t="s">
        <v>7835</v>
      </c>
      <c r="C4604" s="17" t="s">
        <v>925</v>
      </c>
      <c r="D4604" s="25" t="s">
        <v>7675</v>
      </c>
      <c r="E4604" s="19" t="s">
        <v>7809</v>
      </c>
      <c r="F4604" s="19" t="s">
        <v>7400</v>
      </c>
      <c r="G4604" s="5" t="str">
        <f>HYPERLINK("http://jsmh.umin.jp/journal/49-3/574-575.pdf")</f>
        <v>http://jsmh.umin.jp/journal/49-3/574-575.pdf</v>
      </c>
      <c r="H4604" s="43"/>
    </row>
    <row r="4605" spans="1:8" ht="30" customHeight="1" x14ac:dyDescent="0.15">
      <c r="A4605" s="16" t="s">
        <v>2990</v>
      </c>
      <c r="B4605" s="17" t="s">
        <v>7836</v>
      </c>
      <c r="C4605" s="17" t="s">
        <v>7837</v>
      </c>
      <c r="D4605" s="25" t="s">
        <v>7675</v>
      </c>
      <c r="E4605" s="19" t="s">
        <v>7809</v>
      </c>
      <c r="F4605" s="19" t="s">
        <v>7838</v>
      </c>
      <c r="G4605" s="4" t="str">
        <f>HYPERLINK("http://jsmh.umin.jp/journal/49-3/575-577.pdf")</f>
        <v>http://jsmh.umin.jp/journal/49-3/575-577.pdf</v>
      </c>
      <c r="H4605" s="43"/>
    </row>
    <row r="4606" spans="1:8" ht="30" customHeight="1" x14ac:dyDescent="0.15">
      <c r="A4606" s="16" t="s">
        <v>17</v>
      </c>
      <c r="B4606" s="17" t="s">
        <v>7839</v>
      </c>
      <c r="C4606" s="17" t="s">
        <v>7391</v>
      </c>
      <c r="D4606" s="25" t="s">
        <v>7675</v>
      </c>
      <c r="E4606" s="19" t="s">
        <v>7840</v>
      </c>
      <c r="F4606" s="19" t="s">
        <v>7841</v>
      </c>
      <c r="G4606" s="4" t="str">
        <f>HYPERLINK("http://jsmh.umin.jp/journal/49-4/581-614.pdf")</f>
        <v>http://jsmh.umin.jp/journal/49-4/581-614.pdf</v>
      </c>
      <c r="H4606" s="43"/>
    </row>
    <row r="4607" spans="1:8" ht="30" customHeight="1" x14ac:dyDescent="0.15">
      <c r="A4607" s="16" t="s">
        <v>17</v>
      </c>
      <c r="B4607" s="17" t="s">
        <v>7842</v>
      </c>
      <c r="C4607" s="17" t="s">
        <v>7843</v>
      </c>
      <c r="D4607" s="25" t="s">
        <v>7675</v>
      </c>
      <c r="E4607" s="19" t="s">
        <v>7840</v>
      </c>
      <c r="F4607" s="19" t="s">
        <v>7844</v>
      </c>
      <c r="G4607" s="5" t="str">
        <f>HYPERLINK("http://jsmh.umin.jp/journal/49-4/615-636.pdf")</f>
        <v>http://jsmh.umin.jp/journal/49-4/615-636.pdf</v>
      </c>
      <c r="H4607" s="43"/>
    </row>
    <row r="4608" spans="1:8" ht="30" customHeight="1" x14ac:dyDescent="0.15">
      <c r="A4608" s="16" t="s">
        <v>7637</v>
      </c>
      <c r="B4608" s="17" t="s">
        <v>7845</v>
      </c>
      <c r="C4608" s="17" t="s">
        <v>7059</v>
      </c>
      <c r="D4608" s="25" t="s">
        <v>7675</v>
      </c>
      <c r="E4608" s="19" t="s">
        <v>7840</v>
      </c>
      <c r="F4608" s="19" t="s">
        <v>7846</v>
      </c>
      <c r="G4608" s="5" t="str">
        <f>HYPERLINK("http://jsmh.umin.jp/journal/49-4/637-660.pdf")</f>
        <v>http://jsmh.umin.jp/journal/49-4/637-660.pdf</v>
      </c>
      <c r="H4608" s="43"/>
    </row>
    <row r="4609" spans="1:8" ht="30" customHeight="1" x14ac:dyDescent="0.15">
      <c r="A4609" s="16" t="s">
        <v>692</v>
      </c>
      <c r="B4609" s="17" t="s">
        <v>7847</v>
      </c>
      <c r="C4609" s="17" t="s">
        <v>7848</v>
      </c>
      <c r="D4609" s="25" t="s">
        <v>7675</v>
      </c>
      <c r="E4609" s="19" t="s">
        <v>7840</v>
      </c>
      <c r="F4609" s="19" t="s">
        <v>7849</v>
      </c>
      <c r="G4609" s="5" t="str">
        <f>HYPERLINK("http://jsmh.umin.jp/journal/49-4/661-668.pdf")</f>
        <v>http://jsmh.umin.jp/journal/49-4/661-668.pdf</v>
      </c>
      <c r="H4609" s="43"/>
    </row>
    <row r="4610" spans="1:8" ht="30" customHeight="1" x14ac:dyDescent="0.15">
      <c r="A4610" s="16" t="s">
        <v>3720</v>
      </c>
      <c r="B4610" s="17" t="s">
        <v>7850</v>
      </c>
      <c r="C4610" s="17" t="s">
        <v>3196</v>
      </c>
      <c r="D4610" s="25" t="s">
        <v>7675</v>
      </c>
      <c r="E4610" s="19" t="s">
        <v>7840</v>
      </c>
      <c r="F4610" s="19" t="s">
        <v>7851</v>
      </c>
      <c r="G4610" s="5" t="str">
        <f>HYPERLINK("http://jsmh.umin.jp/journal/49-4/669-672.pdf")</f>
        <v>http://jsmh.umin.jp/journal/49-4/669-672.pdf</v>
      </c>
      <c r="H4610" s="43"/>
    </row>
    <row r="4611" spans="1:8" ht="30" customHeight="1" x14ac:dyDescent="0.15">
      <c r="A4611" s="16" t="s">
        <v>558</v>
      </c>
      <c r="B4611" s="17" t="s">
        <v>7852</v>
      </c>
      <c r="C4611" s="17"/>
      <c r="D4611" s="25" t="s">
        <v>7675</v>
      </c>
      <c r="E4611" s="19" t="s">
        <v>7840</v>
      </c>
      <c r="F4611" s="19" t="s">
        <v>7853</v>
      </c>
      <c r="G4611" s="5" t="str">
        <f>HYPERLINK("http://jsmh.umin.jp/journal/49-4/669.pdf")</f>
        <v>http://jsmh.umin.jp/journal/49-4/669.pdf</v>
      </c>
      <c r="H4611" s="43"/>
    </row>
    <row r="4612" spans="1:8" ht="30" customHeight="1" x14ac:dyDescent="0.15">
      <c r="A4612" s="16" t="s">
        <v>3720</v>
      </c>
      <c r="B4612" s="17" t="s">
        <v>7854</v>
      </c>
      <c r="C4612" s="17" t="s">
        <v>4085</v>
      </c>
      <c r="D4612" s="25" t="s">
        <v>7675</v>
      </c>
      <c r="E4612" s="19" t="s">
        <v>7840</v>
      </c>
      <c r="F4612" s="19" t="s">
        <v>7855</v>
      </c>
      <c r="G4612" s="5" t="str">
        <f>HYPERLINK("http://jsmh.umin.jp/journal/49-4/672-673.pdf")</f>
        <v>http://jsmh.umin.jp/journal/49-4/672-673.pdf</v>
      </c>
      <c r="H4612" s="43"/>
    </row>
    <row r="4613" spans="1:8" ht="30" customHeight="1" x14ac:dyDescent="0.15">
      <c r="A4613" s="16" t="s">
        <v>3720</v>
      </c>
      <c r="B4613" s="17" t="s">
        <v>7856</v>
      </c>
      <c r="C4613" s="17" t="s">
        <v>5221</v>
      </c>
      <c r="D4613" s="25" t="s">
        <v>7675</v>
      </c>
      <c r="E4613" s="19" t="s">
        <v>7840</v>
      </c>
      <c r="F4613" s="19" t="s">
        <v>7857</v>
      </c>
      <c r="G4613" s="5" t="str">
        <f>HYPERLINK("http://jsmh.umin.jp/journal/49-4/673-674.pdf")</f>
        <v>http://jsmh.umin.jp/journal/49-4/673-674.pdf</v>
      </c>
      <c r="H4613" s="43"/>
    </row>
    <row r="4614" spans="1:8" ht="30" customHeight="1" x14ac:dyDescent="0.15">
      <c r="A4614" s="16" t="s">
        <v>3720</v>
      </c>
      <c r="B4614" s="17" t="s">
        <v>7858</v>
      </c>
      <c r="C4614" s="17" t="s">
        <v>6604</v>
      </c>
      <c r="D4614" s="25" t="s">
        <v>7675</v>
      </c>
      <c r="E4614" s="19" t="s">
        <v>7840</v>
      </c>
      <c r="F4614" s="19" t="s">
        <v>7859</v>
      </c>
      <c r="G4614" s="5" t="str">
        <f>HYPERLINK("http://jsmh.umin.jp/journal/49-4/674-675.pdf")</f>
        <v>http://jsmh.umin.jp/journal/49-4/674-675.pdf</v>
      </c>
      <c r="H4614" s="43"/>
    </row>
    <row r="4615" spans="1:8" ht="30" customHeight="1" x14ac:dyDescent="0.15">
      <c r="A4615" s="16" t="s">
        <v>3720</v>
      </c>
      <c r="B4615" s="17" t="s">
        <v>7860</v>
      </c>
      <c r="C4615" s="17" t="s">
        <v>6568</v>
      </c>
      <c r="D4615" s="25" t="s">
        <v>7675</v>
      </c>
      <c r="E4615" s="19" t="s">
        <v>7840</v>
      </c>
      <c r="F4615" s="19" t="s">
        <v>7861</v>
      </c>
      <c r="G4615" s="5" t="str">
        <f>HYPERLINK("http://jsmh.umin.jp/journal/49-4/675-676.pdf")</f>
        <v>http://jsmh.umin.jp/journal/49-4/675-676.pdf</v>
      </c>
      <c r="H4615" s="43"/>
    </row>
    <row r="4616" spans="1:8" ht="30" customHeight="1" x14ac:dyDescent="0.15">
      <c r="A4616" s="16" t="s">
        <v>2990</v>
      </c>
      <c r="B4616" s="17" t="s">
        <v>7862</v>
      </c>
      <c r="C4616" s="17" t="s">
        <v>7431</v>
      </c>
      <c r="D4616" s="25" t="s">
        <v>7675</v>
      </c>
      <c r="E4616" s="19" t="s">
        <v>7840</v>
      </c>
      <c r="F4616" s="19" t="s">
        <v>7863</v>
      </c>
      <c r="G4616" s="5" t="str">
        <f>HYPERLINK("http://jsmh.umin.jp/journal/49-4/676-678.pdf")</f>
        <v>http://jsmh.umin.jp/journal/49-4/676-678.pdf</v>
      </c>
      <c r="H4616" s="43"/>
    </row>
    <row r="4617" spans="1:8" ht="30" customHeight="1" x14ac:dyDescent="0.15">
      <c r="A4617" s="16" t="s">
        <v>2990</v>
      </c>
      <c r="B4617" s="17" t="s">
        <v>7864</v>
      </c>
      <c r="C4617" s="17" t="s">
        <v>1803</v>
      </c>
      <c r="D4617" s="25" t="s">
        <v>7675</v>
      </c>
      <c r="E4617" s="19" t="s">
        <v>7840</v>
      </c>
      <c r="F4617" s="19" t="s">
        <v>7668</v>
      </c>
      <c r="G4617" s="5" t="str">
        <f>HYPERLINK("http://jsmh.umin.jp/journal/49-4/678-679.pdf")</f>
        <v>http://jsmh.umin.jp/journal/49-4/678-679.pdf</v>
      </c>
      <c r="H4617" s="43"/>
    </row>
    <row r="4618" spans="1:8" ht="30" customHeight="1" x14ac:dyDescent="0.15">
      <c r="A4618" s="16" t="s">
        <v>2990</v>
      </c>
      <c r="B4618" s="17" t="s">
        <v>7865</v>
      </c>
      <c r="C4618" s="17" t="s">
        <v>2891</v>
      </c>
      <c r="D4618" s="25" t="s">
        <v>7675</v>
      </c>
      <c r="E4618" s="19" t="s">
        <v>7840</v>
      </c>
      <c r="F4618" s="19" t="s">
        <v>7232</v>
      </c>
      <c r="G4618" s="5" t="str">
        <f>HYPERLINK("http://jsmh.umin.jp/journal/49-4/679-681.pdf")</f>
        <v>http://jsmh.umin.jp/journal/49-4/679-681.pdf</v>
      </c>
      <c r="H4618" s="43"/>
    </row>
    <row r="4619" spans="1:8" ht="30" customHeight="1" x14ac:dyDescent="0.15">
      <c r="A4619" s="16" t="s">
        <v>2990</v>
      </c>
      <c r="B4619" s="17" t="s">
        <v>7866</v>
      </c>
      <c r="C4619" s="17" t="s">
        <v>7867</v>
      </c>
      <c r="D4619" s="25" t="s">
        <v>7675</v>
      </c>
      <c r="E4619" s="19" t="s">
        <v>7840</v>
      </c>
      <c r="F4619" s="19" t="s">
        <v>7234</v>
      </c>
      <c r="G4619" s="5" t="str">
        <f>HYPERLINK("http://jsmh.umin.jp/journal/49-4/681-682.pdf")</f>
        <v>http://jsmh.umin.jp/journal/49-4/681-682.pdf</v>
      </c>
      <c r="H4619" s="43"/>
    </row>
    <row r="4620" spans="1:8" ht="30" customHeight="1" x14ac:dyDescent="0.15">
      <c r="A4620" s="16" t="s">
        <v>2990</v>
      </c>
      <c r="B4620" s="17" t="s">
        <v>7868</v>
      </c>
      <c r="C4620" s="17" t="s">
        <v>1781</v>
      </c>
      <c r="D4620" s="25" t="s">
        <v>7675</v>
      </c>
      <c r="E4620" s="19" t="s">
        <v>7840</v>
      </c>
      <c r="F4620" s="19" t="s">
        <v>7869</v>
      </c>
      <c r="G4620" s="5" t="str">
        <f>HYPERLINK("http://jsmh.umin.jp/journal/49-4/682-683.pdf")</f>
        <v>http://jsmh.umin.jp/journal/49-4/682-683.pdf</v>
      </c>
      <c r="H4620" s="43"/>
    </row>
    <row r="4621" spans="1:8" ht="30" customHeight="1" x14ac:dyDescent="0.15">
      <c r="A4621" s="16" t="s">
        <v>2990</v>
      </c>
      <c r="B4621" s="17" t="s">
        <v>7870</v>
      </c>
      <c r="C4621" s="17" t="s">
        <v>7871</v>
      </c>
      <c r="D4621" s="25" t="s">
        <v>7675</v>
      </c>
      <c r="E4621" s="19" t="s">
        <v>7840</v>
      </c>
      <c r="F4621" s="19" t="s">
        <v>7238</v>
      </c>
      <c r="G4621" s="5" t="str">
        <f>HYPERLINK("http://jsmh.umin.jp/journal/49-4/684-685.pdf")</f>
        <v>http://jsmh.umin.jp/journal/49-4/684-685.pdf</v>
      </c>
      <c r="H4621" s="43"/>
    </row>
    <row r="4622" spans="1:8" ht="30" customHeight="1" x14ac:dyDescent="0.15">
      <c r="A4622" s="16"/>
      <c r="B4622" s="17" t="s">
        <v>7872</v>
      </c>
      <c r="C4622" s="17"/>
      <c r="D4622" s="25" t="s">
        <v>7675</v>
      </c>
      <c r="E4622" s="19" t="s">
        <v>7840</v>
      </c>
      <c r="F4622" s="19" t="s">
        <v>7873</v>
      </c>
      <c r="G4622" s="5" t="str">
        <f>HYPERLINK("http://jsmh.umin.jp/journal/49-4/686-737.pdf")</f>
        <v>http://jsmh.umin.jp/journal/49-4/686-737.pdf</v>
      </c>
      <c r="H4622" s="43"/>
    </row>
    <row r="4623" spans="1:8" ht="30" customHeight="1" x14ac:dyDescent="0.15">
      <c r="A4623" s="16"/>
      <c r="B4623" s="17" t="s">
        <v>7874</v>
      </c>
      <c r="C4623" s="17"/>
      <c r="D4623" s="25" t="s">
        <v>7675</v>
      </c>
      <c r="E4623" s="19" t="s">
        <v>7840</v>
      </c>
      <c r="F4623" s="19" t="s">
        <v>7875</v>
      </c>
      <c r="G4623" s="26" t="str">
        <f>HYPERLINK("http://jsmh.umin.jp/journal/49-4/somokuji.pdf")</f>
        <v>http://jsmh.umin.jp/journal/49-4/somokuji.pdf</v>
      </c>
      <c r="H4623" s="43"/>
    </row>
    <row r="4624" spans="1:8" ht="30" customHeight="1" x14ac:dyDescent="0.15">
      <c r="A4624" s="16" t="s">
        <v>7876</v>
      </c>
      <c r="B4624" s="17" t="s">
        <v>7877</v>
      </c>
      <c r="C4624" s="17" t="s">
        <v>7878</v>
      </c>
      <c r="D4624" s="25" t="s">
        <v>7675</v>
      </c>
      <c r="E4624" s="19" t="s">
        <v>7840</v>
      </c>
      <c r="F4624" s="19" t="s">
        <v>10599</v>
      </c>
      <c r="G4624" s="4" t="str">
        <f>HYPERLINK("http://jsmh.umin.jp/journal/49-4/756-747.pdf")</f>
        <v>http://jsmh.umin.jp/journal/49-4/756-747.pdf</v>
      </c>
      <c r="H4624" s="43"/>
    </row>
    <row r="4625" spans="1:8" ht="30" customHeight="1" x14ac:dyDescent="0.15">
      <c r="A4625" s="16" t="s">
        <v>1855</v>
      </c>
      <c r="B4625" s="17" t="s">
        <v>7879</v>
      </c>
      <c r="C4625" s="17" t="s">
        <v>4351</v>
      </c>
      <c r="D4625" s="18" t="s">
        <v>7880</v>
      </c>
      <c r="E4625" s="19" t="s">
        <v>7881</v>
      </c>
      <c r="F4625" s="19" t="s">
        <v>7882</v>
      </c>
      <c r="G4625" s="26" t="str">
        <f>HYPERLINK("http://jsmh.umin.jp/journal/50-1/6-9.pdf")</f>
        <v>http://jsmh.umin.jp/journal/50-1/6-9.pdf</v>
      </c>
      <c r="H4625" s="43"/>
    </row>
    <row r="4626" spans="1:8" ht="30" customHeight="1" x14ac:dyDescent="0.15">
      <c r="A4626" s="16" t="s">
        <v>1855</v>
      </c>
      <c r="B4626" s="17" t="s">
        <v>7883</v>
      </c>
      <c r="C4626" s="17" t="s">
        <v>5221</v>
      </c>
      <c r="D4626" s="25" t="s">
        <v>7880</v>
      </c>
      <c r="E4626" s="19" t="s">
        <v>7881</v>
      </c>
      <c r="F4626" s="19" t="s">
        <v>7884</v>
      </c>
      <c r="G4626" s="4" t="str">
        <f>HYPERLINK("http://jsmh.umin.jp/journal/50-1/10-12.pdf")</f>
        <v>http://jsmh.umin.jp/journal/50-1/10-12.pdf</v>
      </c>
      <c r="H4626" s="43"/>
    </row>
    <row r="4627" spans="1:8" ht="30" customHeight="1" x14ac:dyDescent="0.15">
      <c r="A4627" s="16" t="s">
        <v>1855</v>
      </c>
      <c r="B4627" s="17" t="s">
        <v>7885</v>
      </c>
      <c r="C4627" s="17" t="s">
        <v>2465</v>
      </c>
      <c r="D4627" s="25" t="s">
        <v>7880</v>
      </c>
      <c r="E4627" s="19" t="s">
        <v>7881</v>
      </c>
      <c r="F4627" s="19" t="s">
        <v>7886</v>
      </c>
      <c r="G4627" s="5" t="str">
        <f>HYPERLINK("http://jsmh.umin.jp/journal/50-1/13-16.pdf")</f>
        <v>http://jsmh.umin.jp/journal/50-1/13-16.pdf</v>
      </c>
      <c r="H4627" s="43"/>
    </row>
    <row r="4628" spans="1:8" ht="30" customHeight="1" x14ac:dyDescent="0.15">
      <c r="A4628" s="16" t="s">
        <v>1855</v>
      </c>
      <c r="B4628" s="17" t="s">
        <v>7887</v>
      </c>
      <c r="C4628" s="17" t="s">
        <v>4892</v>
      </c>
      <c r="D4628" s="25" t="s">
        <v>7880</v>
      </c>
      <c r="E4628" s="19" t="s">
        <v>7881</v>
      </c>
      <c r="F4628" s="19" t="s">
        <v>370</v>
      </c>
      <c r="G4628" s="5" t="str">
        <f>HYPERLINK("http://jsmh.umin.jp/journal/50-1/18-19.pdf")</f>
        <v>http://jsmh.umin.jp/journal/50-1/18-19.pdf</v>
      </c>
      <c r="H4628" s="43"/>
    </row>
    <row r="4629" spans="1:8" ht="30" customHeight="1" x14ac:dyDescent="0.15">
      <c r="A4629" s="16" t="s">
        <v>1855</v>
      </c>
      <c r="B4629" s="17" t="s">
        <v>7888</v>
      </c>
      <c r="C4629" s="17" t="s">
        <v>7889</v>
      </c>
      <c r="D4629" s="25" t="s">
        <v>7880</v>
      </c>
      <c r="E4629" s="19" t="s">
        <v>7881</v>
      </c>
      <c r="F4629" s="19" t="s">
        <v>377</v>
      </c>
      <c r="G4629" s="5" t="str">
        <f>HYPERLINK("http://jsmh.umin.jp/journal/50-1/20-21.pdf")</f>
        <v>http://jsmh.umin.jp/journal/50-1/20-21.pdf</v>
      </c>
      <c r="H4629" s="43"/>
    </row>
    <row r="4630" spans="1:8" ht="30" customHeight="1" x14ac:dyDescent="0.15">
      <c r="A4630" s="16" t="s">
        <v>1855</v>
      </c>
      <c r="B4630" s="17" t="s">
        <v>7890</v>
      </c>
      <c r="C4630" s="17" t="s">
        <v>7891</v>
      </c>
      <c r="D4630" s="25" t="s">
        <v>7880</v>
      </c>
      <c r="E4630" s="19" t="s">
        <v>7881</v>
      </c>
      <c r="F4630" s="19" t="s">
        <v>384</v>
      </c>
      <c r="G4630" s="5" t="str">
        <f>HYPERLINK("http://jsmh.umin.jp/journal/50-1/22-23.pdf")</f>
        <v>http://jsmh.umin.jp/journal/50-1/22-23.pdf</v>
      </c>
      <c r="H4630" s="43"/>
    </row>
    <row r="4631" spans="1:8" ht="30" customHeight="1" x14ac:dyDescent="0.15">
      <c r="A4631" s="16" t="s">
        <v>1855</v>
      </c>
      <c r="B4631" s="17" t="s">
        <v>7892</v>
      </c>
      <c r="C4631" s="17" t="s">
        <v>7893</v>
      </c>
      <c r="D4631" s="25" t="s">
        <v>7880</v>
      </c>
      <c r="E4631" s="19" t="s">
        <v>7881</v>
      </c>
      <c r="F4631" s="19" t="s">
        <v>389</v>
      </c>
      <c r="G4631" s="5" t="str">
        <f>HYPERLINK("http://jsmh.umin.jp/journal/50-1/24-25.pdf")</f>
        <v>http://jsmh.umin.jp/journal/50-1/24-25.pdf</v>
      </c>
      <c r="H4631" s="43"/>
    </row>
    <row r="4632" spans="1:8" ht="30" customHeight="1" x14ac:dyDescent="0.15">
      <c r="A4632" s="16" t="s">
        <v>1855</v>
      </c>
      <c r="B4632" s="17" t="s">
        <v>7894</v>
      </c>
      <c r="C4632" s="17" t="s">
        <v>7895</v>
      </c>
      <c r="D4632" s="25" t="s">
        <v>7880</v>
      </c>
      <c r="E4632" s="19" t="s">
        <v>7881</v>
      </c>
      <c r="F4632" s="19" t="s">
        <v>521</v>
      </c>
      <c r="G4632" s="5" t="str">
        <f>HYPERLINK("http://jsmh.umin.jp/journal/50-1/26-27.pdf")</f>
        <v>http://jsmh.umin.jp/journal/50-1/26-27.pdf</v>
      </c>
      <c r="H4632" s="43"/>
    </row>
    <row r="4633" spans="1:8" ht="30" customHeight="1" x14ac:dyDescent="0.15">
      <c r="A4633" s="16" t="s">
        <v>1855</v>
      </c>
      <c r="B4633" s="17" t="s">
        <v>7896</v>
      </c>
      <c r="C4633" s="17" t="s">
        <v>7897</v>
      </c>
      <c r="D4633" s="25" t="s">
        <v>7880</v>
      </c>
      <c r="E4633" s="19" t="s">
        <v>7881</v>
      </c>
      <c r="F4633" s="19" t="s">
        <v>401</v>
      </c>
      <c r="G4633" s="5" t="str">
        <f>HYPERLINK("http://jsmh.umin.jp/journal/50-1/28-29.pdf")</f>
        <v>http://jsmh.umin.jp/journal/50-1/28-29.pdf</v>
      </c>
      <c r="H4633" s="43"/>
    </row>
    <row r="4634" spans="1:8" ht="30" customHeight="1" x14ac:dyDescent="0.15">
      <c r="A4634" s="16" t="s">
        <v>1855</v>
      </c>
      <c r="B4634" s="17" t="s">
        <v>7898</v>
      </c>
      <c r="C4634" s="17" t="s">
        <v>7899</v>
      </c>
      <c r="D4634" s="25" t="s">
        <v>7880</v>
      </c>
      <c r="E4634" s="19" t="s">
        <v>7881</v>
      </c>
      <c r="F4634" s="19" t="s">
        <v>746</v>
      </c>
      <c r="G4634" s="5" t="str">
        <f>HYPERLINK("http://jsmh.umin.jp/journal/50-1/30-31.pdf")</f>
        <v>http://jsmh.umin.jp/journal/50-1/30-31.pdf</v>
      </c>
      <c r="H4634" s="43"/>
    </row>
    <row r="4635" spans="1:8" ht="30" customHeight="1" x14ac:dyDescent="0.15">
      <c r="A4635" s="16" t="s">
        <v>1855</v>
      </c>
      <c r="B4635" s="17" t="s">
        <v>7900</v>
      </c>
      <c r="C4635" s="17" t="s">
        <v>1929</v>
      </c>
      <c r="D4635" s="25" t="s">
        <v>7880</v>
      </c>
      <c r="E4635" s="19" t="s">
        <v>7881</v>
      </c>
      <c r="F4635" s="19" t="s">
        <v>1469</v>
      </c>
      <c r="G4635" s="5" t="str">
        <f>HYPERLINK("http://jsmh.umin.jp/journal/50-1/32-33.pdf")</f>
        <v>http://jsmh.umin.jp/journal/50-1/32-33.pdf</v>
      </c>
      <c r="H4635" s="43"/>
    </row>
    <row r="4636" spans="1:8" ht="30" customHeight="1" x14ac:dyDescent="0.15">
      <c r="A4636" s="16" t="s">
        <v>1855</v>
      </c>
      <c r="B4636" s="17" t="s">
        <v>7901</v>
      </c>
      <c r="C4636" s="17" t="s">
        <v>10289</v>
      </c>
      <c r="D4636" s="25" t="s">
        <v>7880</v>
      </c>
      <c r="E4636" s="19" t="s">
        <v>7881</v>
      </c>
      <c r="F4636" s="19" t="s">
        <v>753</v>
      </c>
      <c r="G4636" s="5" t="str">
        <f>HYPERLINK("http://jsmh.umin.jp/journal/50-1/34-35.pdf")</f>
        <v>http://jsmh.umin.jp/journal/50-1/34-35.pdf</v>
      </c>
      <c r="H4636" s="43"/>
    </row>
    <row r="4637" spans="1:8" ht="30" customHeight="1" x14ac:dyDescent="0.15">
      <c r="A4637" s="16" t="s">
        <v>1855</v>
      </c>
      <c r="B4637" s="17" t="s">
        <v>7902</v>
      </c>
      <c r="C4637" s="17" t="s">
        <v>1764</v>
      </c>
      <c r="D4637" s="25" t="s">
        <v>7880</v>
      </c>
      <c r="E4637" s="19" t="s">
        <v>7881</v>
      </c>
      <c r="F4637" s="19" t="s">
        <v>758</v>
      </c>
      <c r="G4637" s="5" t="str">
        <f>HYPERLINK("http://jsmh.umin.jp/journal/50-1/36-37.pdf")</f>
        <v>http://jsmh.umin.jp/journal/50-1/36-37.pdf</v>
      </c>
      <c r="H4637" s="43"/>
    </row>
    <row r="4638" spans="1:8" ht="30" customHeight="1" x14ac:dyDescent="0.15">
      <c r="A4638" s="16" t="s">
        <v>1855</v>
      </c>
      <c r="B4638" s="17" t="s">
        <v>7903</v>
      </c>
      <c r="C4638" s="17" t="s">
        <v>6565</v>
      </c>
      <c r="D4638" s="25" t="s">
        <v>7880</v>
      </c>
      <c r="E4638" s="19" t="s">
        <v>7881</v>
      </c>
      <c r="F4638" s="19" t="s">
        <v>765</v>
      </c>
      <c r="G4638" s="5" t="str">
        <f>HYPERLINK("http://jsmh.umin.jp/journal/50-1/38-39.pdf")</f>
        <v>http://jsmh.umin.jp/journal/50-1/38-39.pdf</v>
      </c>
      <c r="H4638" s="43"/>
    </row>
    <row r="4639" spans="1:8" ht="30" customHeight="1" x14ac:dyDescent="0.15">
      <c r="A4639" s="16" t="s">
        <v>1855</v>
      </c>
      <c r="B4639" s="17" t="s">
        <v>7904</v>
      </c>
      <c r="C4639" s="17" t="s">
        <v>3644</v>
      </c>
      <c r="D4639" s="25" t="s">
        <v>7880</v>
      </c>
      <c r="E4639" s="19" t="s">
        <v>7881</v>
      </c>
      <c r="F4639" s="19" t="s">
        <v>1481</v>
      </c>
      <c r="G4639" s="5" t="str">
        <f>HYPERLINK("http://jsmh.umin.jp/journal/50-1/40-41.pdf")</f>
        <v>http://jsmh.umin.jp/journal/50-1/40-41.pdf</v>
      </c>
      <c r="H4639" s="43"/>
    </row>
    <row r="4640" spans="1:8" ht="30" customHeight="1" x14ac:dyDescent="0.15">
      <c r="A4640" s="16" t="s">
        <v>1855</v>
      </c>
      <c r="B4640" s="17" t="s">
        <v>7905</v>
      </c>
      <c r="C4640" s="17" t="s">
        <v>7740</v>
      </c>
      <c r="D4640" s="25" t="s">
        <v>7880</v>
      </c>
      <c r="E4640" s="19" t="s">
        <v>7881</v>
      </c>
      <c r="F4640" s="19" t="s">
        <v>1153</v>
      </c>
      <c r="G4640" s="5" t="str">
        <f>HYPERLINK("http://jsmh.umin.jp/journal/50-1/42-43.pdf")</f>
        <v>http://jsmh.umin.jp/journal/50-1/42-43.pdf</v>
      </c>
      <c r="H4640" s="43"/>
    </row>
    <row r="4641" spans="1:8" ht="30" customHeight="1" x14ac:dyDescent="0.15">
      <c r="A4641" s="16" t="s">
        <v>1855</v>
      </c>
      <c r="B4641" s="17" t="s">
        <v>7906</v>
      </c>
      <c r="C4641" s="17" t="s">
        <v>5516</v>
      </c>
      <c r="D4641" s="25" t="s">
        <v>7880</v>
      </c>
      <c r="E4641" s="19" t="s">
        <v>7881</v>
      </c>
      <c r="F4641" s="19" t="s">
        <v>1159</v>
      </c>
      <c r="G4641" s="5" t="str">
        <f>HYPERLINK("http://jsmh.umin.jp/journal/50-1/44-45.pdf")</f>
        <v>http://jsmh.umin.jp/journal/50-1/44-45.pdf</v>
      </c>
      <c r="H4641" s="43"/>
    </row>
    <row r="4642" spans="1:8" ht="30" customHeight="1" x14ac:dyDescent="0.15">
      <c r="A4642" s="16" t="s">
        <v>1855</v>
      </c>
      <c r="B4642" s="17" t="s">
        <v>7907</v>
      </c>
      <c r="C4642" s="17" t="s">
        <v>7908</v>
      </c>
      <c r="D4642" s="25" t="s">
        <v>7880</v>
      </c>
      <c r="E4642" s="19" t="s">
        <v>7881</v>
      </c>
      <c r="F4642" s="19" t="s">
        <v>1163</v>
      </c>
      <c r="G4642" s="5" t="str">
        <f>HYPERLINK("http://jsmh.umin.jp/journal/50-1/46-47.pdf")</f>
        <v>http://jsmh.umin.jp/journal/50-1/46-47.pdf</v>
      </c>
      <c r="H4642" s="43"/>
    </row>
    <row r="4643" spans="1:8" ht="30" customHeight="1" x14ac:dyDescent="0.15">
      <c r="A4643" s="16" t="s">
        <v>1855</v>
      </c>
      <c r="B4643" s="17" t="s">
        <v>7909</v>
      </c>
      <c r="C4643" s="17" t="s">
        <v>6186</v>
      </c>
      <c r="D4643" s="25" t="s">
        <v>7880</v>
      </c>
      <c r="E4643" s="19" t="s">
        <v>7881</v>
      </c>
      <c r="F4643" s="19" t="s">
        <v>1091</v>
      </c>
      <c r="G4643" s="5" t="str">
        <f>HYPERLINK("http://jsmh.umin.jp/journal/50-1/48-49.pdf")</f>
        <v>http://jsmh.umin.jp/journal/50-1/48-49.pdf</v>
      </c>
      <c r="H4643" s="43"/>
    </row>
    <row r="4644" spans="1:8" ht="30" customHeight="1" x14ac:dyDescent="0.15">
      <c r="A4644" s="16" t="s">
        <v>1855</v>
      </c>
      <c r="B4644" s="17" t="s">
        <v>7910</v>
      </c>
      <c r="C4644" s="17" t="s">
        <v>7911</v>
      </c>
      <c r="D4644" s="25" t="s">
        <v>7880</v>
      </c>
      <c r="E4644" s="19" t="s">
        <v>7881</v>
      </c>
      <c r="F4644" s="19" t="s">
        <v>1101</v>
      </c>
      <c r="G4644" s="5" t="str">
        <f>HYPERLINK("http://jsmh.umin.jp/journal/50-1/50-51.pdf")</f>
        <v>http://jsmh.umin.jp/journal/50-1/50-51.pdf</v>
      </c>
      <c r="H4644" s="43"/>
    </row>
    <row r="4645" spans="1:8" ht="30" customHeight="1" x14ac:dyDescent="0.15">
      <c r="A4645" s="16" t="s">
        <v>1855</v>
      </c>
      <c r="B4645" s="17" t="s">
        <v>7912</v>
      </c>
      <c r="C4645" s="17" t="s">
        <v>5569</v>
      </c>
      <c r="D4645" s="25" t="s">
        <v>7880</v>
      </c>
      <c r="E4645" s="19" t="s">
        <v>7881</v>
      </c>
      <c r="F4645" s="19" t="s">
        <v>1287</v>
      </c>
      <c r="G4645" s="5" t="str">
        <f>HYPERLINK("http://jsmh.umin.jp/journal/50-1/52-53.pdf")</f>
        <v>http://jsmh.umin.jp/journal/50-1/52-53.pdf</v>
      </c>
      <c r="H4645" s="43"/>
    </row>
    <row r="4646" spans="1:8" ht="30" customHeight="1" x14ac:dyDescent="0.15">
      <c r="A4646" s="16" t="s">
        <v>1855</v>
      </c>
      <c r="B4646" s="17" t="s">
        <v>7913</v>
      </c>
      <c r="C4646" s="17" t="s">
        <v>6239</v>
      </c>
      <c r="D4646" s="25" t="s">
        <v>7880</v>
      </c>
      <c r="E4646" s="19" t="s">
        <v>7881</v>
      </c>
      <c r="F4646" s="19" t="s">
        <v>889</v>
      </c>
      <c r="G4646" s="5" t="str">
        <f>HYPERLINK("http://jsmh.umin.jp/journal/50-1/54-55.pdf")</f>
        <v>http://jsmh.umin.jp/journal/50-1/54-55.pdf</v>
      </c>
      <c r="H4646" s="43"/>
    </row>
    <row r="4647" spans="1:8" ht="30" customHeight="1" x14ac:dyDescent="0.15">
      <c r="A4647" s="16" t="s">
        <v>1855</v>
      </c>
      <c r="B4647" s="17" t="s">
        <v>7914</v>
      </c>
      <c r="C4647" s="17" t="s">
        <v>7322</v>
      </c>
      <c r="D4647" s="25" t="s">
        <v>7880</v>
      </c>
      <c r="E4647" s="19" t="s">
        <v>7881</v>
      </c>
      <c r="F4647" s="19" t="s">
        <v>1180</v>
      </c>
      <c r="G4647" s="5" t="str">
        <f>HYPERLINK("http://jsmh.umin.jp/journal/50-1/56-57.pdf")</f>
        <v>http://jsmh.umin.jp/journal/50-1/56-57.pdf</v>
      </c>
      <c r="H4647" s="43"/>
    </row>
    <row r="4648" spans="1:8" ht="30" customHeight="1" x14ac:dyDescent="0.15">
      <c r="A4648" s="16" t="s">
        <v>1855</v>
      </c>
      <c r="B4648" s="17" t="s">
        <v>7915</v>
      </c>
      <c r="C4648" s="17" t="s">
        <v>7916</v>
      </c>
      <c r="D4648" s="25" t="s">
        <v>7880</v>
      </c>
      <c r="E4648" s="19" t="s">
        <v>7881</v>
      </c>
      <c r="F4648" s="19" t="s">
        <v>714</v>
      </c>
      <c r="G4648" s="5" t="str">
        <f>HYPERLINK("http://jsmh.umin.jp/journal/50-1/58-59.pdf")</f>
        <v>http://jsmh.umin.jp/journal/50-1/58-59.pdf</v>
      </c>
      <c r="H4648" s="43"/>
    </row>
    <row r="4649" spans="1:8" ht="30" customHeight="1" x14ac:dyDescent="0.15">
      <c r="A4649" s="16" t="s">
        <v>1855</v>
      </c>
      <c r="B4649" s="17" t="s">
        <v>7917</v>
      </c>
      <c r="C4649" s="17" t="s">
        <v>7918</v>
      </c>
      <c r="D4649" s="25" t="s">
        <v>7880</v>
      </c>
      <c r="E4649" s="19" t="s">
        <v>7881</v>
      </c>
      <c r="F4649" s="19" t="s">
        <v>913</v>
      </c>
      <c r="G4649" s="5" t="str">
        <f>HYPERLINK("http://jsmh.umin.jp/journal/50-1/60-61.pdf")</f>
        <v>http://jsmh.umin.jp/journal/50-1/60-61.pdf</v>
      </c>
      <c r="H4649" s="43"/>
    </row>
    <row r="4650" spans="1:8" ht="30" customHeight="1" x14ac:dyDescent="0.15">
      <c r="A4650" s="16" t="s">
        <v>1855</v>
      </c>
      <c r="B4650" s="17" t="s">
        <v>7919</v>
      </c>
      <c r="C4650" s="17" t="s">
        <v>7758</v>
      </c>
      <c r="D4650" s="25" t="s">
        <v>7880</v>
      </c>
      <c r="E4650" s="19" t="s">
        <v>7881</v>
      </c>
      <c r="F4650" s="19" t="s">
        <v>1192</v>
      </c>
      <c r="G4650" s="5" t="str">
        <f>HYPERLINK("http://jsmh.umin.jp/journal/50-1/62-63.pdf")</f>
        <v>http://jsmh.umin.jp/journal/50-1/62-63.pdf</v>
      </c>
      <c r="H4650" s="43"/>
    </row>
    <row r="4651" spans="1:8" ht="30" customHeight="1" x14ac:dyDescent="0.15">
      <c r="A4651" s="16" t="s">
        <v>1855</v>
      </c>
      <c r="B4651" s="17" t="s">
        <v>7920</v>
      </c>
      <c r="C4651" s="17" t="s">
        <v>6078</v>
      </c>
      <c r="D4651" s="25" t="s">
        <v>7880</v>
      </c>
      <c r="E4651" s="19" t="s">
        <v>7881</v>
      </c>
      <c r="F4651" s="19" t="s">
        <v>1310</v>
      </c>
      <c r="G4651" s="5" t="str">
        <f>HYPERLINK("http://jsmh.umin.jp/journal/50-1/64-65.pdf")</f>
        <v>http://jsmh.umin.jp/journal/50-1/64-65.pdf</v>
      </c>
      <c r="H4651" s="43"/>
    </row>
    <row r="4652" spans="1:8" ht="30" customHeight="1" x14ac:dyDescent="0.15">
      <c r="A4652" s="16" t="s">
        <v>1855</v>
      </c>
      <c r="B4652" s="17" t="s">
        <v>7921</v>
      </c>
      <c r="C4652" s="17" t="s">
        <v>7760</v>
      </c>
      <c r="D4652" s="25" t="s">
        <v>7880</v>
      </c>
      <c r="E4652" s="19" t="s">
        <v>7881</v>
      </c>
      <c r="F4652" s="19" t="s">
        <v>570</v>
      </c>
      <c r="G4652" s="5" t="str">
        <f>HYPERLINK("http://jsmh.umin.jp/journal/50-1/66-67.pdf")</f>
        <v>http://jsmh.umin.jp/journal/50-1/66-67.pdf</v>
      </c>
      <c r="H4652" s="43"/>
    </row>
    <row r="4653" spans="1:8" ht="30" customHeight="1" x14ac:dyDescent="0.15">
      <c r="A4653" s="16" t="s">
        <v>1855</v>
      </c>
      <c r="B4653" s="17" t="s">
        <v>7922</v>
      </c>
      <c r="C4653" s="17" t="s">
        <v>7316</v>
      </c>
      <c r="D4653" s="25" t="s">
        <v>7880</v>
      </c>
      <c r="E4653" s="19" t="s">
        <v>7881</v>
      </c>
      <c r="F4653" s="19" t="s">
        <v>577</v>
      </c>
      <c r="G4653" s="5" t="str">
        <f>HYPERLINK("http://jsmh.umin.jp/journal/50-1/68-69.pdf")</f>
        <v>http://jsmh.umin.jp/journal/50-1/68-69.pdf</v>
      </c>
      <c r="H4653" s="43"/>
    </row>
    <row r="4654" spans="1:8" ht="30" customHeight="1" x14ac:dyDescent="0.15">
      <c r="A4654" s="16" t="s">
        <v>1855</v>
      </c>
      <c r="B4654" s="17" t="s">
        <v>7923</v>
      </c>
      <c r="C4654" s="17" t="s">
        <v>10350</v>
      </c>
      <c r="D4654" s="25" t="s">
        <v>7880</v>
      </c>
      <c r="E4654" s="19" t="s">
        <v>7881</v>
      </c>
      <c r="F4654" s="19" t="s">
        <v>588</v>
      </c>
      <c r="G4654" s="5" t="str">
        <f>HYPERLINK("http://jsmh.umin.jp/journal/50-1/70-71.pdf")</f>
        <v>http://jsmh.umin.jp/journal/50-1/70-71.pdf</v>
      </c>
      <c r="H4654" s="43"/>
    </row>
    <row r="4655" spans="1:8" ht="30" customHeight="1" x14ac:dyDescent="0.15">
      <c r="A4655" s="16" t="s">
        <v>1855</v>
      </c>
      <c r="B4655" s="17" t="s">
        <v>7924</v>
      </c>
      <c r="C4655" s="17" t="s">
        <v>10351</v>
      </c>
      <c r="D4655" s="25" t="s">
        <v>7880</v>
      </c>
      <c r="E4655" s="19" t="s">
        <v>7881</v>
      </c>
      <c r="F4655" s="19" t="s">
        <v>831</v>
      </c>
      <c r="G4655" s="5" t="str">
        <f>HYPERLINK("http://jsmh.umin.jp/journal/50-1/72-73.pdf")</f>
        <v>http://jsmh.umin.jp/journal/50-1/72-73.pdf</v>
      </c>
      <c r="H4655" s="43"/>
    </row>
    <row r="4656" spans="1:8" ht="30" customHeight="1" x14ac:dyDescent="0.15">
      <c r="A4656" s="16" t="s">
        <v>1855</v>
      </c>
      <c r="B4656" s="17" t="s">
        <v>7925</v>
      </c>
      <c r="C4656" s="17" t="s">
        <v>7366</v>
      </c>
      <c r="D4656" s="25" t="s">
        <v>7880</v>
      </c>
      <c r="E4656" s="19" t="s">
        <v>7881</v>
      </c>
      <c r="F4656" s="19" t="s">
        <v>2366</v>
      </c>
      <c r="G4656" s="5" t="str">
        <f>HYPERLINK("http://jsmh.umin.jp/journal/50-1/74-75.pdf")</f>
        <v>http://jsmh.umin.jp/journal/50-1/74-75.pdf</v>
      </c>
      <c r="H4656" s="43"/>
    </row>
    <row r="4657" spans="1:8" ht="30" customHeight="1" x14ac:dyDescent="0.15">
      <c r="A4657" s="16" t="s">
        <v>1855</v>
      </c>
      <c r="B4657" s="17" t="s">
        <v>7926</v>
      </c>
      <c r="C4657" s="17" t="s">
        <v>7420</v>
      </c>
      <c r="D4657" s="25" t="s">
        <v>7880</v>
      </c>
      <c r="E4657" s="19" t="s">
        <v>7881</v>
      </c>
      <c r="F4657" s="19" t="s">
        <v>602</v>
      </c>
      <c r="G4657" s="5" t="str">
        <f>HYPERLINK("http://jsmh.umin.jp/journal/50-1/76-77.pdf")</f>
        <v>http://jsmh.umin.jp/journal/50-1/76-77.pdf</v>
      </c>
      <c r="H4657" s="43"/>
    </row>
    <row r="4658" spans="1:8" ht="30" customHeight="1" x14ac:dyDescent="0.15">
      <c r="A4658" s="16" t="s">
        <v>1855</v>
      </c>
      <c r="B4658" s="17" t="s">
        <v>10352</v>
      </c>
      <c r="C4658" s="17" t="s">
        <v>7176</v>
      </c>
      <c r="D4658" s="25" t="s">
        <v>7880</v>
      </c>
      <c r="E4658" s="19" t="s">
        <v>7881</v>
      </c>
      <c r="F4658" s="19" t="s">
        <v>842</v>
      </c>
      <c r="G4658" s="5" t="str">
        <f>HYPERLINK("http://jsmh.umin.jp/journal/50-1/78-79.pdf")</f>
        <v>http://jsmh.umin.jp/journal/50-1/78-79.pdf</v>
      </c>
      <c r="H4658" s="43"/>
    </row>
    <row r="4659" spans="1:8" ht="30" customHeight="1" x14ac:dyDescent="0.15">
      <c r="A4659" s="16" t="s">
        <v>1855</v>
      </c>
      <c r="B4659" s="17" t="s">
        <v>7927</v>
      </c>
      <c r="C4659" s="17" t="s">
        <v>7136</v>
      </c>
      <c r="D4659" s="25" t="s">
        <v>7880</v>
      </c>
      <c r="E4659" s="19" t="s">
        <v>7881</v>
      </c>
      <c r="F4659" s="19" t="s">
        <v>846</v>
      </c>
      <c r="G4659" s="5" t="str">
        <f>HYPERLINK("http://jsmh.umin.jp/journal/50-1/80-81.pdf")</f>
        <v>http://jsmh.umin.jp/journal/50-1/80-81.pdf</v>
      </c>
      <c r="H4659" s="43"/>
    </row>
    <row r="4660" spans="1:8" ht="30" customHeight="1" x14ac:dyDescent="0.15">
      <c r="A4660" s="16" t="s">
        <v>1855</v>
      </c>
      <c r="B4660" s="17" t="s">
        <v>7928</v>
      </c>
      <c r="C4660" s="17" t="s">
        <v>7180</v>
      </c>
      <c r="D4660" s="25" t="s">
        <v>7880</v>
      </c>
      <c r="E4660" s="19" t="s">
        <v>7881</v>
      </c>
      <c r="F4660" s="19" t="s">
        <v>449</v>
      </c>
      <c r="G4660" s="5" t="str">
        <f>HYPERLINK("http://jsmh.umin.jp/journal/50-1/82-83.pdf")</f>
        <v>http://jsmh.umin.jp/journal/50-1/82-83.pdf</v>
      </c>
      <c r="H4660" s="43"/>
    </row>
    <row r="4661" spans="1:8" ht="30" customHeight="1" x14ac:dyDescent="0.15">
      <c r="A4661" s="16" t="s">
        <v>1855</v>
      </c>
      <c r="B4661" s="17" t="s">
        <v>7929</v>
      </c>
      <c r="C4661" s="17" t="s">
        <v>7930</v>
      </c>
      <c r="D4661" s="25" t="s">
        <v>7880</v>
      </c>
      <c r="E4661" s="19" t="s">
        <v>7881</v>
      </c>
      <c r="F4661" s="19" t="s">
        <v>454</v>
      </c>
      <c r="G4661" s="5" t="str">
        <f>HYPERLINK("http://jsmh.umin.jp/journal/50-1/84-85.pdf")</f>
        <v>http://jsmh.umin.jp/journal/50-1/84-85.pdf</v>
      </c>
      <c r="H4661" s="43"/>
    </row>
    <row r="4662" spans="1:8" ht="30" customHeight="1" x14ac:dyDescent="0.15">
      <c r="A4662" s="16" t="s">
        <v>1855</v>
      </c>
      <c r="B4662" s="17" t="s">
        <v>7931</v>
      </c>
      <c r="C4662" s="17" t="s">
        <v>7932</v>
      </c>
      <c r="D4662" s="25" t="s">
        <v>7880</v>
      </c>
      <c r="E4662" s="19" t="s">
        <v>7881</v>
      </c>
      <c r="F4662" s="19" t="s">
        <v>460</v>
      </c>
      <c r="G4662" s="5" t="str">
        <f>HYPERLINK("http://jsmh.umin.jp/journal/50-1/86-87.pdf")</f>
        <v>http://jsmh.umin.jp/journal/50-1/86-87.pdf</v>
      </c>
      <c r="H4662" s="43"/>
    </row>
    <row r="4663" spans="1:8" ht="30" customHeight="1" x14ac:dyDescent="0.15">
      <c r="A4663" s="16" t="s">
        <v>1855</v>
      </c>
      <c r="B4663" s="17" t="s">
        <v>7933</v>
      </c>
      <c r="C4663" s="17" t="s">
        <v>905</v>
      </c>
      <c r="D4663" s="25" t="s">
        <v>7880</v>
      </c>
      <c r="E4663" s="19" t="s">
        <v>7881</v>
      </c>
      <c r="F4663" s="19" t="s">
        <v>861</v>
      </c>
      <c r="G4663" s="5" t="str">
        <f>HYPERLINK("http://jsmh.umin.jp/journal/50-1/88-89.pdf")</f>
        <v>http://jsmh.umin.jp/journal/50-1/88-89.pdf</v>
      </c>
      <c r="H4663" s="43"/>
    </row>
    <row r="4664" spans="1:8" ht="30" customHeight="1" x14ac:dyDescent="0.15">
      <c r="A4664" s="16" t="s">
        <v>1855</v>
      </c>
      <c r="B4664" s="17" t="s">
        <v>7934</v>
      </c>
      <c r="C4664" s="17" t="s">
        <v>1972</v>
      </c>
      <c r="D4664" s="25" t="s">
        <v>7880</v>
      </c>
      <c r="E4664" s="19" t="s">
        <v>7881</v>
      </c>
      <c r="F4664" s="19" t="s">
        <v>471</v>
      </c>
      <c r="G4664" s="5" t="str">
        <f>HYPERLINK("http://jsmh.umin.jp/journal/50-1/90-91.pdf")</f>
        <v>http://jsmh.umin.jp/journal/50-1/90-91.pdf</v>
      </c>
      <c r="H4664" s="43"/>
    </row>
    <row r="4665" spans="1:8" ht="30" customHeight="1" x14ac:dyDescent="0.15">
      <c r="A4665" s="16" t="s">
        <v>1855</v>
      </c>
      <c r="B4665" s="17" t="s">
        <v>7935</v>
      </c>
      <c r="C4665" s="17" t="s">
        <v>6676</v>
      </c>
      <c r="D4665" s="25" t="s">
        <v>7880</v>
      </c>
      <c r="E4665" s="19" t="s">
        <v>7881</v>
      </c>
      <c r="F4665" s="19" t="s">
        <v>2188</v>
      </c>
      <c r="G4665" s="5" t="str">
        <f>HYPERLINK("http://jsmh.umin.jp/journal/50-1/92-93.pdf")</f>
        <v>http://jsmh.umin.jp/journal/50-1/92-93.pdf</v>
      </c>
      <c r="H4665" s="43"/>
    </row>
    <row r="4666" spans="1:8" ht="30" customHeight="1" x14ac:dyDescent="0.15">
      <c r="A4666" s="16" t="s">
        <v>1855</v>
      </c>
      <c r="B4666" s="17" t="s">
        <v>7936</v>
      </c>
      <c r="C4666" s="17" t="s">
        <v>7848</v>
      </c>
      <c r="D4666" s="25" t="s">
        <v>7880</v>
      </c>
      <c r="E4666" s="19" t="s">
        <v>7881</v>
      </c>
      <c r="F4666" s="19" t="s">
        <v>5011</v>
      </c>
      <c r="G4666" s="5" t="str">
        <f>HYPERLINK("http://jsmh.umin.jp/journal/50-1/94-95.pdf")</f>
        <v>http://jsmh.umin.jp/journal/50-1/94-95.pdf</v>
      </c>
      <c r="H4666" s="43"/>
    </row>
    <row r="4667" spans="1:8" ht="30" customHeight="1" x14ac:dyDescent="0.15">
      <c r="A4667" s="16" t="s">
        <v>1855</v>
      </c>
      <c r="B4667" s="17" t="s">
        <v>7937</v>
      </c>
      <c r="C4667" s="17" t="s">
        <v>2386</v>
      </c>
      <c r="D4667" s="25" t="s">
        <v>7880</v>
      </c>
      <c r="E4667" s="19" t="s">
        <v>7881</v>
      </c>
      <c r="F4667" s="19" t="s">
        <v>4578</v>
      </c>
      <c r="G4667" s="5" t="str">
        <f>HYPERLINK("http://jsmh.umin.jp/journal/50-1/96-97.pdf")</f>
        <v>http://jsmh.umin.jp/journal/50-1/96-97.pdf</v>
      </c>
      <c r="H4667" s="43"/>
    </row>
    <row r="4668" spans="1:8" ht="30" customHeight="1" x14ac:dyDescent="0.15">
      <c r="A4668" s="16" t="s">
        <v>1855</v>
      </c>
      <c r="B4668" s="17" t="s">
        <v>7938</v>
      </c>
      <c r="C4668" s="17" t="s">
        <v>6903</v>
      </c>
      <c r="D4668" s="25" t="s">
        <v>7880</v>
      </c>
      <c r="E4668" s="19" t="s">
        <v>7881</v>
      </c>
      <c r="F4668" s="19" t="s">
        <v>3779</v>
      </c>
      <c r="G4668" s="5" t="str">
        <f>HYPERLINK("http://jsmh.umin.jp/journal/50-1/98-99.pdf")</f>
        <v>http://jsmh.umin.jp/journal/50-1/98-99.pdf</v>
      </c>
      <c r="H4668" s="43"/>
    </row>
    <row r="4669" spans="1:8" ht="30" customHeight="1" x14ac:dyDescent="0.15">
      <c r="A4669" s="16" t="s">
        <v>1855</v>
      </c>
      <c r="B4669" s="17" t="s">
        <v>7939</v>
      </c>
      <c r="C4669" s="17" t="s">
        <v>7940</v>
      </c>
      <c r="D4669" s="25" t="s">
        <v>7880</v>
      </c>
      <c r="E4669" s="19" t="s">
        <v>7881</v>
      </c>
      <c r="F4669" s="19" t="s">
        <v>778</v>
      </c>
      <c r="G4669" s="5" t="str">
        <f>HYPERLINK("http://jsmh.umin.jp/journal/50-1/100-101.pdf")</f>
        <v>http://jsmh.umin.jp/journal/50-1/100-101.pdf</v>
      </c>
      <c r="H4669" s="43"/>
    </row>
    <row r="4670" spans="1:8" ht="30" customHeight="1" x14ac:dyDescent="0.15">
      <c r="A4670" s="16" t="s">
        <v>1855</v>
      </c>
      <c r="B4670" s="17" t="s">
        <v>7941</v>
      </c>
      <c r="C4670" s="17" t="s">
        <v>7942</v>
      </c>
      <c r="D4670" s="25" t="s">
        <v>7880</v>
      </c>
      <c r="E4670" s="19" t="s">
        <v>7881</v>
      </c>
      <c r="F4670" s="19" t="s">
        <v>779</v>
      </c>
      <c r="G4670" s="5" t="str">
        <f>HYPERLINK("http://jsmh.umin.jp/journal/50-1/102-103.pdf")</f>
        <v>http://jsmh.umin.jp/journal/50-1/102-103.pdf</v>
      </c>
      <c r="H4670" s="43"/>
    </row>
    <row r="4671" spans="1:8" ht="30" customHeight="1" x14ac:dyDescent="0.15">
      <c r="A4671" s="16" t="s">
        <v>1855</v>
      </c>
      <c r="B4671" s="17" t="s">
        <v>7943</v>
      </c>
      <c r="C4671" s="17" t="s">
        <v>7944</v>
      </c>
      <c r="D4671" s="25" t="s">
        <v>7880</v>
      </c>
      <c r="E4671" s="19" t="s">
        <v>7881</v>
      </c>
      <c r="F4671" s="19" t="s">
        <v>186</v>
      </c>
      <c r="G4671" s="5" t="str">
        <f>HYPERLINK("http://jsmh.umin.jp/journal/50-1/104-105.pdf")</f>
        <v>http://jsmh.umin.jp/journal/50-1/104-105.pdf</v>
      </c>
      <c r="H4671" s="43"/>
    </row>
    <row r="4672" spans="1:8" ht="30" customHeight="1" x14ac:dyDescent="0.15">
      <c r="A4672" s="16" t="s">
        <v>1855</v>
      </c>
      <c r="B4672" s="17" t="s">
        <v>7945</v>
      </c>
      <c r="C4672" s="17" t="s">
        <v>3312</v>
      </c>
      <c r="D4672" s="25" t="s">
        <v>7880</v>
      </c>
      <c r="E4672" s="19" t="s">
        <v>7881</v>
      </c>
      <c r="F4672" s="19" t="s">
        <v>189</v>
      </c>
      <c r="G4672" s="5" t="str">
        <f>HYPERLINK("http://jsmh.umin.jp/journal/50-1/106-107.pdf")</f>
        <v>http://jsmh.umin.jp/journal/50-1/106-107.pdf</v>
      </c>
      <c r="H4672" s="43"/>
    </row>
    <row r="4673" spans="1:8" ht="30" customHeight="1" x14ac:dyDescent="0.15">
      <c r="A4673" s="16" t="s">
        <v>1855</v>
      </c>
      <c r="B4673" s="17" t="s">
        <v>7946</v>
      </c>
      <c r="C4673" s="17" t="s">
        <v>6189</v>
      </c>
      <c r="D4673" s="25" t="s">
        <v>7880</v>
      </c>
      <c r="E4673" s="19" t="s">
        <v>7881</v>
      </c>
      <c r="F4673" s="19" t="s">
        <v>7064</v>
      </c>
      <c r="G4673" s="5" t="str">
        <f>HYPERLINK("http://jsmh.umin.jp/journal/50-1/108-109.pdf")</f>
        <v>http://jsmh.umin.jp/journal/50-1/108-109.pdf</v>
      </c>
      <c r="H4673" s="43"/>
    </row>
    <row r="4674" spans="1:8" ht="30" customHeight="1" x14ac:dyDescent="0.15">
      <c r="A4674" s="16" t="s">
        <v>1855</v>
      </c>
      <c r="B4674" s="17" t="s">
        <v>7947</v>
      </c>
      <c r="C4674" s="17" t="s">
        <v>6705</v>
      </c>
      <c r="D4674" s="25" t="s">
        <v>7880</v>
      </c>
      <c r="E4674" s="19" t="s">
        <v>7881</v>
      </c>
      <c r="F4674" s="19" t="s">
        <v>2389</v>
      </c>
      <c r="G4674" s="5" t="str">
        <f>HYPERLINK("http://jsmh.umin.jp/journal/50-1/110-111.pdf")</f>
        <v>http://jsmh.umin.jp/journal/50-1/110-111.pdf</v>
      </c>
      <c r="H4674" s="43"/>
    </row>
    <row r="4675" spans="1:8" ht="30" customHeight="1" x14ac:dyDescent="0.15">
      <c r="A4675" s="16" t="s">
        <v>1855</v>
      </c>
      <c r="B4675" s="17" t="s">
        <v>7948</v>
      </c>
      <c r="C4675" s="17" t="s">
        <v>7949</v>
      </c>
      <c r="D4675" s="25" t="s">
        <v>7880</v>
      </c>
      <c r="E4675" s="19" t="s">
        <v>7881</v>
      </c>
      <c r="F4675" s="19" t="s">
        <v>4349</v>
      </c>
      <c r="G4675" s="5" t="str">
        <f>HYPERLINK("http://jsmh.umin.jp/journal/50-1/112-113.pdf")</f>
        <v>http://jsmh.umin.jp/journal/50-1/112-113.pdf</v>
      </c>
      <c r="H4675" s="43"/>
    </row>
    <row r="4676" spans="1:8" ht="30" customHeight="1" x14ac:dyDescent="0.15">
      <c r="A4676" s="16" t="s">
        <v>1855</v>
      </c>
      <c r="B4676" s="17" t="s">
        <v>7950</v>
      </c>
      <c r="C4676" s="17" t="s">
        <v>7527</v>
      </c>
      <c r="D4676" s="25" t="s">
        <v>7880</v>
      </c>
      <c r="E4676" s="19" t="s">
        <v>7881</v>
      </c>
      <c r="F4676" s="19" t="s">
        <v>2396</v>
      </c>
      <c r="G4676" s="5" t="str">
        <f>HYPERLINK("http://jsmh.umin.jp/journal/50-1/114-115.pdf")</f>
        <v>http://jsmh.umin.jp/journal/50-1/114-115.pdf</v>
      </c>
      <c r="H4676" s="43"/>
    </row>
    <row r="4677" spans="1:8" ht="30" customHeight="1" x14ac:dyDescent="0.15">
      <c r="A4677" s="16" t="s">
        <v>1855</v>
      </c>
      <c r="B4677" s="17" t="s">
        <v>7951</v>
      </c>
      <c r="C4677" s="17" t="s">
        <v>5588</v>
      </c>
      <c r="D4677" s="25" t="s">
        <v>7880</v>
      </c>
      <c r="E4677" s="19" t="s">
        <v>7881</v>
      </c>
      <c r="F4677" s="19" t="s">
        <v>2400</v>
      </c>
      <c r="G4677" s="5" t="str">
        <f>HYPERLINK("http://jsmh.umin.jp/journal/50-1/116-117.pdf")</f>
        <v>http://jsmh.umin.jp/journal/50-1/116-117.pdf</v>
      </c>
      <c r="H4677" s="43"/>
    </row>
    <row r="4678" spans="1:8" ht="30" customHeight="1" x14ac:dyDescent="0.15">
      <c r="A4678" s="16" t="s">
        <v>1855</v>
      </c>
      <c r="B4678" s="17" t="s">
        <v>7952</v>
      </c>
      <c r="C4678" s="17" t="s">
        <v>925</v>
      </c>
      <c r="D4678" s="25" t="s">
        <v>7880</v>
      </c>
      <c r="E4678" s="19" t="s">
        <v>7881</v>
      </c>
      <c r="F4678" s="19" t="s">
        <v>964</v>
      </c>
      <c r="G4678" s="5" t="str">
        <f>HYPERLINK("http://jsmh.umin.jp/journal/50-1/118-119.pdf")</f>
        <v>http://jsmh.umin.jp/journal/50-1/118-119.pdf</v>
      </c>
      <c r="H4678" s="43"/>
    </row>
    <row r="4679" spans="1:8" ht="30" customHeight="1" x14ac:dyDescent="0.15">
      <c r="A4679" s="16" t="s">
        <v>1855</v>
      </c>
      <c r="B4679" s="17" t="s">
        <v>7953</v>
      </c>
      <c r="C4679" s="17" t="s">
        <v>10280</v>
      </c>
      <c r="D4679" s="25" t="s">
        <v>7880</v>
      </c>
      <c r="E4679" s="19" t="s">
        <v>7881</v>
      </c>
      <c r="F4679" s="19" t="s">
        <v>2406</v>
      </c>
      <c r="G4679" s="5" t="str">
        <f>HYPERLINK("http://jsmh.umin.jp/journal/50-1/120-121.pdf")</f>
        <v>http://jsmh.umin.jp/journal/50-1/120-121.pdf</v>
      </c>
      <c r="H4679" s="43"/>
    </row>
    <row r="4680" spans="1:8" ht="30" customHeight="1" x14ac:dyDescent="0.15">
      <c r="A4680" s="16" t="s">
        <v>1855</v>
      </c>
      <c r="B4680" s="17" t="s">
        <v>7954</v>
      </c>
      <c r="C4680" s="17" t="s">
        <v>6978</v>
      </c>
      <c r="D4680" s="25" t="s">
        <v>7880</v>
      </c>
      <c r="E4680" s="19" t="s">
        <v>7881</v>
      </c>
      <c r="F4680" s="19" t="s">
        <v>4598</v>
      </c>
      <c r="G4680" s="5" t="str">
        <f>HYPERLINK("http://jsmh.umin.jp/journal/50-1/122-123.pdf")</f>
        <v>http://jsmh.umin.jp/journal/50-1/122-123.pdf</v>
      </c>
      <c r="H4680" s="43"/>
    </row>
    <row r="4681" spans="1:8" ht="30" customHeight="1" x14ac:dyDescent="0.15">
      <c r="A4681" s="16" t="s">
        <v>1855</v>
      </c>
      <c r="B4681" s="17" t="s">
        <v>10637</v>
      </c>
      <c r="C4681" s="17" t="s">
        <v>5606</v>
      </c>
      <c r="D4681" s="25" t="s">
        <v>7880</v>
      </c>
      <c r="E4681" s="19" t="s">
        <v>7881</v>
      </c>
      <c r="F4681" s="19" t="s">
        <v>7745</v>
      </c>
      <c r="G4681" s="5" t="str">
        <f>HYPERLINK("http://jsmh.umin.jp/journal/50-1/124-125.pdf")</f>
        <v>http://jsmh.umin.jp/journal/50-1/124-125.pdf</v>
      </c>
      <c r="H4681" s="43"/>
    </row>
    <row r="4682" spans="1:8" ht="30" customHeight="1" x14ac:dyDescent="0.15">
      <c r="A4682" s="16" t="s">
        <v>1855</v>
      </c>
      <c r="B4682" s="17" t="s">
        <v>7955</v>
      </c>
      <c r="C4682" s="17" t="s">
        <v>790</v>
      </c>
      <c r="D4682" s="25" t="s">
        <v>7880</v>
      </c>
      <c r="E4682" s="19" t="s">
        <v>7881</v>
      </c>
      <c r="F4682" s="19" t="s">
        <v>2414</v>
      </c>
      <c r="G4682" s="5" t="str">
        <f>HYPERLINK("http://jsmh.umin.jp/journal/50-1/126-127.pdf")</f>
        <v>http://jsmh.umin.jp/journal/50-1/126-127.pdf</v>
      </c>
      <c r="H4682" s="43"/>
    </row>
    <row r="4683" spans="1:8" ht="30" customHeight="1" x14ac:dyDescent="0.15">
      <c r="A4683" s="16" t="s">
        <v>1855</v>
      </c>
      <c r="B4683" s="17" t="s">
        <v>7956</v>
      </c>
      <c r="C4683" s="17" t="s">
        <v>7736</v>
      </c>
      <c r="D4683" s="25" t="s">
        <v>7880</v>
      </c>
      <c r="E4683" s="19" t="s">
        <v>7881</v>
      </c>
      <c r="F4683" s="19" t="s">
        <v>1498</v>
      </c>
      <c r="G4683" s="5" t="str">
        <f>HYPERLINK("http://jsmh.umin.jp/journal/50-1/128-129.pdf")</f>
        <v>http://jsmh.umin.jp/journal/50-1/128-129.pdf</v>
      </c>
      <c r="H4683" s="43"/>
    </row>
    <row r="4684" spans="1:8" ht="30" customHeight="1" x14ac:dyDescent="0.15">
      <c r="A4684" s="16" t="s">
        <v>1855</v>
      </c>
      <c r="B4684" s="17" t="s">
        <v>10638</v>
      </c>
      <c r="C4684" s="17" t="s">
        <v>7957</v>
      </c>
      <c r="D4684" s="25" t="s">
        <v>7880</v>
      </c>
      <c r="E4684" s="19" t="s">
        <v>7881</v>
      </c>
      <c r="F4684" s="19" t="s">
        <v>2213</v>
      </c>
      <c r="G4684" s="5" t="str">
        <f>HYPERLINK("http://jsmh.umin.jp/journal/50-1/130-131.pdf")</f>
        <v>http://jsmh.umin.jp/journal/50-1/130-131.pdf</v>
      </c>
      <c r="H4684" s="43"/>
    </row>
    <row r="4685" spans="1:8" ht="30" customHeight="1" x14ac:dyDescent="0.15">
      <c r="A4685" s="16" t="s">
        <v>1855</v>
      </c>
      <c r="B4685" s="17" t="s">
        <v>7958</v>
      </c>
      <c r="C4685" s="17" t="s">
        <v>7959</v>
      </c>
      <c r="D4685" s="25" t="s">
        <v>7880</v>
      </c>
      <c r="E4685" s="19" t="s">
        <v>7881</v>
      </c>
      <c r="F4685" s="19" t="s">
        <v>2217</v>
      </c>
      <c r="G4685" s="5" t="str">
        <f>HYPERLINK("http://jsmh.umin.jp/journal/50-1/132-133.pdf")</f>
        <v>http://jsmh.umin.jp/journal/50-1/132-133.pdf</v>
      </c>
      <c r="H4685" s="43"/>
    </row>
    <row r="4686" spans="1:8" ht="30" customHeight="1" x14ac:dyDescent="0.15">
      <c r="A4686" s="16" t="s">
        <v>1855</v>
      </c>
      <c r="B4686" s="17" t="s">
        <v>7960</v>
      </c>
      <c r="C4686" s="17" t="s">
        <v>7961</v>
      </c>
      <c r="D4686" s="25" t="s">
        <v>7880</v>
      </c>
      <c r="E4686" s="19" t="s">
        <v>7881</v>
      </c>
      <c r="F4686" s="19" t="s">
        <v>2425</v>
      </c>
      <c r="G4686" s="5" t="str">
        <f>HYPERLINK("http://jsmh.umin.jp/journal/50-1/134-135.pdf")</f>
        <v>http://jsmh.umin.jp/journal/50-1/134-135.pdf</v>
      </c>
      <c r="H4686" s="43"/>
    </row>
    <row r="4687" spans="1:8" ht="30" customHeight="1" x14ac:dyDescent="0.15">
      <c r="A4687" s="16" t="s">
        <v>1855</v>
      </c>
      <c r="B4687" s="17" t="s">
        <v>7962</v>
      </c>
      <c r="C4687" s="17" t="s">
        <v>10353</v>
      </c>
      <c r="D4687" s="25" t="s">
        <v>7880</v>
      </c>
      <c r="E4687" s="19" t="s">
        <v>7881</v>
      </c>
      <c r="F4687" s="19" t="s">
        <v>2225</v>
      </c>
      <c r="G4687" s="5" t="str">
        <f>HYPERLINK("http://jsmh.umin.jp/journal/50-1/136-137.pdf")</f>
        <v>http://jsmh.umin.jp/journal/50-1/136-137.pdf</v>
      </c>
      <c r="H4687" s="43"/>
    </row>
    <row r="4688" spans="1:8" ht="30" customHeight="1" x14ac:dyDescent="0.15">
      <c r="A4688" s="16" t="s">
        <v>1855</v>
      </c>
      <c r="B4688" s="17" t="s">
        <v>7963</v>
      </c>
      <c r="C4688" s="17" t="s">
        <v>10354</v>
      </c>
      <c r="D4688" s="25" t="s">
        <v>7880</v>
      </c>
      <c r="E4688" s="19" t="s">
        <v>7881</v>
      </c>
      <c r="F4688" s="19" t="s">
        <v>2228</v>
      </c>
      <c r="G4688" s="5" t="str">
        <f>HYPERLINK("http://jsmh.umin.jp/journal/50-1/138-139.pdf")</f>
        <v>http://jsmh.umin.jp/journal/50-1/138-139.pdf</v>
      </c>
      <c r="H4688" s="43"/>
    </row>
    <row r="4689" spans="1:8" ht="30" customHeight="1" x14ac:dyDescent="0.15">
      <c r="A4689" s="16" t="s">
        <v>1855</v>
      </c>
      <c r="B4689" s="17" t="s">
        <v>7964</v>
      </c>
      <c r="C4689" s="17" t="s">
        <v>7965</v>
      </c>
      <c r="D4689" s="25" t="s">
        <v>7880</v>
      </c>
      <c r="E4689" s="19" t="s">
        <v>7881</v>
      </c>
      <c r="F4689" s="19" t="s">
        <v>2231</v>
      </c>
      <c r="G4689" s="5" t="str">
        <f>HYPERLINK("http://jsmh.umin.jp/journal/50-1/140-141.pdf")</f>
        <v>http://jsmh.umin.jp/journal/50-1/140-141.pdf</v>
      </c>
      <c r="H4689" s="43"/>
    </row>
    <row r="4690" spans="1:8" ht="30" customHeight="1" x14ac:dyDescent="0.15">
      <c r="A4690" s="16" t="s">
        <v>1855</v>
      </c>
      <c r="B4690" s="17" t="s">
        <v>7966</v>
      </c>
      <c r="C4690" s="17" t="s">
        <v>2881</v>
      </c>
      <c r="D4690" s="25" t="s">
        <v>7880</v>
      </c>
      <c r="E4690" s="19" t="s">
        <v>7881</v>
      </c>
      <c r="F4690" s="19" t="s">
        <v>1514</v>
      </c>
      <c r="G4690" s="5" t="str">
        <f>HYPERLINK("http://jsmh.umin.jp/journal/50-1/142-143.pdf")</f>
        <v>http://jsmh.umin.jp/journal/50-1/142-143.pdf</v>
      </c>
      <c r="H4690" s="43"/>
    </row>
    <row r="4691" spans="1:8" ht="30" customHeight="1" x14ac:dyDescent="0.15">
      <c r="A4691" s="16" t="s">
        <v>1855</v>
      </c>
      <c r="B4691" s="17" t="s">
        <v>7967</v>
      </c>
      <c r="C4691" s="17" t="s">
        <v>5837</v>
      </c>
      <c r="D4691" s="25" t="s">
        <v>7880</v>
      </c>
      <c r="E4691" s="19" t="s">
        <v>7881</v>
      </c>
      <c r="F4691" s="19" t="s">
        <v>2761</v>
      </c>
      <c r="G4691" s="5" t="str">
        <f>HYPERLINK("http://jsmh.umin.jp/journal/50-1/144-145.pdf")</f>
        <v>http://jsmh.umin.jp/journal/50-1/144-145.pdf</v>
      </c>
      <c r="H4691" s="43"/>
    </row>
    <row r="4692" spans="1:8" ht="30" customHeight="1" x14ac:dyDescent="0.15">
      <c r="A4692" s="16" t="s">
        <v>1855</v>
      </c>
      <c r="B4692" s="17" t="s">
        <v>7968</v>
      </c>
      <c r="C4692" s="17" t="s">
        <v>7248</v>
      </c>
      <c r="D4692" s="25" t="s">
        <v>7880</v>
      </c>
      <c r="E4692" s="19" t="s">
        <v>7881</v>
      </c>
      <c r="F4692" s="19" t="s">
        <v>1522</v>
      </c>
      <c r="G4692" s="5" t="str">
        <f>HYPERLINK("http://jsmh.umin.jp/journal/50-1/146-147.pdf")</f>
        <v>http://jsmh.umin.jp/journal/50-1/146-147.pdf</v>
      </c>
      <c r="H4692" s="43"/>
    </row>
    <row r="4693" spans="1:8" ht="30" customHeight="1" x14ac:dyDescent="0.15">
      <c r="A4693" s="16" t="s">
        <v>1855</v>
      </c>
      <c r="B4693" s="17" t="s">
        <v>7969</v>
      </c>
      <c r="C4693" s="17" t="s">
        <v>10355</v>
      </c>
      <c r="D4693" s="25" t="s">
        <v>7880</v>
      </c>
      <c r="E4693" s="19" t="s">
        <v>7881</v>
      </c>
      <c r="F4693" s="19" t="s">
        <v>2240</v>
      </c>
      <c r="G4693" s="5" t="str">
        <f>HYPERLINK("http://jsmh.umin.jp/journal/50-1/148-149.pdf")</f>
        <v>http://jsmh.umin.jp/journal/50-1/148-149.pdf</v>
      </c>
      <c r="H4693" s="43"/>
    </row>
    <row r="4694" spans="1:8" ht="30" customHeight="1" x14ac:dyDescent="0.15">
      <c r="A4694" s="16" t="s">
        <v>1855</v>
      </c>
      <c r="B4694" s="17" t="s">
        <v>7970</v>
      </c>
      <c r="C4694" s="17" t="s">
        <v>7971</v>
      </c>
      <c r="D4694" s="25" t="s">
        <v>7880</v>
      </c>
      <c r="E4694" s="19" t="s">
        <v>7881</v>
      </c>
      <c r="F4694" s="19" t="s">
        <v>7763</v>
      </c>
      <c r="G4694" s="5" t="str">
        <f>HYPERLINK("http://jsmh.umin.jp/journal/50-1/150-151.pdf")</f>
        <v>http://jsmh.umin.jp/journal/50-1/150-151.pdf</v>
      </c>
      <c r="H4694" s="43"/>
    </row>
    <row r="4695" spans="1:8" ht="30" customHeight="1" x14ac:dyDescent="0.15">
      <c r="A4695" s="16" t="s">
        <v>1855</v>
      </c>
      <c r="B4695" s="17" t="s">
        <v>7972</v>
      </c>
      <c r="C4695" s="17" t="s">
        <v>4039</v>
      </c>
      <c r="D4695" s="25" t="s">
        <v>7880</v>
      </c>
      <c r="E4695" s="19" t="s">
        <v>7881</v>
      </c>
      <c r="F4695" s="19" t="s">
        <v>2537</v>
      </c>
      <c r="G4695" s="5" t="str">
        <f>HYPERLINK("http://jsmh.umin.jp/journal/50-1/152-153.pdf")</f>
        <v>http://jsmh.umin.jp/journal/50-1/152-153.pdf</v>
      </c>
      <c r="H4695" s="43"/>
    </row>
    <row r="4696" spans="1:8" ht="30" customHeight="1" x14ac:dyDescent="0.15">
      <c r="A4696" s="16" t="s">
        <v>1855</v>
      </c>
      <c r="B4696" s="17" t="s">
        <v>7973</v>
      </c>
      <c r="C4696" s="17" t="s">
        <v>2233</v>
      </c>
      <c r="D4696" s="25" t="s">
        <v>7880</v>
      </c>
      <c r="E4696" s="19" t="s">
        <v>7881</v>
      </c>
      <c r="F4696" s="19" t="s">
        <v>3648</v>
      </c>
      <c r="G4696" s="5" t="str">
        <f>HYPERLINK("http://jsmh.umin.jp/journal/50-1/154-155.pdf")</f>
        <v>http://jsmh.umin.jp/journal/50-1/154-155.pdf</v>
      </c>
      <c r="H4696" s="43"/>
    </row>
    <row r="4697" spans="1:8" ht="30" customHeight="1" x14ac:dyDescent="0.15">
      <c r="A4697" s="16" t="s">
        <v>1855</v>
      </c>
      <c r="B4697" s="17" t="s">
        <v>7974</v>
      </c>
      <c r="C4697" s="17" t="s">
        <v>7352</v>
      </c>
      <c r="D4697" s="25" t="s">
        <v>7880</v>
      </c>
      <c r="E4697" s="19" t="s">
        <v>7881</v>
      </c>
      <c r="F4697" s="19" t="s">
        <v>1691</v>
      </c>
      <c r="G4697" s="5" t="str">
        <f>HYPERLINK("http://jsmh.umin.jp/journal/50-1/156-157.pdf")</f>
        <v>http://jsmh.umin.jp/journal/50-1/156-157.pdf</v>
      </c>
      <c r="H4697" s="43"/>
    </row>
    <row r="4698" spans="1:8" ht="30" customHeight="1" x14ac:dyDescent="0.15">
      <c r="A4698" s="16" t="s">
        <v>1855</v>
      </c>
      <c r="B4698" s="17" t="s">
        <v>7975</v>
      </c>
      <c r="C4698" s="17" t="s">
        <v>6267</v>
      </c>
      <c r="D4698" s="25" t="s">
        <v>7880</v>
      </c>
      <c r="E4698" s="19" t="s">
        <v>7881</v>
      </c>
      <c r="F4698" s="19" t="s">
        <v>4814</v>
      </c>
      <c r="G4698" s="5" t="str">
        <f>HYPERLINK("http://jsmh.umin.jp/journal/50-1/158-159.pdf")</f>
        <v>http://jsmh.umin.jp/journal/50-1/158-159.pdf</v>
      </c>
      <c r="H4698" s="43"/>
    </row>
    <row r="4699" spans="1:8" ht="30" customHeight="1" x14ac:dyDescent="0.15">
      <c r="A4699" s="16" t="s">
        <v>1855</v>
      </c>
      <c r="B4699" s="17" t="s">
        <v>7976</v>
      </c>
      <c r="C4699" s="17" t="s">
        <v>7320</v>
      </c>
      <c r="D4699" s="25" t="s">
        <v>7880</v>
      </c>
      <c r="E4699" s="19" t="s">
        <v>7881</v>
      </c>
      <c r="F4699" s="19" t="s">
        <v>2546</v>
      </c>
      <c r="G4699" s="5" t="str">
        <f>HYPERLINK("http://jsmh.umin.jp/journal/50-1/160-161.pdf")</f>
        <v>http://jsmh.umin.jp/journal/50-1/160-161.pdf</v>
      </c>
      <c r="H4699" s="43"/>
    </row>
    <row r="4700" spans="1:8" ht="30" customHeight="1" x14ac:dyDescent="0.15">
      <c r="A4700" s="16" t="s">
        <v>1855</v>
      </c>
      <c r="B4700" s="17" t="s">
        <v>7977</v>
      </c>
      <c r="C4700" s="17" t="s">
        <v>10356</v>
      </c>
      <c r="D4700" s="25" t="s">
        <v>7880</v>
      </c>
      <c r="E4700" s="19" t="s">
        <v>7881</v>
      </c>
      <c r="F4700" s="19" t="s">
        <v>3658</v>
      </c>
      <c r="G4700" s="5" t="str">
        <f>HYPERLINK("http://jsmh.umin.jp/journal/50-1/162-163.pdf")</f>
        <v>http://jsmh.umin.jp/journal/50-1/162-163.pdf</v>
      </c>
      <c r="H4700" s="43"/>
    </row>
    <row r="4701" spans="1:8" ht="30" customHeight="1" x14ac:dyDescent="0.15">
      <c r="A4701" s="16" t="s">
        <v>1855</v>
      </c>
      <c r="B4701" s="17" t="s">
        <v>7978</v>
      </c>
      <c r="C4701" s="17" t="s">
        <v>7979</v>
      </c>
      <c r="D4701" s="25" t="s">
        <v>7880</v>
      </c>
      <c r="E4701" s="19" t="s">
        <v>7881</v>
      </c>
      <c r="F4701" s="19" t="s">
        <v>2041</v>
      </c>
      <c r="G4701" s="5" t="str">
        <f>HYPERLINK("http://jsmh.umin.jp/journal/50-1/164-165.pdf")</f>
        <v>http://jsmh.umin.jp/journal/50-1/164-165.pdf</v>
      </c>
      <c r="H4701" s="43"/>
    </row>
    <row r="4702" spans="1:8" ht="30" customHeight="1" x14ac:dyDescent="0.15">
      <c r="A4702" s="16" t="s">
        <v>1855</v>
      </c>
      <c r="B4702" s="17" t="s">
        <v>7980</v>
      </c>
      <c r="C4702" s="17" t="s">
        <v>4085</v>
      </c>
      <c r="D4702" s="25" t="s">
        <v>7880</v>
      </c>
      <c r="E4702" s="19" t="s">
        <v>7881</v>
      </c>
      <c r="F4702" s="19" t="s">
        <v>2776</v>
      </c>
      <c r="G4702" s="5" t="str">
        <f>HYPERLINK("http://jsmh.umin.jp/journal/50-1/166-167.pdf")</f>
        <v>http://jsmh.umin.jp/journal/50-1/166-167.pdf</v>
      </c>
      <c r="H4702" s="43"/>
    </row>
    <row r="4703" spans="1:8" ht="30" customHeight="1" x14ac:dyDescent="0.15">
      <c r="A4703" s="16" t="s">
        <v>1855</v>
      </c>
      <c r="B4703" s="17" t="s">
        <v>7981</v>
      </c>
      <c r="C4703" s="17" t="s">
        <v>6568</v>
      </c>
      <c r="D4703" s="25" t="s">
        <v>7880</v>
      </c>
      <c r="E4703" s="19" t="s">
        <v>7881</v>
      </c>
      <c r="F4703" s="19" t="s">
        <v>6221</v>
      </c>
      <c r="G4703" s="5" t="str">
        <f>HYPERLINK("http://jsmh.umin.jp/journal/50-1/168-169.pdf")</f>
        <v>http://jsmh.umin.jp/journal/50-1/168-169.pdf</v>
      </c>
      <c r="H4703" s="43"/>
    </row>
    <row r="4704" spans="1:8" ht="30" customHeight="1" x14ac:dyDescent="0.15">
      <c r="A4704" s="16" t="s">
        <v>1855</v>
      </c>
      <c r="B4704" s="17" t="s">
        <v>7982</v>
      </c>
      <c r="C4704" s="17" t="s">
        <v>2937</v>
      </c>
      <c r="D4704" s="25" t="s">
        <v>7880</v>
      </c>
      <c r="E4704" s="19" t="s">
        <v>7881</v>
      </c>
      <c r="F4704" s="19" t="s">
        <v>4826</v>
      </c>
      <c r="G4704" s="5" t="str">
        <f>HYPERLINK("http://jsmh.umin.jp/journal/50-1/170-171.pdf")</f>
        <v>http://jsmh.umin.jp/journal/50-1/170-171.pdf</v>
      </c>
      <c r="H4704" s="43"/>
    </row>
    <row r="4705" spans="1:8" ht="30" customHeight="1" x14ac:dyDescent="0.15">
      <c r="A4705" s="16" t="s">
        <v>17</v>
      </c>
      <c r="B4705" s="17" t="s">
        <v>7983</v>
      </c>
      <c r="C4705" s="17" t="s">
        <v>7984</v>
      </c>
      <c r="D4705" s="25" t="s">
        <v>7880</v>
      </c>
      <c r="E4705" s="19" t="s">
        <v>7881</v>
      </c>
      <c r="F4705" s="19" t="s">
        <v>7985</v>
      </c>
      <c r="G4705" s="4" t="str">
        <f>HYPERLINK("http://jsmh.umin.jp/journal/50-1/183-177.pdf")</f>
        <v>http://jsmh.umin.jp/journal/50-1/183-177.pdf</v>
      </c>
      <c r="H4705" s="43"/>
    </row>
    <row r="4706" spans="1:8" ht="30" customHeight="1" x14ac:dyDescent="0.15">
      <c r="A4706" s="16" t="s">
        <v>17</v>
      </c>
      <c r="B4706" s="17" t="s">
        <v>7986</v>
      </c>
      <c r="C4706" s="17" t="s">
        <v>6920</v>
      </c>
      <c r="D4706" s="25" t="s">
        <v>7880</v>
      </c>
      <c r="E4706" s="19" t="s">
        <v>7987</v>
      </c>
      <c r="F4706" s="19" t="s">
        <v>7988</v>
      </c>
      <c r="G4706" s="4" t="str">
        <f>HYPERLINK("http://jsmh.umin.jp/journal/50-2/187-222.pdf")</f>
        <v>http://jsmh.umin.jp/journal/50-2/187-222.pdf</v>
      </c>
      <c r="H4706" s="43"/>
    </row>
    <row r="4707" spans="1:8" ht="30" customHeight="1" x14ac:dyDescent="0.15">
      <c r="A4707" s="16" t="s">
        <v>17</v>
      </c>
      <c r="B4707" s="17" t="s">
        <v>7989</v>
      </c>
      <c r="C4707" s="17" t="s">
        <v>7990</v>
      </c>
      <c r="D4707" s="25" t="s">
        <v>7880</v>
      </c>
      <c r="E4707" s="19" t="s">
        <v>7987</v>
      </c>
      <c r="F4707" s="19" t="s">
        <v>7991</v>
      </c>
      <c r="G4707" s="4" t="str">
        <f>HYPERLINK("http://jsmh.umin.jp/journal/50-2/223-242.pdf")</f>
        <v>http://jsmh.umin.jp/journal/50-2/223-242.pdf</v>
      </c>
      <c r="H4707" s="43"/>
    </row>
    <row r="4708" spans="1:8" ht="30" customHeight="1" x14ac:dyDescent="0.15">
      <c r="A4708" s="16" t="s">
        <v>17</v>
      </c>
      <c r="B4708" s="17" t="s">
        <v>7992</v>
      </c>
      <c r="C4708" s="17" t="s">
        <v>7993</v>
      </c>
      <c r="D4708" s="25" t="s">
        <v>7880</v>
      </c>
      <c r="E4708" s="19" t="s">
        <v>7987</v>
      </c>
      <c r="F4708" s="19" t="s">
        <v>7994</v>
      </c>
      <c r="G4708" s="5" t="str">
        <f>HYPERLINK("http://jsmh.umin.jp/journal/50-2/243-274.pdf")</f>
        <v>http://jsmh.umin.jp/journal/50-2/243-274.pdf</v>
      </c>
      <c r="H4708" s="43"/>
    </row>
    <row r="4709" spans="1:8" ht="30" customHeight="1" x14ac:dyDescent="0.15">
      <c r="A4709" s="16" t="s">
        <v>3387</v>
      </c>
      <c r="B4709" s="17" t="s">
        <v>7995</v>
      </c>
      <c r="C4709" s="17" t="s">
        <v>7848</v>
      </c>
      <c r="D4709" s="25" t="s">
        <v>7880</v>
      </c>
      <c r="E4709" s="19" t="s">
        <v>7987</v>
      </c>
      <c r="F4709" s="19" t="s">
        <v>7996</v>
      </c>
      <c r="G4709" s="5" t="str">
        <f>HYPERLINK("http://jsmh.umin.jp/journal/50-2/275-289.pdf")</f>
        <v>http://jsmh.umin.jp/journal/50-2/275-289.pdf</v>
      </c>
      <c r="H4709" s="43"/>
    </row>
    <row r="4710" spans="1:8" ht="30" customHeight="1" x14ac:dyDescent="0.15">
      <c r="A4710" s="16" t="s">
        <v>558</v>
      </c>
      <c r="B4710" s="17" t="s">
        <v>10633</v>
      </c>
      <c r="C4710" s="17" t="s">
        <v>6370</v>
      </c>
      <c r="D4710" s="25" t="s">
        <v>7880</v>
      </c>
      <c r="E4710" s="19" t="s">
        <v>7987</v>
      </c>
      <c r="F4710" s="19" t="s">
        <v>1054</v>
      </c>
      <c r="G4710" s="5" t="str">
        <f>HYPERLINK("http://jsmh.umin.jp/journal/50-2/290.pdf")</f>
        <v>http://jsmh.umin.jp/journal/50-2/290.pdf</v>
      </c>
      <c r="H4710" s="43"/>
    </row>
    <row r="4711" spans="1:8" ht="30" customHeight="1" x14ac:dyDescent="0.15">
      <c r="A4711" s="16" t="s">
        <v>692</v>
      </c>
      <c r="B4711" s="17" t="s">
        <v>7997</v>
      </c>
      <c r="C4711" s="17" t="s">
        <v>7998</v>
      </c>
      <c r="D4711" s="25" t="s">
        <v>7880</v>
      </c>
      <c r="E4711" s="19" t="s">
        <v>7987</v>
      </c>
      <c r="F4711" s="19" t="s">
        <v>4229</v>
      </c>
      <c r="G4711" s="5" t="str">
        <f>HYPERLINK("http://jsmh.umin.jp/journal/50-2/291-302.pdf")</f>
        <v>http://jsmh.umin.jp/journal/50-2/291-302.pdf</v>
      </c>
      <c r="H4711" s="43"/>
    </row>
    <row r="4712" spans="1:8" ht="30" customHeight="1" x14ac:dyDescent="0.15">
      <c r="A4712" s="16" t="s">
        <v>692</v>
      </c>
      <c r="B4712" s="17" t="s">
        <v>7999</v>
      </c>
      <c r="C4712" s="17" t="s">
        <v>2465</v>
      </c>
      <c r="D4712" s="25" t="s">
        <v>7880</v>
      </c>
      <c r="E4712" s="19" t="s">
        <v>7987</v>
      </c>
      <c r="F4712" s="19" t="s">
        <v>8000</v>
      </c>
      <c r="G4712" s="5" t="str">
        <f>HYPERLINK("http://jsmh.umin.jp/journal/50-2/303-309.pdf")</f>
        <v>http://jsmh.umin.jp/journal/50-2/303-309.pdf</v>
      </c>
      <c r="H4712" s="43"/>
    </row>
    <row r="4713" spans="1:8" ht="30" customHeight="1" x14ac:dyDescent="0.15">
      <c r="A4713" s="16" t="s">
        <v>558</v>
      </c>
      <c r="B4713" s="17" t="s">
        <v>8001</v>
      </c>
      <c r="C4713" s="17"/>
      <c r="D4713" s="25" t="s">
        <v>7880</v>
      </c>
      <c r="E4713" s="19" t="s">
        <v>7987</v>
      </c>
      <c r="F4713" s="19" t="s">
        <v>6071</v>
      </c>
      <c r="G4713" s="5" t="str">
        <f>HYPERLINK("http://jsmh.umin.jp/journal/50-2/310-311.pdf")</f>
        <v>http://jsmh.umin.jp/journal/50-2/310-311.pdf</v>
      </c>
      <c r="H4713" s="43"/>
    </row>
    <row r="4714" spans="1:8" ht="30" customHeight="1" x14ac:dyDescent="0.15">
      <c r="A4714" s="16" t="s">
        <v>558</v>
      </c>
      <c r="B4714" s="17" t="s">
        <v>8002</v>
      </c>
      <c r="C4714" s="17" t="s">
        <v>4039</v>
      </c>
      <c r="D4714" s="25" t="s">
        <v>7880</v>
      </c>
      <c r="E4714" s="19" t="s">
        <v>7987</v>
      </c>
      <c r="F4714" s="19" t="s">
        <v>8003</v>
      </c>
      <c r="G4714" s="5" t="str">
        <f>HYPERLINK("http://jsmh.umin.jp/journal/50-2/310.pdf")</f>
        <v>http://jsmh.umin.jp/journal/50-2/310.pdf</v>
      </c>
      <c r="H4714" s="43"/>
    </row>
    <row r="4715" spans="1:8" ht="30" customHeight="1" x14ac:dyDescent="0.15">
      <c r="A4715" s="16" t="s">
        <v>3720</v>
      </c>
      <c r="B4715" s="17" t="s">
        <v>10357</v>
      </c>
      <c r="C4715" s="17" t="s">
        <v>7320</v>
      </c>
      <c r="D4715" s="25" t="s">
        <v>7880</v>
      </c>
      <c r="E4715" s="19" t="s">
        <v>7987</v>
      </c>
      <c r="F4715" s="19" t="s">
        <v>8004</v>
      </c>
      <c r="G4715" s="5" t="str">
        <f>HYPERLINK("http://jsmh.umin.jp/journal/50-2/311-313.pdf")</f>
        <v>http://jsmh.umin.jp/journal/50-2/311-313.pdf</v>
      </c>
      <c r="H4715" s="43"/>
    </row>
    <row r="4716" spans="1:8" ht="30" customHeight="1" x14ac:dyDescent="0.15">
      <c r="A4716" s="16" t="s">
        <v>3720</v>
      </c>
      <c r="B4716" s="17" t="s">
        <v>8005</v>
      </c>
      <c r="C4716" s="17" t="s">
        <v>4351</v>
      </c>
      <c r="D4716" s="25" t="s">
        <v>7880</v>
      </c>
      <c r="E4716" s="19" t="s">
        <v>7987</v>
      </c>
      <c r="F4716" s="19" t="s">
        <v>1774</v>
      </c>
      <c r="G4716" s="5" t="str">
        <f>HYPERLINK("http://jsmh.umin.jp/journal/50-2/313-314.pdf")</f>
        <v>http://jsmh.umin.jp/journal/50-2/313-314.pdf</v>
      </c>
      <c r="H4716" s="43"/>
    </row>
    <row r="4717" spans="1:8" ht="30" customHeight="1" x14ac:dyDescent="0.15">
      <c r="A4717" s="16" t="s">
        <v>3720</v>
      </c>
      <c r="B4717" s="17" t="s">
        <v>8006</v>
      </c>
      <c r="C4717" s="17" t="s">
        <v>8007</v>
      </c>
      <c r="D4717" s="25" t="s">
        <v>7880</v>
      </c>
      <c r="E4717" s="19" t="s">
        <v>7987</v>
      </c>
      <c r="F4717" s="19" t="s">
        <v>8008</v>
      </c>
      <c r="G4717" s="5" t="str">
        <f>HYPERLINK("http://jsmh.umin.jp/journal/50-2/314-316.pdf")</f>
        <v>http://jsmh.umin.jp/journal/50-2/314-316.pdf</v>
      </c>
      <c r="H4717" s="43"/>
    </row>
    <row r="4718" spans="1:8" ht="30" customHeight="1" x14ac:dyDescent="0.15">
      <c r="A4718" s="16" t="s">
        <v>3720</v>
      </c>
      <c r="B4718" s="17" t="s">
        <v>10358</v>
      </c>
      <c r="C4718" s="17" t="s">
        <v>2937</v>
      </c>
      <c r="D4718" s="25" t="s">
        <v>7880</v>
      </c>
      <c r="E4718" s="19" t="s">
        <v>7987</v>
      </c>
      <c r="F4718" s="19" t="s">
        <v>8009</v>
      </c>
      <c r="G4718" s="5" t="str">
        <f>HYPERLINK("http://jsmh.umin.jp/journal/50-2/316-319.pdf")</f>
        <v>http://jsmh.umin.jp/journal/50-2/316-319.pdf</v>
      </c>
      <c r="H4718" s="43"/>
    </row>
    <row r="4719" spans="1:8" ht="30" customHeight="1" x14ac:dyDescent="0.15">
      <c r="A4719" s="16" t="s">
        <v>3720</v>
      </c>
      <c r="B4719" s="17" t="s">
        <v>8010</v>
      </c>
      <c r="C4719" s="17" t="s">
        <v>7942</v>
      </c>
      <c r="D4719" s="25" t="s">
        <v>7880</v>
      </c>
      <c r="E4719" s="19" t="s">
        <v>7987</v>
      </c>
      <c r="F4719" s="19" t="s">
        <v>1434</v>
      </c>
      <c r="G4719" s="5" t="str">
        <f>HYPERLINK("http://jsmh.umin.jp/journal/50-2/319-320.pdf")</f>
        <v>http://jsmh.umin.jp/journal/50-2/319-320.pdf</v>
      </c>
      <c r="H4719" s="43"/>
    </row>
    <row r="4720" spans="1:8" ht="30" customHeight="1" x14ac:dyDescent="0.15">
      <c r="A4720" s="16" t="s">
        <v>3720</v>
      </c>
      <c r="B4720" s="17" t="s">
        <v>8011</v>
      </c>
      <c r="C4720" s="17" t="s">
        <v>5940</v>
      </c>
      <c r="D4720" s="25" t="s">
        <v>7880</v>
      </c>
      <c r="E4720" s="19" t="s">
        <v>7987</v>
      </c>
      <c r="F4720" s="19" t="s">
        <v>8012</v>
      </c>
      <c r="G4720" s="5" t="str">
        <f>HYPERLINK("http://jsmh.umin.jp/journal/50-2/320-322.pdf")</f>
        <v>http://jsmh.umin.jp/journal/50-2/320-322.pdf</v>
      </c>
      <c r="H4720" s="43"/>
    </row>
    <row r="4721" spans="1:8" ht="30" customHeight="1" x14ac:dyDescent="0.15">
      <c r="A4721" s="16" t="s">
        <v>3720</v>
      </c>
      <c r="B4721" s="17" t="s">
        <v>8013</v>
      </c>
      <c r="C4721" s="17" t="s">
        <v>4085</v>
      </c>
      <c r="D4721" s="25" t="s">
        <v>7880</v>
      </c>
      <c r="E4721" s="19" t="s">
        <v>7987</v>
      </c>
      <c r="F4721" s="19" t="s">
        <v>3129</v>
      </c>
      <c r="G4721" s="5" t="str">
        <f>HYPERLINK("http://jsmh.umin.jp/journal/50-2/322-323.pdf")</f>
        <v>http://jsmh.umin.jp/journal/50-2/322-323.pdf</v>
      </c>
      <c r="H4721" s="43"/>
    </row>
    <row r="4722" spans="1:8" ht="30" customHeight="1" x14ac:dyDescent="0.15">
      <c r="A4722" s="16" t="s">
        <v>2990</v>
      </c>
      <c r="B4722" s="17" t="s">
        <v>8014</v>
      </c>
      <c r="C4722" s="17" t="s">
        <v>10214</v>
      </c>
      <c r="D4722" s="25" t="s">
        <v>7880</v>
      </c>
      <c r="E4722" s="19" t="s">
        <v>7987</v>
      </c>
      <c r="F4722" s="19" t="s">
        <v>7537</v>
      </c>
      <c r="G4722" s="5" t="str">
        <f>HYPERLINK("http://jsmh.umin.jp/journal/50-2/323-325.pdf")</f>
        <v>http://jsmh.umin.jp/journal/50-2/323-325.pdf</v>
      </c>
      <c r="H4722" s="43"/>
    </row>
    <row r="4723" spans="1:8" ht="30" customHeight="1" x14ac:dyDescent="0.15">
      <c r="A4723" s="16" t="s">
        <v>2990</v>
      </c>
      <c r="B4723" s="17" t="s">
        <v>8015</v>
      </c>
      <c r="C4723" s="17" t="s">
        <v>5778</v>
      </c>
      <c r="D4723" s="25" t="s">
        <v>7880</v>
      </c>
      <c r="E4723" s="19" t="s">
        <v>7987</v>
      </c>
      <c r="F4723" s="19" t="s">
        <v>5112</v>
      </c>
      <c r="G4723" s="5" t="str">
        <f>HYPERLINK("http://jsmh.umin.jp/journal/50-2/325-326.pdf")</f>
        <v>http://jsmh.umin.jp/journal/50-2/325-326.pdf</v>
      </c>
      <c r="H4723" s="43"/>
    </row>
    <row r="4724" spans="1:8" ht="30" customHeight="1" x14ac:dyDescent="0.15">
      <c r="A4724" s="16" t="s">
        <v>2990</v>
      </c>
      <c r="B4724" s="17" t="s">
        <v>8016</v>
      </c>
      <c r="C4724" s="17" t="s">
        <v>2937</v>
      </c>
      <c r="D4724" s="25" t="s">
        <v>7880</v>
      </c>
      <c r="E4724" s="19" t="s">
        <v>7987</v>
      </c>
      <c r="F4724" s="19" t="s">
        <v>8017</v>
      </c>
      <c r="G4724" s="5" t="str">
        <f>HYPERLINK("http://jsmh.umin.jp/journal/50-2/327-329.pdf")</f>
        <v>http://jsmh.umin.jp/journal/50-2/327-329.pdf</v>
      </c>
      <c r="H4724" s="43"/>
    </row>
    <row r="4725" spans="1:8" ht="30" customHeight="1" x14ac:dyDescent="0.15">
      <c r="A4725" s="16" t="s">
        <v>2990</v>
      </c>
      <c r="B4725" s="17" t="s">
        <v>8018</v>
      </c>
      <c r="C4725" s="17" t="s">
        <v>4585</v>
      </c>
      <c r="D4725" s="25" t="s">
        <v>7880</v>
      </c>
      <c r="E4725" s="19" t="s">
        <v>7987</v>
      </c>
      <c r="F4725" s="19" t="s">
        <v>8019</v>
      </c>
      <c r="G4725" s="5" t="str">
        <f>HYPERLINK("http://jsmh.umin.jp/journal/50-2/329-331.pdf")</f>
        <v>http://jsmh.umin.jp/journal/50-2/329-331.pdf</v>
      </c>
      <c r="H4725" s="43"/>
    </row>
    <row r="4726" spans="1:8" ht="30" customHeight="1" x14ac:dyDescent="0.15">
      <c r="A4726" s="16" t="s">
        <v>2990</v>
      </c>
      <c r="B4726" s="17" t="s">
        <v>10359</v>
      </c>
      <c r="C4726" s="17" t="s">
        <v>2386</v>
      </c>
      <c r="D4726" s="25" t="s">
        <v>7880</v>
      </c>
      <c r="E4726" s="19" t="s">
        <v>7987</v>
      </c>
      <c r="F4726" s="19" t="s">
        <v>1609</v>
      </c>
      <c r="G4726" s="5" t="str">
        <f>HYPERLINK("http://jsmh.umin.jp/journal/50-2/331-332.pdf")</f>
        <v>http://jsmh.umin.jp/journal/50-2/331-332.pdf</v>
      </c>
      <c r="H4726" s="43"/>
    </row>
    <row r="4727" spans="1:8" ht="30" customHeight="1" x14ac:dyDescent="0.15">
      <c r="A4727" s="16" t="s">
        <v>2990</v>
      </c>
      <c r="B4727" s="17" t="s">
        <v>8020</v>
      </c>
      <c r="C4727" s="17" t="s">
        <v>916</v>
      </c>
      <c r="D4727" s="25" t="s">
        <v>7880</v>
      </c>
      <c r="E4727" s="19" t="s">
        <v>7987</v>
      </c>
      <c r="F4727" s="19" t="s">
        <v>3141</v>
      </c>
      <c r="G4727" s="5" t="str">
        <f>HYPERLINK("http://jsmh.umin.jp/journal/50-2/332-334.pdf")</f>
        <v>http://jsmh.umin.jp/journal/50-2/332-334.pdf</v>
      </c>
      <c r="H4727" s="43"/>
    </row>
    <row r="4728" spans="1:8" ht="30" customHeight="1" x14ac:dyDescent="0.15">
      <c r="A4728" s="16" t="s">
        <v>2990</v>
      </c>
      <c r="B4728" s="17" t="s">
        <v>10360</v>
      </c>
      <c r="C4728" s="17" t="s">
        <v>1803</v>
      </c>
      <c r="D4728" s="25" t="s">
        <v>7880</v>
      </c>
      <c r="E4728" s="19" t="s">
        <v>7987</v>
      </c>
      <c r="F4728" s="19" t="s">
        <v>1625</v>
      </c>
      <c r="G4728" s="4" t="str">
        <f>HYPERLINK("http://jsmh.umin.jp/journal/50-2/334-335.pdf")</f>
        <v>http://jsmh.umin.jp/journal/50-2/334-335.pdf</v>
      </c>
      <c r="H4728" s="43"/>
    </row>
    <row r="4729" spans="1:8" ht="30" customHeight="1" x14ac:dyDescent="0.15">
      <c r="A4729" s="16" t="s">
        <v>2990</v>
      </c>
      <c r="B4729" s="17" t="s">
        <v>8021</v>
      </c>
      <c r="C4729" s="17" t="s">
        <v>4770</v>
      </c>
      <c r="D4729" s="25" t="s">
        <v>7880</v>
      </c>
      <c r="E4729" s="19" t="s">
        <v>7987</v>
      </c>
      <c r="F4729" s="19" t="s">
        <v>4887</v>
      </c>
      <c r="G4729" s="5" t="str">
        <f>HYPERLINK("http://jsmh.umin.jp/journal/50-2/336-337.pdf")</f>
        <v>http://jsmh.umin.jp/journal/50-2/336-337.pdf</v>
      </c>
      <c r="H4729" s="43"/>
    </row>
    <row r="4730" spans="1:8" ht="30" customHeight="1" x14ac:dyDescent="0.15">
      <c r="A4730" s="16" t="s">
        <v>2990</v>
      </c>
      <c r="B4730" s="17" t="s">
        <v>10361</v>
      </c>
      <c r="C4730" s="17" t="s">
        <v>4988</v>
      </c>
      <c r="D4730" s="25" t="s">
        <v>7880</v>
      </c>
      <c r="E4730" s="19" t="s">
        <v>7987</v>
      </c>
      <c r="F4730" s="19" t="s">
        <v>5530</v>
      </c>
      <c r="G4730" s="5" t="str">
        <f>HYPERLINK("http://jsmh.umin.jp/journal/50-2/337-339.pdf")</f>
        <v>http://jsmh.umin.jp/journal/50-2/337-339.pdf</v>
      </c>
      <c r="H4730" s="43"/>
    </row>
    <row r="4731" spans="1:8" ht="30" customHeight="1" x14ac:dyDescent="0.15">
      <c r="A4731" s="16" t="s">
        <v>2990</v>
      </c>
      <c r="B4731" s="17" t="s">
        <v>10362</v>
      </c>
      <c r="C4731" s="17" t="s">
        <v>8022</v>
      </c>
      <c r="D4731" s="25" t="s">
        <v>7880</v>
      </c>
      <c r="E4731" s="19" t="s">
        <v>7987</v>
      </c>
      <c r="F4731" s="19" t="s">
        <v>4893</v>
      </c>
      <c r="G4731" s="5" t="str">
        <f>HYPERLINK("http://jsmh.umin.jp/journal/50-2/339-340.pdf")</f>
        <v>http://jsmh.umin.jp/journal/50-2/339-340.pdf</v>
      </c>
      <c r="H4731" s="43"/>
    </row>
    <row r="4732" spans="1:8" ht="30" customHeight="1" x14ac:dyDescent="0.15">
      <c r="A4732" s="16" t="s">
        <v>2990</v>
      </c>
      <c r="B4732" s="17" t="s">
        <v>8023</v>
      </c>
      <c r="C4732" s="17" t="s">
        <v>672</v>
      </c>
      <c r="D4732" s="25" t="s">
        <v>7880</v>
      </c>
      <c r="E4732" s="19" t="s">
        <v>7987</v>
      </c>
      <c r="F4732" s="19" t="s">
        <v>4895</v>
      </c>
      <c r="G4732" s="5" t="str">
        <f>HYPERLINK("http://jsmh.umin.jp/journal/50-2/340-341.pdf")</f>
        <v>http://jsmh.umin.jp/journal/50-2/340-341.pdf</v>
      </c>
      <c r="H4732" s="43"/>
    </row>
    <row r="4733" spans="1:8" ht="30" customHeight="1" x14ac:dyDescent="0.15">
      <c r="A4733" s="16" t="s">
        <v>2990</v>
      </c>
      <c r="B4733" s="17" t="s">
        <v>8024</v>
      </c>
      <c r="C4733" s="17" t="s">
        <v>7059</v>
      </c>
      <c r="D4733" s="25" t="s">
        <v>7880</v>
      </c>
      <c r="E4733" s="19" t="s">
        <v>7987</v>
      </c>
      <c r="F4733" s="19" t="s">
        <v>4900</v>
      </c>
      <c r="G4733" s="5" t="str">
        <f>HYPERLINK("http://jsmh.umin.jp/journal/50-2/342-343.pdf")</f>
        <v>http://jsmh.umin.jp/journal/50-2/342-343.pdf</v>
      </c>
      <c r="H4733" s="43"/>
    </row>
    <row r="4734" spans="1:8" ht="30" customHeight="1" x14ac:dyDescent="0.15">
      <c r="A4734" s="16" t="s">
        <v>2990</v>
      </c>
      <c r="B4734" s="17" t="s">
        <v>8025</v>
      </c>
      <c r="C4734" s="17" t="s">
        <v>2465</v>
      </c>
      <c r="D4734" s="25" t="s">
        <v>7880</v>
      </c>
      <c r="E4734" s="19" t="s">
        <v>7987</v>
      </c>
      <c r="F4734" s="19" t="s">
        <v>8026</v>
      </c>
      <c r="G4734" s="5" t="str">
        <f>HYPERLINK("http://jsmh.umin.jp/journal/50-2/343-345.pdf")</f>
        <v>http://jsmh.umin.jp/journal/50-2/343-345.pdf</v>
      </c>
      <c r="H4734" s="43"/>
    </row>
    <row r="4735" spans="1:8" ht="30" customHeight="1" x14ac:dyDescent="0.15">
      <c r="A4735" s="16" t="s">
        <v>17</v>
      </c>
      <c r="B4735" s="17" t="s">
        <v>8027</v>
      </c>
      <c r="C4735" s="17" t="s">
        <v>7843</v>
      </c>
      <c r="D4735" s="25" t="s">
        <v>7880</v>
      </c>
      <c r="E4735" s="19" t="s">
        <v>8028</v>
      </c>
      <c r="F4735" s="19" t="s">
        <v>8029</v>
      </c>
      <c r="G4735" s="5" t="str">
        <f>HYPERLINK("http://jsmh.umin.jp/journal/50-3/349-370.pdf")</f>
        <v>http://jsmh.umin.jp/journal/50-3/349-370.pdf</v>
      </c>
      <c r="H4735" s="43"/>
    </row>
    <row r="4736" spans="1:8" ht="30" customHeight="1" x14ac:dyDescent="0.15">
      <c r="A4736" s="16" t="s">
        <v>3387</v>
      </c>
      <c r="B4736" s="17" t="s">
        <v>8030</v>
      </c>
      <c r="C4736" s="17" t="s">
        <v>7818</v>
      </c>
      <c r="D4736" s="25" t="s">
        <v>7880</v>
      </c>
      <c r="E4736" s="19" t="s">
        <v>8028</v>
      </c>
      <c r="F4736" s="19" t="s">
        <v>8031</v>
      </c>
      <c r="G4736" s="5" t="str">
        <f>HYPERLINK("http://jsmh.umin.jp/journal/50-3/371-389.pdf")</f>
        <v>http://jsmh.umin.jp/journal/50-3/371-389.pdf</v>
      </c>
      <c r="H4736" s="43"/>
    </row>
    <row r="4737" spans="1:8" ht="30" customHeight="1" x14ac:dyDescent="0.15">
      <c r="A4737" s="16"/>
      <c r="B4737" s="17" t="s">
        <v>10634</v>
      </c>
      <c r="C4737" s="17" t="s">
        <v>3482</v>
      </c>
      <c r="D4737" s="25" t="s">
        <v>7880</v>
      </c>
      <c r="E4737" s="19" t="s">
        <v>8028</v>
      </c>
      <c r="F4737" s="19">
        <v>390</v>
      </c>
      <c r="G4737" s="26" t="str">
        <f>HYPERLINK("http://jsmh.umin.jp/journal/50-3/390.pdf")</f>
        <v>http://jsmh.umin.jp/journal/50-3/390.pdf</v>
      </c>
      <c r="H4737" s="43"/>
    </row>
    <row r="4738" spans="1:8" ht="30" customHeight="1" x14ac:dyDescent="0.15">
      <c r="A4738" s="16" t="s">
        <v>3387</v>
      </c>
      <c r="B4738" s="17" t="s">
        <v>8032</v>
      </c>
      <c r="C4738" s="17" t="s">
        <v>5516</v>
      </c>
      <c r="D4738" s="25" t="s">
        <v>7880</v>
      </c>
      <c r="E4738" s="19" t="s">
        <v>8028</v>
      </c>
      <c r="F4738" s="19" t="s">
        <v>8033</v>
      </c>
      <c r="G4738" s="5" t="str">
        <f>HYPERLINK("http://jsmh.umin.jp/journal/50-3/391-403.pdf")</f>
        <v>http://jsmh.umin.jp/journal/50-3/391-403.pdf</v>
      </c>
      <c r="H4738" s="43"/>
    </row>
    <row r="4739" spans="1:8" ht="30" customHeight="1" x14ac:dyDescent="0.15">
      <c r="A4739" s="16"/>
      <c r="B4739" s="17" t="s">
        <v>10635</v>
      </c>
      <c r="C4739" s="17" t="s">
        <v>4585</v>
      </c>
      <c r="D4739" s="25" t="s">
        <v>7880</v>
      </c>
      <c r="E4739" s="19" t="s">
        <v>8028</v>
      </c>
      <c r="F4739" s="19">
        <v>404</v>
      </c>
      <c r="G4739" s="26" t="str">
        <f>HYPERLINK("http://jsmh.umin.jp/journal/50-3/404.pdf")</f>
        <v>http://jsmh.umin.jp/journal/50-3/404.pdf</v>
      </c>
      <c r="H4739" s="43"/>
    </row>
    <row r="4740" spans="1:8" ht="30" customHeight="1" x14ac:dyDescent="0.15">
      <c r="A4740" s="16" t="s">
        <v>3387</v>
      </c>
      <c r="B4740" s="17" t="s">
        <v>8034</v>
      </c>
      <c r="C4740" s="17" t="s">
        <v>2465</v>
      </c>
      <c r="D4740" s="25" t="s">
        <v>7880</v>
      </c>
      <c r="E4740" s="19" t="s">
        <v>8028</v>
      </c>
      <c r="F4740" s="19" t="s">
        <v>8035</v>
      </c>
      <c r="G4740" s="5" t="str">
        <f>HYPERLINK("http://jsmh.umin.jp/journal/50-3/405-427.pdf")</f>
        <v>http://jsmh.umin.jp/journal/50-3/405-427.pdf</v>
      </c>
      <c r="H4740" s="43"/>
    </row>
    <row r="4741" spans="1:8" ht="30" customHeight="1" x14ac:dyDescent="0.15">
      <c r="A4741" s="16" t="s">
        <v>692</v>
      </c>
      <c r="B4741" s="17" t="s">
        <v>8036</v>
      </c>
      <c r="C4741" s="17" t="s">
        <v>7998</v>
      </c>
      <c r="D4741" s="25" t="s">
        <v>7880</v>
      </c>
      <c r="E4741" s="19" t="s">
        <v>8028</v>
      </c>
      <c r="F4741" s="19" t="s">
        <v>8037</v>
      </c>
      <c r="G4741" s="5" t="str">
        <f>HYPERLINK("http://jsmh.umin.jp/journal/50-3/428-448.pdf")</f>
        <v>http://jsmh.umin.jp/journal/50-3/428-448.pdf</v>
      </c>
      <c r="H4741" s="43"/>
    </row>
    <row r="4742" spans="1:8" ht="30" customHeight="1" x14ac:dyDescent="0.15">
      <c r="A4742" s="16" t="s">
        <v>692</v>
      </c>
      <c r="B4742" s="17" t="s">
        <v>8038</v>
      </c>
      <c r="C4742" s="17" t="s">
        <v>8039</v>
      </c>
      <c r="D4742" s="25" t="s">
        <v>7880</v>
      </c>
      <c r="E4742" s="19" t="s">
        <v>8028</v>
      </c>
      <c r="F4742" s="19" t="s">
        <v>8040</v>
      </c>
      <c r="G4742" s="5" t="str">
        <f>HYPERLINK("http://jsmh.umin.jp/journal/50-3/449-451.pdf")</f>
        <v>http://jsmh.umin.jp/journal/50-3/449-451.pdf</v>
      </c>
      <c r="H4742" s="43"/>
    </row>
    <row r="4743" spans="1:8" ht="30" customHeight="1" x14ac:dyDescent="0.15">
      <c r="A4743" s="16" t="s">
        <v>3720</v>
      </c>
      <c r="B4743" s="17" t="s">
        <v>8041</v>
      </c>
      <c r="C4743" s="17" t="s">
        <v>5084</v>
      </c>
      <c r="D4743" s="25" t="s">
        <v>7880</v>
      </c>
      <c r="E4743" s="19" t="s">
        <v>8028</v>
      </c>
      <c r="F4743" s="19" t="s">
        <v>4932</v>
      </c>
      <c r="G4743" s="5" t="str">
        <f>HYPERLINK("http://jsmh.umin.jp/journal/50-3/452-453.pdf")</f>
        <v>http://jsmh.umin.jp/journal/50-3/452-453.pdf</v>
      </c>
      <c r="H4743" s="43"/>
    </row>
    <row r="4744" spans="1:8" ht="30" customHeight="1" x14ac:dyDescent="0.15">
      <c r="A4744" s="16" t="s">
        <v>558</v>
      </c>
      <c r="B4744" s="17" t="s">
        <v>8042</v>
      </c>
      <c r="C4744" s="17"/>
      <c r="D4744" s="25" t="s">
        <v>7880</v>
      </c>
      <c r="E4744" s="19" t="s">
        <v>8028</v>
      </c>
      <c r="F4744" s="19" t="s">
        <v>4098</v>
      </c>
      <c r="G4744" s="5" t="str">
        <f>HYPERLINK("http://jsmh.umin.jp/journal/50-3/452.pdf")</f>
        <v>http://jsmh.umin.jp/journal/50-3/452.pdf</v>
      </c>
      <c r="H4744" s="43"/>
    </row>
    <row r="4745" spans="1:8" ht="30" customHeight="1" x14ac:dyDescent="0.15">
      <c r="A4745" s="16" t="s">
        <v>2990</v>
      </c>
      <c r="B4745" s="17" t="s">
        <v>8043</v>
      </c>
      <c r="C4745" s="17" t="s">
        <v>1994</v>
      </c>
      <c r="D4745" s="25" t="s">
        <v>7880</v>
      </c>
      <c r="E4745" s="19" t="s">
        <v>8028</v>
      </c>
      <c r="F4745" s="19" t="s">
        <v>4101</v>
      </c>
      <c r="G4745" s="5" t="str">
        <f>HYPERLINK("http://jsmh.umin.jp/journal/50-3/454-455.pdf")</f>
        <v>http://jsmh.umin.jp/journal/50-3/454-455.pdf</v>
      </c>
      <c r="H4745" s="43"/>
    </row>
    <row r="4746" spans="1:8" ht="30" customHeight="1" x14ac:dyDescent="0.15">
      <c r="A4746" s="16" t="s">
        <v>2990</v>
      </c>
      <c r="B4746" s="17" t="s">
        <v>8044</v>
      </c>
      <c r="C4746" s="17" t="s">
        <v>4085</v>
      </c>
      <c r="D4746" s="25" t="s">
        <v>7880</v>
      </c>
      <c r="E4746" s="19" t="s">
        <v>8028</v>
      </c>
      <c r="F4746" s="19" t="s">
        <v>8045</v>
      </c>
      <c r="G4746" s="5" t="str">
        <f>HYPERLINK("http://jsmh.umin.jp/journal/50-3/455-457.pdf")</f>
        <v>http://jsmh.umin.jp/journal/50-3/455-457.pdf</v>
      </c>
      <c r="H4746" s="43"/>
    </row>
    <row r="4747" spans="1:8" ht="30" customHeight="1" x14ac:dyDescent="0.15">
      <c r="A4747" s="16" t="s">
        <v>2990</v>
      </c>
      <c r="B4747" s="17" t="s">
        <v>8046</v>
      </c>
      <c r="C4747" s="17" t="s">
        <v>1929</v>
      </c>
      <c r="D4747" s="25" t="s">
        <v>7880</v>
      </c>
      <c r="E4747" s="19" t="s">
        <v>8028</v>
      </c>
      <c r="F4747" s="19" t="s">
        <v>4109</v>
      </c>
      <c r="G4747" s="5" t="str">
        <f>HYPERLINK("http://jsmh.umin.jp/journal/50-3/457-458.pdf")</f>
        <v>http://jsmh.umin.jp/journal/50-3/457-458.pdf</v>
      </c>
      <c r="H4747" s="43"/>
    </row>
    <row r="4748" spans="1:8" ht="30" customHeight="1" x14ac:dyDescent="0.15">
      <c r="A4748" s="16" t="s">
        <v>2990</v>
      </c>
      <c r="B4748" s="17" t="s">
        <v>8047</v>
      </c>
      <c r="C4748" s="17" t="s">
        <v>5940</v>
      </c>
      <c r="D4748" s="25" t="s">
        <v>7880</v>
      </c>
      <c r="E4748" s="19" t="s">
        <v>8028</v>
      </c>
      <c r="F4748" s="19" t="s">
        <v>4943</v>
      </c>
      <c r="G4748" s="5" t="str">
        <f>HYPERLINK("http://jsmh.umin.jp/journal/50-3/459-460.pdf")</f>
        <v>http://jsmh.umin.jp/journal/50-3/459-460.pdf</v>
      </c>
      <c r="H4748" s="43"/>
    </row>
    <row r="4749" spans="1:8" ht="30" customHeight="1" x14ac:dyDescent="0.15">
      <c r="A4749" s="16" t="s">
        <v>2990</v>
      </c>
      <c r="B4749" s="17" t="s">
        <v>10363</v>
      </c>
      <c r="C4749" s="17" t="s">
        <v>8048</v>
      </c>
      <c r="D4749" s="25" t="s">
        <v>7880</v>
      </c>
      <c r="E4749" s="19" t="s">
        <v>8028</v>
      </c>
      <c r="F4749" s="19" t="s">
        <v>4945</v>
      </c>
      <c r="G4749" s="5" t="str">
        <f>HYPERLINK("http://jsmh.umin.jp/journal/50-3/460-461.pdf")</f>
        <v>http://jsmh.umin.jp/journal/50-3/460-461.pdf</v>
      </c>
      <c r="H4749" s="43"/>
    </row>
    <row r="4750" spans="1:8" ht="30" customHeight="1" x14ac:dyDescent="0.15">
      <c r="A4750" s="16" t="s">
        <v>17</v>
      </c>
      <c r="B4750" s="17" t="s">
        <v>8049</v>
      </c>
      <c r="C4750" s="17" t="s">
        <v>10364</v>
      </c>
      <c r="D4750" s="25" t="s">
        <v>7880</v>
      </c>
      <c r="E4750" s="19" t="s">
        <v>8028</v>
      </c>
      <c r="F4750" s="19" t="s">
        <v>8050</v>
      </c>
      <c r="G4750" s="5" t="str">
        <f>HYPERLINK("http://jsmh.umin.jp/journal/50-3/463-492.pdf")</f>
        <v>http://jsmh.umin.jp/journal/50-3/463-492.pdf</v>
      </c>
      <c r="H4750" s="43"/>
    </row>
    <row r="4751" spans="1:8" ht="30" customHeight="1" x14ac:dyDescent="0.15">
      <c r="A4751" s="16" t="s">
        <v>17</v>
      </c>
      <c r="B4751" s="17" t="s">
        <v>8051</v>
      </c>
      <c r="C4751" s="17" t="s">
        <v>10365</v>
      </c>
      <c r="D4751" s="25" t="s">
        <v>7880</v>
      </c>
      <c r="E4751" s="19" t="s">
        <v>8028</v>
      </c>
      <c r="F4751" s="19" t="s">
        <v>8052</v>
      </c>
      <c r="G4751" s="4" t="str">
        <f>HYPERLINK("http://jsmh.umin.jp/journal/50-3/498-493.pdf")</f>
        <v>http://jsmh.umin.jp/journal/50-3/498-493.pdf</v>
      </c>
      <c r="H4751" s="43"/>
    </row>
    <row r="4752" spans="1:8" ht="30" customHeight="1" x14ac:dyDescent="0.15">
      <c r="A4752" s="16" t="s">
        <v>17</v>
      </c>
      <c r="B4752" s="17" t="s">
        <v>8053</v>
      </c>
      <c r="C4752" s="17" t="s">
        <v>6078</v>
      </c>
      <c r="D4752" s="25" t="s">
        <v>7880</v>
      </c>
      <c r="E4752" s="19" t="s">
        <v>8054</v>
      </c>
      <c r="F4752" s="19" t="s">
        <v>8055</v>
      </c>
      <c r="G4752" s="4" t="str">
        <f>HYPERLINK("http://jsmh.umin.jp/journal/50-4/501-546.pdf")</f>
        <v>http://jsmh.umin.jp/journal/50-4/501-546.pdf</v>
      </c>
      <c r="H4752" s="43"/>
    </row>
    <row r="4753" spans="1:8" ht="30" customHeight="1" x14ac:dyDescent="0.15">
      <c r="A4753" s="16" t="s">
        <v>17</v>
      </c>
      <c r="B4753" s="17" t="s">
        <v>8056</v>
      </c>
      <c r="C4753" s="17" t="s">
        <v>5569</v>
      </c>
      <c r="D4753" s="25" t="s">
        <v>7880</v>
      </c>
      <c r="E4753" s="19" t="s">
        <v>8054</v>
      </c>
      <c r="F4753" s="19" t="s">
        <v>8057</v>
      </c>
      <c r="G4753" s="4" t="str">
        <f>HYPERLINK("http://jsmh.umin.jp/journal/50-4/547-568.pdf")</f>
        <v>http://jsmh.umin.jp/journal/50-4/547-568.pdf</v>
      </c>
      <c r="H4753" s="43"/>
    </row>
    <row r="4754" spans="1:8" ht="30" customHeight="1" x14ac:dyDescent="0.15">
      <c r="A4754" s="16" t="s">
        <v>17</v>
      </c>
      <c r="B4754" s="17" t="s">
        <v>8058</v>
      </c>
      <c r="C4754" s="17" t="s">
        <v>8059</v>
      </c>
      <c r="D4754" s="25" t="s">
        <v>7880</v>
      </c>
      <c r="E4754" s="19" t="s">
        <v>8054</v>
      </c>
      <c r="F4754" s="19" t="s">
        <v>8060</v>
      </c>
      <c r="G4754" s="5" t="str">
        <f>HYPERLINK("http://jsmh.umin.jp/journal/50-4/569-589.pdf")</f>
        <v>http://jsmh.umin.jp/journal/50-4/569-589.pdf</v>
      </c>
      <c r="H4754" s="43"/>
    </row>
    <row r="4755" spans="1:8" ht="30" customHeight="1" x14ac:dyDescent="0.15">
      <c r="A4755" s="16" t="s">
        <v>558</v>
      </c>
      <c r="B4755" s="17" t="s">
        <v>10600</v>
      </c>
      <c r="C4755" s="17" t="s">
        <v>3655</v>
      </c>
      <c r="D4755" s="25" t="s">
        <v>7880</v>
      </c>
      <c r="E4755" s="19" t="s">
        <v>8054</v>
      </c>
      <c r="F4755" s="19" t="s">
        <v>8061</v>
      </c>
      <c r="G4755" s="4" t="str">
        <f>HYPERLINK("http://jsmh.umin.jp/journal/50-4/590.pdf")</f>
        <v>http://jsmh.umin.jp/journal/50-4/590.pdf</v>
      </c>
      <c r="H4755" s="43"/>
    </row>
    <row r="4756" spans="1:8" ht="30" customHeight="1" x14ac:dyDescent="0.15">
      <c r="A4756" s="16" t="s">
        <v>3387</v>
      </c>
      <c r="B4756" s="17" t="s">
        <v>8062</v>
      </c>
      <c r="C4756" s="17" t="s">
        <v>3644</v>
      </c>
      <c r="D4756" s="25" t="s">
        <v>7880</v>
      </c>
      <c r="E4756" s="19" t="s">
        <v>8054</v>
      </c>
      <c r="F4756" s="19" t="s">
        <v>8063</v>
      </c>
      <c r="G4756" s="5" t="str">
        <f>HYPERLINK("http://jsmh.umin.jp/journal/50-4/591-616.pdf")</f>
        <v>http://jsmh.umin.jp/journal/50-4/591-616.pdf</v>
      </c>
      <c r="H4756" s="43"/>
    </row>
    <row r="4757" spans="1:8" ht="30" customHeight="1" x14ac:dyDescent="0.15">
      <c r="A4757" s="16" t="s">
        <v>692</v>
      </c>
      <c r="B4757" s="17" t="s">
        <v>8064</v>
      </c>
      <c r="C4757" s="17" t="s">
        <v>7998</v>
      </c>
      <c r="D4757" s="25" t="s">
        <v>7880</v>
      </c>
      <c r="E4757" s="19" t="s">
        <v>8054</v>
      </c>
      <c r="F4757" s="19" t="s">
        <v>8065</v>
      </c>
      <c r="G4757" s="5" t="str">
        <f>HYPERLINK("http://jsmh.umin.jp/journal/50-4/617-627.pdf")</f>
        <v>http://jsmh.umin.jp/journal/50-4/617-627.pdf</v>
      </c>
      <c r="H4757" s="43"/>
    </row>
    <row r="4758" spans="1:8" ht="30" customHeight="1" x14ac:dyDescent="0.15">
      <c r="A4758" s="16" t="s">
        <v>692</v>
      </c>
      <c r="B4758" s="17" t="s">
        <v>8066</v>
      </c>
      <c r="C4758" s="17" t="s">
        <v>4870</v>
      </c>
      <c r="D4758" s="25" t="s">
        <v>7880</v>
      </c>
      <c r="E4758" s="19" t="s">
        <v>8054</v>
      </c>
      <c r="F4758" s="19" t="s">
        <v>8067</v>
      </c>
      <c r="G4758" s="5" t="str">
        <f>HYPERLINK("http://jsmh.umin.jp/journal/50-4/628-637.pdf")</f>
        <v>http://jsmh.umin.jp/journal/50-4/628-637.pdf</v>
      </c>
      <c r="H4758" s="43"/>
    </row>
    <row r="4759" spans="1:8" ht="30" customHeight="1" x14ac:dyDescent="0.15">
      <c r="A4759" s="16" t="s">
        <v>692</v>
      </c>
      <c r="B4759" s="17" t="s">
        <v>8068</v>
      </c>
      <c r="C4759" s="17" t="s">
        <v>2465</v>
      </c>
      <c r="D4759" s="25" t="s">
        <v>7880</v>
      </c>
      <c r="E4759" s="19" t="s">
        <v>8054</v>
      </c>
      <c r="F4759" s="19" t="s">
        <v>8069</v>
      </c>
      <c r="G4759" s="5" t="str">
        <f>HYPERLINK("http://jsmh.umin.jp/journal/50-4/638-644.pdf")</f>
        <v>http://jsmh.umin.jp/journal/50-4/638-644.pdf</v>
      </c>
      <c r="H4759" s="43"/>
    </row>
    <row r="4760" spans="1:8" ht="30" customHeight="1" x14ac:dyDescent="0.15">
      <c r="A4760" s="16" t="s">
        <v>3720</v>
      </c>
      <c r="B4760" s="17" t="s">
        <v>8070</v>
      </c>
      <c r="C4760" s="17" t="s">
        <v>48</v>
      </c>
      <c r="D4760" s="25" t="s">
        <v>7880</v>
      </c>
      <c r="E4760" s="19" t="s">
        <v>8054</v>
      </c>
      <c r="F4760" s="19" t="s">
        <v>4748</v>
      </c>
      <c r="G4760" s="5" t="str">
        <f>HYPERLINK("http://jsmh.umin.jp/journal/50-4/645-646.pdf")</f>
        <v>http://jsmh.umin.jp/journal/50-4/645-646.pdf</v>
      </c>
      <c r="H4760" s="43"/>
    </row>
    <row r="4761" spans="1:8" ht="30" customHeight="1" x14ac:dyDescent="0.15">
      <c r="A4761" s="16" t="s">
        <v>558</v>
      </c>
      <c r="B4761" s="17" t="s">
        <v>8071</v>
      </c>
      <c r="C4761" s="17"/>
      <c r="D4761" s="25" t="s">
        <v>7880</v>
      </c>
      <c r="E4761" s="19" t="s">
        <v>8054</v>
      </c>
      <c r="F4761" s="19" t="s">
        <v>8072</v>
      </c>
      <c r="G4761" s="5" t="str">
        <f>HYPERLINK("http://jsmh.umin.jp/journal/50-4/645.pdf")</f>
        <v>http://jsmh.umin.jp/journal/50-4/645.pdf</v>
      </c>
      <c r="H4761" s="43"/>
    </row>
    <row r="4762" spans="1:8" ht="30" customHeight="1" x14ac:dyDescent="0.15">
      <c r="A4762" s="16" t="s">
        <v>3720</v>
      </c>
      <c r="B4762" s="17" t="s">
        <v>10366</v>
      </c>
      <c r="C4762" s="17" t="s">
        <v>4085</v>
      </c>
      <c r="D4762" s="25" t="s">
        <v>7880</v>
      </c>
      <c r="E4762" s="19" t="s">
        <v>8054</v>
      </c>
      <c r="F4762" s="19" t="s">
        <v>4750</v>
      </c>
      <c r="G4762" s="5" t="str">
        <f>HYPERLINK("http://jsmh.umin.jp/journal/50-4/646-647.pdf")</f>
        <v>http://jsmh.umin.jp/journal/50-4/646-647.pdf</v>
      </c>
      <c r="H4762" s="43"/>
    </row>
    <row r="4763" spans="1:8" ht="30" customHeight="1" x14ac:dyDescent="0.15">
      <c r="A4763" s="16" t="s">
        <v>3720</v>
      </c>
      <c r="B4763" s="17" t="s">
        <v>8073</v>
      </c>
      <c r="C4763" s="17" t="s">
        <v>6604</v>
      </c>
      <c r="D4763" s="25" t="s">
        <v>7880</v>
      </c>
      <c r="E4763" s="19" t="s">
        <v>8054</v>
      </c>
      <c r="F4763" s="19" t="s">
        <v>4752</v>
      </c>
      <c r="G4763" s="5" t="str">
        <f>HYPERLINK("http://jsmh.umin.jp/journal/50-4/647-648.pdf")</f>
        <v>http://jsmh.umin.jp/journal/50-4/647-648.pdf</v>
      </c>
      <c r="H4763" s="43"/>
    </row>
    <row r="4764" spans="1:8" ht="30" customHeight="1" x14ac:dyDescent="0.15">
      <c r="A4764" s="16" t="s">
        <v>3720</v>
      </c>
      <c r="B4764" s="17" t="s">
        <v>8074</v>
      </c>
      <c r="C4764" s="17" t="s">
        <v>8075</v>
      </c>
      <c r="D4764" s="25" t="s">
        <v>7880</v>
      </c>
      <c r="E4764" s="19" t="s">
        <v>8054</v>
      </c>
      <c r="F4764" s="19" t="s">
        <v>8076</v>
      </c>
      <c r="G4764" s="5" t="str">
        <f>HYPERLINK("http://jsmh.umin.jp/journal/50-4/648-649.pdf")</f>
        <v>http://jsmh.umin.jp/journal/50-4/648-649.pdf</v>
      </c>
      <c r="H4764" s="43"/>
    </row>
    <row r="4765" spans="1:8" ht="30" customHeight="1" x14ac:dyDescent="0.15">
      <c r="A4765" s="16" t="s">
        <v>558</v>
      </c>
      <c r="B4765" s="17" t="s">
        <v>8077</v>
      </c>
      <c r="C4765" s="17" t="s">
        <v>1994</v>
      </c>
      <c r="D4765" s="25" t="s">
        <v>7880</v>
      </c>
      <c r="E4765" s="19" t="s">
        <v>8054</v>
      </c>
      <c r="F4765" s="19" t="s">
        <v>5380</v>
      </c>
      <c r="G4765" s="5" t="str">
        <f>HYPERLINK("http://jsmh.umin.jp/journal/50-4/649-650.pdf")</f>
        <v>http://jsmh.umin.jp/journal/50-4/649-650.pdf</v>
      </c>
      <c r="H4765" s="43"/>
    </row>
    <row r="4766" spans="1:8" ht="30" customHeight="1" x14ac:dyDescent="0.15">
      <c r="A4766" s="16" t="s">
        <v>2990</v>
      </c>
      <c r="B4766" s="17" t="s">
        <v>8078</v>
      </c>
      <c r="C4766" s="17" t="s">
        <v>1994</v>
      </c>
      <c r="D4766" s="25" t="s">
        <v>7880</v>
      </c>
      <c r="E4766" s="19" t="s">
        <v>8054</v>
      </c>
      <c r="F4766" s="19" t="s">
        <v>6365</v>
      </c>
      <c r="G4766" s="5" t="str">
        <f>HYPERLINK("http://jsmh.umin.jp/journal/50-4/651-652.pdf")</f>
        <v>http://jsmh.umin.jp/journal/50-4/651-652.pdf</v>
      </c>
      <c r="H4766" s="43"/>
    </row>
    <row r="4767" spans="1:8" ht="30" customHeight="1" x14ac:dyDescent="0.15">
      <c r="A4767" s="16" t="s">
        <v>558</v>
      </c>
      <c r="B4767" s="17" t="s">
        <v>8079</v>
      </c>
      <c r="C4767" s="17" t="s">
        <v>4085</v>
      </c>
      <c r="D4767" s="25" t="s">
        <v>7880</v>
      </c>
      <c r="E4767" s="19" t="s">
        <v>8054</v>
      </c>
      <c r="F4767" s="19" t="s">
        <v>8080</v>
      </c>
      <c r="G4767" s="4" t="str">
        <f>HYPERLINK("http://jsmh.umin.jp/journal/50-4/651.pdf")</f>
        <v>http://jsmh.umin.jp/journal/50-4/651.pdf</v>
      </c>
      <c r="H4767" s="43"/>
    </row>
    <row r="4768" spans="1:8" ht="30" customHeight="1" x14ac:dyDescent="0.15">
      <c r="A4768" s="16" t="s">
        <v>2990</v>
      </c>
      <c r="B4768" s="17" t="s">
        <v>8081</v>
      </c>
      <c r="C4768" s="17" t="s">
        <v>10280</v>
      </c>
      <c r="D4768" s="25" t="s">
        <v>7880</v>
      </c>
      <c r="E4768" s="19" t="s">
        <v>8054</v>
      </c>
      <c r="F4768" s="19" t="s">
        <v>8082</v>
      </c>
      <c r="G4768" s="5" t="str">
        <f>HYPERLINK("http://jsmh.umin.jp/journal/50-4/652-654.pdf")</f>
        <v>http://jsmh.umin.jp/journal/50-4/652-654.pdf</v>
      </c>
      <c r="H4768" s="43"/>
    </row>
    <row r="4769" spans="1:8" ht="30" customHeight="1" x14ac:dyDescent="0.15">
      <c r="A4769" s="16" t="s">
        <v>2990</v>
      </c>
      <c r="B4769" s="17" t="s">
        <v>8083</v>
      </c>
      <c r="C4769" s="17" t="s">
        <v>7322</v>
      </c>
      <c r="D4769" s="25" t="s">
        <v>7880</v>
      </c>
      <c r="E4769" s="19" t="s">
        <v>8054</v>
      </c>
      <c r="F4769" s="19" t="s">
        <v>7646</v>
      </c>
      <c r="G4769" s="5" t="str">
        <f>HYPERLINK("http://jsmh.umin.jp/journal/50-4/654-656.pdf")</f>
        <v>http://jsmh.umin.jp/journal/50-4/654-656.pdf</v>
      </c>
      <c r="H4769" s="43"/>
    </row>
    <row r="4770" spans="1:8" ht="30" customHeight="1" x14ac:dyDescent="0.15">
      <c r="A4770" s="16" t="s">
        <v>2990</v>
      </c>
      <c r="B4770" s="17" t="s">
        <v>8084</v>
      </c>
      <c r="C4770" s="17" t="s">
        <v>1292</v>
      </c>
      <c r="D4770" s="25" t="s">
        <v>7880</v>
      </c>
      <c r="E4770" s="19" t="s">
        <v>8054</v>
      </c>
      <c r="F4770" s="19" t="s">
        <v>5394</v>
      </c>
      <c r="G4770" s="5" t="str">
        <f>HYPERLINK("http://jsmh.umin.jp/journal/50-4/656-658.pdf")</f>
        <v>http://jsmh.umin.jp/journal/50-4/656-658.pdf</v>
      </c>
      <c r="H4770" s="43"/>
    </row>
    <row r="4771" spans="1:8" ht="30" customHeight="1" x14ac:dyDescent="0.15">
      <c r="A4771" s="16" t="s">
        <v>2990</v>
      </c>
      <c r="B4771" s="17" t="s">
        <v>8084</v>
      </c>
      <c r="C4771" s="17" t="s">
        <v>1136</v>
      </c>
      <c r="D4771" s="25" t="s">
        <v>7880</v>
      </c>
      <c r="E4771" s="19" t="s">
        <v>8054</v>
      </c>
      <c r="F4771" s="19" t="s">
        <v>5396</v>
      </c>
      <c r="G4771" s="4" t="str">
        <f>HYPERLINK("http://jsmh.umin.jp/journal/50-4/658-659.pdf")</f>
        <v>http://jsmh.umin.jp/journal/50-4/658-659.pdf</v>
      </c>
      <c r="H4771" s="43"/>
    </row>
    <row r="4772" spans="1:8" ht="30" customHeight="1" x14ac:dyDescent="0.15">
      <c r="A4772" s="16" t="s">
        <v>558</v>
      </c>
      <c r="B4772" s="17" t="s">
        <v>8085</v>
      </c>
      <c r="C4772" s="17"/>
      <c r="D4772" s="25" t="s">
        <v>7880</v>
      </c>
      <c r="E4772" s="19" t="s">
        <v>8054</v>
      </c>
      <c r="F4772" s="19" t="s">
        <v>8086</v>
      </c>
      <c r="G4772" s="4" t="str">
        <f>HYPERLINK("http://jsmh.umin.jp/journal/50-4/somokuji.pdf")</f>
        <v>http://jsmh.umin.jp/journal/50-4/somokuji.pdf</v>
      </c>
      <c r="H4772" s="43"/>
    </row>
    <row r="4773" spans="1:8" ht="30" customHeight="1" x14ac:dyDescent="0.15">
      <c r="A4773" s="16" t="s">
        <v>17</v>
      </c>
      <c r="B4773" s="17" t="s">
        <v>8087</v>
      </c>
      <c r="C4773" s="17" t="s">
        <v>10367</v>
      </c>
      <c r="D4773" s="18" t="s">
        <v>8088</v>
      </c>
      <c r="E4773" s="19" t="s">
        <v>8089</v>
      </c>
      <c r="F4773" s="19" t="s">
        <v>8090</v>
      </c>
      <c r="G4773" s="8" t="str">
        <f>HYPERLINK("http://jsmh.umin.jp/journal/51-1/3.pdf")</f>
        <v>http://jsmh.umin.jp/journal/51-1/3.pdf</v>
      </c>
      <c r="H4773" s="43"/>
    </row>
    <row r="4774" spans="1:8" ht="30" customHeight="1" x14ac:dyDescent="0.15">
      <c r="A4774" s="16" t="s">
        <v>17</v>
      </c>
      <c r="B4774" s="17" t="s">
        <v>8091</v>
      </c>
      <c r="C4774" s="17" t="s">
        <v>8092</v>
      </c>
      <c r="D4774" s="25" t="s">
        <v>8088</v>
      </c>
      <c r="E4774" s="19" t="s">
        <v>8089</v>
      </c>
      <c r="F4774" s="19" t="s">
        <v>8093</v>
      </c>
      <c r="G4774" s="8" t="str">
        <f>HYPERLINK("http://jsmh.umin.jp/journal/51-1/25.pdf")</f>
        <v>http://jsmh.umin.jp/journal/51-1/25.pdf</v>
      </c>
      <c r="H4774" s="43"/>
    </row>
    <row r="4775" spans="1:8" ht="30" customHeight="1" x14ac:dyDescent="0.15">
      <c r="A4775" s="16" t="s">
        <v>558</v>
      </c>
      <c r="B4775" s="17" t="s">
        <v>10619</v>
      </c>
      <c r="C4775" s="17" t="s">
        <v>2465</v>
      </c>
      <c r="D4775" s="25" t="s">
        <v>8088</v>
      </c>
      <c r="E4775" s="19" t="s">
        <v>8089</v>
      </c>
      <c r="F4775" s="19" t="s">
        <v>1170</v>
      </c>
      <c r="G4775" s="6" t="str">
        <f>HYPERLINK("http://jsmh.umin.jp/journal/51-1/50.pdf")</f>
        <v>http://jsmh.umin.jp/journal/51-1/50.pdf</v>
      </c>
      <c r="H4775" s="43" t="s">
        <v>10578</v>
      </c>
    </row>
    <row r="4776" spans="1:8" ht="30" customHeight="1" x14ac:dyDescent="0.15">
      <c r="A4776" s="16" t="s">
        <v>17</v>
      </c>
      <c r="B4776" s="17" t="s">
        <v>8094</v>
      </c>
      <c r="C4776" s="17" t="s">
        <v>8095</v>
      </c>
      <c r="D4776" s="25" t="s">
        <v>8088</v>
      </c>
      <c r="E4776" s="19" t="s">
        <v>8089</v>
      </c>
      <c r="F4776" s="19" t="s">
        <v>8096</v>
      </c>
      <c r="G4776" s="8" t="str">
        <f>HYPERLINK("http://jsmh.umin.jp/journal/51-1/51.pdf")</f>
        <v>http://jsmh.umin.jp/journal/51-1/51.pdf</v>
      </c>
      <c r="H4776" s="43"/>
    </row>
    <row r="4777" spans="1:8" ht="30" customHeight="1" x14ac:dyDescent="0.15">
      <c r="A4777" s="16" t="s">
        <v>558</v>
      </c>
      <c r="B4777" s="17" t="s">
        <v>10618</v>
      </c>
      <c r="C4777" s="17" t="s">
        <v>3655</v>
      </c>
      <c r="D4777" s="25" t="s">
        <v>8088</v>
      </c>
      <c r="E4777" s="19" t="s">
        <v>8089</v>
      </c>
      <c r="F4777" s="19" t="s">
        <v>3039</v>
      </c>
      <c r="G4777" s="6" t="str">
        <f>HYPERLINK("http://jsmh.umin.jp/journal/51-1/82.pdf")</f>
        <v>http://jsmh.umin.jp/journal/51-1/82.pdf</v>
      </c>
      <c r="H4777" s="43" t="s">
        <v>10578</v>
      </c>
    </row>
    <row r="4778" spans="1:8" ht="30" customHeight="1" x14ac:dyDescent="0.15">
      <c r="A4778" s="16" t="s">
        <v>17</v>
      </c>
      <c r="B4778" s="17" t="s">
        <v>8097</v>
      </c>
      <c r="C4778" s="17" t="s">
        <v>10214</v>
      </c>
      <c r="D4778" s="25" t="s">
        <v>8088</v>
      </c>
      <c r="E4778" s="19" t="s">
        <v>8089</v>
      </c>
      <c r="F4778" s="19" t="s">
        <v>7249</v>
      </c>
      <c r="G4778" s="8" t="str">
        <f>HYPERLINK("http://jsmh.umin.jp/journal/51-1/83.pdf")</f>
        <v>http://jsmh.umin.jp/journal/51-1/83.pdf</v>
      </c>
      <c r="H4778" s="43"/>
    </row>
    <row r="4779" spans="1:8" ht="30" customHeight="1" x14ac:dyDescent="0.15">
      <c r="A4779" s="16" t="s">
        <v>3223</v>
      </c>
      <c r="B4779" s="17" t="s">
        <v>8098</v>
      </c>
      <c r="C4779" s="17" t="s">
        <v>8099</v>
      </c>
      <c r="D4779" s="25" t="s">
        <v>8088</v>
      </c>
      <c r="E4779" s="19" t="s">
        <v>8089</v>
      </c>
      <c r="F4779" s="19" t="s">
        <v>5021</v>
      </c>
      <c r="G4779" s="9" t="str">
        <f>HYPERLINK("http://jsmh.umin.jp/journal/51-1/104.pdf")</f>
        <v>http://jsmh.umin.jp/journal/51-1/104.pdf</v>
      </c>
      <c r="H4779" s="43"/>
    </row>
    <row r="4780" spans="1:8" ht="30" customHeight="1" x14ac:dyDescent="0.15">
      <c r="A4780" s="16" t="s">
        <v>692</v>
      </c>
      <c r="B4780" s="17" t="s">
        <v>8100</v>
      </c>
      <c r="C4780" s="17" t="s">
        <v>7818</v>
      </c>
      <c r="D4780" s="25" t="s">
        <v>8088</v>
      </c>
      <c r="E4780" s="19" t="s">
        <v>8089</v>
      </c>
      <c r="F4780" s="19" t="s">
        <v>8101</v>
      </c>
      <c r="G4780" s="9" t="str">
        <f>HYPERLINK("http://jsmh.umin.jp/journal/51-1/107.pdf")</f>
        <v>http://jsmh.umin.jp/journal/51-1/107.pdf</v>
      </c>
      <c r="H4780" s="43"/>
    </row>
    <row r="4781" spans="1:8" ht="30" customHeight="1" x14ac:dyDescent="0.15">
      <c r="A4781" s="16" t="s">
        <v>692</v>
      </c>
      <c r="B4781" s="17" t="s">
        <v>8102</v>
      </c>
      <c r="C4781" s="17" t="s">
        <v>4870</v>
      </c>
      <c r="D4781" s="25" t="s">
        <v>8088</v>
      </c>
      <c r="E4781" s="19" t="s">
        <v>8089</v>
      </c>
      <c r="F4781" s="19" t="s">
        <v>8103</v>
      </c>
      <c r="G4781" s="9" t="str">
        <f>HYPERLINK("http://jsmh.umin.jp/journal/51-1/111.pdf")</f>
        <v>http://jsmh.umin.jp/journal/51-1/111.pdf</v>
      </c>
      <c r="H4781" s="43"/>
    </row>
    <row r="4782" spans="1:8" ht="30" customHeight="1" x14ac:dyDescent="0.15">
      <c r="A4782" s="16" t="s">
        <v>3720</v>
      </c>
      <c r="B4782" s="17" t="s">
        <v>8104</v>
      </c>
      <c r="C4782" s="17" t="s">
        <v>10368</v>
      </c>
      <c r="D4782" s="25" t="s">
        <v>8088</v>
      </c>
      <c r="E4782" s="19" t="s">
        <v>8089</v>
      </c>
      <c r="F4782" s="19" t="s">
        <v>4596</v>
      </c>
      <c r="G4782" s="9" t="str">
        <f>HYPERLINK("http://jsmh.umin.jp/journal/51-1/120.pdf")</f>
        <v>http://jsmh.umin.jp/journal/51-1/120.pdf</v>
      </c>
      <c r="H4782" s="43"/>
    </row>
    <row r="4783" spans="1:8" ht="30" customHeight="1" x14ac:dyDescent="0.15">
      <c r="A4783" s="16" t="s">
        <v>558</v>
      </c>
      <c r="B4783" s="17" t="s">
        <v>8105</v>
      </c>
      <c r="C4783" s="17"/>
      <c r="D4783" s="25" t="s">
        <v>8088</v>
      </c>
      <c r="E4783" s="19" t="s">
        <v>8089</v>
      </c>
      <c r="F4783" s="19" t="s">
        <v>8106</v>
      </c>
      <c r="G4783" s="9" t="str">
        <f>HYPERLINK("http://jsmh.umin.jp/journal/51-1/120k.pdf")</f>
        <v>http://jsmh.umin.jp/journal/51-1/120k.pdf</v>
      </c>
      <c r="H4783" s="43"/>
    </row>
    <row r="4784" spans="1:8" ht="30" customHeight="1" x14ac:dyDescent="0.15">
      <c r="A4784" s="16" t="s">
        <v>3720</v>
      </c>
      <c r="B4784" s="17" t="s">
        <v>8107</v>
      </c>
      <c r="C4784" s="17" t="s">
        <v>3199</v>
      </c>
      <c r="D4784" s="25" t="s">
        <v>8088</v>
      </c>
      <c r="E4784" s="19" t="s">
        <v>8089</v>
      </c>
      <c r="F4784" s="19" t="s">
        <v>4598</v>
      </c>
      <c r="G4784" s="9" t="str">
        <f>HYPERLINK("http://jsmh.umin.jp/journal/51-1/122.pdf")</f>
        <v>http://jsmh.umin.jp/journal/51-1/122.pdf</v>
      </c>
      <c r="H4784" s="43"/>
    </row>
    <row r="4785" spans="1:8" ht="30" customHeight="1" x14ac:dyDescent="0.15">
      <c r="A4785" s="16" t="s">
        <v>3720</v>
      </c>
      <c r="B4785" s="17" t="s">
        <v>8108</v>
      </c>
      <c r="C4785" s="17" t="s">
        <v>8109</v>
      </c>
      <c r="D4785" s="25" t="s">
        <v>8088</v>
      </c>
      <c r="E4785" s="19" t="s">
        <v>8089</v>
      </c>
      <c r="F4785" s="19" t="s">
        <v>2410</v>
      </c>
      <c r="G4785" s="9" t="str">
        <f>HYPERLINK("http://jsmh.umin.jp/journal/51-1/123.pdf")</f>
        <v>http://jsmh.umin.jp/journal/51-1/123.pdf</v>
      </c>
      <c r="H4785" s="43"/>
    </row>
    <row r="4786" spans="1:8" ht="30" customHeight="1" x14ac:dyDescent="0.15">
      <c r="A4786" s="16" t="s">
        <v>3720</v>
      </c>
      <c r="B4786" s="17" t="s">
        <v>10369</v>
      </c>
      <c r="C4786" s="17" t="s">
        <v>2937</v>
      </c>
      <c r="D4786" s="25" t="s">
        <v>8088</v>
      </c>
      <c r="E4786" s="19" t="s">
        <v>8089</v>
      </c>
      <c r="F4786" s="19" t="s">
        <v>8110</v>
      </c>
      <c r="G4786" s="9" t="str">
        <f>HYPERLINK("http://jsmh.umin.jp/journal/51-1/125.pdf")</f>
        <v>http://jsmh.umin.jp/journal/51-1/125.pdf</v>
      </c>
      <c r="H4786" s="43"/>
    </row>
    <row r="4787" spans="1:8" ht="30" customHeight="1" x14ac:dyDescent="0.15">
      <c r="A4787" s="16" t="s">
        <v>3720</v>
      </c>
      <c r="B4787" s="17" t="s">
        <v>8111</v>
      </c>
      <c r="C4787" s="17" t="s">
        <v>8112</v>
      </c>
      <c r="D4787" s="25" t="s">
        <v>8088</v>
      </c>
      <c r="E4787" s="19" t="s">
        <v>8089</v>
      </c>
      <c r="F4787" s="19" t="s">
        <v>2415</v>
      </c>
      <c r="G4787" s="9" t="str">
        <f>HYPERLINK("http://jsmh.umin.jp/journal/51-1/127.pdf")</f>
        <v>http://jsmh.umin.jp/journal/51-1/127.pdf</v>
      </c>
      <c r="H4787" s="43"/>
    </row>
    <row r="4788" spans="1:8" ht="30" customHeight="1" x14ac:dyDescent="0.15">
      <c r="A4788" s="16" t="s">
        <v>2990</v>
      </c>
      <c r="B4788" s="17" t="s">
        <v>8113</v>
      </c>
      <c r="C4788" s="17" t="s">
        <v>916</v>
      </c>
      <c r="D4788" s="25" t="s">
        <v>8088</v>
      </c>
      <c r="E4788" s="19" t="s">
        <v>8089</v>
      </c>
      <c r="F4788" s="19" t="s">
        <v>1498</v>
      </c>
      <c r="G4788" s="9" t="str">
        <f>HYPERLINK("http://jsmh.umin.jp/journal/51-1/128.pdf")</f>
        <v>http://jsmh.umin.jp/journal/51-1/128.pdf</v>
      </c>
      <c r="H4788" s="43"/>
    </row>
    <row r="4789" spans="1:8" ht="30" customHeight="1" x14ac:dyDescent="0.15">
      <c r="A4789" s="16" t="s">
        <v>2990</v>
      </c>
      <c r="B4789" s="17" t="s">
        <v>8114</v>
      </c>
      <c r="C4789" s="17" t="s">
        <v>2937</v>
      </c>
      <c r="D4789" s="25" t="s">
        <v>8088</v>
      </c>
      <c r="E4789" s="19" t="s">
        <v>8089</v>
      </c>
      <c r="F4789" s="19" t="s">
        <v>3627</v>
      </c>
      <c r="G4789" s="9" t="str">
        <f>HYPERLINK("http://jsmh.umin.jp/journal/51-1/129.pdf")</f>
        <v>http://jsmh.umin.jp/journal/51-1/129.pdf</v>
      </c>
      <c r="H4789" s="43"/>
    </row>
    <row r="4790" spans="1:8" ht="30" customHeight="1" x14ac:dyDescent="0.15">
      <c r="A4790" s="16" t="s">
        <v>2990</v>
      </c>
      <c r="B4790" s="17" t="s">
        <v>8115</v>
      </c>
      <c r="C4790" s="17" t="s">
        <v>1097</v>
      </c>
      <c r="D4790" s="25" t="s">
        <v>8088</v>
      </c>
      <c r="E4790" s="19" t="s">
        <v>8089</v>
      </c>
      <c r="F4790" s="19" t="s">
        <v>5966</v>
      </c>
      <c r="G4790" s="9" t="str">
        <f>HYPERLINK("http://jsmh.umin.jp/journal/51-1/131.pdf")</f>
        <v>http://jsmh.umin.jp/journal/51-1/131.pdf</v>
      </c>
      <c r="H4790" s="43"/>
    </row>
    <row r="4791" spans="1:8" ht="30" customHeight="1" x14ac:dyDescent="0.15">
      <c r="A4791" s="16" t="s">
        <v>2990</v>
      </c>
      <c r="B4791" s="17" t="s">
        <v>8116</v>
      </c>
      <c r="C4791" s="17" t="s">
        <v>4351</v>
      </c>
      <c r="D4791" s="25" t="s">
        <v>8088</v>
      </c>
      <c r="E4791" s="19" t="s">
        <v>8089</v>
      </c>
      <c r="F4791" s="19" t="s">
        <v>8117</v>
      </c>
      <c r="G4791" s="9" t="str">
        <f>HYPERLINK("http://jsmh.umin.jp/journal/51-1/133.pdf")</f>
        <v>http://jsmh.umin.jp/journal/51-1/133.pdf</v>
      </c>
      <c r="H4791" s="43"/>
    </row>
    <row r="4792" spans="1:8" ht="30" customHeight="1" x14ac:dyDescent="0.15">
      <c r="A4792" s="16" t="s">
        <v>1855</v>
      </c>
      <c r="B4792" s="17" t="s">
        <v>8118</v>
      </c>
      <c r="C4792" s="17" t="s">
        <v>8119</v>
      </c>
      <c r="D4792" s="25" t="s">
        <v>8088</v>
      </c>
      <c r="E4792" s="19" t="s">
        <v>8120</v>
      </c>
      <c r="F4792" s="19" t="s">
        <v>4807</v>
      </c>
      <c r="G4792" s="9" t="str">
        <f>HYPERLINK("http://jsmh.umin.jp/journal/51-2/145.pdf")</f>
        <v>http://jsmh.umin.jp/journal/51-2/145.pdf</v>
      </c>
      <c r="H4792" s="43"/>
    </row>
    <row r="4793" spans="1:8" ht="30" customHeight="1" x14ac:dyDescent="0.15">
      <c r="A4793" s="16" t="s">
        <v>1855</v>
      </c>
      <c r="B4793" s="17" t="s">
        <v>8121</v>
      </c>
      <c r="C4793" s="17" t="s">
        <v>8122</v>
      </c>
      <c r="D4793" s="25" t="s">
        <v>8088</v>
      </c>
      <c r="E4793" s="19" t="s">
        <v>8120</v>
      </c>
      <c r="F4793" s="19" t="s">
        <v>2240</v>
      </c>
      <c r="G4793" s="9" t="str">
        <f>HYPERLINK("http://jsmh.umin.jp/journal/51-2/148.pdf")</f>
        <v>http://jsmh.umin.jp/journal/51-2/148.pdf</v>
      </c>
      <c r="H4793" s="43"/>
    </row>
    <row r="4794" spans="1:8" ht="30" customHeight="1" x14ac:dyDescent="0.15">
      <c r="A4794" s="16" t="s">
        <v>1855</v>
      </c>
      <c r="B4794" s="17" t="s">
        <v>8123</v>
      </c>
      <c r="C4794" s="17" t="s">
        <v>4785</v>
      </c>
      <c r="D4794" s="25" t="s">
        <v>8088</v>
      </c>
      <c r="E4794" s="19" t="s">
        <v>8120</v>
      </c>
      <c r="F4794" s="19" t="s">
        <v>8124</v>
      </c>
      <c r="G4794" s="9" t="str">
        <f>HYPERLINK("http://jsmh.umin.jp/journal/51-2/150.pdf")</f>
        <v>http://jsmh.umin.jp/journal/51-2/150.pdf</v>
      </c>
      <c r="H4794" s="43"/>
    </row>
    <row r="4795" spans="1:8" ht="30" customHeight="1" x14ac:dyDescent="0.15">
      <c r="A4795" s="16" t="s">
        <v>1855</v>
      </c>
      <c r="B4795" s="17" t="s">
        <v>8125</v>
      </c>
      <c r="C4795" s="17" t="s">
        <v>10280</v>
      </c>
      <c r="D4795" s="25" t="s">
        <v>8088</v>
      </c>
      <c r="E4795" s="19" t="s">
        <v>8120</v>
      </c>
      <c r="F4795" s="19" t="s">
        <v>4814</v>
      </c>
      <c r="G4795" s="9" t="str">
        <f>HYPERLINK("http://jsmh.umin.jp/journal/51-2/158.pdf")</f>
        <v>http://jsmh.umin.jp/journal/51-2/158.pdf</v>
      </c>
      <c r="H4795" s="43"/>
    </row>
    <row r="4796" spans="1:8" ht="30" customHeight="1" x14ac:dyDescent="0.15">
      <c r="A4796" s="16" t="s">
        <v>1855</v>
      </c>
      <c r="B4796" s="17" t="s">
        <v>8126</v>
      </c>
      <c r="C4796" s="17" t="s">
        <v>10370</v>
      </c>
      <c r="D4796" s="25" t="s">
        <v>8088</v>
      </c>
      <c r="E4796" s="19" t="s">
        <v>8120</v>
      </c>
      <c r="F4796" s="19" t="s">
        <v>2546</v>
      </c>
      <c r="G4796" s="9" t="str">
        <f>HYPERLINK("http://jsmh.umin.jp/journal/51-2/160.pdf")</f>
        <v>http://jsmh.umin.jp/journal/51-2/160.pdf</v>
      </c>
      <c r="H4796" s="43"/>
    </row>
    <row r="4797" spans="1:8" ht="30" customHeight="1" x14ac:dyDescent="0.15">
      <c r="A4797" s="16" t="s">
        <v>1855</v>
      </c>
      <c r="B4797" s="17" t="s">
        <v>8127</v>
      </c>
      <c r="C4797" s="17" t="s">
        <v>8128</v>
      </c>
      <c r="D4797" s="25" t="s">
        <v>8088</v>
      </c>
      <c r="E4797" s="19" t="s">
        <v>8120</v>
      </c>
      <c r="F4797" s="19" t="s">
        <v>3658</v>
      </c>
      <c r="G4797" s="9" t="str">
        <f>HYPERLINK("http://jsmh.umin.jp/journal/51-2/162.pdf")</f>
        <v>http://jsmh.umin.jp/journal/51-2/162.pdf</v>
      </c>
      <c r="H4797" s="43"/>
    </row>
    <row r="4798" spans="1:8" ht="30" customHeight="1" x14ac:dyDescent="0.15">
      <c r="A4798" s="16" t="s">
        <v>1855</v>
      </c>
      <c r="B4798" s="17" t="s">
        <v>10371</v>
      </c>
      <c r="C4798" s="17" t="s">
        <v>8129</v>
      </c>
      <c r="D4798" s="25" t="s">
        <v>8088</v>
      </c>
      <c r="E4798" s="19" t="s">
        <v>8120</v>
      </c>
      <c r="F4798" s="19" t="s">
        <v>2041</v>
      </c>
      <c r="G4798" s="9" t="str">
        <f>HYPERLINK("http://jsmh.umin.jp/journal/51-2/164.pdf")</f>
        <v>http://jsmh.umin.jp/journal/51-2/164.pdf</v>
      </c>
      <c r="H4798" s="43"/>
    </row>
    <row r="4799" spans="1:8" ht="30" customHeight="1" x14ac:dyDescent="0.15">
      <c r="A4799" s="16" t="s">
        <v>1855</v>
      </c>
      <c r="B4799" s="17" t="s">
        <v>10372</v>
      </c>
      <c r="C4799" s="17" t="s">
        <v>8130</v>
      </c>
      <c r="D4799" s="25" t="s">
        <v>8088</v>
      </c>
      <c r="E4799" s="19" t="s">
        <v>8120</v>
      </c>
      <c r="F4799" s="19" t="s">
        <v>2776</v>
      </c>
      <c r="G4799" s="9" t="str">
        <f>HYPERLINK("http://jsmh.umin.jp/journal/51-2/166.pdf")</f>
        <v>http://jsmh.umin.jp/journal/51-2/166.pdf</v>
      </c>
      <c r="H4799" s="43"/>
    </row>
    <row r="4800" spans="1:8" ht="30" customHeight="1" x14ac:dyDescent="0.15">
      <c r="A4800" s="16" t="s">
        <v>1855</v>
      </c>
      <c r="B4800" s="17" t="s">
        <v>8131</v>
      </c>
      <c r="C4800" s="17" t="s">
        <v>10344</v>
      </c>
      <c r="D4800" s="25" t="s">
        <v>8088</v>
      </c>
      <c r="E4800" s="19" t="s">
        <v>8120</v>
      </c>
      <c r="F4800" s="19" t="s">
        <v>3416</v>
      </c>
      <c r="G4800" s="9" t="str">
        <f>HYPERLINK("http://jsmh.umin.jp/journal/51-2/169.pdf")</f>
        <v>http://jsmh.umin.jp/journal/51-2/169.pdf</v>
      </c>
      <c r="H4800" s="43"/>
    </row>
    <row r="4801" spans="1:8" ht="30" customHeight="1" x14ac:dyDescent="0.15">
      <c r="A4801" s="16" t="s">
        <v>1855</v>
      </c>
      <c r="B4801" s="17" t="s">
        <v>8132</v>
      </c>
      <c r="C4801" s="17" t="s">
        <v>8133</v>
      </c>
      <c r="D4801" s="25" t="s">
        <v>8088</v>
      </c>
      <c r="E4801" s="19" t="s">
        <v>8120</v>
      </c>
      <c r="F4801" s="19" t="s">
        <v>2559</v>
      </c>
      <c r="G4801" s="9" t="str">
        <f>HYPERLINK("http://jsmh.umin.jp/journal/51-2/171.pdf")</f>
        <v>http://jsmh.umin.jp/journal/51-2/171.pdf</v>
      </c>
      <c r="H4801" s="43"/>
    </row>
    <row r="4802" spans="1:8" ht="30" customHeight="1" x14ac:dyDescent="0.15">
      <c r="A4802" s="16" t="s">
        <v>1855</v>
      </c>
      <c r="B4802" s="17" t="s">
        <v>8134</v>
      </c>
      <c r="C4802" s="17" t="s">
        <v>8135</v>
      </c>
      <c r="D4802" s="25" t="s">
        <v>8088</v>
      </c>
      <c r="E4802" s="19" t="s">
        <v>8120</v>
      </c>
      <c r="F4802" s="19" t="s">
        <v>2920</v>
      </c>
      <c r="G4802" s="9" t="str">
        <f>HYPERLINK("http://jsmh.umin.jp/journal/51-2/173.pdf")</f>
        <v>http://jsmh.umin.jp/journal/51-2/173.pdf</v>
      </c>
      <c r="H4802" s="43"/>
    </row>
    <row r="4803" spans="1:8" ht="30" customHeight="1" x14ac:dyDescent="0.15">
      <c r="A4803" s="16" t="s">
        <v>1855</v>
      </c>
      <c r="B4803" s="17" t="s">
        <v>8136</v>
      </c>
      <c r="C4803" s="17" t="s">
        <v>8137</v>
      </c>
      <c r="D4803" s="25" t="s">
        <v>8088</v>
      </c>
      <c r="E4803" s="19" t="s">
        <v>8120</v>
      </c>
      <c r="F4803" s="19" t="s">
        <v>4170</v>
      </c>
      <c r="G4803" s="9" t="str">
        <f>HYPERLINK("http://jsmh.umin.jp/journal/51-2/175.pdf")</f>
        <v>http://jsmh.umin.jp/journal/51-2/175.pdf</v>
      </c>
      <c r="H4803" s="43"/>
    </row>
    <row r="4804" spans="1:8" ht="30" customHeight="1" x14ac:dyDescent="0.15">
      <c r="A4804" s="16" t="s">
        <v>1855</v>
      </c>
      <c r="B4804" s="17" t="s">
        <v>8138</v>
      </c>
      <c r="C4804" s="17" t="s">
        <v>7527</v>
      </c>
      <c r="D4804" s="25" t="s">
        <v>8088</v>
      </c>
      <c r="E4804" s="19" t="s">
        <v>8120</v>
      </c>
      <c r="F4804" s="19" t="s">
        <v>1707</v>
      </c>
      <c r="G4804" s="9" t="str">
        <f>HYPERLINK("http://jsmh.umin.jp/journal/51-2/177.pdf")</f>
        <v>http://jsmh.umin.jp/journal/51-2/177.pdf</v>
      </c>
      <c r="H4804" s="43"/>
    </row>
    <row r="4805" spans="1:8" ht="30" customHeight="1" x14ac:dyDescent="0.15">
      <c r="A4805" s="16" t="s">
        <v>558</v>
      </c>
      <c r="B4805" s="17" t="s">
        <v>8139</v>
      </c>
      <c r="C4805" s="17" t="s">
        <v>8140</v>
      </c>
      <c r="D4805" s="25" t="s">
        <v>8088</v>
      </c>
      <c r="E4805" s="19" t="s">
        <v>8120</v>
      </c>
      <c r="F4805" s="19" t="s">
        <v>4173</v>
      </c>
      <c r="G4805" s="8" t="str">
        <f>HYPERLINK("http://jsmh.umin.jp/journal/51-2/179.pdf")</f>
        <v>http://jsmh.umin.jp/journal/51-2/179.pdf</v>
      </c>
      <c r="H4805" s="43"/>
    </row>
    <row r="4806" spans="1:8" ht="30" customHeight="1" x14ac:dyDescent="0.15">
      <c r="A4806" s="16" t="s">
        <v>1855</v>
      </c>
      <c r="B4806" s="17" t="s">
        <v>8141</v>
      </c>
      <c r="C4806" s="17" t="s">
        <v>6851</v>
      </c>
      <c r="D4806" s="25" t="s">
        <v>8088</v>
      </c>
      <c r="E4806" s="19" t="s">
        <v>8120</v>
      </c>
      <c r="F4806" s="19" t="s">
        <v>1713</v>
      </c>
      <c r="G4806" s="9" t="str">
        <f>HYPERLINK("http://jsmh.umin.jp/journal/51-2/180.pdf")</f>
        <v>http://jsmh.umin.jp/journal/51-2/180.pdf</v>
      </c>
      <c r="H4806" s="43"/>
    </row>
    <row r="4807" spans="1:8" ht="30" customHeight="1" x14ac:dyDescent="0.15">
      <c r="A4807" s="16" t="s">
        <v>1855</v>
      </c>
      <c r="B4807" s="17" t="s">
        <v>8142</v>
      </c>
      <c r="C4807" s="17" t="s">
        <v>10373</v>
      </c>
      <c r="D4807" s="25" t="s">
        <v>8088</v>
      </c>
      <c r="E4807" s="19" t="s">
        <v>8120</v>
      </c>
      <c r="F4807" s="19" t="s">
        <v>1715</v>
      </c>
      <c r="G4807" s="9" t="str">
        <f>HYPERLINK("http://jsmh.umin.jp/journal/51-2/182.pdf")</f>
        <v>http://jsmh.umin.jp/journal/51-2/182.pdf</v>
      </c>
      <c r="H4807" s="43"/>
    </row>
    <row r="4808" spans="1:8" ht="30" customHeight="1" x14ac:dyDescent="0.15">
      <c r="A4808" s="16" t="s">
        <v>1855</v>
      </c>
      <c r="B4808" s="17" t="s">
        <v>8143</v>
      </c>
      <c r="C4808" s="17" t="s">
        <v>5606</v>
      </c>
      <c r="D4808" s="25" t="s">
        <v>8088</v>
      </c>
      <c r="E4808" s="19" t="s">
        <v>8120</v>
      </c>
      <c r="F4808" s="19" t="s">
        <v>3984</v>
      </c>
      <c r="G4808" s="9" t="str">
        <f>HYPERLINK("http://jsmh.umin.jp/journal/51-2/184.pdf")</f>
        <v>http://jsmh.umin.jp/journal/51-2/184.pdf</v>
      </c>
      <c r="H4808" s="43"/>
    </row>
    <row r="4809" spans="1:8" ht="30" customHeight="1" x14ac:dyDescent="0.15">
      <c r="A4809" s="16" t="s">
        <v>1855</v>
      </c>
      <c r="B4809" s="17" t="s">
        <v>8144</v>
      </c>
      <c r="C4809" s="17" t="s">
        <v>444</v>
      </c>
      <c r="D4809" s="25" t="s">
        <v>8088</v>
      </c>
      <c r="E4809" s="19" t="s">
        <v>8120</v>
      </c>
      <c r="F4809" s="19" t="s">
        <v>1721</v>
      </c>
      <c r="G4809" s="9" t="str">
        <f>HYPERLINK("http://jsmh.umin.jp/journal/51-2/186.pdf")</f>
        <v>http://jsmh.umin.jp/journal/51-2/186.pdf</v>
      </c>
      <c r="H4809" s="43"/>
    </row>
    <row r="4810" spans="1:8" ht="30" customHeight="1" x14ac:dyDescent="0.15">
      <c r="A4810" s="16" t="s">
        <v>1855</v>
      </c>
      <c r="B4810" s="17" t="s">
        <v>8145</v>
      </c>
      <c r="C4810" s="17" t="s">
        <v>8146</v>
      </c>
      <c r="D4810" s="25" t="s">
        <v>8088</v>
      </c>
      <c r="E4810" s="19" t="s">
        <v>8120</v>
      </c>
      <c r="F4810" s="19" t="s">
        <v>2580</v>
      </c>
      <c r="G4810" s="9" t="str">
        <f>HYPERLINK("http://jsmh.umin.jp/journal/51-2/188.pdf")</f>
        <v>http://jsmh.umin.jp/journal/51-2/188.pdf</v>
      </c>
      <c r="H4810" s="43"/>
    </row>
    <row r="4811" spans="1:8" ht="30" customHeight="1" x14ac:dyDescent="0.15">
      <c r="A4811" s="16" t="s">
        <v>1855</v>
      </c>
      <c r="B4811" s="17" t="s">
        <v>10374</v>
      </c>
      <c r="C4811" s="17" t="s">
        <v>790</v>
      </c>
      <c r="D4811" s="25" t="s">
        <v>8088</v>
      </c>
      <c r="E4811" s="19" t="s">
        <v>8120</v>
      </c>
      <c r="F4811" s="19" t="s">
        <v>976</v>
      </c>
      <c r="G4811" s="9" t="str">
        <f>HYPERLINK("http://jsmh.umin.jp/journal/51-2/190.pdf")</f>
        <v>http://jsmh.umin.jp/journal/51-2/190.pdf</v>
      </c>
      <c r="H4811" s="43"/>
    </row>
    <row r="4812" spans="1:8" ht="30" customHeight="1" x14ac:dyDescent="0.15">
      <c r="A4812" s="16" t="s">
        <v>1855</v>
      </c>
      <c r="B4812" s="17" t="s">
        <v>10639</v>
      </c>
      <c r="C4812" s="17" t="s">
        <v>7891</v>
      </c>
      <c r="D4812" s="25" t="s">
        <v>8088</v>
      </c>
      <c r="E4812" s="19" t="s">
        <v>8120</v>
      </c>
      <c r="F4812" s="19" t="s">
        <v>986</v>
      </c>
      <c r="G4812" s="9" t="str">
        <f>HYPERLINK("http://jsmh.umin.jp/journal/51-2/192.pdf")</f>
        <v>http://jsmh.umin.jp/journal/51-2/192.pdf</v>
      </c>
      <c r="H4812" s="43"/>
    </row>
    <row r="4813" spans="1:8" ht="30" customHeight="1" x14ac:dyDescent="0.15">
      <c r="A4813" s="16" t="s">
        <v>1855</v>
      </c>
      <c r="B4813" s="17" t="s">
        <v>10640</v>
      </c>
      <c r="C4813" s="17" t="s">
        <v>6568</v>
      </c>
      <c r="D4813" s="25" t="s">
        <v>8088</v>
      </c>
      <c r="E4813" s="19" t="s">
        <v>8120</v>
      </c>
      <c r="F4813" s="19" t="s">
        <v>993</v>
      </c>
      <c r="G4813" s="9" t="str">
        <f>HYPERLINK("http://jsmh.umin.jp/journal/51-2/194.pdf")</f>
        <v>http://jsmh.umin.jp/journal/51-2/194.pdf</v>
      </c>
      <c r="H4813" s="43"/>
    </row>
    <row r="4814" spans="1:8" ht="30" customHeight="1" x14ac:dyDescent="0.15">
      <c r="A4814" s="16" t="s">
        <v>1855</v>
      </c>
      <c r="B4814" s="17" t="s">
        <v>8147</v>
      </c>
      <c r="C4814" s="17" t="s">
        <v>8148</v>
      </c>
      <c r="D4814" s="25" t="s">
        <v>8088</v>
      </c>
      <c r="E4814" s="19" t="s">
        <v>8120</v>
      </c>
      <c r="F4814" s="19" t="s">
        <v>999</v>
      </c>
      <c r="G4814" s="9" t="str">
        <f>HYPERLINK("http://jsmh.umin.jp/journal/51-2/196.pdf")</f>
        <v>http://jsmh.umin.jp/journal/51-2/196.pdf</v>
      </c>
      <c r="H4814" s="43"/>
    </row>
    <row r="4815" spans="1:8" ht="30" customHeight="1" x14ac:dyDescent="0.15">
      <c r="A4815" s="16" t="s">
        <v>1855</v>
      </c>
      <c r="B4815" s="17" t="s">
        <v>8149</v>
      </c>
      <c r="C4815" s="17" t="s">
        <v>1929</v>
      </c>
      <c r="D4815" s="25" t="s">
        <v>8088</v>
      </c>
      <c r="E4815" s="19" t="s">
        <v>8120</v>
      </c>
      <c r="F4815" s="19" t="s">
        <v>1740</v>
      </c>
      <c r="G4815" s="9" t="str">
        <f>HYPERLINK("http://jsmh.umin.jp/journal/51-2/198.pdf")</f>
        <v>http://jsmh.umin.jp/journal/51-2/198.pdf</v>
      </c>
      <c r="H4815" s="43"/>
    </row>
    <row r="4816" spans="1:8" ht="30" customHeight="1" x14ac:dyDescent="0.15">
      <c r="A4816" s="16" t="s">
        <v>1855</v>
      </c>
      <c r="B4816" s="17" t="s">
        <v>8150</v>
      </c>
      <c r="C4816" s="17" t="s">
        <v>6078</v>
      </c>
      <c r="D4816" s="25" t="s">
        <v>8088</v>
      </c>
      <c r="E4816" s="19" t="s">
        <v>8120</v>
      </c>
      <c r="F4816" s="19" t="s">
        <v>1743</v>
      </c>
      <c r="G4816" s="9" t="str">
        <f>HYPERLINK("http://jsmh.umin.jp/journal/51-2/200.pdf")</f>
        <v>http://jsmh.umin.jp/journal/51-2/200.pdf</v>
      </c>
      <c r="H4816" s="43"/>
    </row>
    <row r="4817" spans="1:8" ht="30" customHeight="1" x14ac:dyDescent="0.15">
      <c r="A4817" s="16" t="s">
        <v>1855</v>
      </c>
      <c r="B4817" s="17" t="s">
        <v>8151</v>
      </c>
      <c r="C4817" s="17" t="s">
        <v>7916</v>
      </c>
      <c r="D4817" s="25" t="s">
        <v>8088</v>
      </c>
      <c r="E4817" s="19" t="s">
        <v>8120</v>
      </c>
      <c r="F4817" s="19" t="s">
        <v>1748</v>
      </c>
      <c r="G4817" s="9" t="str">
        <f>HYPERLINK("http://jsmh.umin.jp/journal/51-2/202.pdf")</f>
        <v>http://jsmh.umin.jp/journal/51-2/202.pdf</v>
      </c>
      <c r="H4817" s="43"/>
    </row>
    <row r="4818" spans="1:8" ht="30" customHeight="1" x14ac:dyDescent="0.15">
      <c r="A4818" s="16" t="s">
        <v>1855</v>
      </c>
      <c r="B4818" s="17" t="s">
        <v>8152</v>
      </c>
      <c r="C4818" s="17" t="s">
        <v>7736</v>
      </c>
      <c r="D4818" s="25" t="s">
        <v>8088</v>
      </c>
      <c r="E4818" s="19" t="s">
        <v>8120</v>
      </c>
      <c r="F4818" s="19" t="s">
        <v>256</v>
      </c>
      <c r="G4818" s="9" t="str">
        <f>HYPERLINK("http://jsmh.umin.jp/journal/51-2/204.pdf")</f>
        <v>http://jsmh.umin.jp/journal/51-2/204.pdf</v>
      </c>
      <c r="H4818" s="43"/>
    </row>
    <row r="4819" spans="1:8" ht="30" customHeight="1" x14ac:dyDescent="0.15">
      <c r="A4819" s="16" t="s">
        <v>1855</v>
      </c>
      <c r="B4819" s="17" t="s">
        <v>8153</v>
      </c>
      <c r="C4819" s="17" t="s">
        <v>8154</v>
      </c>
      <c r="D4819" s="25" t="s">
        <v>8088</v>
      </c>
      <c r="E4819" s="19" t="s">
        <v>8120</v>
      </c>
      <c r="F4819" s="19" t="s">
        <v>3271</v>
      </c>
      <c r="G4819" s="9" t="str">
        <f>HYPERLINK("http://jsmh.umin.jp/journal/51-2/206.pdf")</f>
        <v>http://jsmh.umin.jp/journal/51-2/206.pdf</v>
      </c>
      <c r="H4819" s="43"/>
    </row>
    <row r="4820" spans="1:8" ht="30" customHeight="1" x14ac:dyDescent="0.15">
      <c r="A4820" s="16" t="s">
        <v>1855</v>
      </c>
      <c r="B4820" s="17" t="s">
        <v>8155</v>
      </c>
      <c r="C4820" s="17" t="s">
        <v>8156</v>
      </c>
      <c r="D4820" s="25" t="s">
        <v>8088</v>
      </c>
      <c r="E4820" s="19" t="s">
        <v>8120</v>
      </c>
      <c r="F4820" s="19" t="s">
        <v>4193</v>
      </c>
      <c r="G4820" s="9" t="str">
        <f>HYPERLINK("http://jsmh.umin.jp/journal/51-2/208.pdf")</f>
        <v>http://jsmh.umin.jp/journal/51-2/208.pdf</v>
      </c>
      <c r="H4820" s="43"/>
    </row>
    <row r="4821" spans="1:8" ht="30" customHeight="1" x14ac:dyDescent="0.15">
      <c r="A4821" s="16" t="s">
        <v>1855</v>
      </c>
      <c r="B4821" s="17" t="s">
        <v>8157</v>
      </c>
      <c r="C4821" s="17" t="s">
        <v>6267</v>
      </c>
      <c r="D4821" s="25" t="s">
        <v>8088</v>
      </c>
      <c r="E4821" s="19" t="s">
        <v>8120</v>
      </c>
      <c r="F4821" s="19" t="s">
        <v>271</v>
      </c>
      <c r="G4821" s="9" t="str">
        <f>HYPERLINK("http://jsmh.umin.jp/journal/51-2/210.pdf")</f>
        <v>http://jsmh.umin.jp/journal/51-2/210.pdf</v>
      </c>
      <c r="H4821" s="43"/>
    </row>
    <row r="4822" spans="1:8" ht="30" customHeight="1" x14ac:dyDescent="0.15">
      <c r="A4822" s="16" t="s">
        <v>1855</v>
      </c>
      <c r="B4822" s="17" t="s">
        <v>8158</v>
      </c>
      <c r="C4822" s="17" t="s">
        <v>7971</v>
      </c>
      <c r="D4822" s="25" t="s">
        <v>8088</v>
      </c>
      <c r="E4822" s="19" t="s">
        <v>8120</v>
      </c>
      <c r="F4822" s="19" t="s">
        <v>274</v>
      </c>
      <c r="G4822" s="9" t="str">
        <f>HYPERLINK("http://jsmh.umin.jp/journal/51-2/212.pdf")</f>
        <v>http://jsmh.umin.jp/journal/51-2/212.pdf</v>
      </c>
      <c r="H4822" s="43"/>
    </row>
    <row r="4823" spans="1:8" ht="30" customHeight="1" x14ac:dyDescent="0.15">
      <c r="A4823" s="16" t="s">
        <v>1855</v>
      </c>
      <c r="B4823" s="17" t="s">
        <v>8159</v>
      </c>
      <c r="C4823" s="17" t="s">
        <v>7893</v>
      </c>
      <c r="D4823" s="25" t="s">
        <v>8088</v>
      </c>
      <c r="E4823" s="19" t="s">
        <v>8120</v>
      </c>
      <c r="F4823" s="19" t="s">
        <v>281</v>
      </c>
      <c r="G4823" s="9" t="str">
        <f>HYPERLINK("http://jsmh.umin.jp/journal/51-2/214.pdf")</f>
        <v>http://jsmh.umin.jp/journal/51-2/214.pdf</v>
      </c>
      <c r="H4823" s="43"/>
    </row>
    <row r="4824" spans="1:8" ht="30" customHeight="1" x14ac:dyDescent="0.15">
      <c r="A4824" s="16" t="s">
        <v>1855</v>
      </c>
      <c r="B4824" s="17" t="s">
        <v>8160</v>
      </c>
      <c r="C4824" s="17" t="s">
        <v>7965</v>
      </c>
      <c r="D4824" s="25" t="s">
        <v>8088</v>
      </c>
      <c r="E4824" s="19" t="s">
        <v>8120</v>
      </c>
      <c r="F4824" s="19" t="s">
        <v>292</v>
      </c>
      <c r="G4824" s="9" t="str">
        <f>HYPERLINK("http://jsmh.umin.jp/journal/51-2/216.pdf")</f>
        <v>http://jsmh.umin.jp/journal/51-2/216.pdf</v>
      </c>
      <c r="H4824" s="43"/>
    </row>
    <row r="4825" spans="1:8" ht="30" customHeight="1" x14ac:dyDescent="0.15">
      <c r="A4825" s="16" t="s">
        <v>1855</v>
      </c>
      <c r="B4825" s="17" t="s">
        <v>8161</v>
      </c>
      <c r="C4825" s="17" t="s">
        <v>8162</v>
      </c>
      <c r="D4825" s="25" t="s">
        <v>8088</v>
      </c>
      <c r="E4825" s="19" t="s">
        <v>8120</v>
      </c>
      <c r="F4825" s="19" t="s">
        <v>298</v>
      </c>
      <c r="G4825" s="9" t="str">
        <f>HYPERLINK("http://jsmh.umin.jp/journal/51-2/218.pdf")</f>
        <v>http://jsmh.umin.jp/journal/51-2/218.pdf</v>
      </c>
      <c r="H4825" s="43"/>
    </row>
    <row r="4826" spans="1:8" ht="30" customHeight="1" x14ac:dyDescent="0.15">
      <c r="A4826" s="16" t="s">
        <v>1855</v>
      </c>
      <c r="B4826" s="17" t="s">
        <v>8163</v>
      </c>
      <c r="C4826" s="17" t="s">
        <v>10375</v>
      </c>
      <c r="D4826" s="25" t="s">
        <v>8088</v>
      </c>
      <c r="E4826" s="19" t="s">
        <v>8120</v>
      </c>
      <c r="F4826" s="19" t="s">
        <v>5443</v>
      </c>
      <c r="G4826" s="9" t="str">
        <f>HYPERLINK("http://jsmh.umin.jp/journal/51-2/220.pdf")</f>
        <v>http://jsmh.umin.jp/journal/51-2/220.pdf</v>
      </c>
      <c r="H4826" s="43"/>
    </row>
    <row r="4827" spans="1:8" ht="30" customHeight="1" x14ac:dyDescent="0.15">
      <c r="A4827" s="16" t="s">
        <v>1855</v>
      </c>
      <c r="B4827" s="17" t="s">
        <v>8164</v>
      </c>
      <c r="C4827" s="17" t="s">
        <v>7322</v>
      </c>
      <c r="D4827" s="25" t="s">
        <v>8088</v>
      </c>
      <c r="E4827" s="19" t="s">
        <v>8120</v>
      </c>
      <c r="F4827" s="19" t="s">
        <v>1390</v>
      </c>
      <c r="G4827" s="9" t="str">
        <f>HYPERLINK("http://jsmh.umin.jp/journal/51-2/222.pdf")</f>
        <v>http://jsmh.umin.jp/journal/51-2/222.pdf</v>
      </c>
      <c r="H4827" s="43"/>
    </row>
    <row r="4828" spans="1:8" ht="30" customHeight="1" x14ac:dyDescent="0.15">
      <c r="A4828" s="16" t="s">
        <v>1855</v>
      </c>
      <c r="B4828" s="17" t="s">
        <v>8165</v>
      </c>
      <c r="C4828" s="17" t="s">
        <v>7760</v>
      </c>
      <c r="D4828" s="25" t="s">
        <v>8088</v>
      </c>
      <c r="E4828" s="19" t="s">
        <v>8120</v>
      </c>
      <c r="F4828" s="19" t="s">
        <v>1393</v>
      </c>
      <c r="G4828" s="9" t="str">
        <f>HYPERLINK("http://jsmh.umin.jp/journal/51-2/224.pdf")</f>
        <v>http://jsmh.umin.jp/journal/51-2/224.pdf</v>
      </c>
      <c r="H4828" s="43"/>
    </row>
    <row r="4829" spans="1:8" ht="30" customHeight="1" x14ac:dyDescent="0.15">
      <c r="A4829" s="16" t="s">
        <v>1855</v>
      </c>
      <c r="B4829" s="17" t="s">
        <v>8166</v>
      </c>
      <c r="C4829" s="17" t="s">
        <v>7758</v>
      </c>
      <c r="D4829" s="25" t="s">
        <v>8088</v>
      </c>
      <c r="E4829" s="19" t="s">
        <v>8120</v>
      </c>
      <c r="F4829" s="19" t="s">
        <v>1861</v>
      </c>
      <c r="G4829" s="9" t="str">
        <f>HYPERLINK("http://jsmh.umin.jp/journal/51-2/226.pdf")</f>
        <v>http://jsmh.umin.jp/journal/51-2/226.pdf</v>
      </c>
      <c r="H4829" s="43"/>
    </row>
    <row r="4830" spans="1:8" ht="30" customHeight="1" x14ac:dyDescent="0.15">
      <c r="A4830" s="16" t="s">
        <v>1855</v>
      </c>
      <c r="B4830" s="17" t="s">
        <v>8167</v>
      </c>
      <c r="C4830" s="17" t="s">
        <v>7949</v>
      </c>
      <c r="D4830" s="25" t="s">
        <v>8088</v>
      </c>
      <c r="E4830" s="19" t="s">
        <v>8120</v>
      </c>
      <c r="F4830" s="19" t="s">
        <v>108</v>
      </c>
      <c r="G4830" s="9" t="str">
        <f>HYPERLINK("http://jsmh.umin.jp/journal/51-2/228.pdf")</f>
        <v>http://jsmh.umin.jp/journal/51-2/228.pdf</v>
      </c>
      <c r="H4830" s="43"/>
    </row>
    <row r="4831" spans="1:8" ht="30" customHeight="1" x14ac:dyDescent="0.15">
      <c r="A4831" s="16" t="s">
        <v>1855</v>
      </c>
      <c r="B4831" s="17" t="s">
        <v>8168</v>
      </c>
      <c r="C4831" s="17" t="s">
        <v>2937</v>
      </c>
      <c r="D4831" s="25" t="s">
        <v>8088</v>
      </c>
      <c r="E4831" s="19" t="s">
        <v>8120</v>
      </c>
      <c r="F4831" s="19" t="s">
        <v>119</v>
      </c>
      <c r="G4831" s="9" t="str">
        <f>HYPERLINK("http://jsmh.umin.jp/journal/51-2/230.pdf")</f>
        <v>http://jsmh.umin.jp/journal/51-2/230.pdf</v>
      </c>
      <c r="H4831" s="43"/>
    </row>
    <row r="4832" spans="1:8" ht="30" customHeight="1" x14ac:dyDescent="0.15">
      <c r="A4832" s="16" t="s">
        <v>1855</v>
      </c>
      <c r="B4832" s="17" t="s">
        <v>8169</v>
      </c>
      <c r="C4832" s="17" t="s">
        <v>8170</v>
      </c>
      <c r="D4832" s="25" t="s">
        <v>8088</v>
      </c>
      <c r="E4832" s="19" t="s">
        <v>8120</v>
      </c>
      <c r="F4832" s="19" t="s">
        <v>124</v>
      </c>
      <c r="G4832" s="9" t="str">
        <f>HYPERLINK("http://jsmh.umin.jp/journal/51-2/232.pdf")</f>
        <v>http://jsmh.umin.jp/journal/51-2/232.pdf</v>
      </c>
      <c r="H4832" s="43"/>
    </row>
    <row r="4833" spans="1:8" ht="30" customHeight="1" x14ac:dyDescent="0.15">
      <c r="A4833" s="16" t="s">
        <v>1855</v>
      </c>
      <c r="B4833" s="17" t="s">
        <v>8171</v>
      </c>
      <c r="C4833" s="17" t="s">
        <v>672</v>
      </c>
      <c r="D4833" s="25" t="s">
        <v>8088</v>
      </c>
      <c r="E4833" s="19" t="s">
        <v>8120</v>
      </c>
      <c r="F4833" s="19" t="s">
        <v>132</v>
      </c>
      <c r="G4833" s="9" t="str">
        <f>HYPERLINK("http://jsmh.umin.jp/journal/51-2/234.pdf")</f>
        <v>http://jsmh.umin.jp/journal/51-2/234.pdf</v>
      </c>
      <c r="H4833" s="43"/>
    </row>
    <row r="4834" spans="1:8" ht="30" customHeight="1" x14ac:dyDescent="0.15">
      <c r="A4834" s="16" t="s">
        <v>1855</v>
      </c>
      <c r="B4834" s="17" t="s">
        <v>8172</v>
      </c>
      <c r="C4834" s="17" t="s">
        <v>925</v>
      </c>
      <c r="D4834" s="25" t="s">
        <v>8088</v>
      </c>
      <c r="E4834" s="19" t="s">
        <v>8120</v>
      </c>
      <c r="F4834" s="19" t="s">
        <v>140</v>
      </c>
      <c r="G4834" s="9" t="str">
        <f>HYPERLINK("http://jsmh.umin.jp/journal/51-2/236.pdf")</f>
        <v>http://jsmh.umin.jp/journal/51-2/236.pdf</v>
      </c>
      <c r="H4834" s="43"/>
    </row>
    <row r="4835" spans="1:8" ht="30" customHeight="1" x14ac:dyDescent="0.15">
      <c r="A4835" s="16" t="s">
        <v>1855</v>
      </c>
      <c r="B4835" s="17" t="s">
        <v>8173</v>
      </c>
      <c r="C4835" s="17" t="s">
        <v>10355</v>
      </c>
      <c r="D4835" s="25" t="s">
        <v>8088</v>
      </c>
      <c r="E4835" s="19" t="s">
        <v>8120</v>
      </c>
      <c r="F4835" s="19" t="s">
        <v>145</v>
      </c>
      <c r="G4835" s="9" t="str">
        <f>HYPERLINK("http://jsmh.umin.jp/journal/51-2/238.pdf")</f>
        <v>http://jsmh.umin.jp/journal/51-2/238.pdf</v>
      </c>
      <c r="H4835" s="43"/>
    </row>
    <row r="4836" spans="1:8" ht="30" customHeight="1" x14ac:dyDescent="0.15">
      <c r="A4836" s="16" t="s">
        <v>1855</v>
      </c>
      <c r="B4836" s="17" t="s">
        <v>10376</v>
      </c>
      <c r="C4836" s="17" t="s">
        <v>4085</v>
      </c>
      <c r="D4836" s="25" t="s">
        <v>8088</v>
      </c>
      <c r="E4836" s="19" t="s">
        <v>8120</v>
      </c>
      <c r="F4836" s="19" t="s">
        <v>3458</v>
      </c>
      <c r="G4836" s="9" t="str">
        <f>HYPERLINK("http://jsmh.umin.jp/journal/51-2/240.pdf")</f>
        <v>http://jsmh.umin.jp/journal/51-2/240.pdf</v>
      </c>
      <c r="H4836" s="43"/>
    </row>
    <row r="4837" spans="1:8" ht="30" customHeight="1" x14ac:dyDescent="0.15">
      <c r="A4837" s="16" t="s">
        <v>1855</v>
      </c>
      <c r="B4837" s="17" t="s">
        <v>8174</v>
      </c>
      <c r="C4837" s="17" t="s">
        <v>6640</v>
      </c>
      <c r="D4837" s="25" t="s">
        <v>8088</v>
      </c>
      <c r="E4837" s="19" t="s">
        <v>8120</v>
      </c>
      <c r="F4837" s="19" t="s">
        <v>3304</v>
      </c>
      <c r="G4837" s="9" t="str">
        <f>HYPERLINK("http://jsmh.umin.jp/journal/51-2/242.pdf")</f>
        <v>http://jsmh.umin.jp/journal/51-2/242.pdf</v>
      </c>
      <c r="H4837" s="43"/>
    </row>
    <row r="4838" spans="1:8" ht="30" customHeight="1" x14ac:dyDescent="0.15">
      <c r="A4838" s="16" t="s">
        <v>1855</v>
      </c>
      <c r="B4838" s="17" t="s">
        <v>10377</v>
      </c>
      <c r="C4838" s="17" t="s">
        <v>2386</v>
      </c>
      <c r="D4838" s="25" t="s">
        <v>8088</v>
      </c>
      <c r="E4838" s="19" t="s">
        <v>8120</v>
      </c>
      <c r="F4838" s="19" t="s">
        <v>3307</v>
      </c>
      <c r="G4838" s="9" t="str">
        <f>HYPERLINK("http://jsmh.umin.jp/journal/51-2/244.pdf")</f>
        <v>http://jsmh.umin.jp/journal/51-2/244.pdf</v>
      </c>
      <c r="H4838" s="43"/>
    </row>
    <row r="4839" spans="1:8" ht="30" customHeight="1" x14ac:dyDescent="0.15">
      <c r="A4839" s="16" t="s">
        <v>1855</v>
      </c>
      <c r="B4839" s="17" t="s">
        <v>8175</v>
      </c>
      <c r="C4839" s="17" t="s">
        <v>2465</v>
      </c>
      <c r="D4839" s="25" t="s">
        <v>8088</v>
      </c>
      <c r="E4839" s="19" t="s">
        <v>8120</v>
      </c>
      <c r="F4839" s="19" t="s">
        <v>3309</v>
      </c>
      <c r="G4839" s="9" t="str">
        <f>HYPERLINK("http://jsmh.umin.jp/journal/51-2/246.pdf")</f>
        <v>http://jsmh.umin.jp/journal/51-2/246.pdf</v>
      </c>
      <c r="H4839" s="43"/>
    </row>
    <row r="4840" spans="1:8" ht="30" customHeight="1" x14ac:dyDescent="0.15">
      <c r="A4840" s="16" t="s">
        <v>1855</v>
      </c>
      <c r="B4840" s="17" t="s">
        <v>8176</v>
      </c>
      <c r="C4840" s="17" t="s">
        <v>2881</v>
      </c>
      <c r="D4840" s="25" t="s">
        <v>8088</v>
      </c>
      <c r="E4840" s="19" t="s">
        <v>8120</v>
      </c>
      <c r="F4840" s="19" t="s">
        <v>3310</v>
      </c>
      <c r="G4840" s="9" t="str">
        <f>HYPERLINK("http://jsmh.umin.jp/journal/51-2/248.pdf")</f>
        <v>http://jsmh.umin.jp/journal/51-2/248.pdf</v>
      </c>
      <c r="H4840" s="43"/>
    </row>
    <row r="4841" spans="1:8" ht="30" customHeight="1" x14ac:dyDescent="0.15">
      <c r="A4841" s="16" t="s">
        <v>1855</v>
      </c>
      <c r="B4841" s="17" t="s">
        <v>8177</v>
      </c>
      <c r="C4841" s="17" t="s">
        <v>7420</v>
      </c>
      <c r="D4841" s="25" t="s">
        <v>8088</v>
      </c>
      <c r="E4841" s="19" t="s">
        <v>8120</v>
      </c>
      <c r="F4841" s="19" t="s">
        <v>3313</v>
      </c>
      <c r="G4841" s="9" t="str">
        <f>HYPERLINK("http://jsmh.umin.jp/journal/51-2/250.pdf")</f>
        <v>http://jsmh.umin.jp/journal/51-2/250.pdf</v>
      </c>
      <c r="H4841" s="43"/>
    </row>
    <row r="4842" spans="1:8" ht="30" customHeight="1" x14ac:dyDescent="0.15">
      <c r="A4842" s="16" t="s">
        <v>1855</v>
      </c>
      <c r="B4842" s="17" t="s">
        <v>8178</v>
      </c>
      <c r="C4842" s="17" t="s">
        <v>7176</v>
      </c>
      <c r="D4842" s="25" t="s">
        <v>8088</v>
      </c>
      <c r="E4842" s="19" t="s">
        <v>8120</v>
      </c>
      <c r="F4842" s="19" t="s">
        <v>4220</v>
      </c>
      <c r="G4842" s="9" t="str">
        <f>HYPERLINK("http://jsmh.umin.jp/journal/51-2/252.pdf")</f>
        <v>http://jsmh.umin.jp/journal/51-2/252.pdf</v>
      </c>
      <c r="H4842" s="43"/>
    </row>
    <row r="4843" spans="1:8" ht="30" customHeight="1" x14ac:dyDescent="0.15">
      <c r="A4843" s="16" t="s">
        <v>1855</v>
      </c>
      <c r="B4843" s="17" t="s">
        <v>8179</v>
      </c>
      <c r="C4843" s="17" t="s">
        <v>7180</v>
      </c>
      <c r="D4843" s="25" t="s">
        <v>8088</v>
      </c>
      <c r="E4843" s="19" t="s">
        <v>8120</v>
      </c>
      <c r="F4843" s="19" t="s">
        <v>3320</v>
      </c>
      <c r="G4843" s="9" t="str">
        <f>HYPERLINK("http://jsmh.umin.jp/journal/51-2/254.pdf")</f>
        <v>http://jsmh.umin.jp/journal/51-2/254.pdf</v>
      </c>
      <c r="H4843" s="43"/>
    </row>
    <row r="4844" spans="1:8" ht="30" customHeight="1" x14ac:dyDescent="0.15">
      <c r="A4844" s="16" t="s">
        <v>1855</v>
      </c>
      <c r="B4844" s="17" t="s">
        <v>8180</v>
      </c>
      <c r="C4844" s="17" t="s">
        <v>7366</v>
      </c>
      <c r="D4844" s="25" t="s">
        <v>8088</v>
      </c>
      <c r="E4844" s="19" t="s">
        <v>8120</v>
      </c>
      <c r="F4844" s="19" t="s">
        <v>3325</v>
      </c>
      <c r="G4844" s="9" t="str">
        <f>HYPERLINK("http://jsmh.umin.jp/journal/51-2/256.pdf")</f>
        <v>http://jsmh.umin.jp/journal/51-2/256.pdf</v>
      </c>
      <c r="H4844" s="43"/>
    </row>
    <row r="4845" spans="1:8" ht="30" customHeight="1" x14ac:dyDescent="0.15">
      <c r="A4845" s="16" t="s">
        <v>1855</v>
      </c>
      <c r="B4845" s="17" t="s">
        <v>8181</v>
      </c>
      <c r="C4845" s="17" t="s">
        <v>7136</v>
      </c>
      <c r="D4845" s="25" t="s">
        <v>8088</v>
      </c>
      <c r="E4845" s="19" t="s">
        <v>8120</v>
      </c>
      <c r="F4845" s="19" t="s">
        <v>1011</v>
      </c>
      <c r="G4845" s="9" t="str">
        <f>HYPERLINK("http://jsmh.umin.jp/journal/51-2/258.pdf")</f>
        <v>http://jsmh.umin.jp/journal/51-2/258.pdf</v>
      </c>
      <c r="H4845" s="43"/>
    </row>
    <row r="4846" spans="1:8" ht="30" customHeight="1" x14ac:dyDescent="0.15">
      <c r="A4846" s="16" t="s">
        <v>1855</v>
      </c>
      <c r="B4846" s="17" t="s">
        <v>8182</v>
      </c>
      <c r="C4846" s="17" t="s">
        <v>6978</v>
      </c>
      <c r="D4846" s="25" t="s">
        <v>8088</v>
      </c>
      <c r="E4846" s="19" t="s">
        <v>8120</v>
      </c>
      <c r="F4846" s="19" t="s">
        <v>5477</v>
      </c>
      <c r="G4846" s="9" t="str">
        <f>HYPERLINK("http://jsmh.umin.jp/journal/51-2/260.pdf")</f>
        <v>http://jsmh.umin.jp/journal/51-2/260.pdf</v>
      </c>
      <c r="H4846" s="43"/>
    </row>
    <row r="4847" spans="1:8" ht="30" customHeight="1" x14ac:dyDescent="0.15">
      <c r="A4847" s="16" t="s">
        <v>1855</v>
      </c>
      <c r="B4847" s="17" t="s">
        <v>8183</v>
      </c>
      <c r="C4847" s="17" t="s">
        <v>7352</v>
      </c>
      <c r="D4847" s="25" t="s">
        <v>8088</v>
      </c>
      <c r="E4847" s="19" t="s">
        <v>8120</v>
      </c>
      <c r="F4847" s="19" t="s">
        <v>4399</v>
      </c>
      <c r="G4847" s="9" t="str">
        <f>HYPERLINK("http://jsmh.umin.jp/journal/51-2/262.pdf")</f>
        <v>http://jsmh.umin.jp/journal/51-2/262.pdf</v>
      </c>
      <c r="H4847" s="43"/>
    </row>
    <row r="4848" spans="1:8" ht="30" customHeight="1" x14ac:dyDescent="0.15">
      <c r="A4848" s="16" t="s">
        <v>1855</v>
      </c>
      <c r="B4848" s="17" t="s">
        <v>8184</v>
      </c>
      <c r="C4848" s="17" t="s">
        <v>6370</v>
      </c>
      <c r="D4848" s="25" t="s">
        <v>8088</v>
      </c>
      <c r="E4848" s="19" t="s">
        <v>8120</v>
      </c>
      <c r="F4848" s="19" t="s">
        <v>1026</v>
      </c>
      <c r="G4848" s="9" t="str">
        <f>HYPERLINK("http://jsmh.umin.jp/journal/51-2/264.pdf")</f>
        <v>http://jsmh.umin.jp/journal/51-2/264.pdf</v>
      </c>
      <c r="H4848" s="43"/>
    </row>
    <row r="4849" spans="1:8" ht="30" customHeight="1" x14ac:dyDescent="0.15">
      <c r="A4849" s="16" t="s">
        <v>1855</v>
      </c>
      <c r="B4849" s="17" t="s">
        <v>8185</v>
      </c>
      <c r="C4849" s="17" t="s">
        <v>7542</v>
      </c>
      <c r="D4849" s="25" t="s">
        <v>8088</v>
      </c>
      <c r="E4849" s="19" t="s">
        <v>8120</v>
      </c>
      <c r="F4849" s="19" t="s">
        <v>6042</v>
      </c>
      <c r="G4849" s="9" t="str">
        <f>HYPERLINK("http://jsmh.umin.jp/journal/51-2/266.pdf")</f>
        <v>http://jsmh.umin.jp/journal/51-2/266.pdf</v>
      </c>
      <c r="H4849" s="43"/>
    </row>
    <row r="4850" spans="1:8" ht="30" customHeight="1" x14ac:dyDescent="0.15">
      <c r="A4850" s="16" t="s">
        <v>1855</v>
      </c>
      <c r="B4850" s="17" t="s">
        <v>8186</v>
      </c>
      <c r="C4850" s="17" t="s">
        <v>8187</v>
      </c>
      <c r="D4850" s="25" t="s">
        <v>8088</v>
      </c>
      <c r="E4850" s="19" t="s">
        <v>8120</v>
      </c>
      <c r="F4850" s="19" t="s">
        <v>3486</v>
      </c>
      <c r="G4850" s="9" t="str">
        <f>HYPERLINK("http://jsmh.umin.jp/journal/51-2/268.pdf")</f>
        <v>http://jsmh.umin.jp/journal/51-2/268.pdf</v>
      </c>
      <c r="H4850" s="43"/>
    </row>
    <row r="4851" spans="1:8" ht="30" customHeight="1" x14ac:dyDescent="0.15">
      <c r="A4851" s="16" t="s">
        <v>1855</v>
      </c>
      <c r="B4851" s="17" t="s">
        <v>8188</v>
      </c>
      <c r="C4851" s="17" t="s">
        <v>2071</v>
      </c>
      <c r="D4851" s="25" t="s">
        <v>8088</v>
      </c>
      <c r="E4851" s="19" t="s">
        <v>8120</v>
      </c>
      <c r="F4851" s="19" t="s">
        <v>1893</v>
      </c>
      <c r="G4851" s="9" t="str">
        <f>HYPERLINK("http://jsmh.umin.jp/journal/51-2/270.pdf")</f>
        <v>http://jsmh.umin.jp/journal/51-2/270.pdf</v>
      </c>
      <c r="H4851" s="43"/>
    </row>
    <row r="4852" spans="1:8" ht="30" customHeight="1" x14ac:dyDescent="0.15">
      <c r="A4852" s="16" t="s">
        <v>1855</v>
      </c>
      <c r="B4852" s="17" t="s">
        <v>8189</v>
      </c>
      <c r="C4852" s="17" t="s">
        <v>8190</v>
      </c>
      <c r="D4852" s="25" t="s">
        <v>8088</v>
      </c>
      <c r="E4852" s="19" t="s">
        <v>8120</v>
      </c>
      <c r="F4852" s="19" t="s">
        <v>1895</v>
      </c>
      <c r="G4852" s="9" t="str">
        <f>HYPERLINK("http://jsmh.umin.jp/journal/51-2/272.pdf")</f>
        <v>http://jsmh.umin.jp/journal/51-2/272.pdf</v>
      </c>
      <c r="H4852" s="43"/>
    </row>
    <row r="4853" spans="1:8" ht="30" customHeight="1" x14ac:dyDescent="0.15">
      <c r="A4853" s="16" t="s">
        <v>1855</v>
      </c>
      <c r="B4853" s="17" t="s">
        <v>8191</v>
      </c>
      <c r="C4853" s="17" t="s">
        <v>6676</v>
      </c>
      <c r="D4853" s="25" t="s">
        <v>8088</v>
      </c>
      <c r="E4853" s="19" t="s">
        <v>8120</v>
      </c>
      <c r="F4853" s="19" t="s">
        <v>1899</v>
      </c>
      <c r="G4853" s="9" t="str">
        <f>HYPERLINK("http://jsmh.umin.jp/journal/51-2/274.pdf")</f>
        <v>http://jsmh.umin.jp/journal/51-2/274.pdf</v>
      </c>
      <c r="H4853" s="43"/>
    </row>
    <row r="4854" spans="1:8" ht="30" customHeight="1" x14ac:dyDescent="0.15">
      <c r="A4854" s="16" t="s">
        <v>1855</v>
      </c>
      <c r="B4854" s="17" t="s">
        <v>8192</v>
      </c>
      <c r="C4854" s="17" t="s">
        <v>7320</v>
      </c>
      <c r="D4854" s="25" t="s">
        <v>8088</v>
      </c>
      <c r="E4854" s="19" t="s">
        <v>8120</v>
      </c>
      <c r="F4854" s="19" t="s">
        <v>5706</v>
      </c>
      <c r="G4854" s="9" t="str">
        <f>HYPERLINK("http://jsmh.umin.jp/journal/51-2/276.pdf")</f>
        <v>http://jsmh.umin.jp/journal/51-2/276.pdf</v>
      </c>
      <c r="H4854" s="43"/>
    </row>
    <row r="4855" spans="1:8" ht="30" customHeight="1" x14ac:dyDescent="0.15">
      <c r="A4855" s="16" t="s">
        <v>1855</v>
      </c>
      <c r="B4855" s="17" t="s">
        <v>8193</v>
      </c>
      <c r="C4855" s="17" t="s">
        <v>5020</v>
      </c>
      <c r="D4855" s="25" t="s">
        <v>8088</v>
      </c>
      <c r="E4855" s="19" t="s">
        <v>8120</v>
      </c>
      <c r="F4855" s="19" t="s">
        <v>6050</v>
      </c>
      <c r="G4855" s="9" t="str">
        <f>HYPERLINK("http://jsmh.umin.jp/journal/51-2/278.pdf")</f>
        <v>http://jsmh.umin.jp/journal/51-2/278.pdf</v>
      </c>
      <c r="H4855" s="43"/>
    </row>
    <row r="4856" spans="1:8" ht="30" customHeight="1" x14ac:dyDescent="0.15">
      <c r="A4856" s="16" t="s">
        <v>1855</v>
      </c>
      <c r="B4856" s="17" t="s">
        <v>8194</v>
      </c>
      <c r="C4856" s="17" t="s">
        <v>7918</v>
      </c>
      <c r="D4856" s="25" t="s">
        <v>8088</v>
      </c>
      <c r="E4856" s="19" t="s">
        <v>8120</v>
      </c>
      <c r="F4856" s="19" t="s">
        <v>1910</v>
      </c>
      <c r="G4856" s="9" t="str">
        <f>HYPERLINK("http://jsmh.umin.jp/journal/51-2/280.pdf")</f>
        <v>http://jsmh.umin.jp/journal/51-2/280.pdf</v>
      </c>
      <c r="H4856" s="43"/>
    </row>
    <row r="4857" spans="1:8" ht="30" customHeight="1" x14ac:dyDescent="0.15">
      <c r="A4857" s="16" t="s">
        <v>1855</v>
      </c>
      <c r="B4857" s="17" t="s">
        <v>8195</v>
      </c>
      <c r="C4857" s="17" t="s">
        <v>8196</v>
      </c>
      <c r="D4857" s="25" t="s">
        <v>8088</v>
      </c>
      <c r="E4857" s="19" t="s">
        <v>8120</v>
      </c>
      <c r="F4857" s="19" t="s">
        <v>2122</v>
      </c>
      <c r="G4857" s="9" t="str">
        <f>HYPERLINK("http://jsmh.umin.jp/journal/51-2/282.pdf")</f>
        <v>http://jsmh.umin.jp/journal/51-2/282.pdf</v>
      </c>
      <c r="H4857" s="43"/>
    </row>
    <row r="4858" spans="1:8" ht="30" customHeight="1" x14ac:dyDescent="0.15">
      <c r="A4858" s="16" t="s">
        <v>1855</v>
      </c>
      <c r="B4858" s="17" t="s">
        <v>8197</v>
      </c>
      <c r="C4858" s="17" t="s">
        <v>8198</v>
      </c>
      <c r="D4858" s="25" t="s">
        <v>8088</v>
      </c>
      <c r="E4858" s="19" t="s">
        <v>8120</v>
      </c>
      <c r="F4858" s="19" t="s">
        <v>1918</v>
      </c>
      <c r="G4858" s="9" t="str">
        <f>HYPERLINK("http://jsmh.umin.jp/journal/51-2/284.pdf")</f>
        <v>http://jsmh.umin.jp/journal/51-2/284.pdf</v>
      </c>
      <c r="H4858" s="43"/>
    </row>
    <row r="4859" spans="1:8" ht="30" customHeight="1" x14ac:dyDescent="0.15">
      <c r="A4859" s="16" t="s">
        <v>1855</v>
      </c>
      <c r="B4859" s="17" t="s">
        <v>8199</v>
      </c>
      <c r="C4859" s="17" t="s">
        <v>7316</v>
      </c>
      <c r="D4859" s="25" t="s">
        <v>8088</v>
      </c>
      <c r="E4859" s="19" t="s">
        <v>8120</v>
      </c>
      <c r="F4859" s="19" t="s">
        <v>1920</v>
      </c>
      <c r="G4859" s="9" t="str">
        <f>HYPERLINK("http://jsmh.umin.jp/journal/51-2/286.pdf")</f>
        <v>http://jsmh.umin.jp/journal/51-2/286.pdf</v>
      </c>
      <c r="H4859" s="43"/>
    </row>
    <row r="4860" spans="1:8" ht="30" customHeight="1" x14ac:dyDescent="0.15">
      <c r="A4860" s="16" t="s">
        <v>1855</v>
      </c>
      <c r="B4860" s="17" t="s">
        <v>8200</v>
      </c>
      <c r="C4860" s="17" t="s">
        <v>7932</v>
      </c>
      <c r="D4860" s="25" t="s">
        <v>8088</v>
      </c>
      <c r="E4860" s="19" t="s">
        <v>8120</v>
      </c>
      <c r="F4860" s="19" t="s">
        <v>3352</v>
      </c>
      <c r="G4860" s="9" t="str">
        <f>HYPERLINK("http://jsmh.umin.jp/journal/51-2/288.pdf")</f>
        <v>http://jsmh.umin.jp/journal/51-2/288.pdf</v>
      </c>
      <c r="H4860" s="43"/>
    </row>
    <row r="4861" spans="1:8" ht="30" customHeight="1" x14ac:dyDescent="0.15">
      <c r="A4861" s="16" t="s">
        <v>1855</v>
      </c>
      <c r="B4861" s="17" t="s">
        <v>8201</v>
      </c>
      <c r="C4861" s="17" t="s">
        <v>6903</v>
      </c>
      <c r="D4861" s="25" t="s">
        <v>8088</v>
      </c>
      <c r="E4861" s="19" t="s">
        <v>8120</v>
      </c>
      <c r="F4861" s="19" t="s">
        <v>3504</v>
      </c>
      <c r="G4861" s="9" t="str">
        <f>HYPERLINK("http://jsmh.umin.jp/journal/51-2/290.pdf")</f>
        <v>http://jsmh.umin.jp/journal/51-2/290.pdf</v>
      </c>
      <c r="H4861" s="43"/>
    </row>
    <row r="4862" spans="1:8" ht="30" customHeight="1" x14ac:dyDescent="0.15">
      <c r="A4862" s="16" t="s">
        <v>1855</v>
      </c>
      <c r="B4862" s="17" t="s">
        <v>8202</v>
      </c>
      <c r="C4862" s="17" t="s">
        <v>3644</v>
      </c>
      <c r="D4862" s="25" t="s">
        <v>8088</v>
      </c>
      <c r="E4862" s="19" t="s">
        <v>8120</v>
      </c>
      <c r="F4862" s="19" t="s">
        <v>1930</v>
      </c>
      <c r="G4862" s="9" t="str">
        <f>HYPERLINK("http://jsmh.umin.jp/journal/51-2/292.pdf")</f>
        <v>http://jsmh.umin.jp/journal/51-2/292.pdf</v>
      </c>
      <c r="H4862" s="43"/>
    </row>
    <row r="4863" spans="1:8" ht="30" customHeight="1" x14ac:dyDescent="0.15">
      <c r="A4863" s="16" t="s">
        <v>1855</v>
      </c>
      <c r="B4863" s="17" t="s">
        <v>8203</v>
      </c>
      <c r="C4863" s="17" t="s">
        <v>10299</v>
      </c>
      <c r="D4863" s="25" t="s">
        <v>8088</v>
      </c>
      <c r="E4863" s="19" t="s">
        <v>8120</v>
      </c>
      <c r="F4863" s="19" t="s">
        <v>5308</v>
      </c>
      <c r="G4863" s="9" t="str">
        <f>HYPERLINK("http://jsmh.umin.jp/journal/51-2/294.pdf")</f>
        <v>http://jsmh.umin.jp/journal/51-2/294.pdf</v>
      </c>
      <c r="H4863" s="43"/>
    </row>
    <row r="4864" spans="1:8" ht="30" customHeight="1" x14ac:dyDescent="0.15">
      <c r="A4864" s="16" t="s">
        <v>1855</v>
      </c>
      <c r="B4864" s="17" t="s">
        <v>8204</v>
      </c>
      <c r="C4864" s="17" t="s">
        <v>7740</v>
      </c>
      <c r="D4864" s="25" t="s">
        <v>8088</v>
      </c>
      <c r="E4864" s="19" t="s">
        <v>8120</v>
      </c>
      <c r="F4864" s="19" t="s">
        <v>1936</v>
      </c>
      <c r="G4864" s="9" t="str">
        <f>HYPERLINK("http://jsmh.umin.jp/journal/51-2/296.pdf")</f>
        <v>http://jsmh.umin.jp/journal/51-2/296.pdf</v>
      </c>
      <c r="H4864" s="43"/>
    </row>
    <row r="4865" spans="1:8" ht="30" customHeight="1" x14ac:dyDescent="0.15">
      <c r="A4865" s="16" t="s">
        <v>1855</v>
      </c>
      <c r="B4865" s="17" t="s">
        <v>8205</v>
      </c>
      <c r="C4865" s="17" t="s">
        <v>1764</v>
      </c>
      <c r="D4865" s="25" t="s">
        <v>8088</v>
      </c>
      <c r="E4865" s="19" t="s">
        <v>8120</v>
      </c>
      <c r="F4865" s="19" t="s">
        <v>5311</v>
      </c>
      <c r="G4865" s="9" t="str">
        <f>HYPERLINK("http://jsmh.umin.jp/journal/51-2/298.pdf")</f>
        <v>http://jsmh.umin.jp/journal/51-2/298.pdf</v>
      </c>
      <c r="H4865" s="43"/>
    </row>
    <row r="4866" spans="1:8" ht="30" customHeight="1" x14ac:dyDescent="0.15">
      <c r="A4866" s="16" t="s">
        <v>1855</v>
      </c>
      <c r="B4866" s="17" t="s">
        <v>8206</v>
      </c>
      <c r="C4866" s="17" t="s">
        <v>10289</v>
      </c>
      <c r="D4866" s="25" t="s">
        <v>8088</v>
      </c>
      <c r="E4866" s="19" t="s">
        <v>8120</v>
      </c>
      <c r="F4866" s="19" t="s">
        <v>6062</v>
      </c>
      <c r="G4866" s="9" t="str">
        <f>HYPERLINK("http://jsmh.umin.jp/journal/51-2/300.pdf")</f>
        <v>http://jsmh.umin.jp/journal/51-2/300.pdf</v>
      </c>
      <c r="H4866" s="43"/>
    </row>
    <row r="4867" spans="1:8" ht="30" customHeight="1" x14ac:dyDescent="0.15">
      <c r="A4867" s="16" t="s">
        <v>1855</v>
      </c>
      <c r="B4867" s="17" t="s">
        <v>8207</v>
      </c>
      <c r="C4867" s="17" t="s">
        <v>6705</v>
      </c>
      <c r="D4867" s="25" t="s">
        <v>8088</v>
      </c>
      <c r="E4867" s="19" t="s">
        <v>8120</v>
      </c>
      <c r="F4867" s="19" t="s">
        <v>1421</v>
      </c>
      <c r="G4867" s="9" t="str">
        <f>HYPERLINK("http://jsmh.umin.jp/journal/51-2/302.pdf")</f>
        <v>http://jsmh.umin.jp/journal/51-2/302.pdf</v>
      </c>
      <c r="H4867" s="43"/>
    </row>
    <row r="4868" spans="1:8" ht="30" customHeight="1" x14ac:dyDescent="0.15">
      <c r="A4868" s="16" t="s">
        <v>1855</v>
      </c>
      <c r="B4868" s="17" t="s">
        <v>8208</v>
      </c>
      <c r="C4868" s="17" t="s">
        <v>5516</v>
      </c>
      <c r="D4868" s="25" t="s">
        <v>8088</v>
      </c>
      <c r="E4868" s="19" t="s">
        <v>8120</v>
      </c>
      <c r="F4868" s="19" t="s">
        <v>1426</v>
      </c>
      <c r="G4868" s="9" t="str">
        <f>HYPERLINK("http://jsmh.umin.jp/journal/51-2/304.pdf")</f>
        <v>http://jsmh.umin.jp/journal/51-2/304.pdf</v>
      </c>
      <c r="H4868" s="43"/>
    </row>
    <row r="4869" spans="1:8" ht="30" customHeight="1" x14ac:dyDescent="0.15">
      <c r="A4869" s="16" t="s">
        <v>1855</v>
      </c>
      <c r="B4869" s="17" t="s">
        <v>8209</v>
      </c>
      <c r="C4869" s="17" t="s">
        <v>10378</v>
      </c>
      <c r="D4869" s="25" t="s">
        <v>8088</v>
      </c>
      <c r="E4869" s="19" t="s">
        <v>8120</v>
      </c>
      <c r="F4869" s="19" t="s">
        <v>6066</v>
      </c>
      <c r="G4869" s="9" t="str">
        <f>HYPERLINK("http://jsmh.umin.jp/journal/51-2/306.pdf")</f>
        <v>http://jsmh.umin.jp/journal/51-2/306.pdf</v>
      </c>
      <c r="H4869" s="43"/>
    </row>
    <row r="4870" spans="1:8" ht="30" customHeight="1" x14ac:dyDescent="0.15">
      <c r="A4870" s="16" t="s">
        <v>1855</v>
      </c>
      <c r="B4870" s="17" t="s">
        <v>8210</v>
      </c>
      <c r="C4870" s="17" t="s">
        <v>7959</v>
      </c>
      <c r="D4870" s="25" t="s">
        <v>8088</v>
      </c>
      <c r="E4870" s="19" t="s">
        <v>8120</v>
      </c>
      <c r="F4870" s="19" t="s">
        <v>1432</v>
      </c>
      <c r="G4870" s="9" t="str">
        <f>HYPERLINK("http://jsmh.umin.jp/journal/51-2/308.pdf")</f>
        <v>http://jsmh.umin.jp/journal/51-2/308.pdf</v>
      </c>
      <c r="H4870" s="43"/>
    </row>
    <row r="4871" spans="1:8" ht="30" customHeight="1" x14ac:dyDescent="0.15">
      <c r="A4871" s="16" t="s">
        <v>1855</v>
      </c>
      <c r="B4871" s="17" t="s">
        <v>8211</v>
      </c>
      <c r="C4871" s="17" t="s">
        <v>8212</v>
      </c>
      <c r="D4871" s="25" t="s">
        <v>8088</v>
      </c>
      <c r="E4871" s="19" t="s">
        <v>8120</v>
      </c>
      <c r="F4871" s="19" t="s">
        <v>6071</v>
      </c>
      <c r="G4871" s="9" t="str">
        <f>HYPERLINK("http://jsmh.umin.jp/journal/51-2/310.pdf")</f>
        <v>http://jsmh.umin.jp/journal/51-2/310.pdf</v>
      </c>
      <c r="H4871" s="43"/>
    </row>
    <row r="4872" spans="1:8" ht="30" customHeight="1" x14ac:dyDescent="0.15">
      <c r="A4872" s="16" t="s">
        <v>1855</v>
      </c>
      <c r="B4872" s="17" t="s">
        <v>8213</v>
      </c>
      <c r="C4872" s="17" t="s">
        <v>5625</v>
      </c>
      <c r="D4872" s="25" t="s">
        <v>8088</v>
      </c>
      <c r="E4872" s="19" t="s">
        <v>8120</v>
      </c>
      <c r="F4872" s="19" t="s">
        <v>6073</v>
      </c>
      <c r="G4872" s="9" t="str">
        <f>HYPERLINK("http://jsmh.umin.jp/journal/51-2/312.pdf")</f>
        <v>http://jsmh.umin.jp/journal/51-2/312.pdf</v>
      </c>
      <c r="H4872" s="43"/>
    </row>
    <row r="4873" spans="1:8" ht="30" customHeight="1" x14ac:dyDescent="0.15">
      <c r="A4873" s="16" t="s">
        <v>1855</v>
      </c>
      <c r="B4873" s="17" t="s">
        <v>8214</v>
      </c>
      <c r="C4873" s="17" t="s">
        <v>7248</v>
      </c>
      <c r="D4873" s="25" t="s">
        <v>8088</v>
      </c>
      <c r="E4873" s="19" t="s">
        <v>8120</v>
      </c>
      <c r="F4873" s="19" t="s">
        <v>1779</v>
      </c>
      <c r="G4873" s="9" t="str">
        <f>HYPERLINK("http://jsmh.umin.jp/journal/51-2/314.pdf")</f>
        <v>http://jsmh.umin.jp/journal/51-2/314.pdf</v>
      </c>
      <c r="H4873" s="43"/>
    </row>
    <row r="4874" spans="1:8" ht="30" customHeight="1" x14ac:dyDescent="0.15">
      <c r="A4874" s="16" t="s">
        <v>1855</v>
      </c>
      <c r="B4874" s="17" t="s">
        <v>8215</v>
      </c>
      <c r="C4874" s="17" t="s">
        <v>5837</v>
      </c>
      <c r="D4874" s="25" t="s">
        <v>8088</v>
      </c>
      <c r="E4874" s="19" t="s">
        <v>8120</v>
      </c>
      <c r="F4874" s="19" t="s">
        <v>1786</v>
      </c>
      <c r="G4874" s="9" t="str">
        <f>HYPERLINK("http://jsmh.umin.jp/journal/51-2/316.pdf")</f>
        <v>http://jsmh.umin.jp/journal/51-2/316.pdf</v>
      </c>
      <c r="H4874" s="43"/>
    </row>
    <row r="4875" spans="1:8" ht="30" customHeight="1" x14ac:dyDescent="0.15">
      <c r="A4875" s="16" t="s">
        <v>1855</v>
      </c>
      <c r="B4875" s="17" t="s">
        <v>8216</v>
      </c>
      <c r="C4875" s="17" t="s">
        <v>7961</v>
      </c>
      <c r="D4875" s="25" t="s">
        <v>8088</v>
      </c>
      <c r="E4875" s="19" t="s">
        <v>8120</v>
      </c>
      <c r="F4875" s="19" t="s">
        <v>5103</v>
      </c>
      <c r="G4875" s="9" t="str">
        <f>HYPERLINK("http://jsmh.umin.jp/journal/51-2/318.pdf")</f>
        <v>http://jsmh.umin.jp/journal/51-2/318.pdf</v>
      </c>
      <c r="H4875" s="43"/>
    </row>
    <row r="4876" spans="1:8" ht="30" customHeight="1" x14ac:dyDescent="0.15">
      <c r="A4876" s="16" t="s">
        <v>1855</v>
      </c>
      <c r="B4876" s="17" t="s">
        <v>8217</v>
      </c>
      <c r="C4876" s="17" t="s">
        <v>8218</v>
      </c>
      <c r="D4876" s="25" t="s">
        <v>8088</v>
      </c>
      <c r="E4876" s="19" t="s">
        <v>8120</v>
      </c>
      <c r="F4876" s="19" t="s">
        <v>5517</v>
      </c>
      <c r="G4876" s="9" t="str">
        <f>HYPERLINK("http://jsmh.umin.jp/journal/51-2/320.pdf")</f>
        <v>http://jsmh.umin.jp/journal/51-2/320.pdf</v>
      </c>
      <c r="H4876" s="43"/>
    </row>
    <row r="4877" spans="1:8" ht="30" customHeight="1" x14ac:dyDescent="0.15">
      <c r="A4877" s="16" t="s">
        <v>1855</v>
      </c>
      <c r="B4877" s="17" t="s">
        <v>8219</v>
      </c>
      <c r="C4877" s="17" t="s">
        <v>8095</v>
      </c>
      <c r="D4877" s="25" t="s">
        <v>8088</v>
      </c>
      <c r="E4877" s="19" t="s">
        <v>8120</v>
      </c>
      <c r="F4877" s="19" t="s">
        <v>3129</v>
      </c>
      <c r="G4877" s="9" t="str">
        <f>HYPERLINK("http://jsmh.umin.jp/journal/51-2/322.pdf")</f>
        <v>http://jsmh.umin.jp/journal/51-2/322.pdf</v>
      </c>
      <c r="H4877" s="43"/>
    </row>
    <row r="4878" spans="1:8" ht="30" customHeight="1" x14ac:dyDescent="0.15">
      <c r="A4878" s="16" t="s">
        <v>1855</v>
      </c>
      <c r="B4878" s="17" t="s">
        <v>8220</v>
      </c>
      <c r="C4878" s="17" t="s">
        <v>10379</v>
      </c>
      <c r="D4878" s="25" t="s">
        <v>8088</v>
      </c>
      <c r="E4878" s="19" t="s">
        <v>8120</v>
      </c>
      <c r="F4878" s="19" t="s">
        <v>3885</v>
      </c>
      <c r="G4878" s="9" t="str">
        <f>HYPERLINK("http://jsmh.umin.jp/journal/51-2/324.pdf")</f>
        <v>http://jsmh.umin.jp/journal/51-2/324.pdf</v>
      </c>
      <c r="H4878" s="43"/>
    </row>
    <row r="4879" spans="1:8" ht="30" customHeight="1" x14ac:dyDescent="0.15">
      <c r="A4879" s="16" t="s">
        <v>1855</v>
      </c>
      <c r="B4879" s="17" t="s">
        <v>8221</v>
      </c>
      <c r="C4879" s="17" t="s">
        <v>4039</v>
      </c>
      <c r="D4879" s="25" t="s">
        <v>8088</v>
      </c>
      <c r="E4879" s="19" t="s">
        <v>8120</v>
      </c>
      <c r="F4879" s="19" t="s">
        <v>3887</v>
      </c>
      <c r="G4879" s="9" t="str">
        <f>HYPERLINK("http://jsmh.umin.jp/journal/51-2/326.pdf")</f>
        <v>http://jsmh.umin.jp/journal/51-2/326.pdf</v>
      </c>
      <c r="H4879" s="43"/>
    </row>
    <row r="4880" spans="1:8" ht="30" customHeight="1" x14ac:dyDescent="0.15">
      <c r="A4880" s="16" t="s">
        <v>1855</v>
      </c>
      <c r="B4880" s="17" t="s">
        <v>8222</v>
      </c>
      <c r="C4880" s="17" t="s">
        <v>7940</v>
      </c>
      <c r="D4880" s="25" t="s">
        <v>8088</v>
      </c>
      <c r="E4880" s="19" t="s">
        <v>8120</v>
      </c>
      <c r="F4880" s="19" t="s">
        <v>3891</v>
      </c>
      <c r="G4880" s="9" t="str">
        <f>HYPERLINK("http://jsmh.umin.jp/journal/51-2/328.pdf")</f>
        <v>http://jsmh.umin.jp/journal/51-2/328.pdf</v>
      </c>
      <c r="H4880" s="43"/>
    </row>
    <row r="4881" spans="1:8" ht="30" customHeight="1" x14ac:dyDescent="0.15">
      <c r="A4881" s="16" t="s">
        <v>17</v>
      </c>
      <c r="B4881" s="17" t="s">
        <v>8223</v>
      </c>
      <c r="C4881" s="17" t="s">
        <v>2465</v>
      </c>
      <c r="D4881" s="25" t="s">
        <v>8088</v>
      </c>
      <c r="E4881" s="19" t="s">
        <v>8224</v>
      </c>
      <c r="F4881" s="19" t="s">
        <v>8225</v>
      </c>
      <c r="G4881" s="9" t="str">
        <f>HYPERLINK("http://jsmh.umin.jp/journal/51-3/337.pdf")</f>
        <v>http://jsmh.umin.jp/journal/51-3/337.pdf</v>
      </c>
      <c r="H4881" s="43"/>
    </row>
    <row r="4882" spans="1:8" ht="30" customHeight="1" x14ac:dyDescent="0.15">
      <c r="A4882" s="16" t="s">
        <v>17</v>
      </c>
      <c r="B4882" s="17" t="s">
        <v>8226</v>
      </c>
      <c r="C4882" s="17" t="s">
        <v>790</v>
      </c>
      <c r="D4882" s="25" t="s">
        <v>8088</v>
      </c>
      <c r="E4882" s="19" t="s">
        <v>8224</v>
      </c>
      <c r="F4882" s="19" t="s">
        <v>8227</v>
      </c>
      <c r="G4882" s="9" t="str">
        <f>HYPERLINK("http://jsmh.umin.jp/journal/51-3/355.pdf")</f>
        <v>http://jsmh.umin.jp/journal/51-3/355.pdf</v>
      </c>
      <c r="H4882" s="43"/>
    </row>
    <row r="4883" spans="1:8" ht="30" customHeight="1" x14ac:dyDescent="0.15">
      <c r="A4883" s="16" t="s">
        <v>17</v>
      </c>
      <c r="B4883" s="17" t="s">
        <v>8228</v>
      </c>
      <c r="C4883" s="17" t="s">
        <v>10355</v>
      </c>
      <c r="D4883" s="25" t="s">
        <v>8088</v>
      </c>
      <c r="E4883" s="19" t="s">
        <v>8224</v>
      </c>
      <c r="F4883" s="19" t="s">
        <v>8229</v>
      </c>
      <c r="G4883" s="9" t="str">
        <f>HYPERLINK("http://jsmh.umin.jp/journal/51-3/385.pdf")</f>
        <v>http://jsmh.umin.jp/journal/51-3/385.pdf</v>
      </c>
      <c r="H4883" s="43"/>
    </row>
    <row r="4884" spans="1:8" ht="30" customHeight="1" x14ac:dyDescent="0.15">
      <c r="A4884" s="16" t="s">
        <v>7876</v>
      </c>
      <c r="B4884" s="17" t="s">
        <v>8230</v>
      </c>
      <c r="C4884" s="17" t="s">
        <v>8122</v>
      </c>
      <c r="D4884" s="25" t="s">
        <v>8088</v>
      </c>
      <c r="E4884" s="19" t="s">
        <v>8224</v>
      </c>
      <c r="F4884" s="19" t="s">
        <v>8231</v>
      </c>
      <c r="G4884" s="9" t="str">
        <f>HYPERLINK("http://jsmh.umin.jp/journal/51-3/409.pdf")</f>
        <v>http://jsmh.umin.jp/journal/51-3/409.pdf</v>
      </c>
      <c r="H4884" s="43"/>
    </row>
    <row r="4885" spans="1:8" ht="30" customHeight="1" x14ac:dyDescent="0.15">
      <c r="A4885" s="16" t="s">
        <v>692</v>
      </c>
      <c r="B4885" s="17" t="s">
        <v>8232</v>
      </c>
      <c r="C4885" s="17" t="s">
        <v>4870</v>
      </c>
      <c r="D4885" s="25" t="s">
        <v>8088</v>
      </c>
      <c r="E4885" s="19" t="s">
        <v>8224</v>
      </c>
      <c r="F4885" s="19" t="s">
        <v>8233</v>
      </c>
      <c r="G4885" s="9" t="str">
        <f>HYPERLINK("http://jsmh.umin.jp/journal/51-3/431.pdf")</f>
        <v>http://jsmh.umin.jp/journal/51-3/431.pdf</v>
      </c>
      <c r="H4885" s="43"/>
    </row>
    <row r="4886" spans="1:8" ht="30" customHeight="1" x14ac:dyDescent="0.15">
      <c r="A4886" s="16" t="s">
        <v>3223</v>
      </c>
      <c r="B4886" s="17" t="s">
        <v>8234</v>
      </c>
      <c r="C4886" s="17" t="s">
        <v>444</v>
      </c>
      <c r="D4886" s="25" t="s">
        <v>8088</v>
      </c>
      <c r="E4886" s="19" t="s">
        <v>8224</v>
      </c>
      <c r="F4886" s="19" t="s">
        <v>6326</v>
      </c>
      <c r="G4886" s="9" t="str">
        <f>HYPERLINK("http://jsmh.umin.jp/journal/51-3/440.pdf")</f>
        <v>http://jsmh.umin.jp/journal/51-3/440.pdf</v>
      </c>
      <c r="H4886" s="43"/>
    </row>
    <row r="4887" spans="1:8" ht="30" customHeight="1" x14ac:dyDescent="0.15">
      <c r="A4887" s="16" t="s">
        <v>558</v>
      </c>
      <c r="B4887" s="17" t="s">
        <v>8235</v>
      </c>
      <c r="C4887" s="17" t="s">
        <v>3655</v>
      </c>
      <c r="D4887" s="25" t="s">
        <v>8088</v>
      </c>
      <c r="E4887" s="19" t="s">
        <v>8224</v>
      </c>
      <c r="F4887" s="19" t="s">
        <v>6116</v>
      </c>
      <c r="G4887" s="9" t="str">
        <f>HYPERLINK("http://jsmh.umin.jp/journal/51-3/443.pdf")</f>
        <v>http://jsmh.umin.jp/journal/51-3/443.pdf</v>
      </c>
      <c r="H4887" s="43"/>
    </row>
    <row r="4888" spans="1:8" ht="30" customHeight="1" x14ac:dyDescent="0.15">
      <c r="A4888" s="16" t="s">
        <v>558</v>
      </c>
      <c r="B4888" s="17" t="s">
        <v>8236</v>
      </c>
      <c r="C4888" s="17"/>
      <c r="D4888" s="25" t="s">
        <v>8088</v>
      </c>
      <c r="E4888" s="19" t="s">
        <v>8224</v>
      </c>
      <c r="F4888" s="19" t="s">
        <v>8237</v>
      </c>
      <c r="G4888" s="9" t="str">
        <f>HYPERLINK("http://jsmh.umin.jp/journal/51-3/444.pdf")</f>
        <v>http://jsmh.umin.jp/journal/51-3/444.pdf</v>
      </c>
      <c r="H4888" s="43"/>
    </row>
    <row r="4889" spans="1:8" ht="30" customHeight="1" x14ac:dyDescent="0.15">
      <c r="A4889" s="16" t="s">
        <v>3720</v>
      </c>
      <c r="B4889" s="17" t="s">
        <v>8238</v>
      </c>
      <c r="C4889" s="17" t="s">
        <v>7316</v>
      </c>
      <c r="D4889" s="25" t="s">
        <v>8088</v>
      </c>
      <c r="E4889" s="19" t="s">
        <v>8224</v>
      </c>
      <c r="F4889" s="19" t="s">
        <v>2483</v>
      </c>
      <c r="G4889" s="9" t="str">
        <f>HYPERLINK("http://jsmh.umin.jp/journal/51-3/445.pdf")</f>
        <v>http://jsmh.umin.jp/journal/51-3/445.pdf</v>
      </c>
      <c r="H4889" s="43"/>
    </row>
    <row r="4890" spans="1:8" ht="30" customHeight="1" x14ac:dyDescent="0.15">
      <c r="A4890" s="16" t="s">
        <v>3720</v>
      </c>
      <c r="B4890" s="17" t="s">
        <v>8239</v>
      </c>
      <c r="C4890" s="17" t="s">
        <v>2465</v>
      </c>
      <c r="D4890" s="25" t="s">
        <v>8088</v>
      </c>
      <c r="E4890" s="19" t="s">
        <v>8224</v>
      </c>
      <c r="F4890" s="19" t="s">
        <v>5336</v>
      </c>
      <c r="G4890" s="9" t="str">
        <f>HYPERLINK("http://jsmh.umin.jp/journal/51-3/446.pdf")</f>
        <v>http://jsmh.umin.jp/journal/51-3/446.pdf</v>
      </c>
      <c r="H4890" s="43"/>
    </row>
    <row r="4891" spans="1:8" ht="30" customHeight="1" x14ac:dyDescent="0.15">
      <c r="A4891" s="16" t="s">
        <v>3720</v>
      </c>
      <c r="B4891" s="17" t="s">
        <v>8240</v>
      </c>
      <c r="C4891" s="17" t="s">
        <v>7448</v>
      </c>
      <c r="D4891" s="25" t="s">
        <v>8088</v>
      </c>
      <c r="E4891" s="19" t="s">
        <v>8224</v>
      </c>
      <c r="F4891" s="19" t="s">
        <v>4925</v>
      </c>
      <c r="G4891" s="9" t="str">
        <f>HYPERLINK("http://jsmh.umin.jp/journal/51-3/448.pdf")</f>
        <v>http://jsmh.umin.jp/journal/51-3/448.pdf</v>
      </c>
      <c r="H4891" s="43"/>
    </row>
    <row r="4892" spans="1:8" ht="30" customHeight="1" x14ac:dyDescent="0.15">
      <c r="A4892" s="16" t="s">
        <v>3720</v>
      </c>
      <c r="B4892" s="17" t="s">
        <v>8241</v>
      </c>
      <c r="C4892" s="17" t="s">
        <v>7320</v>
      </c>
      <c r="D4892" s="25" t="s">
        <v>8088</v>
      </c>
      <c r="E4892" s="19" t="s">
        <v>8224</v>
      </c>
      <c r="F4892" s="19" t="s">
        <v>8040</v>
      </c>
      <c r="G4892" s="9" t="str">
        <f>HYPERLINK("http://jsmh.umin.jp/journal/51-3/449.pdf")</f>
        <v>http://jsmh.umin.jp/journal/51-3/449.pdf</v>
      </c>
      <c r="H4892" s="43"/>
    </row>
    <row r="4893" spans="1:8" ht="30" customHeight="1" x14ac:dyDescent="0.15">
      <c r="A4893" s="16" t="s">
        <v>2990</v>
      </c>
      <c r="B4893" s="17" t="s">
        <v>10380</v>
      </c>
      <c r="C4893" s="17" t="s">
        <v>6676</v>
      </c>
      <c r="D4893" s="25" t="s">
        <v>8088</v>
      </c>
      <c r="E4893" s="19" t="s">
        <v>8224</v>
      </c>
      <c r="F4893" s="19" t="s">
        <v>4096</v>
      </c>
      <c r="G4893" s="9" t="str">
        <f>HYPERLINK("http://jsmh.umin.jp/journal/51-3/451.pdf")</f>
        <v>http://jsmh.umin.jp/journal/51-3/451.pdf</v>
      </c>
      <c r="H4893" s="43"/>
    </row>
    <row r="4894" spans="1:8" ht="30" customHeight="1" x14ac:dyDescent="0.15">
      <c r="A4894" s="16" t="s">
        <v>2990</v>
      </c>
      <c r="B4894" s="17" t="s">
        <v>8242</v>
      </c>
      <c r="C4894" s="17" t="s">
        <v>6078</v>
      </c>
      <c r="D4894" s="25" t="s">
        <v>8088</v>
      </c>
      <c r="E4894" s="19" t="s">
        <v>8224</v>
      </c>
      <c r="F4894" s="19" t="s">
        <v>4100</v>
      </c>
      <c r="G4894" s="9" t="str">
        <f>HYPERLINK("http://jsmh.umin.jp/journal/51-3/453.pdf")</f>
        <v>http://jsmh.umin.jp/journal/51-3/453.pdf</v>
      </c>
      <c r="H4894" s="43"/>
    </row>
    <row r="4895" spans="1:8" ht="30" customHeight="1" x14ac:dyDescent="0.15">
      <c r="A4895" s="16" t="s">
        <v>2990</v>
      </c>
      <c r="B4895" s="17" t="s">
        <v>8243</v>
      </c>
      <c r="C4895" s="17" t="s">
        <v>2386</v>
      </c>
      <c r="D4895" s="25" t="s">
        <v>8088</v>
      </c>
      <c r="E4895" s="19" t="s">
        <v>8224</v>
      </c>
      <c r="F4895" s="19" t="s">
        <v>4101</v>
      </c>
      <c r="G4895" s="8" t="str">
        <f>HYPERLINK("http://jsmh.umin.jp/journal/51-3/454-455.pdf")</f>
        <v>http://jsmh.umin.jp/journal/51-3/454-455.pdf</v>
      </c>
      <c r="H4895" s="43"/>
    </row>
    <row r="4896" spans="1:8" ht="30" customHeight="1" x14ac:dyDescent="0.15">
      <c r="A4896" s="16" t="s">
        <v>2990</v>
      </c>
      <c r="B4896" s="17" t="s">
        <v>8244</v>
      </c>
      <c r="C4896" s="17" t="s">
        <v>4085</v>
      </c>
      <c r="D4896" s="25" t="s">
        <v>8088</v>
      </c>
      <c r="E4896" s="19" t="s">
        <v>8224</v>
      </c>
      <c r="F4896" s="19" t="s">
        <v>8245</v>
      </c>
      <c r="G4896" s="9" t="str">
        <f>HYPERLINK("http://jsmh.umin.jp/journal/51-3/454.pdf")</f>
        <v>http://jsmh.umin.jp/journal/51-3/454.pdf</v>
      </c>
      <c r="H4896" s="43"/>
    </row>
    <row r="4897" spans="1:8" ht="30" customHeight="1" x14ac:dyDescent="0.15">
      <c r="A4897" s="16" t="s">
        <v>2990</v>
      </c>
      <c r="B4897" s="17" t="s">
        <v>8246</v>
      </c>
      <c r="C4897" s="17" t="s">
        <v>1292</v>
      </c>
      <c r="D4897" s="25" t="s">
        <v>8088</v>
      </c>
      <c r="E4897" s="19" t="s">
        <v>8224</v>
      </c>
      <c r="F4897" s="19" t="s">
        <v>8045</v>
      </c>
      <c r="G4897" s="9" t="str">
        <f>HYPERLINK("http://jsmh.umin.jp/journal/51-3/455.pdf")</f>
        <v>http://jsmh.umin.jp/journal/51-3/455.pdf</v>
      </c>
      <c r="H4897" s="43"/>
    </row>
    <row r="4898" spans="1:8" ht="30" customHeight="1" x14ac:dyDescent="0.15">
      <c r="A4898" s="16" t="s">
        <v>558</v>
      </c>
      <c r="B4898" s="17" t="s">
        <v>8247</v>
      </c>
      <c r="C4898" s="17"/>
      <c r="D4898" s="25" t="s">
        <v>8088</v>
      </c>
      <c r="E4898" s="19" t="s">
        <v>8224</v>
      </c>
      <c r="F4898" s="19" t="s">
        <v>8248</v>
      </c>
      <c r="G4898" s="9" t="str">
        <f>HYPERLINK("http://jsmh.umin.jp/journal/51-3/458.pdf")</f>
        <v>http://jsmh.umin.jp/journal/51-3/458.pdf</v>
      </c>
      <c r="H4898" s="43"/>
    </row>
    <row r="4899" spans="1:8" ht="30" customHeight="1" x14ac:dyDescent="0.15">
      <c r="A4899" s="16" t="s">
        <v>17</v>
      </c>
      <c r="B4899" s="17" t="s">
        <v>8249</v>
      </c>
      <c r="C4899" s="17" t="s">
        <v>10381</v>
      </c>
      <c r="D4899" s="25" t="s">
        <v>8088</v>
      </c>
      <c r="E4899" s="19" t="s">
        <v>8250</v>
      </c>
      <c r="F4899" s="19" t="s">
        <v>8251</v>
      </c>
      <c r="G4899" s="9" t="str">
        <f>HYPERLINK("http://jsmh.umin.jp/journal/51-4/527.pdf")</f>
        <v>http://jsmh.umin.jp/journal/51-4/527.pdf</v>
      </c>
      <c r="H4899" s="43"/>
    </row>
    <row r="4900" spans="1:8" ht="30" customHeight="1" x14ac:dyDescent="0.15">
      <c r="A4900" s="16" t="s">
        <v>17</v>
      </c>
      <c r="B4900" s="17" t="s">
        <v>10382</v>
      </c>
      <c r="C4900" s="17" t="s">
        <v>8252</v>
      </c>
      <c r="D4900" s="25" t="s">
        <v>8088</v>
      </c>
      <c r="E4900" s="19" t="s">
        <v>8250</v>
      </c>
      <c r="F4900" s="19" t="s">
        <v>8253</v>
      </c>
      <c r="G4900" s="9" t="str">
        <f>HYPERLINK("http://jsmh.umin.jp/journal/51-4/549.pdf")</f>
        <v>http://jsmh.umin.jp/journal/51-4/549.pdf</v>
      </c>
      <c r="H4900" s="43"/>
    </row>
    <row r="4901" spans="1:8" ht="30" customHeight="1" x14ac:dyDescent="0.15">
      <c r="A4901" s="16" t="s">
        <v>3387</v>
      </c>
      <c r="B4901" s="17" t="s">
        <v>8254</v>
      </c>
      <c r="C4901" s="17" t="s">
        <v>7940</v>
      </c>
      <c r="D4901" s="25" t="s">
        <v>8088</v>
      </c>
      <c r="E4901" s="19" t="s">
        <v>8250</v>
      </c>
      <c r="F4901" s="19" t="s">
        <v>8255</v>
      </c>
      <c r="G4901" s="9" t="str">
        <f>HYPERLINK("http://jsmh.umin.jp/journal/51-4/569.pdf")</f>
        <v>http://jsmh.umin.jp/journal/51-4/569.pdf</v>
      </c>
      <c r="H4901" s="43"/>
    </row>
    <row r="4902" spans="1:8" ht="30" customHeight="1" x14ac:dyDescent="0.15">
      <c r="A4902" s="16" t="s">
        <v>3387</v>
      </c>
      <c r="B4902" s="17" t="s">
        <v>8256</v>
      </c>
      <c r="C4902" s="17" t="s">
        <v>8257</v>
      </c>
      <c r="D4902" s="25" t="s">
        <v>8088</v>
      </c>
      <c r="E4902" s="19" t="s">
        <v>8250</v>
      </c>
      <c r="F4902" s="19" t="s">
        <v>8258</v>
      </c>
      <c r="G4902" s="9" t="str">
        <f>HYPERLINK("http://jsmh.umin.jp/journal/51-4/593.pdf")</f>
        <v>http://jsmh.umin.jp/journal/51-4/593.pdf</v>
      </c>
      <c r="H4902" s="43"/>
    </row>
    <row r="4903" spans="1:8" ht="30" customHeight="1" x14ac:dyDescent="0.15">
      <c r="A4903" s="16" t="s">
        <v>3387</v>
      </c>
      <c r="B4903" s="17" t="s">
        <v>10383</v>
      </c>
      <c r="C4903" s="17" t="s">
        <v>8259</v>
      </c>
      <c r="D4903" s="25" t="s">
        <v>8088</v>
      </c>
      <c r="E4903" s="19" t="s">
        <v>8250</v>
      </c>
      <c r="F4903" s="19" t="s">
        <v>6350</v>
      </c>
      <c r="G4903" s="9" t="str">
        <f>HYPERLINK("http://jsmh.umin.jp/journal/51-4/615.pdf")</f>
        <v>http://jsmh.umin.jp/journal/51-4/615.pdf</v>
      </c>
      <c r="H4903" s="43"/>
    </row>
    <row r="4904" spans="1:8" ht="30" customHeight="1" x14ac:dyDescent="0.15">
      <c r="A4904" s="16" t="s">
        <v>7637</v>
      </c>
      <c r="B4904" s="17" t="s">
        <v>8260</v>
      </c>
      <c r="C4904" s="17" t="s">
        <v>3644</v>
      </c>
      <c r="D4904" s="25" t="s">
        <v>8088</v>
      </c>
      <c r="E4904" s="19" t="s">
        <v>8250</v>
      </c>
      <c r="F4904" s="19" t="s">
        <v>8261</v>
      </c>
      <c r="G4904" s="9" t="str">
        <f>HYPERLINK("http://jsmh.umin.jp/journal/51-4/627.pdf")</f>
        <v>http://jsmh.umin.jp/journal/51-4/627.pdf</v>
      </c>
      <c r="H4904" s="43"/>
    </row>
    <row r="4905" spans="1:8" ht="30" customHeight="1" x14ac:dyDescent="0.15">
      <c r="A4905" s="16" t="s">
        <v>3223</v>
      </c>
      <c r="B4905" s="17" t="s">
        <v>8262</v>
      </c>
      <c r="C4905" s="17" t="s">
        <v>6848</v>
      </c>
      <c r="D4905" s="25" t="s">
        <v>8088</v>
      </c>
      <c r="E4905" s="19" t="s">
        <v>8250</v>
      </c>
      <c r="F4905" s="19" t="s">
        <v>8263</v>
      </c>
      <c r="G4905" s="9" t="str">
        <f>HYPERLINK("http://jsmh.umin.jp/journal/51-4/641.pdf")</f>
        <v>http://jsmh.umin.jp/journal/51-4/641.pdf</v>
      </c>
      <c r="H4905" s="43"/>
    </row>
    <row r="4906" spans="1:8" ht="30" customHeight="1" x14ac:dyDescent="0.15">
      <c r="A4906" s="16" t="s">
        <v>692</v>
      </c>
      <c r="B4906" s="17" t="s">
        <v>8264</v>
      </c>
      <c r="C4906" s="17" t="s">
        <v>4870</v>
      </c>
      <c r="D4906" s="25" t="s">
        <v>8088</v>
      </c>
      <c r="E4906" s="19" t="s">
        <v>8250</v>
      </c>
      <c r="F4906" s="19" t="s">
        <v>8265</v>
      </c>
      <c r="G4906" s="9" t="str">
        <f>HYPERLINK("http://jsmh.umin.jp/journal/51-4/645.pdf")</f>
        <v>http://jsmh.umin.jp/journal/51-4/645.pdf</v>
      </c>
      <c r="H4906" s="43"/>
    </row>
    <row r="4907" spans="1:8" ht="30" customHeight="1" x14ac:dyDescent="0.15">
      <c r="A4907" s="16" t="s">
        <v>692</v>
      </c>
      <c r="B4907" s="17" t="s">
        <v>8266</v>
      </c>
      <c r="C4907" s="17" t="s">
        <v>2465</v>
      </c>
      <c r="D4907" s="25" t="s">
        <v>8088</v>
      </c>
      <c r="E4907" s="19" t="s">
        <v>8250</v>
      </c>
      <c r="F4907" s="19" t="s">
        <v>8267</v>
      </c>
      <c r="G4907" s="9" t="str">
        <f>HYPERLINK("http://jsmh.umin.jp/journal/51-4/655.pdf")</f>
        <v>http://jsmh.umin.jp/journal/51-4/655.pdf</v>
      </c>
      <c r="H4907" s="43"/>
    </row>
    <row r="4908" spans="1:8" ht="30" customHeight="1" x14ac:dyDescent="0.15">
      <c r="A4908" s="16" t="s">
        <v>3720</v>
      </c>
      <c r="B4908" s="17" t="s">
        <v>8268</v>
      </c>
      <c r="C4908" s="17" t="s">
        <v>6604</v>
      </c>
      <c r="D4908" s="25" t="s">
        <v>8088</v>
      </c>
      <c r="E4908" s="19" t="s">
        <v>8250</v>
      </c>
      <c r="F4908" s="19" t="s">
        <v>5398</v>
      </c>
      <c r="G4908" s="9" t="str">
        <f>HYPERLINK("http://jsmh.umin.jp/journal/51-4/660-661.pdf")</f>
        <v>http://jsmh.umin.jp/journal/51-4/660-661.pdf</v>
      </c>
      <c r="H4908" s="43"/>
    </row>
    <row r="4909" spans="1:8" ht="30" customHeight="1" x14ac:dyDescent="0.15">
      <c r="A4909" s="16" t="s">
        <v>558</v>
      </c>
      <c r="B4909" s="17" t="s">
        <v>8269</v>
      </c>
      <c r="C4909" s="17"/>
      <c r="D4909" s="25" t="s">
        <v>8088</v>
      </c>
      <c r="E4909" s="19" t="s">
        <v>8250</v>
      </c>
      <c r="F4909" s="19" t="s">
        <v>8270</v>
      </c>
      <c r="G4909" s="9" t="str">
        <f>HYPERLINK("http://jsmh.umin.jp/journal/51-4/660.pdf")</f>
        <v>http://jsmh.umin.jp/journal/51-4/660.pdf</v>
      </c>
      <c r="H4909" s="43"/>
    </row>
    <row r="4910" spans="1:8" ht="30" customHeight="1" x14ac:dyDescent="0.15">
      <c r="A4910" s="16" t="s">
        <v>3720</v>
      </c>
      <c r="B4910" s="17" t="s">
        <v>8271</v>
      </c>
      <c r="C4910" s="17" t="s">
        <v>10384</v>
      </c>
      <c r="D4910" s="25" t="s">
        <v>8088</v>
      </c>
      <c r="E4910" s="19" t="s">
        <v>8250</v>
      </c>
      <c r="F4910" s="19" t="s">
        <v>5400</v>
      </c>
      <c r="G4910" s="9" t="str">
        <f>HYPERLINK("http://jsmh.umin.jp/journal/51-4/661-662.pdf")</f>
        <v>http://jsmh.umin.jp/journal/51-4/661-662.pdf</v>
      </c>
      <c r="H4910" s="43"/>
    </row>
    <row r="4911" spans="1:8" ht="30" customHeight="1" x14ac:dyDescent="0.15">
      <c r="A4911" s="16" t="s">
        <v>3720</v>
      </c>
      <c r="B4911" s="17" t="s">
        <v>8272</v>
      </c>
      <c r="C4911" s="17" t="s">
        <v>1423</v>
      </c>
      <c r="D4911" s="25" t="s">
        <v>8088</v>
      </c>
      <c r="E4911" s="19" t="s">
        <v>8250</v>
      </c>
      <c r="F4911" s="19" t="s">
        <v>8273</v>
      </c>
      <c r="G4911" s="9" t="str">
        <f>HYPERLINK("http://jsmh.umin.jp/journal/51-4/661.pdf")</f>
        <v>http://jsmh.umin.jp/journal/51-4/661.pdf</v>
      </c>
      <c r="H4911" s="43"/>
    </row>
    <row r="4912" spans="1:8" ht="30" customHeight="1" x14ac:dyDescent="0.15">
      <c r="A4912" s="16" t="s">
        <v>3720</v>
      </c>
      <c r="B4912" s="17" t="s">
        <v>8274</v>
      </c>
      <c r="C4912" s="17" t="s">
        <v>6601</v>
      </c>
      <c r="D4912" s="25" t="s">
        <v>8088</v>
      </c>
      <c r="E4912" s="19" t="s">
        <v>8250</v>
      </c>
      <c r="F4912" s="19" t="s">
        <v>8275</v>
      </c>
      <c r="G4912" s="9" t="str">
        <f>HYPERLINK("http://jsmh.umin.jp/journal/51-4/662.pdf")</f>
        <v>http://jsmh.umin.jp/journal/51-4/662.pdf</v>
      </c>
      <c r="H4912" s="43"/>
    </row>
    <row r="4913" spans="1:8" ht="30" customHeight="1" x14ac:dyDescent="0.15">
      <c r="A4913" s="16" t="s">
        <v>558</v>
      </c>
      <c r="B4913" s="17" t="s">
        <v>8276</v>
      </c>
      <c r="C4913" s="17" t="s">
        <v>4039</v>
      </c>
      <c r="D4913" s="25" t="s">
        <v>8088</v>
      </c>
      <c r="E4913" s="19" t="s">
        <v>8250</v>
      </c>
      <c r="F4913" s="19" t="s">
        <v>5577</v>
      </c>
      <c r="G4913" s="9" t="str">
        <f>HYPERLINK("http://jsmh.umin.jp/journal/51-4/663.pdf")</f>
        <v>http://jsmh.umin.jp/journal/51-4/663.pdf</v>
      </c>
      <c r="H4913" s="43"/>
    </row>
    <row r="4914" spans="1:8" ht="30" customHeight="1" x14ac:dyDescent="0.15">
      <c r="A4914" s="16" t="s">
        <v>558</v>
      </c>
      <c r="B4914" s="17" t="s">
        <v>8277</v>
      </c>
      <c r="C4914" s="17" t="s">
        <v>4039</v>
      </c>
      <c r="D4914" s="25" t="s">
        <v>8088</v>
      </c>
      <c r="E4914" s="19" t="s">
        <v>8250</v>
      </c>
      <c r="F4914" s="19" t="s">
        <v>6382</v>
      </c>
      <c r="G4914" s="9" t="str">
        <f>HYPERLINK("http://jsmh.umin.jp/journal/51-4/665.pdf")</f>
        <v>http://jsmh.umin.jp/journal/51-4/665.pdf</v>
      </c>
      <c r="H4914" s="43"/>
    </row>
    <row r="4915" spans="1:8" ht="30" customHeight="1" x14ac:dyDescent="0.15">
      <c r="A4915" s="16" t="s">
        <v>558</v>
      </c>
      <c r="B4915" s="17" t="s">
        <v>8278</v>
      </c>
      <c r="C4915" s="17" t="s">
        <v>4039</v>
      </c>
      <c r="D4915" s="25" t="s">
        <v>8088</v>
      </c>
      <c r="E4915" s="19" t="s">
        <v>8250</v>
      </c>
      <c r="F4915" s="19" t="s">
        <v>6386</v>
      </c>
      <c r="G4915" s="9" t="str">
        <f>HYPERLINK("http://jsmh.umin.jp/journal/51-4/668.pdf")</f>
        <v>http://jsmh.umin.jp/journal/51-4/668.pdf</v>
      </c>
      <c r="H4915" s="43"/>
    </row>
    <row r="4916" spans="1:8" ht="30" customHeight="1" x14ac:dyDescent="0.15">
      <c r="A4916" s="16" t="s">
        <v>2990</v>
      </c>
      <c r="B4916" s="17" t="s">
        <v>8279</v>
      </c>
      <c r="C4916" s="17" t="s">
        <v>1292</v>
      </c>
      <c r="D4916" s="25" t="s">
        <v>8088</v>
      </c>
      <c r="E4916" s="19" t="s">
        <v>8250</v>
      </c>
      <c r="F4916" s="19" t="s">
        <v>8280</v>
      </c>
      <c r="G4916" s="9" t="str">
        <f>HYPERLINK("http://jsmh.umin.jp/journal/51-4/670.pdf")</f>
        <v>http://jsmh.umin.jp/journal/51-4/670.pdf</v>
      </c>
      <c r="H4916" s="43"/>
    </row>
    <row r="4917" spans="1:8" ht="30" customHeight="1" x14ac:dyDescent="0.15">
      <c r="A4917" s="16" t="s">
        <v>2990</v>
      </c>
      <c r="B4917" s="17" t="s">
        <v>10385</v>
      </c>
      <c r="C4917" s="17" t="s">
        <v>10214</v>
      </c>
      <c r="D4917" s="25" t="s">
        <v>8088</v>
      </c>
      <c r="E4917" s="19" t="s">
        <v>8250</v>
      </c>
      <c r="F4917" s="19" t="s">
        <v>7855</v>
      </c>
      <c r="G4917" s="9" t="str">
        <f>HYPERLINK("http://jsmh.umin.jp/journal/51-4/672.pdf")</f>
        <v>http://jsmh.umin.jp/journal/51-4/672.pdf</v>
      </c>
      <c r="H4917" s="43"/>
    </row>
    <row r="4918" spans="1:8" ht="30" customHeight="1" x14ac:dyDescent="0.15">
      <c r="A4918" s="16" t="s">
        <v>2990</v>
      </c>
      <c r="B4918" s="17" t="s">
        <v>8281</v>
      </c>
      <c r="C4918" s="17" t="s">
        <v>4039</v>
      </c>
      <c r="D4918" s="25" t="s">
        <v>8088</v>
      </c>
      <c r="E4918" s="19" t="s">
        <v>8250</v>
      </c>
      <c r="F4918" s="19" t="s">
        <v>7663</v>
      </c>
      <c r="G4918" s="9" t="str">
        <f>HYPERLINK("http://jsmh.umin.jp/journal/51-4/673.pdf")</f>
        <v>http://jsmh.umin.jp/journal/51-4/673.pdf</v>
      </c>
      <c r="H4918" s="43"/>
    </row>
    <row r="4919" spans="1:8" ht="30" customHeight="1" x14ac:dyDescent="0.15">
      <c r="A4919" s="16" t="s">
        <v>2990</v>
      </c>
      <c r="B4919" s="17" t="s">
        <v>8282</v>
      </c>
      <c r="C4919" s="17" t="s">
        <v>6705</v>
      </c>
      <c r="D4919" s="25" t="s">
        <v>8088</v>
      </c>
      <c r="E4919" s="19" t="s">
        <v>8250</v>
      </c>
      <c r="F4919" s="19" t="s">
        <v>7228</v>
      </c>
      <c r="G4919" s="9" t="str">
        <f>HYPERLINK("http://jsmh.umin.jp/journal/51-4/675.pdf")</f>
        <v>http://jsmh.umin.jp/journal/51-4/675.pdf</v>
      </c>
      <c r="H4919" s="43"/>
    </row>
    <row r="4920" spans="1:8" ht="30" customHeight="1" x14ac:dyDescent="0.15">
      <c r="A4920" s="16" t="s">
        <v>2990</v>
      </c>
      <c r="B4920" s="17" t="s">
        <v>8283</v>
      </c>
      <c r="C4920" s="17" t="s">
        <v>5018</v>
      </c>
      <c r="D4920" s="25" t="s">
        <v>8088</v>
      </c>
      <c r="E4920" s="19" t="s">
        <v>8250</v>
      </c>
      <c r="F4920" s="19" t="s">
        <v>7666</v>
      </c>
      <c r="G4920" s="9" t="str">
        <f>HYPERLINK("http://jsmh.umin.jp/journal/51-4/677.pdf")</f>
        <v>http://jsmh.umin.jp/journal/51-4/677.pdf</v>
      </c>
      <c r="H4920" s="43"/>
    </row>
    <row r="4921" spans="1:8" ht="30" customHeight="1" x14ac:dyDescent="0.15">
      <c r="A4921" s="16"/>
      <c r="B4921" s="17" t="s">
        <v>8284</v>
      </c>
      <c r="C4921" s="17"/>
      <c r="D4921" s="25" t="s">
        <v>8088</v>
      </c>
      <c r="E4921" s="19" t="s">
        <v>8250</v>
      </c>
      <c r="F4921" s="19" t="s">
        <v>8285</v>
      </c>
      <c r="G4921" s="9" t="str">
        <f>HYPERLINK("http://jsmh.umin.jp/journal/51-4/680.pdf")</f>
        <v>http://jsmh.umin.jp/journal/51-4/680.pdf</v>
      </c>
      <c r="H4921" s="43"/>
    </row>
    <row r="4922" spans="1:8" ht="30" customHeight="1" x14ac:dyDescent="0.15">
      <c r="A4922" s="16" t="s">
        <v>1855</v>
      </c>
      <c r="B4922" s="17" t="s">
        <v>8286</v>
      </c>
      <c r="C4922" s="17" t="s">
        <v>8287</v>
      </c>
      <c r="D4922" s="18" t="s">
        <v>8288</v>
      </c>
      <c r="E4922" s="19" t="s">
        <v>8289</v>
      </c>
      <c r="F4922" s="19" t="s">
        <v>8290</v>
      </c>
      <c r="G4922" s="9" t="str">
        <f>HYPERLINK("http://jsmh.umin.jp/journal/52-1/7.pdf")</f>
        <v>http://jsmh.umin.jp/journal/52-1/7.pdf</v>
      </c>
      <c r="H4922" s="43"/>
    </row>
    <row r="4923" spans="1:8" ht="30" customHeight="1" x14ac:dyDescent="0.15">
      <c r="A4923" s="16" t="s">
        <v>1855</v>
      </c>
      <c r="B4923" s="17" t="s">
        <v>8291</v>
      </c>
      <c r="C4923" s="17" t="s">
        <v>444</v>
      </c>
      <c r="D4923" s="25" t="s">
        <v>8288</v>
      </c>
      <c r="E4923" s="19" t="s">
        <v>8289</v>
      </c>
      <c r="F4923" s="19" t="s">
        <v>8292</v>
      </c>
      <c r="G4923" s="9" t="str">
        <f>HYPERLINK("http://jsmh.umin.jp/journal/52-1/10.pdf")</f>
        <v>http://jsmh.umin.jp/journal/52-1/10.pdf</v>
      </c>
      <c r="H4923" s="43"/>
    </row>
    <row r="4924" spans="1:8" ht="30" customHeight="1" x14ac:dyDescent="0.15">
      <c r="A4924" s="16" t="s">
        <v>1855</v>
      </c>
      <c r="B4924" s="17" t="s">
        <v>8293</v>
      </c>
      <c r="C4924" s="17" t="s">
        <v>10260</v>
      </c>
      <c r="D4924" s="25" t="s">
        <v>8288</v>
      </c>
      <c r="E4924" s="19" t="s">
        <v>8289</v>
      </c>
      <c r="F4924" s="19" t="s">
        <v>8294</v>
      </c>
      <c r="G4924" s="9" t="str">
        <f>HYPERLINK("http://jsmh.umin.jp/journal/52-1/20.pdf")</f>
        <v>http://jsmh.umin.jp/journal/52-1/20.pdf</v>
      </c>
      <c r="H4924" s="43"/>
    </row>
    <row r="4925" spans="1:8" ht="30" customHeight="1" x14ac:dyDescent="0.15">
      <c r="A4925" s="16" t="s">
        <v>1855</v>
      </c>
      <c r="B4925" s="17" t="s">
        <v>8295</v>
      </c>
      <c r="C4925" s="17" t="s">
        <v>8296</v>
      </c>
      <c r="D4925" s="25" t="s">
        <v>8288</v>
      </c>
      <c r="E4925" s="19" t="s">
        <v>8289</v>
      </c>
      <c r="F4925" s="19" t="s">
        <v>8297</v>
      </c>
      <c r="G4925" s="9" t="str">
        <f>HYPERLINK("http://jsmh.umin.jp/journal/52-1/24.pdf")</f>
        <v>http://jsmh.umin.jp/journal/52-1/24.pdf</v>
      </c>
      <c r="H4925" s="43"/>
    </row>
    <row r="4926" spans="1:8" ht="30" customHeight="1" x14ac:dyDescent="0.15">
      <c r="A4926" s="16" t="s">
        <v>1855</v>
      </c>
      <c r="B4926" s="17" t="s">
        <v>8298</v>
      </c>
      <c r="C4926" s="17" t="s">
        <v>1764</v>
      </c>
      <c r="D4926" s="25" t="s">
        <v>8288</v>
      </c>
      <c r="E4926" s="19" t="s">
        <v>8289</v>
      </c>
      <c r="F4926" s="19" t="s">
        <v>8299</v>
      </c>
      <c r="G4926" s="9" t="str">
        <f>HYPERLINK("http://jsmh.umin.jp/journal/52-1/26.pdf")</f>
        <v>http://jsmh.umin.jp/journal/52-1/26.pdf</v>
      </c>
      <c r="H4926" s="43"/>
    </row>
    <row r="4927" spans="1:8" ht="30" customHeight="1" x14ac:dyDescent="0.15">
      <c r="A4927" s="16" t="s">
        <v>1855</v>
      </c>
      <c r="B4927" s="17" t="s">
        <v>8300</v>
      </c>
      <c r="C4927" s="17" t="s">
        <v>4795</v>
      </c>
      <c r="D4927" s="25" t="s">
        <v>8288</v>
      </c>
      <c r="E4927" s="19" t="s">
        <v>8289</v>
      </c>
      <c r="F4927" s="19" t="s">
        <v>8301</v>
      </c>
      <c r="G4927" s="9" t="str">
        <f>HYPERLINK("http://jsmh.umin.jp/journal/52-1/28.pdf")</f>
        <v>http://jsmh.umin.jp/journal/52-1/28.pdf</v>
      </c>
      <c r="H4927" s="43"/>
    </row>
    <row r="4928" spans="1:8" ht="30" customHeight="1" x14ac:dyDescent="0.15">
      <c r="A4928" s="16" t="s">
        <v>1855</v>
      </c>
      <c r="B4928" s="17" t="s">
        <v>8302</v>
      </c>
      <c r="C4928" s="17" t="s">
        <v>6267</v>
      </c>
      <c r="D4928" s="25" t="s">
        <v>8288</v>
      </c>
      <c r="E4928" s="19" t="s">
        <v>8289</v>
      </c>
      <c r="F4928" s="19" t="s">
        <v>8303</v>
      </c>
      <c r="G4928" s="9" t="str">
        <f>HYPERLINK("http://jsmh.umin.jp/journal/52-1/30.pdf")</f>
        <v>http://jsmh.umin.jp/journal/52-1/30.pdf</v>
      </c>
      <c r="H4928" s="43"/>
    </row>
    <row r="4929" spans="1:8" ht="30" customHeight="1" x14ac:dyDescent="0.15">
      <c r="A4929" s="16" t="s">
        <v>1855</v>
      </c>
      <c r="B4929" s="17" t="s">
        <v>8304</v>
      </c>
      <c r="C4929" s="17" t="s">
        <v>8305</v>
      </c>
      <c r="D4929" s="25" t="s">
        <v>8288</v>
      </c>
      <c r="E4929" s="19" t="s">
        <v>8289</v>
      </c>
      <c r="F4929" s="19" t="s">
        <v>8306</v>
      </c>
      <c r="G4929" s="9" t="str">
        <f>HYPERLINK("http://jsmh.umin.jp/journal/52-1/32.pdf")</f>
        <v>http://jsmh.umin.jp/journal/52-1/32.pdf</v>
      </c>
      <c r="H4929" s="43"/>
    </row>
    <row r="4930" spans="1:8" ht="30" customHeight="1" x14ac:dyDescent="0.15">
      <c r="A4930" s="16" t="s">
        <v>1855</v>
      </c>
      <c r="B4930" s="17" t="s">
        <v>8307</v>
      </c>
      <c r="C4930" s="17" t="s">
        <v>8308</v>
      </c>
      <c r="D4930" s="25" t="s">
        <v>8288</v>
      </c>
      <c r="E4930" s="19" t="s">
        <v>8289</v>
      </c>
      <c r="F4930" s="19" t="s">
        <v>8309</v>
      </c>
      <c r="G4930" s="9" t="str">
        <f>HYPERLINK("http://jsmh.umin.jp/journal/52-1/34.pdf")</f>
        <v>http://jsmh.umin.jp/journal/52-1/34.pdf</v>
      </c>
      <c r="H4930" s="43"/>
    </row>
    <row r="4931" spans="1:8" ht="30" customHeight="1" x14ac:dyDescent="0.15">
      <c r="A4931" s="16" t="s">
        <v>1855</v>
      </c>
      <c r="B4931" s="17" t="s">
        <v>8310</v>
      </c>
      <c r="C4931" s="17" t="s">
        <v>5837</v>
      </c>
      <c r="D4931" s="25" t="s">
        <v>8288</v>
      </c>
      <c r="E4931" s="19" t="s">
        <v>8289</v>
      </c>
      <c r="F4931" s="19" t="s">
        <v>8311</v>
      </c>
      <c r="G4931" s="9" t="str">
        <f>HYPERLINK("http://jsmh.umin.jp/journal/52-1/36.pdf")</f>
        <v>http://jsmh.umin.jp/journal/52-1/36.pdf</v>
      </c>
      <c r="H4931" s="43"/>
    </row>
    <row r="4932" spans="1:8" ht="30" customHeight="1" x14ac:dyDescent="0.15">
      <c r="A4932" s="16" t="s">
        <v>1855</v>
      </c>
      <c r="B4932" s="17" t="s">
        <v>8312</v>
      </c>
      <c r="C4932" s="17" t="s">
        <v>5516</v>
      </c>
      <c r="D4932" s="25" t="s">
        <v>8288</v>
      </c>
      <c r="E4932" s="19" t="s">
        <v>8289</v>
      </c>
      <c r="F4932" s="19" t="s">
        <v>8313</v>
      </c>
      <c r="G4932" s="9" t="str">
        <f>HYPERLINK("http://jsmh.umin.jp/journal/52-1/38.pdf")</f>
        <v>http://jsmh.umin.jp/journal/52-1/38.pdf</v>
      </c>
      <c r="H4932" s="43"/>
    </row>
    <row r="4933" spans="1:8" ht="30" customHeight="1" x14ac:dyDescent="0.15">
      <c r="A4933" s="16" t="s">
        <v>1855</v>
      </c>
      <c r="B4933" s="17" t="s">
        <v>8314</v>
      </c>
      <c r="C4933" s="17" t="s">
        <v>790</v>
      </c>
      <c r="D4933" s="25" t="s">
        <v>8288</v>
      </c>
      <c r="E4933" s="19" t="s">
        <v>8289</v>
      </c>
      <c r="F4933" s="19" t="s">
        <v>8315</v>
      </c>
      <c r="G4933" s="9" t="str">
        <f>HYPERLINK("http://jsmh.umin.jp/journal/52-1/40.pdf")</f>
        <v>http://jsmh.umin.jp/journal/52-1/40.pdf</v>
      </c>
      <c r="H4933" s="43"/>
    </row>
    <row r="4934" spans="1:8" ht="30" customHeight="1" x14ac:dyDescent="0.15">
      <c r="A4934" s="16" t="s">
        <v>1855</v>
      </c>
      <c r="B4934" s="17" t="s">
        <v>8316</v>
      </c>
      <c r="C4934" s="17" t="s">
        <v>8317</v>
      </c>
      <c r="D4934" s="25" t="s">
        <v>8288</v>
      </c>
      <c r="E4934" s="19" t="s">
        <v>8289</v>
      </c>
      <c r="F4934" s="19" t="s">
        <v>8318</v>
      </c>
      <c r="G4934" s="9" t="str">
        <f>HYPERLINK("http://jsmh.umin.jp/journal/52-1/42.pdf")</f>
        <v>http://jsmh.umin.jp/journal/52-1/42.pdf</v>
      </c>
      <c r="H4934" s="43"/>
    </row>
    <row r="4935" spans="1:8" ht="30" customHeight="1" x14ac:dyDescent="0.15">
      <c r="A4935" s="16" t="s">
        <v>1855</v>
      </c>
      <c r="B4935" s="17" t="s">
        <v>8319</v>
      </c>
      <c r="C4935" s="17" t="s">
        <v>10299</v>
      </c>
      <c r="D4935" s="25" t="s">
        <v>8288</v>
      </c>
      <c r="E4935" s="19" t="s">
        <v>8289</v>
      </c>
      <c r="F4935" s="19" t="s">
        <v>8320</v>
      </c>
      <c r="G4935" s="9" t="str">
        <f>HYPERLINK("http://jsmh.umin.jp/journal/52-1/44.pdf")</f>
        <v>http://jsmh.umin.jp/journal/52-1/44.pdf</v>
      </c>
      <c r="H4935" s="43"/>
    </row>
    <row r="4936" spans="1:8" ht="30" customHeight="1" x14ac:dyDescent="0.15">
      <c r="A4936" s="16" t="s">
        <v>1855</v>
      </c>
      <c r="B4936" s="17" t="s">
        <v>8321</v>
      </c>
      <c r="C4936" s="17" t="s">
        <v>6565</v>
      </c>
      <c r="D4936" s="25" t="s">
        <v>8288</v>
      </c>
      <c r="E4936" s="19" t="s">
        <v>8289</v>
      </c>
      <c r="F4936" s="19" t="s">
        <v>8322</v>
      </c>
      <c r="G4936" s="9" t="str">
        <f>HYPERLINK("http://jsmh.umin.jp/journal/52-1/46.pdf")</f>
        <v>http://jsmh.umin.jp/journal/52-1/46.pdf</v>
      </c>
      <c r="H4936" s="43"/>
    </row>
    <row r="4937" spans="1:8" ht="30" customHeight="1" x14ac:dyDescent="0.15">
      <c r="A4937" s="16" t="s">
        <v>1855</v>
      </c>
      <c r="B4937" s="17" t="s">
        <v>8323</v>
      </c>
      <c r="C4937" s="17" t="s">
        <v>10280</v>
      </c>
      <c r="D4937" s="25" t="s">
        <v>8288</v>
      </c>
      <c r="E4937" s="19" t="s">
        <v>8289</v>
      </c>
      <c r="F4937" s="19" t="s">
        <v>8324</v>
      </c>
      <c r="G4937" s="9" t="str">
        <f>HYPERLINK("http://jsmh.umin.jp/journal/52-1/48.pdf")</f>
        <v>http://jsmh.umin.jp/journal/52-1/48.pdf</v>
      </c>
      <c r="H4937" s="43"/>
    </row>
    <row r="4938" spans="1:8" ht="30" customHeight="1" x14ac:dyDescent="0.15">
      <c r="A4938" s="16" t="s">
        <v>1855</v>
      </c>
      <c r="B4938" s="17" t="s">
        <v>8325</v>
      </c>
      <c r="C4938" s="17" t="s">
        <v>8146</v>
      </c>
      <c r="D4938" s="25" t="s">
        <v>8288</v>
      </c>
      <c r="E4938" s="19" t="s">
        <v>8289</v>
      </c>
      <c r="F4938" s="19" t="s">
        <v>8326</v>
      </c>
      <c r="G4938" s="9" t="str">
        <f>HYPERLINK("http://jsmh.umin.jp/journal/52-1/50.pdf")</f>
        <v>http://jsmh.umin.jp/journal/52-1/50.pdf</v>
      </c>
      <c r="H4938" s="43"/>
    </row>
    <row r="4939" spans="1:8" ht="30" customHeight="1" x14ac:dyDescent="0.15">
      <c r="A4939" s="16" t="s">
        <v>1855</v>
      </c>
      <c r="B4939" s="17" t="s">
        <v>8327</v>
      </c>
      <c r="C4939" s="17" t="s">
        <v>7352</v>
      </c>
      <c r="D4939" s="25" t="s">
        <v>8288</v>
      </c>
      <c r="E4939" s="19" t="s">
        <v>8289</v>
      </c>
      <c r="F4939" s="19" t="s">
        <v>8328</v>
      </c>
      <c r="G4939" s="9" t="str">
        <f>HYPERLINK("http://jsmh.umin.jp/journal/52-1/52.pdf")</f>
        <v>http://jsmh.umin.jp/journal/52-1/52.pdf</v>
      </c>
      <c r="H4939" s="43"/>
    </row>
    <row r="4940" spans="1:8" ht="30" customHeight="1" x14ac:dyDescent="0.15">
      <c r="A4940" s="16" t="s">
        <v>1855</v>
      </c>
      <c r="B4940" s="17" t="s">
        <v>8329</v>
      </c>
      <c r="C4940" s="17" t="s">
        <v>8198</v>
      </c>
      <c r="D4940" s="25" t="s">
        <v>8288</v>
      </c>
      <c r="E4940" s="19" t="s">
        <v>8289</v>
      </c>
      <c r="F4940" s="19" t="s">
        <v>8330</v>
      </c>
      <c r="G4940" s="9" t="str">
        <f>HYPERLINK("http://jsmh.umin.jp/journal/52-1/54.pdf")</f>
        <v>http://jsmh.umin.jp/journal/52-1/54.pdf</v>
      </c>
      <c r="H4940" s="43"/>
    </row>
    <row r="4941" spans="1:8" ht="30" customHeight="1" x14ac:dyDescent="0.15">
      <c r="A4941" s="16" t="s">
        <v>1855</v>
      </c>
      <c r="B4941" s="17" t="s">
        <v>8331</v>
      </c>
      <c r="C4941" s="17" t="s">
        <v>1292</v>
      </c>
      <c r="D4941" s="25" t="s">
        <v>8288</v>
      </c>
      <c r="E4941" s="19" t="s">
        <v>8289</v>
      </c>
      <c r="F4941" s="19" t="s">
        <v>8332</v>
      </c>
      <c r="G4941" s="9" t="str">
        <f>HYPERLINK("http://jsmh.umin.jp/journal/52-1/56.pdf")</f>
        <v>http://jsmh.umin.jp/journal/52-1/56.pdf</v>
      </c>
      <c r="H4941" s="43"/>
    </row>
    <row r="4942" spans="1:8" ht="30" customHeight="1" x14ac:dyDescent="0.15">
      <c r="A4942" s="16" t="s">
        <v>1855</v>
      </c>
      <c r="B4942" s="17" t="s">
        <v>8333</v>
      </c>
      <c r="C4942" s="17" t="s">
        <v>8334</v>
      </c>
      <c r="D4942" s="25" t="s">
        <v>8288</v>
      </c>
      <c r="E4942" s="19" t="s">
        <v>8289</v>
      </c>
      <c r="F4942" s="19" t="s">
        <v>8335</v>
      </c>
      <c r="G4942" s="9" t="str">
        <f>HYPERLINK("http://jsmh.umin.jp/journal/52-1/58.pdf")</f>
        <v>http://jsmh.umin.jp/journal/52-1/58.pdf</v>
      </c>
      <c r="H4942" s="43"/>
    </row>
    <row r="4943" spans="1:8" ht="30" customHeight="1" x14ac:dyDescent="0.15">
      <c r="A4943" s="16" t="s">
        <v>1855</v>
      </c>
      <c r="B4943" s="17" t="s">
        <v>8336</v>
      </c>
      <c r="C4943" s="17" t="s">
        <v>8337</v>
      </c>
      <c r="D4943" s="25" t="s">
        <v>8288</v>
      </c>
      <c r="E4943" s="19" t="s">
        <v>8289</v>
      </c>
      <c r="F4943" s="19" t="s">
        <v>8338</v>
      </c>
      <c r="G4943" s="9" t="str">
        <f>HYPERLINK("http://jsmh.umin.jp/journal/52-1/60.pdf")</f>
        <v>http://jsmh.umin.jp/journal/52-1/60.pdf</v>
      </c>
      <c r="H4943" s="43"/>
    </row>
    <row r="4944" spans="1:8" ht="30" customHeight="1" x14ac:dyDescent="0.15">
      <c r="A4944" s="16" t="s">
        <v>1855</v>
      </c>
      <c r="B4944" s="17" t="s">
        <v>8339</v>
      </c>
      <c r="C4944" s="17" t="s">
        <v>10386</v>
      </c>
      <c r="D4944" s="25" t="s">
        <v>8288</v>
      </c>
      <c r="E4944" s="19" t="s">
        <v>8289</v>
      </c>
      <c r="F4944" s="19" t="s">
        <v>8340</v>
      </c>
      <c r="G4944" s="9" t="str">
        <f>HYPERLINK("http://jsmh.umin.jp/journal/52-1/62.pdf")</f>
        <v>http://jsmh.umin.jp/journal/52-1/62.pdf</v>
      </c>
      <c r="H4944" s="43"/>
    </row>
    <row r="4945" spans="1:8" ht="30" customHeight="1" x14ac:dyDescent="0.15">
      <c r="A4945" s="16" t="s">
        <v>1855</v>
      </c>
      <c r="B4945" s="17" t="s">
        <v>8341</v>
      </c>
      <c r="C4945" s="17" t="s">
        <v>6676</v>
      </c>
      <c r="D4945" s="25" t="s">
        <v>8288</v>
      </c>
      <c r="E4945" s="19" t="s">
        <v>8289</v>
      </c>
      <c r="F4945" s="19" t="s">
        <v>8342</v>
      </c>
      <c r="G4945" s="9" t="str">
        <f>HYPERLINK("http://jsmh.umin.jp/journal/52-1/64.pdf")</f>
        <v>http://jsmh.umin.jp/journal/52-1/64.pdf</v>
      </c>
      <c r="H4945" s="43"/>
    </row>
    <row r="4946" spans="1:8" ht="30" customHeight="1" x14ac:dyDescent="0.15">
      <c r="A4946" s="16" t="s">
        <v>1855</v>
      </c>
      <c r="B4946" s="17" t="s">
        <v>8343</v>
      </c>
      <c r="C4946" s="17" t="s">
        <v>8344</v>
      </c>
      <c r="D4946" s="25" t="s">
        <v>8288</v>
      </c>
      <c r="E4946" s="19" t="s">
        <v>8289</v>
      </c>
      <c r="F4946" s="19" t="s">
        <v>8345</v>
      </c>
      <c r="G4946" s="9" t="str">
        <f>HYPERLINK("http://jsmh.umin.jp/journal/52-1/66.pdf")</f>
        <v>http://jsmh.umin.jp/journal/52-1/66.pdf</v>
      </c>
      <c r="H4946" s="43"/>
    </row>
    <row r="4947" spans="1:8" ht="30" customHeight="1" x14ac:dyDescent="0.15">
      <c r="A4947" s="16" t="s">
        <v>1855</v>
      </c>
      <c r="B4947" s="17" t="s">
        <v>8346</v>
      </c>
      <c r="C4947" s="17" t="s">
        <v>8347</v>
      </c>
      <c r="D4947" s="25" t="s">
        <v>8288</v>
      </c>
      <c r="E4947" s="19" t="s">
        <v>8289</v>
      </c>
      <c r="F4947" s="19" t="s">
        <v>8348</v>
      </c>
      <c r="G4947" s="9" t="str">
        <f>HYPERLINK("http://jsmh.umin.jp/journal/52-1/68.pdf")</f>
        <v>http://jsmh.umin.jp/journal/52-1/68.pdf</v>
      </c>
      <c r="H4947" s="43"/>
    </row>
    <row r="4948" spans="1:8" ht="30" customHeight="1" x14ac:dyDescent="0.15">
      <c r="A4948" s="16" t="s">
        <v>1855</v>
      </c>
      <c r="B4948" s="17" t="s">
        <v>8349</v>
      </c>
      <c r="C4948" s="17" t="s">
        <v>8350</v>
      </c>
      <c r="D4948" s="25" t="s">
        <v>8288</v>
      </c>
      <c r="E4948" s="19" t="s">
        <v>8289</v>
      </c>
      <c r="F4948" s="19" t="s">
        <v>8351</v>
      </c>
      <c r="G4948" s="9" t="str">
        <f>HYPERLINK("http://jsmh.umin.jp/journal/52-1/70.pdf")</f>
        <v>http://jsmh.umin.jp/journal/52-1/70.pdf</v>
      </c>
      <c r="H4948" s="43"/>
    </row>
    <row r="4949" spans="1:8" ht="30" customHeight="1" x14ac:dyDescent="0.15">
      <c r="A4949" s="16" t="s">
        <v>1855</v>
      </c>
      <c r="B4949" s="17" t="s">
        <v>8352</v>
      </c>
      <c r="C4949" s="17" t="s">
        <v>8353</v>
      </c>
      <c r="D4949" s="25" t="s">
        <v>8288</v>
      </c>
      <c r="E4949" s="19" t="s">
        <v>8289</v>
      </c>
      <c r="F4949" s="19" t="s">
        <v>8354</v>
      </c>
      <c r="G4949" s="9" t="str">
        <f>HYPERLINK("http://jsmh.umin.jp/journal/52-1/72.pdf")</f>
        <v>http://jsmh.umin.jp/journal/52-1/72.pdf</v>
      </c>
      <c r="H4949" s="43"/>
    </row>
    <row r="4950" spans="1:8" ht="30" customHeight="1" x14ac:dyDescent="0.15">
      <c r="A4950" s="16" t="s">
        <v>1855</v>
      </c>
      <c r="B4950" s="17" t="s">
        <v>8355</v>
      </c>
      <c r="C4950" s="17" t="s">
        <v>2386</v>
      </c>
      <c r="D4950" s="25" t="s">
        <v>8288</v>
      </c>
      <c r="E4950" s="19" t="s">
        <v>8289</v>
      </c>
      <c r="F4950" s="19" t="s">
        <v>8356</v>
      </c>
      <c r="G4950" s="9" t="str">
        <f>HYPERLINK("http://jsmh.umin.jp/journal/52-1/74.pdf")</f>
        <v>http://jsmh.umin.jp/journal/52-1/74.pdf</v>
      </c>
      <c r="H4950" s="43"/>
    </row>
    <row r="4951" spans="1:8" ht="30" customHeight="1" x14ac:dyDescent="0.15">
      <c r="A4951" s="16" t="s">
        <v>1855</v>
      </c>
      <c r="B4951" s="17" t="s">
        <v>8357</v>
      </c>
      <c r="C4951" s="17" t="s">
        <v>8162</v>
      </c>
      <c r="D4951" s="25" t="s">
        <v>8288</v>
      </c>
      <c r="E4951" s="19" t="s">
        <v>8289</v>
      </c>
      <c r="F4951" s="19" t="s">
        <v>8358</v>
      </c>
      <c r="G4951" s="9" t="str">
        <f>HYPERLINK("http://jsmh.umin.jp/journal/52-1/76.pdf")</f>
        <v>http://jsmh.umin.jp/journal/52-1/76.pdf</v>
      </c>
      <c r="H4951" s="43"/>
    </row>
    <row r="4952" spans="1:8" ht="30" customHeight="1" x14ac:dyDescent="0.15">
      <c r="A4952" s="16" t="s">
        <v>1855</v>
      </c>
      <c r="B4952" s="17" t="s">
        <v>10387</v>
      </c>
      <c r="C4952" s="17" t="s">
        <v>8156</v>
      </c>
      <c r="D4952" s="25" t="s">
        <v>8288</v>
      </c>
      <c r="E4952" s="19" t="s">
        <v>8289</v>
      </c>
      <c r="F4952" s="19" t="s">
        <v>8359</v>
      </c>
      <c r="G4952" s="9" t="str">
        <f>HYPERLINK("http://jsmh.umin.jp/journal/52-1/78.pdf")</f>
        <v>http://jsmh.umin.jp/journal/52-1/78.pdf</v>
      </c>
      <c r="H4952" s="43"/>
    </row>
    <row r="4953" spans="1:8" ht="30" customHeight="1" x14ac:dyDescent="0.15">
      <c r="A4953" s="16" t="s">
        <v>1855</v>
      </c>
      <c r="B4953" s="17" t="s">
        <v>8360</v>
      </c>
      <c r="C4953" s="17" t="s">
        <v>6851</v>
      </c>
      <c r="D4953" s="25" t="s">
        <v>8288</v>
      </c>
      <c r="E4953" s="19" t="s">
        <v>8289</v>
      </c>
      <c r="F4953" s="19" t="s">
        <v>8361</v>
      </c>
      <c r="G4953" s="9" t="str">
        <f>HYPERLINK("http://jsmh.umin.jp/journal/52-1/80.pdf")</f>
        <v>http://jsmh.umin.jp/journal/52-1/80.pdf</v>
      </c>
      <c r="H4953" s="43"/>
    </row>
    <row r="4954" spans="1:8" ht="30" customHeight="1" x14ac:dyDescent="0.15">
      <c r="A4954" s="16" t="s">
        <v>1855</v>
      </c>
      <c r="B4954" s="17" t="s">
        <v>8362</v>
      </c>
      <c r="C4954" s="17" t="s">
        <v>8363</v>
      </c>
      <c r="D4954" s="25" t="s">
        <v>8288</v>
      </c>
      <c r="E4954" s="19" t="s">
        <v>8289</v>
      </c>
      <c r="F4954" s="19" t="s">
        <v>8364</v>
      </c>
      <c r="G4954" s="9" t="str">
        <f>HYPERLINK("http://jsmh.umin.jp/journal/52-1/82.pdf")</f>
        <v>http://jsmh.umin.jp/journal/52-1/82.pdf</v>
      </c>
      <c r="H4954" s="43"/>
    </row>
    <row r="4955" spans="1:8" ht="30" customHeight="1" x14ac:dyDescent="0.15">
      <c r="A4955" s="16" t="s">
        <v>1855</v>
      </c>
      <c r="B4955" s="17" t="s">
        <v>10388</v>
      </c>
      <c r="C4955" s="17" t="s">
        <v>6705</v>
      </c>
      <c r="D4955" s="25" t="s">
        <v>8288</v>
      </c>
      <c r="E4955" s="19" t="s">
        <v>8289</v>
      </c>
      <c r="F4955" s="19" t="s">
        <v>8365</v>
      </c>
      <c r="G4955" s="9" t="str">
        <f>HYPERLINK("http://jsmh.umin.jp/journal/52-1/84.pdf")</f>
        <v>http://jsmh.umin.jp/journal/52-1/84.pdf</v>
      </c>
      <c r="H4955" s="43"/>
    </row>
    <row r="4956" spans="1:8" ht="30" customHeight="1" x14ac:dyDescent="0.15">
      <c r="A4956" s="16" t="s">
        <v>1855</v>
      </c>
      <c r="B4956" s="17" t="s">
        <v>8366</v>
      </c>
      <c r="C4956" s="17" t="s">
        <v>10289</v>
      </c>
      <c r="D4956" s="25" t="s">
        <v>8288</v>
      </c>
      <c r="E4956" s="19" t="s">
        <v>8289</v>
      </c>
      <c r="F4956" s="19" t="s">
        <v>8367</v>
      </c>
      <c r="G4956" s="9" t="str">
        <f>HYPERLINK("http://jsmh.umin.jp/journal/52-1/86.pdf")</f>
        <v>http://jsmh.umin.jp/journal/52-1/86.pdf</v>
      </c>
      <c r="H4956" s="43"/>
    </row>
    <row r="4957" spans="1:8" ht="30" customHeight="1" x14ac:dyDescent="0.15">
      <c r="A4957" s="16" t="s">
        <v>1855</v>
      </c>
      <c r="B4957" s="17" t="s">
        <v>8368</v>
      </c>
      <c r="C4957" s="17" t="s">
        <v>6903</v>
      </c>
      <c r="D4957" s="25" t="s">
        <v>8288</v>
      </c>
      <c r="E4957" s="19" t="s">
        <v>8289</v>
      </c>
      <c r="F4957" s="19" t="s">
        <v>8369</v>
      </c>
      <c r="G4957" s="9" t="str">
        <f>HYPERLINK("http://jsmh.umin.jp/journal/52-1/88.pdf")</f>
        <v>http://jsmh.umin.jp/journal/52-1/88.pdf</v>
      </c>
      <c r="H4957" s="43"/>
    </row>
    <row r="4958" spans="1:8" ht="30" customHeight="1" x14ac:dyDescent="0.15">
      <c r="A4958" s="16" t="s">
        <v>1855</v>
      </c>
      <c r="B4958" s="17" t="s">
        <v>8370</v>
      </c>
      <c r="C4958" s="17" t="s">
        <v>8371</v>
      </c>
      <c r="D4958" s="25" t="s">
        <v>8288</v>
      </c>
      <c r="E4958" s="19" t="s">
        <v>8289</v>
      </c>
      <c r="F4958" s="19" t="s">
        <v>8372</v>
      </c>
      <c r="G4958" s="9" t="str">
        <f>HYPERLINK("http://jsmh.umin.jp/journal/52-1/90.pdf")</f>
        <v>http://jsmh.umin.jp/journal/52-1/90.pdf</v>
      </c>
      <c r="H4958" s="43"/>
    </row>
    <row r="4959" spans="1:8" ht="30" customHeight="1" x14ac:dyDescent="0.15">
      <c r="A4959" s="16" t="s">
        <v>1855</v>
      </c>
      <c r="B4959" s="17" t="s">
        <v>8373</v>
      </c>
      <c r="C4959" s="17" t="s">
        <v>7320</v>
      </c>
      <c r="D4959" s="25" t="s">
        <v>8288</v>
      </c>
      <c r="E4959" s="19" t="s">
        <v>8289</v>
      </c>
      <c r="F4959" s="19" t="s">
        <v>8374</v>
      </c>
      <c r="G4959" s="9" t="str">
        <f>HYPERLINK("http://jsmh.umin.jp/journal/52-1/92.pdf")</f>
        <v>http://jsmh.umin.jp/journal/52-1/92.pdf</v>
      </c>
      <c r="H4959" s="43"/>
    </row>
    <row r="4960" spans="1:8" ht="30" customHeight="1" x14ac:dyDescent="0.15">
      <c r="A4960" s="16" t="s">
        <v>1855</v>
      </c>
      <c r="B4960" s="17" t="s">
        <v>8375</v>
      </c>
      <c r="C4960" s="17" t="s">
        <v>2937</v>
      </c>
      <c r="D4960" s="25" t="s">
        <v>8288</v>
      </c>
      <c r="E4960" s="19" t="s">
        <v>8289</v>
      </c>
      <c r="F4960" s="19" t="s">
        <v>8376</v>
      </c>
      <c r="G4960" s="9" t="str">
        <f>HYPERLINK("http://jsmh.umin.jp/journal/52-1/94.pdf")</f>
        <v>http://jsmh.umin.jp/journal/52-1/94.pdf</v>
      </c>
      <c r="H4960" s="43"/>
    </row>
    <row r="4961" spans="1:8" ht="30" customHeight="1" x14ac:dyDescent="0.15">
      <c r="A4961" s="16" t="s">
        <v>1855</v>
      </c>
      <c r="B4961" s="17" t="s">
        <v>8377</v>
      </c>
      <c r="C4961" s="17" t="s">
        <v>8196</v>
      </c>
      <c r="D4961" s="25" t="s">
        <v>8288</v>
      </c>
      <c r="E4961" s="19" t="s">
        <v>8289</v>
      </c>
      <c r="F4961" s="19" t="s">
        <v>8378</v>
      </c>
      <c r="G4961" s="9" t="str">
        <f>HYPERLINK("http://jsmh.umin.jp/journal/52-1/96.pdf")</f>
        <v>http://jsmh.umin.jp/journal/52-1/96.pdf</v>
      </c>
      <c r="H4961" s="43"/>
    </row>
    <row r="4962" spans="1:8" ht="30" customHeight="1" x14ac:dyDescent="0.15">
      <c r="A4962" s="16" t="s">
        <v>1855</v>
      </c>
      <c r="B4962" s="17" t="s">
        <v>8379</v>
      </c>
      <c r="C4962" s="17" t="s">
        <v>7136</v>
      </c>
      <c r="D4962" s="25" t="s">
        <v>8288</v>
      </c>
      <c r="E4962" s="19" t="s">
        <v>8289</v>
      </c>
      <c r="F4962" s="19" t="s">
        <v>8380</v>
      </c>
      <c r="G4962" s="9" t="str">
        <f>HYPERLINK("http://jsmh.umin.jp/journal/52-1/98.pdf")</f>
        <v>http://jsmh.umin.jp/journal/52-1/98.pdf</v>
      </c>
      <c r="H4962" s="43"/>
    </row>
    <row r="4963" spans="1:8" ht="30" customHeight="1" x14ac:dyDescent="0.15">
      <c r="A4963" s="16" t="s">
        <v>1855</v>
      </c>
      <c r="B4963" s="17" t="s">
        <v>8381</v>
      </c>
      <c r="C4963" s="17" t="s">
        <v>7583</v>
      </c>
      <c r="D4963" s="25" t="s">
        <v>8288</v>
      </c>
      <c r="E4963" s="19" t="s">
        <v>8289</v>
      </c>
      <c r="F4963" s="19" t="s">
        <v>778</v>
      </c>
      <c r="G4963" s="9" t="str">
        <f>HYPERLINK("http://jsmh.umin.jp/journal/52-1/100.pdf")</f>
        <v>http://jsmh.umin.jp/journal/52-1/100.pdf</v>
      </c>
      <c r="H4963" s="43"/>
    </row>
    <row r="4964" spans="1:8" ht="30" customHeight="1" x14ac:dyDescent="0.15">
      <c r="A4964" s="16" t="s">
        <v>1855</v>
      </c>
      <c r="B4964" s="17" t="s">
        <v>8382</v>
      </c>
      <c r="C4964" s="17" t="s">
        <v>7180</v>
      </c>
      <c r="D4964" s="25" t="s">
        <v>8288</v>
      </c>
      <c r="E4964" s="19" t="s">
        <v>8289</v>
      </c>
      <c r="F4964" s="19" t="s">
        <v>779</v>
      </c>
      <c r="G4964" s="9" t="str">
        <f>HYPERLINK("http://jsmh.umin.jp/journal/52-1/102.pdf")</f>
        <v>http://jsmh.umin.jp/journal/52-1/102.pdf</v>
      </c>
      <c r="H4964" s="43"/>
    </row>
    <row r="4965" spans="1:8" ht="30" customHeight="1" x14ac:dyDescent="0.15">
      <c r="A4965" s="16" t="s">
        <v>1855</v>
      </c>
      <c r="B4965" s="17" t="s">
        <v>8383</v>
      </c>
      <c r="C4965" s="17" t="s">
        <v>7588</v>
      </c>
      <c r="D4965" s="25" t="s">
        <v>8288</v>
      </c>
      <c r="E4965" s="19" t="s">
        <v>8289</v>
      </c>
      <c r="F4965" s="19" t="s">
        <v>186</v>
      </c>
      <c r="G4965" s="9" t="str">
        <f>HYPERLINK("http://jsmh.umin.jp/journal/52-1/104.pdf")</f>
        <v>http://jsmh.umin.jp/journal/52-1/104.pdf</v>
      </c>
      <c r="H4965" s="43"/>
    </row>
    <row r="4966" spans="1:8" ht="30" customHeight="1" x14ac:dyDescent="0.15">
      <c r="A4966" s="16" t="s">
        <v>1855</v>
      </c>
      <c r="B4966" s="17" t="s">
        <v>8384</v>
      </c>
      <c r="C4966" s="17" t="s">
        <v>7176</v>
      </c>
      <c r="D4966" s="25" t="s">
        <v>8288</v>
      </c>
      <c r="E4966" s="19" t="s">
        <v>8289</v>
      </c>
      <c r="F4966" s="19" t="s">
        <v>189</v>
      </c>
      <c r="G4966" s="9" t="str">
        <f>HYPERLINK("http://jsmh.umin.jp/journal/52-1/106.pdf")</f>
        <v>http://jsmh.umin.jp/journal/52-1/106.pdf</v>
      </c>
      <c r="H4966" s="43"/>
    </row>
    <row r="4967" spans="1:8" ht="30" customHeight="1" x14ac:dyDescent="0.15">
      <c r="A4967" s="16" t="s">
        <v>1855</v>
      </c>
      <c r="B4967" s="17" t="s">
        <v>8385</v>
      </c>
      <c r="C4967" s="17" t="s">
        <v>7366</v>
      </c>
      <c r="D4967" s="25" t="s">
        <v>8288</v>
      </c>
      <c r="E4967" s="19" t="s">
        <v>8289</v>
      </c>
      <c r="F4967" s="19" t="s">
        <v>7064</v>
      </c>
      <c r="G4967" s="9" t="str">
        <f>HYPERLINK("http://jsmh.umin.jp/journal/52-1/108.pdf")</f>
        <v>http://jsmh.umin.jp/journal/52-1/108.pdf</v>
      </c>
      <c r="H4967" s="43"/>
    </row>
    <row r="4968" spans="1:8" ht="30" customHeight="1" x14ac:dyDescent="0.15">
      <c r="A4968" s="16" t="s">
        <v>1855</v>
      </c>
      <c r="B4968" s="17" t="s">
        <v>8386</v>
      </c>
      <c r="C4968" s="17" t="s">
        <v>7420</v>
      </c>
      <c r="D4968" s="25" t="s">
        <v>8288</v>
      </c>
      <c r="E4968" s="19" t="s">
        <v>8289</v>
      </c>
      <c r="F4968" s="19" t="s">
        <v>2389</v>
      </c>
      <c r="G4968" s="9" t="str">
        <f>HYPERLINK("http://jsmh.umin.jp/journal/52-1/110.pdf")</f>
        <v>http://jsmh.umin.jp/journal/52-1/110.pdf</v>
      </c>
      <c r="H4968" s="43"/>
    </row>
    <row r="4969" spans="1:8" ht="30" customHeight="1" x14ac:dyDescent="0.15">
      <c r="A4969" s="16" t="s">
        <v>1855</v>
      </c>
      <c r="B4969" s="17" t="s">
        <v>8387</v>
      </c>
      <c r="C4969" s="17" t="s">
        <v>2465</v>
      </c>
      <c r="D4969" s="25" t="s">
        <v>8288</v>
      </c>
      <c r="E4969" s="19" t="s">
        <v>8289</v>
      </c>
      <c r="F4969" s="19" t="s">
        <v>4349</v>
      </c>
      <c r="G4969" s="9" t="str">
        <f>HYPERLINK("http://jsmh.umin.jp/journal/52-1/112.pdf")</f>
        <v>http://jsmh.umin.jp/journal/52-1/112.pdf</v>
      </c>
      <c r="H4969" s="43"/>
    </row>
    <row r="4970" spans="1:8" ht="30" customHeight="1" x14ac:dyDescent="0.15">
      <c r="A4970" s="16" t="s">
        <v>1855</v>
      </c>
      <c r="B4970" s="17" t="s">
        <v>8388</v>
      </c>
      <c r="C4970" s="17" t="s">
        <v>8389</v>
      </c>
      <c r="D4970" s="25" t="s">
        <v>8288</v>
      </c>
      <c r="E4970" s="19" t="s">
        <v>8289</v>
      </c>
      <c r="F4970" s="19" t="s">
        <v>2396</v>
      </c>
      <c r="G4970" s="9" t="str">
        <f>HYPERLINK("http://jsmh.umin.jp/journal/52-1/114.pdf")</f>
        <v>http://jsmh.umin.jp/journal/52-1/114.pdf</v>
      </c>
      <c r="H4970" s="43"/>
    </row>
    <row r="4971" spans="1:8" ht="30" customHeight="1" x14ac:dyDescent="0.15">
      <c r="A4971" s="16" t="s">
        <v>1855</v>
      </c>
      <c r="B4971" s="17" t="s">
        <v>8390</v>
      </c>
      <c r="C4971" s="17" t="s">
        <v>2697</v>
      </c>
      <c r="D4971" s="25" t="s">
        <v>8288</v>
      </c>
      <c r="E4971" s="19" t="s">
        <v>8289</v>
      </c>
      <c r="F4971" s="19" t="s">
        <v>2400</v>
      </c>
      <c r="G4971" s="9" t="str">
        <f>HYPERLINK("http://jsmh.umin.jp/journal/52-1/116.pdf")</f>
        <v>http://jsmh.umin.jp/journal/52-1/116.pdf</v>
      </c>
      <c r="H4971" s="43"/>
    </row>
    <row r="4972" spans="1:8" ht="30" customHeight="1" x14ac:dyDescent="0.15">
      <c r="A4972" s="16" t="s">
        <v>1855</v>
      </c>
      <c r="B4972" s="17" t="s">
        <v>8391</v>
      </c>
      <c r="C4972" s="17" t="s">
        <v>8392</v>
      </c>
      <c r="D4972" s="25" t="s">
        <v>8288</v>
      </c>
      <c r="E4972" s="19" t="s">
        <v>8289</v>
      </c>
      <c r="F4972" s="19" t="s">
        <v>964</v>
      </c>
      <c r="G4972" s="9" t="str">
        <f>HYPERLINK("http://jsmh.umin.jp/journal/52-1/118.pdf")</f>
        <v>http://jsmh.umin.jp/journal/52-1/118.pdf</v>
      </c>
      <c r="H4972" s="43"/>
    </row>
    <row r="4973" spans="1:8" ht="30" customHeight="1" x14ac:dyDescent="0.15">
      <c r="A4973" s="16" t="s">
        <v>1855</v>
      </c>
      <c r="B4973" s="17" t="s">
        <v>8393</v>
      </c>
      <c r="C4973" s="17" t="s">
        <v>7891</v>
      </c>
      <c r="D4973" s="25" t="s">
        <v>8288</v>
      </c>
      <c r="E4973" s="19" t="s">
        <v>8289</v>
      </c>
      <c r="F4973" s="19" t="s">
        <v>2406</v>
      </c>
      <c r="G4973" s="9" t="str">
        <f>HYPERLINK("http://jsmh.umin.jp/journal/52-1/120.pdf")</f>
        <v>http://jsmh.umin.jp/journal/52-1/120.pdf</v>
      </c>
      <c r="H4973" s="43"/>
    </row>
    <row r="4974" spans="1:8" ht="30" customHeight="1" x14ac:dyDescent="0.15">
      <c r="A4974" s="16" t="s">
        <v>1855</v>
      </c>
      <c r="B4974" s="17" t="s">
        <v>8394</v>
      </c>
      <c r="C4974" s="17" t="s">
        <v>8395</v>
      </c>
      <c r="D4974" s="25" t="s">
        <v>8288</v>
      </c>
      <c r="E4974" s="19" t="s">
        <v>8289</v>
      </c>
      <c r="F4974" s="19" t="s">
        <v>4598</v>
      </c>
      <c r="G4974" s="9" t="str">
        <f>HYPERLINK("http://jsmh.umin.jp/journal/52-1/122.pdf")</f>
        <v>http://jsmh.umin.jp/journal/52-1/122.pdf</v>
      </c>
      <c r="H4974" s="43"/>
    </row>
    <row r="4975" spans="1:8" ht="30" customHeight="1" x14ac:dyDescent="0.15">
      <c r="A4975" s="16" t="s">
        <v>1855</v>
      </c>
      <c r="B4975" s="17" t="s">
        <v>8396</v>
      </c>
      <c r="C4975" s="17" t="s">
        <v>8212</v>
      </c>
      <c r="D4975" s="25" t="s">
        <v>8288</v>
      </c>
      <c r="E4975" s="19" t="s">
        <v>8289</v>
      </c>
      <c r="F4975" s="19" t="s">
        <v>7745</v>
      </c>
      <c r="G4975" s="9" t="str">
        <f>HYPERLINK("http://jsmh.umin.jp/journal/52-1/124.pdf")</f>
        <v>http://jsmh.umin.jp/journal/52-1/124.pdf</v>
      </c>
      <c r="H4975" s="43"/>
    </row>
    <row r="4976" spans="1:8" ht="30" customHeight="1" x14ac:dyDescent="0.15">
      <c r="A4976" s="16" t="s">
        <v>1855</v>
      </c>
      <c r="B4976" s="17" t="s">
        <v>10389</v>
      </c>
      <c r="C4976" s="17" t="s">
        <v>4085</v>
      </c>
      <c r="D4976" s="25" t="s">
        <v>8288</v>
      </c>
      <c r="E4976" s="19" t="s">
        <v>8289</v>
      </c>
      <c r="F4976" s="19" t="s">
        <v>2414</v>
      </c>
      <c r="G4976" s="9" t="str">
        <f>HYPERLINK("http://jsmh.umin.jp/journal/52-1/126.pdf")</f>
        <v>http://jsmh.umin.jp/journal/52-1/126.pdf</v>
      </c>
      <c r="H4976" s="43"/>
    </row>
    <row r="4977" spans="1:8" ht="30" customHeight="1" x14ac:dyDescent="0.15">
      <c r="A4977" s="16" t="s">
        <v>1855</v>
      </c>
      <c r="B4977" s="17" t="s">
        <v>8397</v>
      </c>
      <c r="C4977" s="17" t="s">
        <v>48</v>
      </c>
      <c r="D4977" s="25" t="s">
        <v>8288</v>
      </c>
      <c r="E4977" s="19" t="s">
        <v>8289</v>
      </c>
      <c r="F4977" s="19" t="s">
        <v>1498</v>
      </c>
      <c r="G4977" s="9" t="str">
        <f>HYPERLINK("http://jsmh.umin.jp/journal/52-1/128.pdf")</f>
        <v>http://jsmh.umin.jp/journal/52-1/128.pdf</v>
      </c>
      <c r="H4977" s="43"/>
    </row>
    <row r="4978" spans="1:8" ht="30" customHeight="1" x14ac:dyDescent="0.15">
      <c r="A4978" s="16" t="s">
        <v>1855</v>
      </c>
      <c r="B4978" s="17" t="s">
        <v>8398</v>
      </c>
      <c r="C4978" s="17" t="s">
        <v>2638</v>
      </c>
      <c r="D4978" s="25" t="s">
        <v>8288</v>
      </c>
      <c r="E4978" s="19" t="s">
        <v>8289</v>
      </c>
      <c r="F4978" s="19" t="s">
        <v>2213</v>
      </c>
      <c r="G4978" s="9" t="str">
        <f>HYPERLINK("http://jsmh.umin.jp/journal/52-1/130.pdf")</f>
        <v>http://jsmh.umin.jp/journal/52-1/130.pdf</v>
      </c>
      <c r="H4978" s="43"/>
    </row>
    <row r="4979" spans="1:8" ht="30" customHeight="1" x14ac:dyDescent="0.15">
      <c r="A4979" s="16" t="s">
        <v>1855</v>
      </c>
      <c r="B4979" s="17" t="s">
        <v>8399</v>
      </c>
      <c r="C4979" s="17" t="s">
        <v>8400</v>
      </c>
      <c r="D4979" s="25" t="s">
        <v>8288</v>
      </c>
      <c r="E4979" s="19" t="s">
        <v>8289</v>
      </c>
      <c r="F4979" s="19" t="s">
        <v>2217</v>
      </c>
      <c r="G4979" s="9" t="str">
        <f>HYPERLINK("http://jsmh.umin.jp/journal/52-1/132.pdf")</f>
        <v>http://jsmh.umin.jp/journal/52-1/132.pdf</v>
      </c>
      <c r="H4979" s="43"/>
    </row>
    <row r="4980" spans="1:8" ht="30" customHeight="1" x14ac:dyDescent="0.15">
      <c r="A4980" s="16" t="s">
        <v>1855</v>
      </c>
      <c r="B4980" s="17" t="s">
        <v>8401</v>
      </c>
      <c r="C4980" s="17" t="s">
        <v>8402</v>
      </c>
      <c r="D4980" s="25" t="s">
        <v>8288</v>
      </c>
      <c r="E4980" s="19" t="s">
        <v>8289</v>
      </c>
      <c r="F4980" s="19" t="s">
        <v>2425</v>
      </c>
      <c r="G4980" s="9" t="str">
        <f>HYPERLINK("http://jsmh.umin.jp/journal/52-1/134.pdf")</f>
        <v>http://jsmh.umin.jp/journal/52-1/134.pdf</v>
      </c>
      <c r="H4980" s="43"/>
    </row>
    <row r="4981" spans="1:8" ht="30" customHeight="1" x14ac:dyDescent="0.15">
      <c r="A4981" s="16" t="s">
        <v>1855</v>
      </c>
      <c r="B4981" s="17" t="s">
        <v>8403</v>
      </c>
      <c r="C4981" s="17" t="s">
        <v>7971</v>
      </c>
      <c r="D4981" s="25" t="s">
        <v>8288</v>
      </c>
      <c r="E4981" s="19" t="s">
        <v>8289</v>
      </c>
      <c r="F4981" s="19" t="s">
        <v>2225</v>
      </c>
      <c r="G4981" s="9" t="str">
        <f>HYPERLINK("http://jsmh.umin.jp/journal/52-1/136.pdf")</f>
        <v>http://jsmh.umin.jp/journal/52-1/136.pdf</v>
      </c>
      <c r="H4981" s="43"/>
    </row>
    <row r="4982" spans="1:8" ht="30" customHeight="1" x14ac:dyDescent="0.15">
      <c r="A4982" s="16" t="s">
        <v>1855</v>
      </c>
      <c r="B4982" s="17" t="s">
        <v>8404</v>
      </c>
      <c r="C4982" s="17" t="s">
        <v>2881</v>
      </c>
      <c r="D4982" s="25" t="s">
        <v>8288</v>
      </c>
      <c r="E4982" s="19" t="s">
        <v>8289</v>
      </c>
      <c r="F4982" s="19" t="s">
        <v>2228</v>
      </c>
      <c r="G4982" s="9" t="str">
        <f>HYPERLINK("http://jsmh.umin.jp/journal/52-1/138.pdf")</f>
        <v>http://jsmh.umin.jp/journal/52-1/138.pdf</v>
      </c>
      <c r="H4982" s="43"/>
    </row>
    <row r="4983" spans="1:8" ht="30" customHeight="1" x14ac:dyDescent="0.15">
      <c r="A4983" s="16" t="s">
        <v>1855</v>
      </c>
      <c r="B4983" s="17" t="s">
        <v>8405</v>
      </c>
      <c r="C4983" s="17" t="s">
        <v>8406</v>
      </c>
      <c r="D4983" s="25" t="s">
        <v>8288</v>
      </c>
      <c r="E4983" s="19" t="s">
        <v>8289</v>
      </c>
      <c r="F4983" s="19" t="s">
        <v>2231</v>
      </c>
      <c r="G4983" s="9" t="str">
        <f>HYPERLINK("http://jsmh.umin.jp/journal/52-1/140.pdf")</f>
        <v>http://jsmh.umin.jp/journal/52-1/140.pdf</v>
      </c>
      <c r="H4983" s="43"/>
    </row>
    <row r="4984" spans="1:8" ht="30" customHeight="1" x14ac:dyDescent="0.15">
      <c r="A4984" s="16" t="s">
        <v>1855</v>
      </c>
      <c r="B4984" s="17" t="s">
        <v>8407</v>
      </c>
      <c r="C4984" s="17" t="s">
        <v>6640</v>
      </c>
      <c r="D4984" s="25" t="s">
        <v>8288</v>
      </c>
      <c r="E4984" s="19" t="s">
        <v>8289</v>
      </c>
      <c r="F4984" s="19" t="s">
        <v>1514</v>
      </c>
      <c r="G4984" s="9" t="str">
        <f>HYPERLINK("http://jsmh.umin.jp/journal/52-1/142.pdf")</f>
        <v>http://jsmh.umin.jp/journal/52-1/142.pdf</v>
      </c>
      <c r="H4984" s="43"/>
    </row>
    <row r="4985" spans="1:8" ht="30" customHeight="1" x14ac:dyDescent="0.15">
      <c r="A4985" s="16" t="s">
        <v>1855</v>
      </c>
      <c r="B4985" s="17" t="s">
        <v>8408</v>
      </c>
      <c r="C4985" s="17" t="s">
        <v>4039</v>
      </c>
      <c r="D4985" s="25" t="s">
        <v>8288</v>
      </c>
      <c r="E4985" s="19" t="s">
        <v>8289</v>
      </c>
      <c r="F4985" s="19" t="s">
        <v>2761</v>
      </c>
      <c r="G4985" s="9" t="str">
        <f>HYPERLINK("http://jsmh.umin.jp/journal/52-1/144.pdf")</f>
        <v>http://jsmh.umin.jp/journal/52-1/144.pdf</v>
      </c>
      <c r="H4985" s="43"/>
    </row>
    <row r="4986" spans="1:8" ht="30" customHeight="1" x14ac:dyDescent="0.15">
      <c r="A4986" s="16" t="s">
        <v>1855</v>
      </c>
      <c r="B4986" s="17" t="s">
        <v>8409</v>
      </c>
      <c r="C4986" s="17" t="s">
        <v>8410</v>
      </c>
      <c r="D4986" s="25" t="s">
        <v>8288</v>
      </c>
      <c r="E4986" s="19" t="s">
        <v>8289</v>
      </c>
      <c r="F4986" s="19" t="s">
        <v>1522</v>
      </c>
      <c r="G4986" s="9" t="str">
        <f>HYPERLINK("http://jsmh.umin.jp/journal/52-1/146.pdf")</f>
        <v>http://jsmh.umin.jp/journal/52-1/146.pdf</v>
      </c>
      <c r="H4986" s="43"/>
    </row>
    <row r="4987" spans="1:8" ht="30" customHeight="1" x14ac:dyDescent="0.15">
      <c r="A4987" s="16" t="s">
        <v>1855</v>
      </c>
      <c r="B4987" s="17" t="s">
        <v>8411</v>
      </c>
      <c r="C4987" s="17" t="s">
        <v>2071</v>
      </c>
      <c r="D4987" s="25" t="s">
        <v>8288</v>
      </c>
      <c r="E4987" s="19" t="s">
        <v>8289</v>
      </c>
      <c r="F4987" s="19" t="s">
        <v>2240</v>
      </c>
      <c r="G4987" s="9" t="str">
        <f>HYPERLINK("http://jsmh.umin.jp/journal/52-1/148.pdf")</f>
        <v>http://jsmh.umin.jp/journal/52-1/148.pdf</v>
      </c>
      <c r="H4987" s="43"/>
    </row>
    <row r="4988" spans="1:8" ht="30" customHeight="1" x14ac:dyDescent="0.15">
      <c r="A4988" s="16" t="s">
        <v>1855</v>
      </c>
      <c r="B4988" s="17" t="s">
        <v>8412</v>
      </c>
      <c r="C4988" s="17" t="s">
        <v>5569</v>
      </c>
      <c r="D4988" s="25" t="s">
        <v>8288</v>
      </c>
      <c r="E4988" s="19" t="s">
        <v>8289</v>
      </c>
      <c r="F4988" s="19" t="s">
        <v>7763</v>
      </c>
      <c r="G4988" s="9" t="str">
        <f>HYPERLINK("http://jsmh.umin.jp/journal/52-1/150.pdf")</f>
        <v>http://jsmh.umin.jp/journal/52-1/150.pdf</v>
      </c>
      <c r="H4988" s="43"/>
    </row>
    <row r="4989" spans="1:8" ht="30" customHeight="1" x14ac:dyDescent="0.15">
      <c r="A4989" s="16" t="s">
        <v>1855</v>
      </c>
      <c r="B4989" s="17" t="s">
        <v>10601</v>
      </c>
      <c r="C4989" s="17" t="s">
        <v>8413</v>
      </c>
      <c r="D4989" s="25" t="s">
        <v>8288</v>
      </c>
      <c r="E4989" s="19" t="s">
        <v>8289</v>
      </c>
      <c r="F4989" s="19" t="s">
        <v>2537</v>
      </c>
      <c r="G4989" s="9" t="str">
        <f>HYPERLINK("http://jsmh.umin.jp/journal/52-1/152.pdf")</f>
        <v>http://jsmh.umin.jp/journal/52-1/152.pdf</v>
      </c>
      <c r="H4989" s="43"/>
    </row>
    <row r="4990" spans="1:8" ht="30" customHeight="1" x14ac:dyDescent="0.15">
      <c r="A4990" s="16" t="s">
        <v>1855</v>
      </c>
      <c r="B4990" s="17" t="s">
        <v>8414</v>
      </c>
      <c r="C4990" s="17" t="s">
        <v>6189</v>
      </c>
      <c r="D4990" s="25" t="s">
        <v>8288</v>
      </c>
      <c r="E4990" s="19" t="s">
        <v>8289</v>
      </c>
      <c r="F4990" s="19" t="s">
        <v>3648</v>
      </c>
      <c r="G4990" s="9" t="str">
        <f>HYPERLINK("http://jsmh.umin.jp/journal/52-1/154.pdf")</f>
        <v>http://jsmh.umin.jp/journal/52-1/154.pdf</v>
      </c>
      <c r="H4990" s="43"/>
    </row>
    <row r="4991" spans="1:8" ht="30" customHeight="1" x14ac:dyDescent="0.15">
      <c r="A4991" s="16" t="s">
        <v>1855</v>
      </c>
      <c r="B4991" s="17" t="s">
        <v>8415</v>
      </c>
      <c r="C4991" s="17" t="s">
        <v>6239</v>
      </c>
      <c r="D4991" s="25" t="s">
        <v>8288</v>
      </c>
      <c r="E4991" s="19" t="s">
        <v>8289</v>
      </c>
      <c r="F4991" s="19" t="s">
        <v>1691</v>
      </c>
      <c r="G4991" s="9" t="str">
        <f>HYPERLINK("http://jsmh.umin.jp/journal/52-1/156.pdf")</f>
        <v>http://jsmh.umin.jp/journal/52-1/156.pdf</v>
      </c>
      <c r="H4991" s="43"/>
    </row>
    <row r="4992" spans="1:8" ht="30" customHeight="1" x14ac:dyDescent="0.15">
      <c r="A4992" s="16" t="s">
        <v>1855</v>
      </c>
      <c r="B4992" s="17" t="s">
        <v>8416</v>
      </c>
      <c r="C4992" s="17" t="s">
        <v>8417</v>
      </c>
      <c r="D4992" s="25" t="s">
        <v>8288</v>
      </c>
      <c r="E4992" s="19" t="s">
        <v>8289</v>
      </c>
      <c r="F4992" s="19" t="s">
        <v>4814</v>
      </c>
      <c r="G4992" s="9" t="str">
        <f>HYPERLINK("http://jsmh.umin.jp/journal/52-1/158.pdf")</f>
        <v>http://jsmh.umin.jp/journal/52-1/158.pdf</v>
      </c>
      <c r="H4992" s="43"/>
    </row>
    <row r="4993" spans="1:8" ht="30" customHeight="1" x14ac:dyDescent="0.15">
      <c r="A4993" s="16" t="s">
        <v>17</v>
      </c>
      <c r="B4993" s="17" t="s">
        <v>8418</v>
      </c>
      <c r="C4993" s="17" t="s">
        <v>7932</v>
      </c>
      <c r="D4993" s="25" t="s">
        <v>8288</v>
      </c>
      <c r="E4993" s="19" t="s">
        <v>8419</v>
      </c>
      <c r="F4993" s="19" t="s">
        <v>8420</v>
      </c>
      <c r="G4993" s="9" t="str">
        <f>HYPERLINK("http://jsmh.umin.jp/journal/52-2/165.pdf")</f>
        <v>http://jsmh.umin.jp/journal/52-2/165.pdf</v>
      </c>
      <c r="H4993" s="43"/>
    </row>
    <row r="4994" spans="1:8" ht="30" customHeight="1" x14ac:dyDescent="0.15">
      <c r="A4994" s="16" t="s">
        <v>17</v>
      </c>
      <c r="B4994" s="17" t="s">
        <v>8421</v>
      </c>
      <c r="C4994" s="17" t="s">
        <v>8422</v>
      </c>
      <c r="D4994" s="25" t="s">
        <v>8288</v>
      </c>
      <c r="E4994" s="19" t="s">
        <v>8419</v>
      </c>
      <c r="F4994" s="19" t="s">
        <v>8423</v>
      </c>
      <c r="G4994" s="9" t="str">
        <f>HYPERLINK("http://jsmh.umin.jp/journal/52-2/199.pdf")</f>
        <v>http://jsmh.umin.jp/journal/52-2/199.pdf</v>
      </c>
      <c r="H4994" s="43"/>
    </row>
    <row r="4995" spans="1:8" ht="30" customHeight="1" x14ac:dyDescent="0.15">
      <c r="A4995" s="16" t="s">
        <v>17</v>
      </c>
      <c r="B4995" s="17" t="s">
        <v>10390</v>
      </c>
      <c r="C4995" s="17" t="s">
        <v>10391</v>
      </c>
      <c r="D4995" s="25" t="s">
        <v>8288</v>
      </c>
      <c r="E4995" s="19" t="s">
        <v>8419</v>
      </c>
      <c r="F4995" s="19" t="s">
        <v>8424</v>
      </c>
      <c r="G4995" s="9" t="str">
        <f>HYPERLINK("http://jsmh.umin.jp/journal/52-2/211.pdf")</f>
        <v>http://jsmh.umin.jp/journal/52-2/211.pdf</v>
      </c>
      <c r="H4995" s="43"/>
    </row>
    <row r="4996" spans="1:8" ht="30" customHeight="1" x14ac:dyDescent="0.15">
      <c r="A4996" s="16" t="s">
        <v>17</v>
      </c>
      <c r="B4996" s="17" t="s">
        <v>8425</v>
      </c>
      <c r="C4996" s="17" t="s">
        <v>8422</v>
      </c>
      <c r="D4996" s="25" t="s">
        <v>8288</v>
      </c>
      <c r="E4996" s="19" t="s">
        <v>8419</v>
      </c>
      <c r="F4996" s="19" t="s">
        <v>8426</v>
      </c>
      <c r="G4996" s="9" t="str">
        <f>HYPERLINK("http://jsmh.umin.jp/journal/52-2/273.pdf")</f>
        <v>http://jsmh.umin.jp/journal/52-2/273.pdf</v>
      </c>
      <c r="H4996" s="43"/>
    </row>
    <row r="4997" spans="1:8" ht="30" customHeight="1" x14ac:dyDescent="0.15">
      <c r="A4997" s="16" t="s">
        <v>3387</v>
      </c>
      <c r="B4997" s="17" t="s">
        <v>8427</v>
      </c>
      <c r="C4997" s="17" t="s">
        <v>3644</v>
      </c>
      <c r="D4997" s="25" t="s">
        <v>8288</v>
      </c>
      <c r="E4997" s="19" t="s">
        <v>8419</v>
      </c>
      <c r="F4997" s="19" t="s">
        <v>5895</v>
      </c>
      <c r="G4997" s="9" t="str">
        <f>HYPERLINK("http://jsmh.umin.jp/journal/52-2/293.pdf")</f>
        <v>http://jsmh.umin.jp/journal/52-2/293.pdf</v>
      </c>
      <c r="H4997" s="43"/>
    </row>
    <row r="4998" spans="1:8" ht="30" customHeight="1" x14ac:dyDescent="0.15">
      <c r="A4998" s="16" t="s">
        <v>7637</v>
      </c>
      <c r="B4998" s="17" t="s">
        <v>8428</v>
      </c>
      <c r="C4998" s="17" t="s">
        <v>5542</v>
      </c>
      <c r="D4998" s="25" t="s">
        <v>8288</v>
      </c>
      <c r="E4998" s="19" t="s">
        <v>8419</v>
      </c>
      <c r="F4998" s="19" t="s">
        <v>8429</v>
      </c>
      <c r="G4998" s="9" t="str">
        <f>HYPERLINK("http://jsmh.umin.jp/journal/52-2/305.pdf")</f>
        <v>http://jsmh.umin.jp/journal/52-2/305.pdf</v>
      </c>
      <c r="H4998" s="43"/>
    </row>
    <row r="4999" spans="1:8" ht="30" customHeight="1" x14ac:dyDescent="0.15">
      <c r="A4999" s="16" t="s">
        <v>7637</v>
      </c>
      <c r="B4999" s="17" t="s">
        <v>8430</v>
      </c>
      <c r="C4999" s="17" t="s">
        <v>3644</v>
      </c>
      <c r="D4999" s="25" t="s">
        <v>8288</v>
      </c>
      <c r="E4999" s="19" t="s">
        <v>8419</v>
      </c>
      <c r="F4999" s="19" t="s">
        <v>8431</v>
      </c>
      <c r="G4999" s="9" t="str">
        <f>HYPERLINK("http://jsmh.umin.jp/journal/52-2/311.pdf")</f>
        <v>http://jsmh.umin.jp/journal/52-2/311.pdf</v>
      </c>
      <c r="H4999" s="43"/>
    </row>
    <row r="5000" spans="1:8" ht="30" customHeight="1" x14ac:dyDescent="0.15">
      <c r="A5000" s="16" t="s">
        <v>692</v>
      </c>
      <c r="B5000" s="17" t="s">
        <v>8432</v>
      </c>
      <c r="C5000" s="17" t="s">
        <v>2465</v>
      </c>
      <c r="D5000" s="25" t="s">
        <v>8288</v>
      </c>
      <c r="E5000" s="19" t="s">
        <v>8419</v>
      </c>
      <c r="F5000" s="19" t="s">
        <v>8433</v>
      </c>
      <c r="G5000" s="9" t="str">
        <f>HYPERLINK("http://jsmh.umin.jp/journal/52-2/315.pdf")</f>
        <v>http://jsmh.umin.jp/journal/52-2/315.pdf</v>
      </c>
      <c r="H5000" s="43"/>
    </row>
    <row r="5001" spans="1:8" ht="30" customHeight="1" x14ac:dyDescent="0.15">
      <c r="A5001" s="16" t="s">
        <v>3223</v>
      </c>
      <c r="B5001" s="17" t="s">
        <v>8434</v>
      </c>
      <c r="C5001" s="17" t="s">
        <v>4585</v>
      </c>
      <c r="D5001" s="25" t="s">
        <v>8288</v>
      </c>
      <c r="E5001" s="19" t="s">
        <v>8419</v>
      </c>
      <c r="F5001" s="19" t="s">
        <v>1434</v>
      </c>
      <c r="G5001" s="9" t="str">
        <f>HYPERLINK("http://jsmh.umin.jp/journal/52-2/319.pdf")</f>
        <v>http://jsmh.umin.jp/journal/52-2/319.pdf</v>
      </c>
      <c r="H5001" s="43"/>
    </row>
    <row r="5002" spans="1:8" ht="30" customHeight="1" x14ac:dyDescent="0.15">
      <c r="A5002" s="16" t="s">
        <v>3223</v>
      </c>
      <c r="B5002" s="17" t="s">
        <v>8435</v>
      </c>
      <c r="C5002" s="17" t="s">
        <v>4585</v>
      </c>
      <c r="D5002" s="25" t="s">
        <v>8288</v>
      </c>
      <c r="E5002" s="19" t="s">
        <v>8419</v>
      </c>
      <c r="F5002" s="19" t="s">
        <v>5107</v>
      </c>
      <c r="G5002" s="9" t="str">
        <f>HYPERLINK("http://jsmh.umin.jp/journal/52-2/321.pdf")</f>
        <v>http://jsmh.umin.jp/journal/52-2/321.pdf</v>
      </c>
      <c r="H5002" s="43"/>
    </row>
    <row r="5003" spans="1:8" ht="30" customHeight="1" x14ac:dyDescent="0.15">
      <c r="A5003" s="16" t="s">
        <v>558</v>
      </c>
      <c r="B5003" s="17" t="s">
        <v>10392</v>
      </c>
      <c r="C5003" s="17" t="s">
        <v>8436</v>
      </c>
      <c r="D5003" s="25" t="s">
        <v>8288</v>
      </c>
      <c r="E5003" s="19" t="s">
        <v>8419</v>
      </c>
      <c r="F5003" s="19" t="s">
        <v>8437</v>
      </c>
      <c r="G5003" s="9" t="str">
        <f>HYPERLINK("http://jsmh.umin.jp/journal/52-2/324.pdf")</f>
        <v>http://jsmh.umin.jp/journal/52-2/324.pdf</v>
      </c>
      <c r="H5003" s="43"/>
    </row>
    <row r="5004" spans="1:8" ht="30" customHeight="1" x14ac:dyDescent="0.15">
      <c r="A5004" s="16" t="s">
        <v>558</v>
      </c>
      <c r="B5004" s="17" t="s">
        <v>8438</v>
      </c>
      <c r="C5004" s="17" t="s">
        <v>8439</v>
      </c>
      <c r="D5004" s="25" t="s">
        <v>8288</v>
      </c>
      <c r="E5004" s="19" t="s">
        <v>8419</v>
      </c>
      <c r="F5004" s="19" t="s">
        <v>1596</v>
      </c>
      <c r="G5004" s="9" t="str">
        <f>HYPERLINK("http://jsmh.umin.jp/journal/52-2/325.pdf")</f>
        <v>http://jsmh.umin.jp/journal/52-2/325.pdf</v>
      </c>
      <c r="H5004" s="43"/>
    </row>
    <row r="5005" spans="1:8" ht="30" customHeight="1" x14ac:dyDescent="0.15">
      <c r="A5005" s="16" t="s">
        <v>558</v>
      </c>
      <c r="B5005" s="17" t="s">
        <v>8440</v>
      </c>
      <c r="C5005" s="17"/>
      <c r="D5005" s="25" t="s">
        <v>8288</v>
      </c>
      <c r="E5005" s="19" t="s">
        <v>8419</v>
      </c>
      <c r="F5005" s="19" t="s">
        <v>1600</v>
      </c>
      <c r="G5005" s="9" t="str">
        <f>HYPERLINK("http://jsmh.umin.jp/journal/52-2/327.pdf")</f>
        <v>http://jsmh.umin.jp/journal/52-2/327.pdf</v>
      </c>
      <c r="H5005" s="43"/>
    </row>
    <row r="5006" spans="1:8" ht="30" customHeight="1" x14ac:dyDescent="0.15">
      <c r="A5006" s="16" t="s">
        <v>3720</v>
      </c>
      <c r="B5006" s="17" t="s">
        <v>8441</v>
      </c>
      <c r="C5006" s="17" t="s">
        <v>10393</v>
      </c>
      <c r="D5006" s="25" t="s">
        <v>8288</v>
      </c>
      <c r="E5006" s="19" t="s">
        <v>8419</v>
      </c>
      <c r="F5006" s="19" t="s">
        <v>1605</v>
      </c>
      <c r="G5006" s="9" t="str">
        <f>HYPERLINK("http://jsmh.umin.jp/journal/52-2/328.pdf")</f>
        <v>http://jsmh.umin.jp/journal/52-2/328.pdf</v>
      </c>
      <c r="H5006" s="43"/>
    </row>
    <row r="5007" spans="1:8" ht="30" customHeight="1" x14ac:dyDescent="0.15">
      <c r="A5007" s="16" t="s">
        <v>3720</v>
      </c>
      <c r="B5007" s="17" t="s">
        <v>10394</v>
      </c>
      <c r="C5007" s="17" t="s">
        <v>2937</v>
      </c>
      <c r="D5007" s="25" t="s">
        <v>8288</v>
      </c>
      <c r="E5007" s="19" t="s">
        <v>8419</v>
      </c>
      <c r="F5007" s="19" t="s">
        <v>8442</v>
      </c>
      <c r="G5007" s="9" t="str">
        <f>HYPERLINK("http://jsmh.umin.jp/journal/52-2/330.pdf")</f>
        <v>http://jsmh.umin.jp/journal/52-2/330.pdf</v>
      </c>
      <c r="H5007" s="43"/>
    </row>
    <row r="5008" spans="1:8" ht="30" customHeight="1" x14ac:dyDescent="0.15">
      <c r="A5008" s="16" t="s">
        <v>2990</v>
      </c>
      <c r="B5008" s="17" t="s">
        <v>8279</v>
      </c>
      <c r="C5008" s="17" t="s">
        <v>1136</v>
      </c>
      <c r="D5008" s="25" t="s">
        <v>8288</v>
      </c>
      <c r="E5008" s="19" t="s">
        <v>8419</v>
      </c>
      <c r="F5008" s="19" t="s">
        <v>5907</v>
      </c>
      <c r="G5008" s="9" t="str">
        <f>HYPERLINK("http://jsmh.umin.jp/journal/52-2/334.pdf")</f>
        <v>http://jsmh.umin.jp/journal/52-2/334.pdf</v>
      </c>
      <c r="H5008" s="43"/>
    </row>
    <row r="5009" spans="1:8" ht="30" customHeight="1" x14ac:dyDescent="0.15">
      <c r="A5009" s="16" t="s">
        <v>2990</v>
      </c>
      <c r="B5009" s="17" t="s">
        <v>8443</v>
      </c>
      <c r="C5009" s="17" t="s">
        <v>1803</v>
      </c>
      <c r="D5009" s="25" t="s">
        <v>8288</v>
      </c>
      <c r="E5009" s="19" t="s">
        <v>8419</v>
      </c>
      <c r="F5009" s="19" t="s">
        <v>3146</v>
      </c>
      <c r="G5009" s="9" t="str">
        <f>HYPERLINK("http://jsmh.umin.jp/journal/52-2/336.pdf")</f>
        <v>http://jsmh.umin.jp/journal/52-2/336.pdf</v>
      </c>
      <c r="H5009" s="43"/>
    </row>
    <row r="5010" spans="1:8" ht="30" customHeight="1" x14ac:dyDescent="0.15">
      <c r="A5010" s="16" t="s">
        <v>2990</v>
      </c>
      <c r="B5010" s="17" t="s">
        <v>8444</v>
      </c>
      <c r="C5010" s="17" t="s">
        <v>10214</v>
      </c>
      <c r="D5010" s="25" t="s">
        <v>8288</v>
      </c>
      <c r="E5010" s="19" t="s">
        <v>8419</v>
      </c>
      <c r="F5010" s="19" t="s">
        <v>4891</v>
      </c>
      <c r="G5010" s="9" t="str">
        <f>HYPERLINK("http://jsmh.umin.jp/journal/52-2/338.pdf")</f>
        <v>http://jsmh.umin.jp/journal/52-2/338.pdf</v>
      </c>
      <c r="H5010" s="43"/>
    </row>
    <row r="5011" spans="1:8" ht="30" customHeight="1" x14ac:dyDescent="0.15">
      <c r="A5011" s="16" t="s">
        <v>2990</v>
      </c>
      <c r="B5011" s="17" t="s">
        <v>8445</v>
      </c>
      <c r="C5011" s="17" t="s">
        <v>444</v>
      </c>
      <c r="D5011" s="25" t="s">
        <v>8288</v>
      </c>
      <c r="E5011" s="19" t="s">
        <v>8419</v>
      </c>
      <c r="F5011" s="19" t="s">
        <v>5128</v>
      </c>
      <c r="G5011" s="9" t="str">
        <f>HYPERLINK("http://jsmh.umin.jp/journal/52-2/339.pdf")</f>
        <v>http://jsmh.umin.jp/journal/52-2/339.pdf</v>
      </c>
      <c r="H5011" s="43"/>
    </row>
    <row r="5012" spans="1:8" ht="30" customHeight="1" x14ac:dyDescent="0.15">
      <c r="A5012" s="16" t="s">
        <v>17</v>
      </c>
      <c r="B5012" s="17" t="s">
        <v>8446</v>
      </c>
      <c r="C5012" s="17" t="s">
        <v>8422</v>
      </c>
      <c r="D5012" s="25" t="s">
        <v>8288</v>
      </c>
      <c r="E5012" s="19" t="s">
        <v>8447</v>
      </c>
      <c r="F5012" s="19" t="s">
        <v>8448</v>
      </c>
      <c r="G5012" s="9" t="str">
        <f>HYPERLINK("http://jsmh.umin.jp/journal/52-3/349.pdf")</f>
        <v>http://jsmh.umin.jp/journal/52-3/349.pdf</v>
      </c>
      <c r="H5012" s="43"/>
    </row>
    <row r="5013" spans="1:8" ht="30" customHeight="1" x14ac:dyDescent="0.15">
      <c r="A5013" s="16" t="s">
        <v>17</v>
      </c>
      <c r="B5013" s="17" t="s">
        <v>8449</v>
      </c>
      <c r="C5013" s="17" t="s">
        <v>10355</v>
      </c>
      <c r="D5013" s="25" t="s">
        <v>8288</v>
      </c>
      <c r="E5013" s="19" t="s">
        <v>8447</v>
      </c>
      <c r="F5013" s="19" t="s">
        <v>8450</v>
      </c>
      <c r="G5013" s="9" t="str">
        <f>HYPERLINK("http://jsmh.umin.jp/journal/52-3/361.pdf")</f>
        <v>http://jsmh.umin.jp/journal/52-3/361.pdf</v>
      </c>
      <c r="H5013" s="43"/>
    </row>
    <row r="5014" spans="1:8" ht="30" customHeight="1" x14ac:dyDescent="0.15">
      <c r="A5014" s="16" t="s">
        <v>17</v>
      </c>
      <c r="B5014" s="17" t="s">
        <v>8451</v>
      </c>
      <c r="C5014" s="17" t="s">
        <v>7364</v>
      </c>
      <c r="D5014" s="25" t="s">
        <v>8288</v>
      </c>
      <c r="E5014" s="19" t="s">
        <v>8447</v>
      </c>
      <c r="F5014" s="19" t="s">
        <v>8452</v>
      </c>
      <c r="G5014" s="9" t="str">
        <f>HYPERLINK("http://jsmh.umin.jp/journal/52-3/395.pdf")</f>
        <v>http://jsmh.umin.jp/journal/52-3/395.pdf</v>
      </c>
      <c r="H5014" s="43"/>
    </row>
    <row r="5015" spans="1:8" ht="30" customHeight="1" x14ac:dyDescent="0.15">
      <c r="A5015" s="16" t="s">
        <v>8453</v>
      </c>
      <c r="B5015" s="17" t="s">
        <v>8454</v>
      </c>
      <c r="C5015" s="17" t="s">
        <v>2937</v>
      </c>
      <c r="D5015" s="25" t="s">
        <v>8288</v>
      </c>
      <c r="E5015" s="19" t="s">
        <v>8447</v>
      </c>
      <c r="F5015" s="19" t="s">
        <v>8455</v>
      </c>
      <c r="G5015" s="9" t="str">
        <f>HYPERLINK("http://jsmh.umin.jp/journal/52-3/425.pdf")</f>
        <v>http://jsmh.umin.jp/journal/52-3/425.pdf</v>
      </c>
      <c r="H5015" s="43"/>
    </row>
    <row r="5016" spans="1:8" ht="30" customHeight="1" x14ac:dyDescent="0.15">
      <c r="A5016" s="16" t="s">
        <v>8453</v>
      </c>
      <c r="B5016" s="17" t="s">
        <v>8456</v>
      </c>
      <c r="C5016" s="17" t="s">
        <v>8457</v>
      </c>
      <c r="D5016" s="25" t="s">
        <v>8288</v>
      </c>
      <c r="E5016" s="19" t="s">
        <v>8447</v>
      </c>
      <c r="F5016" s="19" t="s">
        <v>5150</v>
      </c>
      <c r="G5016" s="9" t="str">
        <f>HYPERLINK("http://jsmh.umin.jp/journal/52-3/435.pdf")</f>
        <v>http://jsmh.umin.jp/journal/52-3/435.pdf</v>
      </c>
      <c r="H5016" s="43"/>
    </row>
    <row r="5017" spans="1:8" ht="30" customHeight="1" x14ac:dyDescent="0.15">
      <c r="A5017" s="16" t="s">
        <v>8453</v>
      </c>
      <c r="B5017" s="17" t="s">
        <v>8458</v>
      </c>
      <c r="C5017" s="17" t="s">
        <v>10214</v>
      </c>
      <c r="D5017" s="25" t="s">
        <v>8288</v>
      </c>
      <c r="E5017" s="19" t="s">
        <v>8447</v>
      </c>
      <c r="F5017" s="19" t="s">
        <v>8459</v>
      </c>
      <c r="G5017" s="9" t="str">
        <f>HYPERLINK("http://jsmh.umin.jp/journal/52-3/443.pdf")</f>
        <v>http://jsmh.umin.jp/journal/52-3/443.pdf</v>
      </c>
      <c r="H5017" s="43"/>
    </row>
    <row r="5018" spans="1:8" ht="30" customHeight="1" x14ac:dyDescent="0.15">
      <c r="A5018" s="16" t="s">
        <v>692</v>
      </c>
      <c r="B5018" s="17" t="s">
        <v>8460</v>
      </c>
      <c r="C5018" s="17" t="s">
        <v>4870</v>
      </c>
      <c r="D5018" s="25" t="s">
        <v>8288</v>
      </c>
      <c r="E5018" s="19" t="s">
        <v>8447</v>
      </c>
      <c r="F5018" s="19" t="s">
        <v>8461</v>
      </c>
      <c r="G5018" s="9" t="str">
        <f>HYPERLINK("http://jsmh.umin.jp/journal/52-3/451.pdf")</f>
        <v>http://jsmh.umin.jp/journal/52-3/451.pdf</v>
      </c>
      <c r="H5018" s="43"/>
    </row>
    <row r="5019" spans="1:8" ht="30" customHeight="1" x14ac:dyDescent="0.15">
      <c r="A5019" s="16" t="s">
        <v>692</v>
      </c>
      <c r="B5019" s="17" t="s">
        <v>8462</v>
      </c>
      <c r="C5019" s="17" t="s">
        <v>2465</v>
      </c>
      <c r="D5019" s="25" t="s">
        <v>8288</v>
      </c>
      <c r="E5019" s="19" t="s">
        <v>8447</v>
      </c>
      <c r="F5019" s="19" t="s">
        <v>8463</v>
      </c>
      <c r="G5019" s="9" t="str">
        <f>HYPERLINK("http://jsmh.umin.jp/journal/52-3/461.pdf")</f>
        <v>http://jsmh.umin.jp/journal/52-3/461.pdf</v>
      </c>
      <c r="H5019" s="43"/>
    </row>
    <row r="5020" spans="1:8" ht="30" customHeight="1" x14ac:dyDescent="0.15">
      <c r="A5020" s="16" t="s">
        <v>558</v>
      </c>
      <c r="B5020" s="17" t="s">
        <v>10395</v>
      </c>
      <c r="C5020" s="17" t="s">
        <v>8464</v>
      </c>
      <c r="D5020" s="25" t="s">
        <v>8288</v>
      </c>
      <c r="E5020" s="19" t="s">
        <v>8447</v>
      </c>
      <c r="F5020" s="19" t="s">
        <v>8465</v>
      </c>
      <c r="G5020" s="9" t="str">
        <f>HYPERLINK("http://jsmh.umin.jp/journal/52-3/465.pdf")</f>
        <v>http://jsmh.umin.jp/journal/52-3/465.pdf</v>
      </c>
      <c r="H5020" s="43"/>
    </row>
    <row r="5021" spans="1:8" ht="30" customHeight="1" x14ac:dyDescent="0.15">
      <c r="A5021" s="16" t="s">
        <v>558</v>
      </c>
      <c r="B5021" s="17" t="s">
        <v>8466</v>
      </c>
      <c r="C5021" s="17"/>
      <c r="D5021" s="25" t="s">
        <v>8288</v>
      </c>
      <c r="E5021" s="19" t="s">
        <v>8447</v>
      </c>
      <c r="F5021" s="19" t="s">
        <v>8467</v>
      </c>
      <c r="G5021" s="9" t="str">
        <f>HYPERLINK("http://jsmh.umin.jp/journal/52-3/467.pdf")</f>
        <v>http://jsmh.umin.jp/journal/52-3/467.pdf</v>
      </c>
      <c r="H5021" s="43"/>
    </row>
    <row r="5022" spans="1:8" ht="30" customHeight="1" x14ac:dyDescent="0.15">
      <c r="A5022" s="16" t="s">
        <v>3720</v>
      </c>
      <c r="B5022" s="17" t="s">
        <v>8468</v>
      </c>
      <c r="C5022" s="17" t="s">
        <v>48</v>
      </c>
      <c r="D5022" s="25" t="s">
        <v>8288</v>
      </c>
      <c r="E5022" s="19" t="s">
        <v>8447</v>
      </c>
      <c r="F5022" s="19" t="s">
        <v>7314</v>
      </c>
      <c r="G5022" s="9" t="str">
        <f>HYPERLINK("http://jsmh.umin.jp/journal/52-3/468.pdf")</f>
        <v>http://jsmh.umin.jp/journal/52-3/468.pdf</v>
      </c>
      <c r="H5022" s="43"/>
    </row>
    <row r="5023" spans="1:8" ht="30" customHeight="1" x14ac:dyDescent="0.15">
      <c r="A5023" s="16" t="s">
        <v>2990</v>
      </c>
      <c r="B5023" s="17" t="s">
        <v>10396</v>
      </c>
      <c r="C5023" s="17" t="s">
        <v>6705</v>
      </c>
      <c r="D5023" s="25" t="s">
        <v>8288</v>
      </c>
      <c r="E5023" s="19" t="s">
        <v>8447</v>
      </c>
      <c r="F5023" s="19" t="s">
        <v>7317</v>
      </c>
      <c r="G5023" s="9" t="str">
        <f>HYPERLINK("http://jsmh.umin.jp/journal/52-3/470.pdf")</f>
        <v>http://jsmh.umin.jp/journal/52-3/470.pdf</v>
      </c>
      <c r="H5023" s="43"/>
    </row>
    <row r="5024" spans="1:8" ht="30" customHeight="1" x14ac:dyDescent="0.15">
      <c r="A5024" s="16" t="s">
        <v>2990</v>
      </c>
      <c r="B5024" s="17" t="s">
        <v>8469</v>
      </c>
      <c r="C5024" s="17" t="s">
        <v>4351</v>
      </c>
      <c r="D5024" s="25" t="s">
        <v>8288</v>
      </c>
      <c r="E5024" s="19" t="s">
        <v>8447</v>
      </c>
      <c r="F5024" s="19" t="s">
        <v>7319</v>
      </c>
      <c r="G5024" s="9" t="str">
        <f>HYPERLINK("http://jsmh.umin.jp/journal/52-3/472.pdf")</f>
        <v>http://jsmh.umin.jp/journal/52-3/472.pdf</v>
      </c>
      <c r="H5024" s="43"/>
    </row>
    <row r="5025" spans="1:8" ht="30" customHeight="1" x14ac:dyDescent="0.15">
      <c r="A5025" s="16" t="s">
        <v>2990</v>
      </c>
      <c r="B5025" s="17" t="s">
        <v>8470</v>
      </c>
      <c r="C5025" s="17" t="s">
        <v>10163</v>
      </c>
      <c r="D5025" s="25" t="s">
        <v>8288</v>
      </c>
      <c r="E5025" s="19" t="s">
        <v>8447</v>
      </c>
      <c r="F5025" s="19" t="s">
        <v>8471</v>
      </c>
      <c r="G5025" s="9" t="str">
        <f>HYPERLINK("http://jsmh.umin.jp/journal/52-3/473.pdf")</f>
        <v>http://jsmh.umin.jp/journal/52-3/473.pdf</v>
      </c>
      <c r="H5025" s="43"/>
    </row>
    <row r="5026" spans="1:8" ht="30" customHeight="1" x14ac:dyDescent="0.15">
      <c r="A5026" s="16" t="s">
        <v>2990</v>
      </c>
      <c r="B5026" s="17" t="s">
        <v>8472</v>
      </c>
      <c r="C5026" s="17" t="s">
        <v>5837</v>
      </c>
      <c r="D5026" s="25" t="s">
        <v>8288</v>
      </c>
      <c r="E5026" s="19" t="s">
        <v>8447</v>
      </c>
      <c r="F5026" s="19" t="s">
        <v>8473</v>
      </c>
      <c r="G5026" s="9" t="str">
        <f>HYPERLINK("http://jsmh.umin.jp/journal/52-3/475.pdf")</f>
        <v>http://jsmh.umin.jp/journal/52-3/475.pdf</v>
      </c>
      <c r="H5026" s="43"/>
    </row>
    <row r="5027" spans="1:8" ht="30" customHeight="1" x14ac:dyDescent="0.15">
      <c r="A5027" s="16" t="s">
        <v>2990</v>
      </c>
      <c r="B5027" s="17" t="s">
        <v>8474</v>
      </c>
      <c r="C5027" s="17" t="s">
        <v>7316</v>
      </c>
      <c r="D5027" s="25" t="s">
        <v>8288</v>
      </c>
      <c r="E5027" s="19" t="s">
        <v>8447</v>
      </c>
      <c r="F5027" s="19" t="s">
        <v>8475</v>
      </c>
      <c r="G5027" s="9" t="str">
        <f>HYPERLINK("http://jsmh.umin.jp/journal/52-3/476.pdf")</f>
        <v>http://jsmh.umin.jp/journal/52-3/476.pdf</v>
      </c>
      <c r="H5027" s="43"/>
    </row>
    <row r="5028" spans="1:8" ht="30" customHeight="1" x14ac:dyDescent="0.15">
      <c r="A5028" s="16" t="s">
        <v>558</v>
      </c>
      <c r="B5028" s="17" t="s">
        <v>8476</v>
      </c>
      <c r="C5028" s="17"/>
      <c r="D5028" s="25" t="s">
        <v>8288</v>
      </c>
      <c r="E5028" s="19" t="s">
        <v>8447</v>
      </c>
      <c r="F5028" s="19" t="s">
        <v>8477</v>
      </c>
      <c r="G5028" s="9" t="str">
        <f>HYPERLINK("http://jsmh.umin.jp/journal/52-3/480.pdf")</f>
        <v>http://jsmh.umin.jp/journal/52-3/480.pdf</v>
      </c>
      <c r="H5028" s="43"/>
    </row>
    <row r="5029" spans="1:8" ht="30" customHeight="1" x14ac:dyDescent="0.15">
      <c r="A5029" s="16" t="s">
        <v>17</v>
      </c>
      <c r="B5029" s="17" t="s">
        <v>8478</v>
      </c>
      <c r="C5029" s="17" t="s">
        <v>6568</v>
      </c>
      <c r="D5029" s="25" t="s">
        <v>8288</v>
      </c>
      <c r="E5029" s="19" t="s">
        <v>8479</v>
      </c>
      <c r="F5029" s="19" t="s">
        <v>8480</v>
      </c>
      <c r="G5029" s="9" t="str">
        <f>HYPERLINK("http://jsmh.umin.jp/journal/52-4/541.pdf")</f>
        <v>http://jsmh.umin.jp/journal/52-4/541.pdf</v>
      </c>
      <c r="H5029" s="43"/>
    </row>
    <row r="5030" spans="1:8" ht="30" customHeight="1" x14ac:dyDescent="0.15">
      <c r="A5030" s="16" t="s">
        <v>17</v>
      </c>
      <c r="B5030" s="17" t="s">
        <v>8481</v>
      </c>
      <c r="C5030" s="17" t="s">
        <v>790</v>
      </c>
      <c r="D5030" s="25" t="s">
        <v>8288</v>
      </c>
      <c r="E5030" s="19" t="s">
        <v>8479</v>
      </c>
      <c r="F5030" s="19" t="s">
        <v>8482</v>
      </c>
      <c r="G5030" s="9" t="str">
        <f>HYPERLINK("http://jsmh.umin.jp/journal/52-4/561.pdf")</f>
        <v>http://jsmh.umin.jp/journal/52-4/561.pdf</v>
      </c>
      <c r="H5030" s="43"/>
    </row>
    <row r="5031" spans="1:8" ht="30" customHeight="1" x14ac:dyDescent="0.15">
      <c r="A5031" s="16" t="s">
        <v>17</v>
      </c>
      <c r="B5031" s="17" t="s">
        <v>8483</v>
      </c>
      <c r="C5031" s="17" t="s">
        <v>10367</v>
      </c>
      <c r="D5031" s="25" t="s">
        <v>8288</v>
      </c>
      <c r="E5031" s="19" t="s">
        <v>8479</v>
      </c>
      <c r="F5031" s="19" t="s">
        <v>8484</v>
      </c>
      <c r="G5031" s="9" t="str">
        <f>HYPERLINK("http://jsmh.umin.jp/journal/52-4/601.pdf")</f>
        <v>http://jsmh.umin.jp/journal/52-4/601.pdf</v>
      </c>
      <c r="H5031" s="43"/>
    </row>
    <row r="5032" spans="1:8" ht="30" customHeight="1" x14ac:dyDescent="0.15">
      <c r="A5032" s="16" t="s">
        <v>7637</v>
      </c>
      <c r="B5032" s="17" t="s">
        <v>8485</v>
      </c>
      <c r="C5032" s="17" t="s">
        <v>7322</v>
      </c>
      <c r="D5032" s="25" t="s">
        <v>8288</v>
      </c>
      <c r="E5032" s="19" t="s">
        <v>8479</v>
      </c>
      <c r="F5032" s="19" t="s">
        <v>8486</v>
      </c>
      <c r="G5032" s="9" t="str">
        <f>HYPERLINK("http://jsmh.umin.jp/journal/52-4/631.pdf")</f>
        <v>http://jsmh.umin.jp/journal/52-4/631.pdf</v>
      </c>
      <c r="H5032" s="43"/>
    </row>
    <row r="5033" spans="1:8" ht="30" customHeight="1" x14ac:dyDescent="0.15">
      <c r="A5033" s="16" t="s">
        <v>3223</v>
      </c>
      <c r="B5033" s="17" t="s">
        <v>8487</v>
      </c>
      <c r="C5033" s="17" t="s">
        <v>4161</v>
      </c>
      <c r="D5033" s="25" t="s">
        <v>8288</v>
      </c>
      <c r="E5033" s="19" t="s">
        <v>8479</v>
      </c>
      <c r="F5033" s="19" t="s">
        <v>4731</v>
      </c>
      <c r="G5033" s="9" t="str">
        <f>HYPERLINK("http://jsmh.umin.jp/journal/52-4/637.pdf")</f>
        <v>http://jsmh.umin.jp/journal/52-4/637.pdf</v>
      </c>
      <c r="H5033" s="43"/>
    </row>
    <row r="5034" spans="1:8" ht="30" customHeight="1" x14ac:dyDescent="0.15">
      <c r="A5034" s="16" t="s">
        <v>692</v>
      </c>
      <c r="B5034" s="17" t="s">
        <v>8488</v>
      </c>
      <c r="C5034" s="17" t="s">
        <v>4870</v>
      </c>
      <c r="D5034" s="25" t="s">
        <v>8288</v>
      </c>
      <c r="E5034" s="19" t="s">
        <v>8479</v>
      </c>
      <c r="F5034" s="19" t="s">
        <v>8489</v>
      </c>
      <c r="G5034" s="9" t="str">
        <f>HYPERLINK("http://jsmh.umin.jp/journal/52-4/639.pdf")</f>
        <v>http://jsmh.umin.jp/journal/52-4/639.pdf</v>
      </c>
      <c r="H5034" s="43"/>
    </row>
    <row r="5035" spans="1:8" ht="30" customHeight="1" x14ac:dyDescent="0.15">
      <c r="A5035" s="16" t="s">
        <v>558</v>
      </c>
      <c r="B5035" s="17" t="s">
        <v>8490</v>
      </c>
      <c r="C5035" s="17"/>
      <c r="D5035" s="25" t="s">
        <v>8288</v>
      </c>
      <c r="E5035" s="19" t="s">
        <v>8479</v>
      </c>
      <c r="F5035" s="19" t="s">
        <v>8491</v>
      </c>
      <c r="G5035" s="9" t="str">
        <f>HYPERLINK("http://jsmh.umin.jp/journal/52-4/646.pdf")</f>
        <v>http://jsmh.umin.jp/journal/52-4/646.pdf</v>
      </c>
      <c r="H5035" s="43"/>
    </row>
    <row r="5036" spans="1:8" ht="30" customHeight="1" x14ac:dyDescent="0.15">
      <c r="A5036" s="16" t="s">
        <v>2990</v>
      </c>
      <c r="B5036" s="17" t="s">
        <v>8492</v>
      </c>
      <c r="C5036" s="17" t="s">
        <v>4085</v>
      </c>
      <c r="D5036" s="25" t="s">
        <v>8288</v>
      </c>
      <c r="E5036" s="19" t="s">
        <v>8479</v>
      </c>
      <c r="F5036" s="19" t="s">
        <v>4752</v>
      </c>
      <c r="G5036" s="9" t="str">
        <f>HYPERLINK("http://jsmh.umin.jp/journal/52-4/647.pdf")</f>
        <v>http://jsmh.umin.jp/journal/52-4/647.pdf</v>
      </c>
      <c r="H5036" s="43"/>
    </row>
    <row r="5037" spans="1:8" ht="30" customHeight="1" x14ac:dyDescent="0.15">
      <c r="A5037" s="16" t="s">
        <v>2990</v>
      </c>
      <c r="B5037" s="17" t="s">
        <v>8493</v>
      </c>
      <c r="C5037" s="17" t="s">
        <v>1292</v>
      </c>
      <c r="D5037" s="25" t="s">
        <v>8288</v>
      </c>
      <c r="E5037" s="19" t="s">
        <v>8479</v>
      </c>
      <c r="F5037" s="19" t="s">
        <v>8076</v>
      </c>
      <c r="G5037" s="9" t="str">
        <f>HYPERLINK("http://jsmh.umin.jp/journal/52-4/648.pdf")</f>
        <v>http://jsmh.umin.jp/journal/52-4/648.pdf</v>
      </c>
      <c r="H5037" s="43"/>
    </row>
    <row r="5038" spans="1:8" ht="30" customHeight="1" x14ac:dyDescent="0.15">
      <c r="A5038" s="16" t="s">
        <v>2990</v>
      </c>
      <c r="B5038" s="17" t="s">
        <v>8494</v>
      </c>
      <c r="C5038" s="17" t="s">
        <v>10214</v>
      </c>
      <c r="D5038" s="25" t="s">
        <v>8288</v>
      </c>
      <c r="E5038" s="19" t="s">
        <v>8479</v>
      </c>
      <c r="F5038" s="19" t="s">
        <v>5386</v>
      </c>
      <c r="G5038" s="9" t="str">
        <f>HYPERLINK("http://jsmh.umin.jp/journal/52-4/650.pdf")</f>
        <v>http://jsmh.umin.jp/journal/52-4/650.pdf</v>
      </c>
      <c r="H5038" s="43"/>
    </row>
    <row r="5039" spans="1:8" ht="30" customHeight="1" x14ac:dyDescent="0.15">
      <c r="A5039" s="16" t="s">
        <v>2990</v>
      </c>
      <c r="B5039" s="17" t="s">
        <v>8495</v>
      </c>
      <c r="C5039" s="17" t="s">
        <v>2937</v>
      </c>
      <c r="D5039" s="25" t="s">
        <v>8288</v>
      </c>
      <c r="E5039" s="19" t="s">
        <v>8479</v>
      </c>
      <c r="F5039" s="19" t="s">
        <v>8496</v>
      </c>
      <c r="G5039" s="9" t="str">
        <f>HYPERLINK("http://jsmh.umin.jp/journal/52-4/652.pdf")</f>
        <v>http://jsmh.umin.jp/journal/52-4/652.pdf</v>
      </c>
      <c r="H5039" s="43"/>
    </row>
    <row r="5040" spans="1:8" ht="30" customHeight="1" x14ac:dyDescent="0.15">
      <c r="A5040" s="16" t="s">
        <v>558</v>
      </c>
      <c r="B5040" s="17" t="s">
        <v>8497</v>
      </c>
      <c r="C5040" s="17"/>
      <c r="D5040" s="25" t="s">
        <v>8288</v>
      </c>
      <c r="E5040" s="19" t="s">
        <v>8479</v>
      </c>
      <c r="F5040" s="19" t="s">
        <v>8498</v>
      </c>
      <c r="G5040" s="9" t="str">
        <f>HYPERLINK("http://jsmh.umin.jp/journal/52-4/655.pdf")</f>
        <v>http://jsmh.umin.jp/journal/52-4/655.pdf</v>
      </c>
      <c r="H5040" s="43"/>
    </row>
    <row r="5041" spans="1:8" ht="30" customHeight="1" x14ac:dyDescent="0.15">
      <c r="A5041" s="16" t="s">
        <v>558</v>
      </c>
      <c r="B5041" s="17" t="s">
        <v>8499</v>
      </c>
      <c r="C5041" s="17"/>
      <c r="D5041" s="25" t="s">
        <v>8288</v>
      </c>
      <c r="E5041" s="19" t="s">
        <v>8479</v>
      </c>
      <c r="F5041" s="19" t="s">
        <v>8500</v>
      </c>
      <c r="G5041" s="9" t="str">
        <f>HYPERLINK("http://jsmh.umin.jp/journal/52-4/662.pdf")</f>
        <v>http://jsmh.umin.jp/journal/52-4/662.pdf</v>
      </c>
      <c r="H5041" s="43"/>
    </row>
    <row r="5042" spans="1:8" ht="30" customHeight="1" x14ac:dyDescent="0.15">
      <c r="A5042" s="16" t="s">
        <v>17</v>
      </c>
      <c r="B5042" s="17" t="s">
        <v>8501</v>
      </c>
      <c r="C5042" s="17" t="s">
        <v>7322</v>
      </c>
      <c r="D5042" s="25" t="s">
        <v>8288</v>
      </c>
      <c r="E5042" s="19" t="s">
        <v>8479</v>
      </c>
      <c r="F5042" s="19" t="s">
        <v>8502</v>
      </c>
      <c r="G5042" s="9" t="str">
        <f>HYPERLINK("http://jsmh.umin.jp/journal/52-4/690.pdf")</f>
        <v>http://jsmh.umin.jp/journal/52-4/690.pdf</v>
      </c>
      <c r="H5042" s="43"/>
    </row>
    <row r="5043" spans="1:8" ht="30" customHeight="1" x14ac:dyDescent="0.15">
      <c r="A5043" s="16" t="s">
        <v>1855</v>
      </c>
      <c r="B5043" s="17" t="s">
        <v>8503</v>
      </c>
      <c r="C5043" s="17" t="s">
        <v>6851</v>
      </c>
      <c r="D5043" s="18" t="s">
        <v>8504</v>
      </c>
      <c r="E5043" s="19" t="s">
        <v>8505</v>
      </c>
      <c r="F5043" s="19" t="s">
        <v>8506</v>
      </c>
      <c r="G5043" s="9" t="str">
        <f>HYPERLINK("http://jsmh.umin.jp/journal/53-1/7.pdf")</f>
        <v>http://jsmh.umin.jp/journal/53-1/7.pdf</v>
      </c>
      <c r="H5043" s="43"/>
    </row>
    <row r="5044" spans="1:8" ht="30" customHeight="1" x14ac:dyDescent="0.15">
      <c r="A5044" s="16" t="s">
        <v>1855</v>
      </c>
      <c r="B5044" s="17" t="s">
        <v>8507</v>
      </c>
      <c r="C5044" s="17" t="s">
        <v>1070</v>
      </c>
      <c r="D5044" s="25" t="s">
        <v>8504</v>
      </c>
      <c r="E5044" s="19" t="s">
        <v>8505</v>
      </c>
      <c r="F5044" s="19" t="s">
        <v>8508</v>
      </c>
      <c r="G5044" s="9" t="str">
        <f>HYPERLINK("http://jsmh.umin.jp/journal/53-1/11.pdf")</f>
        <v>http://jsmh.umin.jp/journal/53-1/11.pdf</v>
      </c>
      <c r="H5044" s="43"/>
    </row>
    <row r="5045" spans="1:8" ht="30" customHeight="1" x14ac:dyDescent="0.15">
      <c r="A5045" s="16" t="s">
        <v>1855</v>
      </c>
      <c r="B5045" s="17" t="s">
        <v>8509</v>
      </c>
      <c r="C5045" s="17" t="s">
        <v>8119</v>
      </c>
      <c r="D5045" s="25" t="s">
        <v>8504</v>
      </c>
      <c r="E5045" s="19" t="s">
        <v>8505</v>
      </c>
      <c r="F5045" s="19" t="s">
        <v>8510</v>
      </c>
      <c r="G5045" s="9" t="str">
        <f>HYPERLINK("http://jsmh.umin.jp/journal/53-1/16.pdf")</f>
        <v>http://jsmh.umin.jp/journal/53-1/16.pdf</v>
      </c>
      <c r="H5045" s="43"/>
    </row>
    <row r="5046" spans="1:8" ht="30" customHeight="1" x14ac:dyDescent="0.15">
      <c r="A5046" s="16" t="s">
        <v>1855</v>
      </c>
      <c r="B5046" s="17" t="s">
        <v>8511</v>
      </c>
      <c r="C5046" s="17" t="s">
        <v>8512</v>
      </c>
      <c r="D5046" s="25" t="s">
        <v>8504</v>
      </c>
      <c r="E5046" s="19" t="s">
        <v>8505</v>
      </c>
      <c r="F5046" s="19" t="s">
        <v>8513</v>
      </c>
      <c r="G5046" s="9" t="str">
        <f>HYPERLINK("http://jsmh.umin.jp/journal/53-1/18.pdf")</f>
        <v>http://jsmh.umin.jp/journal/53-1/18.pdf</v>
      </c>
      <c r="H5046" s="43"/>
    </row>
    <row r="5047" spans="1:8" ht="30" customHeight="1" x14ac:dyDescent="0.15">
      <c r="A5047" s="16" t="s">
        <v>1855</v>
      </c>
      <c r="B5047" s="17" t="s">
        <v>8514</v>
      </c>
      <c r="C5047" s="17" t="s">
        <v>2638</v>
      </c>
      <c r="D5047" s="25" t="s">
        <v>8504</v>
      </c>
      <c r="E5047" s="19" t="s">
        <v>8505</v>
      </c>
      <c r="F5047" s="19" t="s">
        <v>8515</v>
      </c>
      <c r="G5047" s="9" t="str">
        <f>HYPERLINK("http://jsmh.umin.jp/journal/53-1/20.pdf")</f>
        <v>http://jsmh.umin.jp/journal/53-1/20.pdf</v>
      </c>
      <c r="H5047" s="43"/>
    </row>
    <row r="5048" spans="1:8" ht="30" customHeight="1" x14ac:dyDescent="0.15">
      <c r="A5048" s="16" t="s">
        <v>1855</v>
      </c>
      <c r="B5048" s="17" t="s">
        <v>8516</v>
      </c>
      <c r="C5048" s="17" t="s">
        <v>8517</v>
      </c>
      <c r="D5048" s="25" t="s">
        <v>8504</v>
      </c>
      <c r="E5048" s="19" t="s">
        <v>8505</v>
      </c>
      <c r="F5048" s="19" t="s">
        <v>8518</v>
      </c>
      <c r="G5048" s="9" t="str">
        <f>HYPERLINK("http://jsmh.umin.jp/journal/53-1/22.pdf")</f>
        <v>http://jsmh.umin.jp/journal/53-1/22.pdf</v>
      </c>
      <c r="H5048" s="43"/>
    </row>
    <row r="5049" spans="1:8" ht="30" customHeight="1" x14ac:dyDescent="0.15">
      <c r="A5049" s="16" t="s">
        <v>1855</v>
      </c>
      <c r="B5049" s="17" t="s">
        <v>8519</v>
      </c>
      <c r="C5049" s="17" t="s">
        <v>5080</v>
      </c>
      <c r="D5049" s="25" t="s">
        <v>8504</v>
      </c>
      <c r="E5049" s="19" t="s">
        <v>8505</v>
      </c>
      <c r="F5049" s="19" t="s">
        <v>8297</v>
      </c>
      <c r="G5049" s="9" t="str">
        <f>HYPERLINK("http://jsmh.umin.jp/journal/53-1/24.pdf")</f>
        <v>http://jsmh.umin.jp/journal/53-1/24.pdf</v>
      </c>
      <c r="H5049" s="43"/>
    </row>
    <row r="5050" spans="1:8" ht="30" customHeight="1" x14ac:dyDescent="0.15">
      <c r="A5050" s="16" t="s">
        <v>1855</v>
      </c>
      <c r="B5050" s="17" t="s">
        <v>8520</v>
      </c>
      <c r="C5050" s="17" t="s">
        <v>925</v>
      </c>
      <c r="D5050" s="25" t="s">
        <v>8504</v>
      </c>
      <c r="E5050" s="19" t="s">
        <v>8505</v>
      </c>
      <c r="F5050" s="19" t="s">
        <v>8299</v>
      </c>
      <c r="G5050" s="9" t="str">
        <f>HYPERLINK("http://jsmh.umin.jp/journal/53-1/26.pdf")</f>
        <v>http://jsmh.umin.jp/journal/53-1/26.pdf</v>
      </c>
      <c r="H5050" s="43"/>
    </row>
    <row r="5051" spans="1:8" ht="30" customHeight="1" x14ac:dyDescent="0.15">
      <c r="A5051" s="16" t="s">
        <v>1855</v>
      </c>
      <c r="B5051" s="17" t="s">
        <v>8521</v>
      </c>
      <c r="C5051" s="17" t="s">
        <v>2937</v>
      </c>
      <c r="D5051" s="25" t="s">
        <v>8504</v>
      </c>
      <c r="E5051" s="19" t="s">
        <v>8505</v>
      </c>
      <c r="F5051" s="19" t="s">
        <v>8301</v>
      </c>
      <c r="G5051" s="9" t="str">
        <f>HYPERLINK("http://jsmh.umin.jp/journal/53-1/28.pdf")</f>
        <v>http://jsmh.umin.jp/journal/53-1/28.pdf</v>
      </c>
      <c r="H5051" s="43"/>
    </row>
    <row r="5052" spans="1:8" ht="30" customHeight="1" x14ac:dyDescent="0.15">
      <c r="A5052" s="16" t="s">
        <v>1855</v>
      </c>
      <c r="B5052" s="17" t="s">
        <v>8522</v>
      </c>
      <c r="C5052" s="17" t="s">
        <v>10397</v>
      </c>
      <c r="D5052" s="25" t="s">
        <v>8504</v>
      </c>
      <c r="E5052" s="19" t="s">
        <v>8505</v>
      </c>
      <c r="F5052" s="19" t="s">
        <v>8303</v>
      </c>
      <c r="G5052" s="9" t="str">
        <f>HYPERLINK("http://jsmh.umin.jp/journal/53-1/30.pdf")</f>
        <v>http://jsmh.umin.jp/journal/53-1/30.pdf</v>
      </c>
      <c r="H5052" s="43"/>
    </row>
    <row r="5053" spans="1:8" ht="30" customHeight="1" x14ac:dyDescent="0.15">
      <c r="A5053" s="16" t="s">
        <v>1855</v>
      </c>
      <c r="B5053" s="17" t="s">
        <v>8523</v>
      </c>
      <c r="C5053" s="17" t="s">
        <v>8524</v>
      </c>
      <c r="D5053" s="25" t="s">
        <v>8504</v>
      </c>
      <c r="E5053" s="19" t="s">
        <v>8505</v>
      </c>
      <c r="F5053" s="19" t="s">
        <v>8306</v>
      </c>
      <c r="G5053" s="9" t="str">
        <f>HYPERLINK("http://jsmh.umin.jp/journal/53-1/32.pdf")</f>
        <v>http://jsmh.umin.jp/journal/53-1/32.pdf</v>
      </c>
      <c r="H5053" s="43"/>
    </row>
    <row r="5054" spans="1:8" ht="30" customHeight="1" x14ac:dyDescent="0.15">
      <c r="A5054" s="16" t="s">
        <v>1855</v>
      </c>
      <c r="B5054" s="17" t="s">
        <v>8525</v>
      </c>
      <c r="C5054" s="17" t="s">
        <v>5670</v>
      </c>
      <c r="D5054" s="25" t="s">
        <v>8504</v>
      </c>
      <c r="E5054" s="19" t="s">
        <v>8505</v>
      </c>
      <c r="F5054" s="19" t="s">
        <v>8309</v>
      </c>
      <c r="G5054" s="9" t="str">
        <f>HYPERLINK("http://jsmh.umin.jp/journal/53-1/34.pdf")</f>
        <v>http://jsmh.umin.jp/journal/53-1/34.pdf</v>
      </c>
      <c r="H5054" s="43"/>
    </row>
    <row r="5055" spans="1:8" ht="30" customHeight="1" x14ac:dyDescent="0.15">
      <c r="A5055" s="16" t="s">
        <v>1855</v>
      </c>
      <c r="B5055" s="17" t="s">
        <v>8526</v>
      </c>
      <c r="C5055" s="17" t="s">
        <v>8527</v>
      </c>
      <c r="D5055" s="25" t="s">
        <v>8504</v>
      </c>
      <c r="E5055" s="19" t="s">
        <v>8505</v>
      </c>
      <c r="F5055" s="19" t="s">
        <v>8311</v>
      </c>
      <c r="G5055" s="9" t="str">
        <f>HYPERLINK("http://jsmh.umin.jp/journal/53-1/36.pdf")</f>
        <v>http://jsmh.umin.jp/journal/53-1/36.pdf</v>
      </c>
      <c r="H5055" s="43"/>
    </row>
    <row r="5056" spans="1:8" ht="30" customHeight="1" x14ac:dyDescent="0.15">
      <c r="A5056" s="16" t="s">
        <v>1855</v>
      </c>
      <c r="B5056" s="17" t="s">
        <v>10398</v>
      </c>
      <c r="C5056" s="17" t="s">
        <v>8528</v>
      </c>
      <c r="D5056" s="25" t="s">
        <v>8504</v>
      </c>
      <c r="E5056" s="19" t="s">
        <v>8505</v>
      </c>
      <c r="F5056" s="19" t="s">
        <v>8313</v>
      </c>
      <c r="G5056" s="9" t="str">
        <f>HYPERLINK("http://jsmh.umin.jp/journal/53-1/38.pdf")</f>
        <v>http://jsmh.umin.jp/journal/53-1/38.pdf</v>
      </c>
      <c r="H5056" s="43"/>
    </row>
    <row r="5057" spans="1:8" ht="30" customHeight="1" x14ac:dyDescent="0.15">
      <c r="A5057" s="16" t="s">
        <v>1855</v>
      </c>
      <c r="B5057" s="17" t="s">
        <v>10399</v>
      </c>
      <c r="C5057" s="17" t="s">
        <v>8529</v>
      </c>
      <c r="D5057" s="25" t="s">
        <v>8504</v>
      </c>
      <c r="E5057" s="19" t="s">
        <v>8505</v>
      </c>
      <c r="F5057" s="19" t="s">
        <v>8315</v>
      </c>
      <c r="G5057" s="9" t="str">
        <f>HYPERLINK("http://jsmh.umin.jp/journal/53-1/40.pdf")</f>
        <v>http://jsmh.umin.jp/journal/53-1/40.pdf</v>
      </c>
      <c r="H5057" s="43"/>
    </row>
    <row r="5058" spans="1:8" ht="30" customHeight="1" x14ac:dyDescent="0.15">
      <c r="A5058" s="16" t="s">
        <v>1855</v>
      </c>
      <c r="B5058" s="17" t="s">
        <v>8530</v>
      </c>
      <c r="C5058" s="17" t="s">
        <v>6139</v>
      </c>
      <c r="D5058" s="25" t="s">
        <v>8504</v>
      </c>
      <c r="E5058" s="19" t="s">
        <v>8505</v>
      </c>
      <c r="F5058" s="19" t="s">
        <v>8318</v>
      </c>
      <c r="G5058" s="9" t="str">
        <f>HYPERLINK("http://jsmh.umin.jp/journal/53-1/42.pdf")</f>
        <v>http://jsmh.umin.jp/journal/53-1/42.pdf</v>
      </c>
      <c r="H5058" s="43"/>
    </row>
    <row r="5059" spans="1:8" ht="30" customHeight="1" x14ac:dyDescent="0.15">
      <c r="A5059" s="16" t="s">
        <v>1855</v>
      </c>
      <c r="B5059" s="17" t="s">
        <v>8531</v>
      </c>
      <c r="C5059" s="17" t="s">
        <v>2386</v>
      </c>
      <c r="D5059" s="25" t="s">
        <v>8504</v>
      </c>
      <c r="E5059" s="19" t="s">
        <v>8505</v>
      </c>
      <c r="F5059" s="19" t="s">
        <v>8320</v>
      </c>
      <c r="G5059" s="9" t="str">
        <f>HYPERLINK("http://jsmh.umin.jp/journal/53-1/44.pdf")</f>
        <v>http://jsmh.umin.jp/journal/53-1/44.pdf</v>
      </c>
      <c r="H5059" s="43"/>
    </row>
    <row r="5060" spans="1:8" ht="30" customHeight="1" x14ac:dyDescent="0.15">
      <c r="A5060" s="16" t="s">
        <v>1855</v>
      </c>
      <c r="B5060" s="17" t="s">
        <v>8532</v>
      </c>
      <c r="C5060" s="17" t="s">
        <v>8533</v>
      </c>
      <c r="D5060" s="25" t="s">
        <v>8504</v>
      </c>
      <c r="E5060" s="19" t="s">
        <v>8505</v>
      </c>
      <c r="F5060" s="19" t="s">
        <v>8322</v>
      </c>
      <c r="G5060" s="9" t="str">
        <f>HYPERLINK("http://jsmh.umin.jp/journal/53-1/46.pdf")</f>
        <v>http://jsmh.umin.jp/journal/53-1/46.pdf</v>
      </c>
      <c r="H5060" s="43"/>
    </row>
    <row r="5061" spans="1:8" ht="30" customHeight="1" x14ac:dyDescent="0.15">
      <c r="A5061" s="16" t="s">
        <v>1855</v>
      </c>
      <c r="B5061" s="17" t="s">
        <v>8534</v>
      </c>
      <c r="C5061" s="17" t="s">
        <v>48</v>
      </c>
      <c r="D5061" s="25" t="s">
        <v>8504</v>
      </c>
      <c r="E5061" s="19" t="s">
        <v>8505</v>
      </c>
      <c r="F5061" s="19" t="s">
        <v>8324</v>
      </c>
      <c r="G5061" s="9" t="str">
        <f>HYPERLINK("http://jsmh.umin.jp/journal/53-1/48.pdf")</f>
        <v>http://jsmh.umin.jp/journal/53-1/48.pdf</v>
      </c>
      <c r="H5061" s="43"/>
    </row>
    <row r="5062" spans="1:8" ht="30" customHeight="1" x14ac:dyDescent="0.15">
      <c r="A5062" s="16" t="s">
        <v>1855</v>
      </c>
      <c r="B5062" s="17" t="s">
        <v>10400</v>
      </c>
      <c r="C5062" s="17" t="s">
        <v>2881</v>
      </c>
      <c r="D5062" s="25" t="s">
        <v>8504</v>
      </c>
      <c r="E5062" s="19" t="s">
        <v>8505</v>
      </c>
      <c r="F5062" s="19" t="s">
        <v>8326</v>
      </c>
      <c r="G5062" s="9" t="str">
        <f>HYPERLINK("http://jsmh.umin.jp/journal/53-1/50.pdf")</f>
        <v>http://jsmh.umin.jp/journal/53-1/50.pdf</v>
      </c>
      <c r="H5062" s="43"/>
    </row>
    <row r="5063" spans="1:8" ht="30" customHeight="1" x14ac:dyDescent="0.15">
      <c r="A5063" s="16" t="s">
        <v>1855</v>
      </c>
      <c r="B5063" s="17" t="s">
        <v>8535</v>
      </c>
      <c r="C5063" s="17" t="s">
        <v>7248</v>
      </c>
      <c r="D5063" s="25" t="s">
        <v>8504</v>
      </c>
      <c r="E5063" s="19" t="s">
        <v>8505</v>
      </c>
      <c r="F5063" s="19" t="s">
        <v>8328</v>
      </c>
      <c r="G5063" s="9" t="str">
        <f>HYPERLINK("http://jsmh.umin.jp/journal/53-1/52.pdf")</f>
        <v>http://jsmh.umin.jp/journal/53-1/52.pdf</v>
      </c>
      <c r="H5063" s="43"/>
    </row>
    <row r="5064" spans="1:8" ht="30" customHeight="1" x14ac:dyDescent="0.15">
      <c r="A5064" s="16" t="s">
        <v>1855</v>
      </c>
      <c r="B5064" s="17" t="s">
        <v>10401</v>
      </c>
      <c r="C5064" s="17" t="s">
        <v>8536</v>
      </c>
      <c r="D5064" s="25" t="s">
        <v>8504</v>
      </c>
      <c r="E5064" s="19" t="s">
        <v>8505</v>
      </c>
      <c r="F5064" s="19" t="s">
        <v>8330</v>
      </c>
      <c r="G5064" s="9" t="str">
        <f>HYPERLINK("http://jsmh.umin.jp/journal/53-1/54.pdf")</f>
        <v>http://jsmh.umin.jp/journal/53-1/54.pdf</v>
      </c>
      <c r="H5064" s="43"/>
    </row>
    <row r="5065" spans="1:8" ht="30" customHeight="1" x14ac:dyDescent="0.15">
      <c r="A5065" s="16" t="s">
        <v>1855</v>
      </c>
      <c r="B5065" s="17" t="s">
        <v>8537</v>
      </c>
      <c r="C5065" s="17" t="s">
        <v>7176</v>
      </c>
      <c r="D5065" s="25" t="s">
        <v>8504</v>
      </c>
      <c r="E5065" s="19" t="s">
        <v>8505</v>
      </c>
      <c r="F5065" s="19" t="s">
        <v>8332</v>
      </c>
      <c r="G5065" s="9" t="str">
        <f>HYPERLINK("http://jsmh.umin.jp/journal/53-1/56.pdf")</f>
        <v>http://jsmh.umin.jp/journal/53-1/56.pdf</v>
      </c>
      <c r="H5065" s="43"/>
    </row>
    <row r="5066" spans="1:8" ht="30" customHeight="1" x14ac:dyDescent="0.15">
      <c r="A5066" s="16" t="s">
        <v>1855</v>
      </c>
      <c r="B5066" s="17" t="s">
        <v>8538</v>
      </c>
      <c r="C5066" s="17" t="s">
        <v>8539</v>
      </c>
      <c r="D5066" s="25" t="s">
        <v>8504</v>
      </c>
      <c r="E5066" s="19" t="s">
        <v>8505</v>
      </c>
      <c r="F5066" s="19" t="s">
        <v>8335</v>
      </c>
      <c r="G5066" s="9" t="str">
        <f>HYPERLINK("http://jsmh.umin.jp/journal/53-1/58.pdf")</f>
        <v>http://jsmh.umin.jp/journal/53-1/58.pdf</v>
      </c>
      <c r="H5066" s="43"/>
    </row>
    <row r="5067" spans="1:8" ht="30" customHeight="1" x14ac:dyDescent="0.15">
      <c r="A5067" s="16" t="s">
        <v>1855</v>
      </c>
      <c r="B5067" s="17" t="s">
        <v>8540</v>
      </c>
      <c r="C5067" s="17" t="s">
        <v>7583</v>
      </c>
      <c r="D5067" s="25" t="s">
        <v>8504</v>
      </c>
      <c r="E5067" s="19" t="s">
        <v>8505</v>
      </c>
      <c r="F5067" s="19" t="s">
        <v>8338</v>
      </c>
      <c r="G5067" s="9" t="str">
        <f>HYPERLINK("http://jsmh.umin.jp/journal/53-1/60.pdf")</f>
        <v>http://jsmh.umin.jp/journal/53-1/60.pdf</v>
      </c>
      <c r="H5067" s="43"/>
    </row>
    <row r="5068" spans="1:8" ht="30" customHeight="1" x14ac:dyDescent="0.15">
      <c r="A5068" s="16" t="s">
        <v>1855</v>
      </c>
      <c r="B5068" s="17" t="s">
        <v>8541</v>
      </c>
      <c r="C5068" s="17" t="s">
        <v>8542</v>
      </c>
      <c r="D5068" s="25" t="s">
        <v>8504</v>
      </c>
      <c r="E5068" s="19" t="s">
        <v>8505</v>
      </c>
      <c r="F5068" s="19" t="s">
        <v>8340</v>
      </c>
      <c r="G5068" s="9" t="str">
        <f>HYPERLINK("http://jsmh.umin.jp/journal/53-1/62.pdf")</f>
        <v>http://jsmh.umin.jp/journal/53-1/62.pdf</v>
      </c>
      <c r="H5068" s="43"/>
    </row>
    <row r="5069" spans="1:8" ht="30" customHeight="1" x14ac:dyDescent="0.15">
      <c r="A5069" s="16" t="s">
        <v>1855</v>
      </c>
      <c r="B5069" s="17" t="s">
        <v>8543</v>
      </c>
      <c r="C5069" s="17" t="s">
        <v>10402</v>
      </c>
      <c r="D5069" s="25" t="s">
        <v>8504</v>
      </c>
      <c r="E5069" s="19" t="s">
        <v>8505</v>
      </c>
      <c r="F5069" s="19" t="s">
        <v>8342</v>
      </c>
      <c r="G5069" s="9" t="str">
        <f>HYPERLINK("http://jsmh.umin.jp/journal/53-1/64.pdf")</f>
        <v>http://jsmh.umin.jp/journal/53-1/64.pdf</v>
      </c>
      <c r="H5069" s="43"/>
    </row>
    <row r="5070" spans="1:8" ht="30" customHeight="1" x14ac:dyDescent="0.15">
      <c r="A5070" s="16" t="s">
        <v>1855</v>
      </c>
      <c r="B5070" s="17" t="s">
        <v>8544</v>
      </c>
      <c r="C5070" s="17" t="s">
        <v>8545</v>
      </c>
      <c r="D5070" s="25" t="s">
        <v>8504</v>
      </c>
      <c r="E5070" s="19" t="s">
        <v>8505</v>
      </c>
      <c r="F5070" s="19" t="s">
        <v>8345</v>
      </c>
      <c r="G5070" s="9" t="str">
        <f>HYPERLINK("http://jsmh.umin.jp/journal/53-1/66.pdf")</f>
        <v>http://jsmh.umin.jp/journal/53-1/66.pdf</v>
      </c>
      <c r="H5070" s="43"/>
    </row>
    <row r="5071" spans="1:8" ht="30" customHeight="1" x14ac:dyDescent="0.15">
      <c r="A5071" s="16" t="s">
        <v>1855</v>
      </c>
      <c r="B5071" s="17" t="s">
        <v>8546</v>
      </c>
      <c r="C5071" s="17" t="s">
        <v>6848</v>
      </c>
      <c r="D5071" s="25" t="s">
        <v>8504</v>
      </c>
      <c r="E5071" s="19" t="s">
        <v>8505</v>
      </c>
      <c r="F5071" s="19" t="s">
        <v>8348</v>
      </c>
      <c r="G5071" s="9" t="str">
        <f>HYPERLINK("http://jsmh.umin.jp/journal/53-1/68.pdf")</f>
        <v>http://jsmh.umin.jp/journal/53-1/68.pdf</v>
      </c>
      <c r="H5071" s="43"/>
    </row>
    <row r="5072" spans="1:8" ht="30" customHeight="1" x14ac:dyDescent="0.15">
      <c r="A5072" s="16" t="s">
        <v>1855</v>
      </c>
      <c r="B5072" s="17" t="s">
        <v>8547</v>
      </c>
      <c r="C5072" s="17" t="s">
        <v>10375</v>
      </c>
      <c r="D5072" s="25" t="s">
        <v>8504</v>
      </c>
      <c r="E5072" s="19" t="s">
        <v>8505</v>
      </c>
      <c r="F5072" s="19" t="s">
        <v>8351</v>
      </c>
      <c r="G5072" s="9" t="str">
        <f>HYPERLINK("http://jsmh.umin.jp/journal/53-1/70.pdf")</f>
        <v>http://jsmh.umin.jp/journal/53-1/70.pdf</v>
      </c>
      <c r="H5072" s="43"/>
    </row>
    <row r="5073" spans="1:8" ht="30" customHeight="1" x14ac:dyDescent="0.15">
      <c r="A5073" s="16" t="s">
        <v>1855</v>
      </c>
      <c r="B5073" s="17" t="s">
        <v>8548</v>
      </c>
      <c r="C5073" s="17" t="s">
        <v>8406</v>
      </c>
      <c r="D5073" s="25" t="s">
        <v>8504</v>
      </c>
      <c r="E5073" s="19" t="s">
        <v>8505</v>
      </c>
      <c r="F5073" s="19" t="s">
        <v>8354</v>
      </c>
      <c r="G5073" s="9" t="str">
        <f>HYPERLINK("http://jsmh.umin.jp/journal/53-1/72.pdf")</f>
        <v>http://jsmh.umin.jp/journal/53-1/72.pdf</v>
      </c>
      <c r="H5073" s="43"/>
    </row>
    <row r="5074" spans="1:8" ht="30" customHeight="1" x14ac:dyDescent="0.15">
      <c r="A5074" s="16" t="s">
        <v>1855</v>
      </c>
      <c r="B5074" s="17" t="s">
        <v>8549</v>
      </c>
      <c r="C5074" s="17" t="s">
        <v>8350</v>
      </c>
      <c r="D5074" s="25" t="s">
        <v>8504</v>
      </c>
      <c r="E5074" s="19" t="s">
        <v>8505</v>
      </c>
      <c r="F5074" s="19" t="s">
        <v>8356</v>
      </c>
      <c r="G5074" s="9" t="str">
        <f>HYPERLINK("http://jsmh.umin.jp/journal/53-1/74.pdf")</f>
        <v>http://jsmh.umin.jp/journal/53-1/74.pdf</v>
      </c>
      <c r="H5074" s="43"/>
    </row>
    <row r="5075" spans="1:8" ht="30" customHeight="1" x14ac:dyDescent="0.15">
      <c r="A5075" s="16" t="s">
        <v>1855</v>
      </c>
      <c r="B5075" s="17" t="s">
        <v>8550</v>
      </c>
      <c r="C5075" s="17" t="s">
        <v>1292</v>
      </c>
      <c r="D5075" s="25" t="s">
        <v>8504</v>
      </c>
      <c r="E5075" s="19" t="s">
        <v>8505</v>
      </c>
      <c r="F5075" s="19" t="s">
        <v>8358</v>
      </c>
      <c r="G5075" s="9" t="str">
        <f>HYPERLINK("http://jsmh.umin.jp/journal/53-1/76.pdf")</f>
        <v>http://jsmh.umin.jp/journal/53-1/76.pdf</v>
      </c>
      <c r="H5075" s="43"/>
    </row>
    <row r="5076" spans="1:8" ht="30" customHeight="1" x14ac:dyDescent="0.15">
      <c r="A5076" s="16" t="s">
        <v>1855</v>
      </c>
      <c r="B5076" s="17" t="s">
        <v>10403</v>
      </c>
      <c r="C5076" s="17" t="s">
        <v>7316</v>
      </c>
      <c r="D5076" s="25" t="s">
        <v>8504</v>
      </c>
      <c r="E5076" s="19" t="s">
        <v>8505</v>
      </c>
      <c r="F5076" s="19" t="s">
        <v>8359</v>
      </c>
      <c r="G5076" s="9" t="str">
        <f>HYPERLINK("http://jsmh.umin.jp/journal/53-1/78.pdf")</f>
        <v>http://jsmh.umin.jp/journal/53-1/78.pdf</v>
      </c>
      <c r="H5076" s="43"/>
    </row>
    <row r="5077" spans="1:8" ht="30" customHeight="1" x14ac:dyDescent="0.15">
      <c r="A5077" s="16" t="s">
        <v>1855</v>
      </c>
      <c r="B5077" s="17" t="s">
        <v>8551</v>
      </c>
      <c r="C5077" s="17" t="s">
        <v>4039</v>
      </c>
      <c r="D5077" s="25" t="s">
        <v>8504</v>
      </c>
      <c r="E5077" s="19" t="s">
        <v>8505</v>
      </c>
      <c r="F5077" s="19" t="s">
        <v>8361</v>
      </c>
      <c r="G5077" s="9" t="str">
        <f>HYPERLINK("http://jsmh.umin.jp/journal/53-1/80.pdf")</f>
        <v>http://jsmh.umin.jp/journal/53-1/80.pdf</v>
      </c>
      <c r="H5077" s="43"/>
    </row>
    <row r="5078" spans="1:8" ht="30" customHeight="1" x14ac:dyDescent="0.15">
      <c r="A5078" s="16" t="s">
        <v>1855</v>
      </c>
      <c r="B5078" s="17" t="s">
        <v>8552</v>
      </c>
      <c r="C5078" s="17" t="s">
        <v>8400</v>
      </c>
      <c r="D5078" s="25" t="s">
        <v>8504</v>
      </c>
      <c r="E5078" s="19" t="s">
        <v>8505</v>
      </c>
      <c r="F5078" s="19" t="s">
        <v>8364</v>
      </c>
      <c r="G5078" s="9" t="str">
        <f>HYPERLINK("http://jsmh.umin.jp/journal/53-1/82.pdf")</f>
        <v>http://jsmh.umin.jp/journal/53-1/82.pdf</v>
      </c>
      <c r="H5078" s="43"/>
    </row>
    <row r="5079" spans="1:8" ht="30" customHeight="1" x14ac:dyDescent="0.15">
      <c r="A5079" s="16" t="s">
        <v>1855</v>
      </c>
      <c r="B5079" s="17" t="s">
        <v>8553</v>
      </c>
      <c r="C5079" s="17" t="s">
        <v>4795</v>
      </c>
      <c r="D5079" s="25" t="s">
        <v>8504</v>
      </c>
      <c r="E5079" s="19" t="s">
        <v>8505</v>
      </c>
      <c r="F5079" s="19" t="s">
        <v>8365</v>
      </c>
      <c r="G5079" s="9" t="str">
        <f>HYPERLINK("http://jsmh.umin.jp/journal/53-1/84.pdf")</f>
        <v>http://jsmh.umin.jp/journal/53-1/84.pdf</v>
      </c>
      <c r="H5079" s="43"/>
    </row>
    <row r="5080" spans="1:8" ht="30" customHeight="1" x14ac:dyDescent="0.15">
      <c r="A5080" s="16" t="s">
        <v>1855</v>
      </c>
      <c r="B5080" s="17" t="s">
        <v>8554</v>
      </c>
      <c r="C5080" s="17" t="s">
        <v>8347</v>
      </c>
      <c r="D5080" s="25" t="s">
        <v>8504</v>
      </c>
      <c r="E5080" s="19" t="s">
        <v>8505</v>
      </c>
      <c r="F5080" s="19" t="s">
        <v>8367</v>
      </c>
      <c r="G5080" s="9" t="str">
        <f>HYPERLINK("http://jsmh.umin.jp/journal/53-1/86.pdf")</f>
        <v>http://jsmh.umin.jp/journal/53-1/86.pdf</v>
      </c>
      <c r="H5080" s="43"/>
    </row>
    <row r="5081" spans="1:8" ht="30" customHeight="1" x14ac:dyDescent="0.15">
      <c r="A5081" s="16" t="s">
        <v>1855</v>
      </c>
      <c r="B5081" s="17" t="s">
        <v>8555</v>
      </c>
      <c r="C5081" s="17" t="s">
        <v>8556</v>
      </c>
      <c r="D5081" s="25" t="s">
        <v>8504</v>
      </c>
      <c r="E5081" s="19" t="s">
        <v>8505</v>
      </c>
      <c r="F5081" s="19" t="s">
        <v>8369</v>
      </c>
      <c r="G5081" s="9" t="str">
        <f>HYPERLINK("http://jsmh.umin.jp/journal/53-1/88.pdf")</f>
        <v>http://jsmh.umin.jp/journal/53-1/88.pdf</v>
      </c>
      <c r="H5081" s="43"/>
    </row>
    <row r="5082" spans="1:8" ht="30" customHeight="1" x14ac:dyDescent="0.15">
      <c r="A5082" s="16" t="s">
        <v>1855</v>
      </c>
      <c r="B5082" s="17" t="s">
        <v>8557</v>
      </c>
      <c r="C5082" s="17" t="s">
        <v>5516</v>
      </c>
      <c r="D5082" s="25" t="s">
        <v>8504</v>
      </c>
      <c r="E5082" s="19" t="s">
        <v>8505</v>
      </c>
      <c r="F5082" s="19" t="s">
        <v>8372</v>
      </c>
      <c r="G5082" s="9" t="str">
        <f>HYPERLINK("http://jsmh.umin.jp/journal/53-1/90.pdf")</f>
        <v>http://jsmh.umin.jp/journal/53-1/90.pdf</v>
      </c>
      <c r="H5082" s="43"/>
    </row>
    <row r="5083" spans="1:8" ht="30" customHeight="1" x14ac:dyDescent="0.15">
      <c r="A5083" s="16" t="s">
        <v>1855</v>
      </c>
      <c r="B5083" s="17" t="s">
        <v>8558</v>
      </c>
      <c r="C5083" s="17" t="s">
        <v>8337</v>
      </c>
      <c r="D5083" s="25" t="s">
        <v>8504</v>
      </c>
      <c r="E5083" s="19" t="s">
        <v>8505</v>
      </c>
      <c r="F5083" s="19" t="s">
        <v>8374</v>
      </c>
      <c r="G5083" s="9" t="str">
        <f>HYPERLINK("http://jsmh.umin.jp/journal/53-1/92.pdf")</f>
        <v>http://jsmh.umin.jp/journal/53-1/92.pdf</v>
      </c>
      <c r="H5083" s="43"/>
    </row>
    <row r="5084" spans="1:8" ht="30" customHeight="1" x14ac:dyDescent="0.15">
      <c r="A5084" s="16" t="s">
        <v>1855</v>
      </c>
      <c r="B5084" s="17" t="s">
        <v>8559</v>
      </c>
      <c r="C5084" s="17" t="s">
        <v>6640</v>
      </c>
      <c r="D5084" s="25" t="s">
        <v>8504</v>
      </c>
      <c r="E5084" s="19" t="s">
        <v>8505</v>
      </c>
      <c r="F5084" s="19" t="s">
        <v>8376</v>
      </c>
      <c r="G5084" s="9" t="str">
        <f>HYPERLINK("http://jsmh.umin.jp/journal/53-1/94.pdf")</f>
        <v>http://jsmh.umin.jp/journal/53-1/94.pdf</v>
      </c>
      <c r="H5084" s="43"/>
    </row>
    <row r="5085" spans="1:8" ht="30" customHeight="1" x14ac:dyDescent="0.15">
      <c r="A5085" s="16" t="s">
        <v>1855</v>
      </c>
      <c r="B5085" s="17" t="s">
        <v>8560</v>
      </c>
      <c r="C5085" s="17" t="s">
        <v>6705</v>
      </c>
      <c r="D5085" s="25" t="s">
        <v>8504</v>
      </c>
      <c r="E5085" s="19" t="s">
        <v>8505</v>
      </c>
      <c r="F5085" s="19" t="s">
        <v>8378</v>
      </c>
      <c r="G5085" s="9" t="str">
        <f>HYPERLINK("http://jsmh.umin.jp/journal/53-1/96.pdf")</f>
        <v>http://jsmh.umin.jp/journal/53-1/96.pdf</v>
      </c>
      <c r="H5085" s="43"/>
    </row>
    <row r="5086" spans="1:8" ht="30" customHeight="1" x14ac:dyDescent="0.15">
      <c r="A5086" s="16" t="s">
        <v>1855</v>
      </c>
      <c r="B5086" s="17" t="s">
        <v>8561</v>
      </c>
      <c r="C5086" s="17" t="s">
        <v>3644</v>
      </c>
      <c r="D5086" s="25" t="s">
        <v>8504</v>
      </c>
      <c r="E5086" s="19" t="s">
        <v>8505</v>
      </c>
      <c r="F5086" s="19" t="s">
        <v>8380</v>
      </c>
      <c r="G5086" s="9" t="str">
        <f>HYPERLINK("http://jsmh.umin.jp/journal/53-1/98.pdf")</f>
        <v>http://jsmh.umin.jp/journal/53-1/98.pdf</v>
      </c>
      <c r="H5086" s="43"/>
    </row>
    <row r="5087" spans="1:8" ht="30" customHeight="1" x14ac:dyDescent="0.15">
      <c r="A5087" s="16" t="s">
        <v>1855</v>
      </c>
      <c r="B5087" s="17" t="s">
        <v>8562</v>
      </c>
      <c r="C5087" s="17" t="s">
        <v>8198</v>
      </c>
      <c r="D5087" s="25" t="s">
        <v>8504</v>
      </c>
      <c r="E5087" s="19" t="s">
        <v>8505</v>
      </c>
      <c r="F5087" s="19" t="s">
        <v>778</v>
      </c>
      <c r="G5087" s="9" t="str">
        <f>HYPERLINK("http://jsmh.umin.jp/journal/53-1/100.pdf")</f>
        <v>http://jsmh.umin.jp/journal/53-1/100.pdf</v>
      </c>
      <c r="H5087" s="43"/>
    </row>
    <row r="5088" spans="1:8" ht="30" customHeight="1" x14ac:dyDescent="0.15">
      <c r="A5088" s="16" t="s">
        <v>1855</v>
      </c>
      <c r="B5088" s="17" t="s">
        <v>8563</v>
      </c>
      <c r="C5088" s="17" t="s">
        <v>790</v>
      </c>
      <c r="D5088" s="25" t="s">
        <v>8504</v>
      </c>
      <c r="E5088" s="19" t="s">
        <v>8505</v>
      </c>
      <c r="F5088" s="19" t="s">
        <v>779</v>
      </c>
      <c r="G5088" s="9" t="str">
        <f>HYPERLINK("http://jsmh.umin.jp/journal/53-1/102.pdf")</f>
        <v>http://jsmh.umin.jp/journal/53-1/102.pdf</v>
      </c>
      <c r="H5088" s="43"/>
    </row>
    <row r="5089" spans="1:8" ht="30" customHeight="1" x14ac:dyDescent="0.15">
      <c r="A5089" s="16" t="s">
        <v>1855</v>
      </c>
      <c r="B5089" s="17" t="s">
        <v>8564</v>
      </c>
      <c r="C5089" s="17" t="s">
        <v>8344</v>
      </c>
      <c r="D5089" s="25" t="s">
        <v>8504</v>
      </c>
      <c r="E5089" s="19" t="s">
        <v>8505</v>
      </c>
      <c r="F5089" s="19" t="s">
        <v>186</v>
      </c>
      <c r="G5089" s="9" t="str">
        <f>HYPERLINK("http://jsmh.umin.jp/journal/53-1/104.pdf")</f>
        <v>http://jsmh.umin.jp/journal/53-1/104.pdf</v>
      </c>
      <c r="H5089" s="43"/>
    </row>
    <row r="5090" spans="1:8" ht="30" customHeight="1" x14ac:dyDescent="0.15">
      <c r="A5090" s="16" t="s">
        <v>1855</v>
      </c>
      <c r="B5090" s="17" t="s">
        <v>8565</v>
      </c>
      <c r="C5090" s="17" t="s">
        <v>6903</v>
      </c>
      <c r="D5090" s="25" t="s">
        <v>8504</v>
      </c>
      <c r="E5090" s="19" t="s">
        <v>8505</v>
      </c>
      <c r="F5090" s="19" t="s">
        <v>189</v>
      </c>
      <c r="G5090" s="9" t="str">
        <f>HYPERLINK("http://jsmh.umin.jp/journal/53-1/106.pdf")</f>
        <v>http://jsmh.umin.jp/journal/53-1/106.pdf</v>
      </c>
      <c r="H5090" s="43"/>
    </row>
    <row r="5091" spans="1:8" ht="30" customHeight="1" x14ac:dyDescent="0.15">
      <c r="A5091" s="16" t="s">
        <v>1855</v>
      </c>
      <c r="B5091" s="17" t="s">
        <v>8566</v>
      </c>
      <c r="C5091" s="17" t="s">
        <v>8196</v>
      </c>
      <c r="D5091" s="25" t="s">
        <v>8504</v>
      </c>
      <c r="E5091" s="19" t="s">
        <v>8505</v>
      </c>
      <c r="F5091" s="19" t="s">
        <v>7064</v>
      </c>
      <c r="G5091" s="9" t="str">
        <f>HYPERLINK("http://jsmh.umin.jp/journal/53-1/108.pdf")</f>
        <v>http://jsmh.umin.jp/journal/53-1/108.pdf</v>
      </c>
      <c r="H5091" s="43"/>
    </row>
    <row r="5092" spans="1:8" ht="30" customHeight="1" x14ac:dyDescent="0.15">
      <c r="A5092" s="16" t="s">
        <v>1855</v>
      </c>
      <c r="B5092" s="17" t="s">
        <v>8567</v>
      </c>
      <c r="C5092" s="17" t="s">
        <v>10404</v>
      </c>
      <c r="D5092" s="25" t="s">
        <v>8504</v>
      </c>
      <c r="E5092" s="19" t="s">
        <v>8505</v>
      </c>
      <c r="F5092" s="19" t="s">
        <v>2389</v>
      </c>
      <c r="G5092" s="9" t="str">
        <f>HYPERLINK("http://jsmh.umin.jp/journal/53-1/110.pdf")</f>
        <v>http://jsmh.umin.jp/journal/53-1/110.pdf</v>
      </c>
      <c r="H5092" s="43"/>
    </row>
    <row r="5093" spans="1:8" ht="30" customHeight="1" x14ac:dyDescent="0.15">
      <c r="A5093" s="16" t="s">
        <v>1855</v>
      </c>
      <c r="B5093" s="17" t="s">
        <v>8568</v>
      </c>
      <c r="C5093" s="17" t="s">
        <v>10405</v>
      </c>
      <c r="D5093" s="25" t="s">
        <v>8504</v>
      </c>
      <c r="E5093" s="19" t="s">
        <v>8505</v>
      </c>
      <c r="F5093" s="19" t="s">
        <v>4349</v>
      </c>
      <c r="G5093" s="9" t="str">
        <f>HYPERLINK("http://jsmh.umin.jp/journal/53-1/112.pdf")</f>
        <v>http://jsmh.umin.jp/journal/53-1/112.pdf</v>
      </c>
      <c r="H5093" s="43"/>
    </row>
    <row r="5094" spans="1:8" ht="30" customHeight="1" x14ac:dyDescent="0.15">
      <c r="A5094" s="16" t="s">
        <v>1855</v>
      </c>
      <c r="B5094" s="17" t="s">
        <v>8569</v>
      </c>
      <c r="C5094" s="17" t="s">
        <v>10406</v>
      </c>
      <c r="D5094" s="25" t="s">
        <v>8504</v>
      </c>
      <c r="E5094" s="19" t="s">
        <v>8505</v>
      </c>
      <c r="F5094" s="19" t="s">
        <v>2396</v>
      </c>
      <c r="G5094" s="9" t="str">
        <f>HYPERLINK("http://jsmh.umin.jp/journal/53-1/114.pdf")</f>
        <v>http://jsmh.umin.jp/journal/53-1/114.pdf</v>
      </c>
      <c r="H5094" s="43"/>
    </row>
    <row r="5095" spans="1:8" ht="30" customHeight="1" x14ac:dyDescent="0.15">
      <c r="A5095" s="16" t="s">
        <v>1855</v>
      </c>
      <c r="B5095" s="17" t="s">
        <v>8570</v>
      </c>
      <c r="C5095" s="17" t="s">
        <v>6267</v>
      </c>
      <c r="D5095" s="25" t="s">
        <v>8504</v>
      </c>
      <c r="E5095" s="19" t="s">
        <v>8505</v>
      </c>
      <c r="F5095" s="19" t="s">
        <v>2400</v>
      </c>
      <c r="G5095" s="9" t="str">
        <f>HYPERLINK("http://jsmh.umin.jp/journal/53-1/116.pdf")</f>
        <v>http://jsmh.umin.jp/journal/53-1/116.pdf</v>
      </c>
      <c r="H5095" s="43"/>
    </row>
    <row r="5096" spans="1:8" ht="30" customHeight="1" x14ac:dyDescent="0.15">
      <c r="A5096" s="16" t="s">
        <v>1855</v>
      </c>
      <c r="B5096" s="17" t="s">
        <v>8571</v>
      </c>
      <c r="C5096" s="17" t="s">
        <v>5837</v>
      </c>
      <c r="D5096" s="25" t="s">
        <v>8504</v>
      </c>
      <c r="E5096" s="19" t="s">
        <v>8505</v>
      </c>
      <c r="F5096" s="19" t="s">
        <v>964</v>
      </c>
      <c r="G5096" s="9" t="str">
        <f>HYPERLINK("http://jsmh.umin.jp/journal/53-1/118.pdf")</f>
        <v>http://jsmh.umin.jp/journal/53-1/118.pdf</v>
      </c>
      <c r="H5096" s="43"/>
    </row>
    <row r="5097" spans="1:8" ht="30" customHeight="1" x14ac:dyDescent="0.15">
      <c r="A5097" s="16" t="s">
        <v>1855</v>
      </c>
      <c r="B5097" s="17" t="s">
        <v>8572</v>
      </c>
      <c r="C5097" s="17" t="s">
        <v>672</v>
      </c>
      <c r="D5097" s="25" t="s">
        <v>8504</v>
      </c>
      <c r="E5097" s="19" t="s">
        <v>8505</v>
      </c>
      <c r="F5097" s="19" t="s">
        <v>2406</v>
      </c>
      <c r="G5097" s="9" t="str">
        <f>HYPERLINK("http://jsmh.umin.jp/journal/53-1/120.pdf")</f>
        <v>http://jsmh.umin.jp/journal/53-1/120.pdf</v>
      </c>
      <c r="H5097" s="43"/>
    </row>
    <row r="5098" spans="1:8" ht="30" customHeight="1" x14ac:dyDescent="0.15">
      <c r="A5098" s="16" t="s">
        <v>1855</v>
      </c>
      <c r="B5098" s="17" t="s">
        <v>8573</v>
      </c>
      <c r="C5098" s="17" t="s">
        <v>10289</v>
      </c>
      <c r="D5098" s="25" t="s">
        <v>8504</v>
      </c>
      <c r="E5098" s="19" t="s">
        <v>8505</v>
      </c>
      <c r="F5098" s="19" t="s">
        <v>4598</v>
      </c>
      <c r="G5098" s="9" t="str">
        <f>HYPERLINK("http://jsmh.umin.jp/journal/53-1/122.pdf")</f>
        <v>http://jsmh.umin.jp/journal/53-1/122.pdf</v>
      </c>
      <c r="H5098" s="43"/>
    </row>
    <row r="5099" spans="1:8" ht="30" customHeight="1" x14ac:dyDescent="0.15">
      <c r="A5099" s="16" t="s">
        <v>1855</v>
      </c>
      <c r="B5099" s="17" t="s">
        <v>8574</v>
      </c>
      <c r="C5099" s="17" t="s">
        <v>8371</v>
      </c>
      <c r="D5099" s="25" t="s">
        <v>8504</v>
      </c>
      <c r="E5099" s="19" t="s">
        <v>8505</v>
      </c>
      <c r="F5099" s="19" t="s">
        <v>7745</v>
      </c>
      <c r="G5099" s="9" t="str">
        <f>HYPERLINK("http://jsmh.umin.jp/journal/53-1/124.pdf")</f>
        <v>http://jsmh.umin.jp/journal/53-1/124.pdf</v>
      </c>
      <c r="H5099" s="43"/>
    </row>
    <row r="5100" spans="1:8" ht="30" customHeight="1" x14ac:dyDescent="0.15">
      <c r="A5100" s="16" t="s">
        <v>1855</v>
      </c>
      <c r="B5100" s="17" t="s">
        <v>8575</v>
      </c>
      <c r="C5100" s="17" t="s">
        <v>6565</v>
      </c>
      <c r="D5100" s="25" t="s">
        <v>8504</v>
      </c>
      <c r="E5100" s="19" t="s">
        <v>8505</v>
      </c>
      <c r="F5100" s="19" t="s">
        <v>2414</v>
      </c>
      <c r="G5100" s="9" t="str">
        <f>HYPERLINK("http://jsmh.umin.jp/journal/53-1/126.pdf")</f>
        <v>http://jsmh.umin.jp/journal/53-1/126.pdf</v>
      </c>
      <c r="H5100" s="43"/>
    </row>
    <row r="5101" spans="1:8" ht="30" customHeight="1" x14ac:dyDescent="0.15">
      <c r="A5101" s="16" t="s">
        <v>1855</v>
      </c>
      <c r="B5101" s="17" t="s">
        <v>8576</v>
      </c>
      <c r="C5101" s="17" t="s">
        <v>10299</v>
      </c>
      <c r="D5101" s="25" t="s">
        <v>8504</v>
      </c>
      <c r="E5101" s="19" t="s">
        <v>8505</v>
      </c>
      <c r="F5101" s="19" t="s">
        <v>1498</v>
      </c>
      <c r="G5101" s="9" t="str">
        <f>HYPERLINK("http://jsmh.umin.jp/journal/53-1/128.pdf")</f>
        <v>http://jsmh.umin.jp/journal/53-1/128.pdf</v>
      </c>
      <c r="H5101" s="43"/>
    </row>
    <row r="5102" spans="1:8" ht="30" customHeight="1" x14ac:dyDescent="0.15">
      <c r="A5102" s="16" t="s">
        <v>1855</v>
      </c>
      <c r="B5102" s="17" t="s">
        <v>8577</v>
      </c>
      <c r="C5102" s="17" t="s">
        <v>7180</v>
      </c>
      <c r="D5102" s="25" t="s">
        <v>8504</v>
      </c>
      <c r="E5102" s="19" t="s">
        <v>8505</v>
      </c>
      <c r="F5102" s="19" t="s">
        <v>2213</v>
      </c>
      <c r="G5102" s="9" t="str">
        <f>HYPERLINK("http://jsmh.umin.jp/journal/53-1/130.pdf")</f>
        <v>http://jsmh.umin.jp/journal/53-1/130.pdf</v>
      </c>
      <c r="H5102" s="43"/>
    </row>
    <row r="5103" spans="1:8" ht="30" customHeight="1" x14ac:dyDescent="0.15">
      <c r="A5103" s="16" t="s">
        <v>1855</v>
      </c>
      <c r="B5103" s="17" t="s">
        <v>8578</v>
      </c>
      <c r="C5103" s="17" t="s">
        <v>7366</v>
      </c>
      <c r="D5103" s="25" t="s">
        <v>8504</v>
      </c>
      <c r="E5103" s="19" t="s">
        <v>8505</v>
      </c>
      <c r="F5103" s="19" t="s">
        <v>2217</v>
      </c>
      <c r="G5103" s="9" t="str">
        <f>HYPERLINK("http://jsmh.umin.jp/journal/53-1/132.pdf")</f>
        <v>http://jsmh.umin.jp/journal/53-1/132.pdf</v>
      </c>
      <c r="H5103" s="43"/>
    </row>
    <row r="5104" spans="1:8" ht="30" customHeight="1" x14ac:dyDescent="0.15">
      <c r="A5104" s="16" t="s">
        <v>1855</v>
      </c>
      <c r="B5104" s="17" t="s">
        <v>8579</v>
      </c>
      <c r="C5104" s="17" t="s">
        <v>7136</v>
      </c>
      <c r="D5104" s="25" t="s">
        <v>8504</v>
      </c>
      <c r="E5104" s="19" t="s">
        <v>8505</v>
      </c>
      <c r="F5104" s="19" t="s">
        <v>2425</v>
      </c>
      <c r="G5104" s="9" t="str">
        <f>HYPERLINK("http://jsmh.umin.jp/journal/53-1/134.pdf")</f>
        <v>http://jsmh.umin.jp/journal/53-1/134.pdf</v>
      </c>
      <c r="H5104" s="43"/>
    </row>
    <row r="5105" spans="1:8" ht="30" customHeight="1" x14ac:dyDescent="0.15">
      <c r="A5105" s="16" t="s">
        <v>1855</v>
      </c>
      <c r="B5105" s="17" t="s">
        <v>8580</v>
      </c>
      <c r="C5105" s="17" t="s">
        <v>7542</v>
      </c>
      <c r="D5105" s="25" t="s">
        <v>8504</v>
      </c>
      <c r="E5105" s="19" t="s">
        <v>8505</v>
      </c>
      <c r="F5105" s="19" t="s">
        <v>2225</v>
      </c>
      <c r="G5105" s="9" t="str">
        <f>HYPERLINK("http://jsmh.umin.jp/journal/53-1/136.pdf")</f>
        <v>http://jsmh.umin.jp/journal/53-1/136.pdf</v>
      </c>
      <c r="H5105" s="43"/>
    </row>
    <row r="5106" spans="1:8" ht="30" customHeight="1" x14ac:dyDescent="0.15">
      <c r="A5106" s="16" t="s">
        <v>1855</v>
      </c>
      <c r="B5106" s="17" t="s">
        <v>8581</v>
      </c>
      <c r="C5106" s="17" t="s">
        <v>6004</v>
      </c>
      <c r="D5106" s="25" t="s">
        <v>8504</v>
      </c>
      <c r="E5106" s="19" t="s">
        <v>8505</v>
      </c>
      <c r="F5106" s="19" t="s">
        <v>2228</v>
      </c>
      <c r="G5106" s="9" t="str">
        <f>HYPERLINK("http://jsmh.umin.jp/journal/53-1/138.pdf")</f>
        <v>http://jsmh.umin.jp/journal/53-1/138.pdf</v>
      </c>
      <c r="H5106" s="43"/>
    </row>
    <row r="5107" spans="1:8" ht="30" customHeight="1" x14ac:dyDescent="0.15">
      <c r="A5107" s="16" t="s">
        <v>1855</v>
      </c>
      <c r="B5107" s="17" t="s">
        <v>8582</v>
      </c>
      <c r="C5107" s="17" t="s">
        <v>7961</v>
      </c>
      <c r="D5107" s="25" t="s">
        <v>8504</v>
      </c>
      <c r="E5107" s="19" t="s">
        <v>8505</v>
      </c>
      <c r="F5107" s="19" t="s">
        <v>2231</v>
      </c>
      <c r="G5107" s="9" t="str">
        <f>HYPERLINK("http://jsmh.umin.jp/journal/53-1/140.pdf")</f>
        <v>http://jsmh.umin.jp/journal/53-1/140.pdf</v>
      </c>
      <c r="H5107" s="43"/>
    </row>
    <row r="5108" spans="1:8" ht="30" customHeight="1" x14ac:dyDescent="0.15">
      <c r="A5108" s="16" t="s">
        <v>1855</v>
      </c>
      <c r="B5108" s="17" t="s">
        <v>8583</v>
      </c>
      <c r="C5108" s="17" t="s">
        <v>8584</v>
      </c>
      <c r="D5108" s="25" t="s">
        <v>8504</v>
      </c>
      <c r="E5108" s="19" t="s">
        <v>8505</v>
      </c>
      <c r="F5108" s="19" t="s">
        <v>1514</v>
      </c>
      <c r="G5108" s="9" t="str">
        <f>HYPERLINK("http://jsmh.umin.jp/journal/53-1/142.pdf")</f>
        <v>http://jsmh.umin.jp/journal/53-1/142.pdf</v>
      </c>
      <c r="H5108" s="43"/>
    </row>
    <row r="5109" spans="1:8" ht="30" customHeight="1" x14ac:dyDescent="0.15">
      <c r="A5109" s="16" t="s">
        <v>1855</v>
      </c>
      <c r="B5109" s="17" t="s">
        <v>10407</v>
      </c>
      <c r="C5109" s="17" t="s">
        <v>10260</v>
      </c>
      <c r="D5109" s="25" t="s">
        <v>8504</v>
      </c>
      <c r="E5109" s="19" t="s">
        <v>8505</v>
      </c>
      <c r="F5109" s="19" t="s">
        <v>2761</v>
      </c>
      <c r="G5109" s="9" t="str">
        <f>HYPERLINK("http://jsmh.umin.jp/journal/53-1/144.pdf")</f>
        <v>http://jsmh.umin.jp/journal/53-1/144.pdf</v>
      </c>
      <c r="H5109" s="43"/>
    </row>
    <row r="5110" spans="1:8" ht="30" customHeight="1" x14ac:dyDescent="0.15">
      <c r="A5110" s="16" t="s">
        <v>1855</v>
      </c>
      <c r="B5110" s="17" t="s">
        <v>8585</v>
      </c>
      <c r="C5110" s="17" t="s">
        <v>7352</v>
      </c>
      <c r="D5110" s="25" t="s">
        <v>8504</v>
      </c>
      <c r="E5110" s="19" t="s">
        <v>8505</v>
      </c>
      <c r="F5110" s="19" t="s">
        <v>1522</v>
      </c>
      <c r="G5110" s="9" t="str">
        <f>HYPERLINK("http://jsmh.umin.jp/journal/53-1/146.pdf")</f>
        <v>http://jsmh.umin.jp/journal/53-1/146.pdf</v>
      </c>
      <c r="H5110" s="43"/>
    </row>
    <row r="5111" spans="1:8" ht="30" customHeight="1" x14ac:dyDescent="0.15">
      <c r="A5111" s="16" t="s">
        <v>1855</v>
      </c>
      <c r="B5111" s="17" t="s">
        <v>8586</v>
      </c>
      <c r="C5111" s="17" t="s">
        <v>7891</v>
      </c>
      <c r="D5111" s="25" t="s">
        <v>8504</v>
      </c>
      <c r="E5111" s="19" t="s">
        <v>8505</v>
      </c>
      <c r="F5111" s="19" t="s">
        <v>2240</v>
      </c>
      <c r="G5111" s="9" t="str">
        <f>HYPERLINK("http://jsmh.umin.jp/journal/53-1/148.pdf")</f>
        <v>http://jsmh.umin.jp/journal/53-1/148.pdf</v>
      </c>
      <c r="H5111" s="43"/>
    </row>
    <row r="5112" spans="1:8" ht="30" customHeight="1" x14ac:dyDescent="0.15">
      <c r="A5112" s="16" t="s">
        <v>1855</v>
      </c>
      <c r="B5112" s="17" t="s">
        <v>8587</v>
      </c>
      <c r="C5112" s="17" t="s">
        <v>8588</v>
      </c>
      <c r="D5112" s="25" t="s">
        <v>8504</v>
      </c>
      <c r="E5112" s="19" t="s">
        <v>8505</v>
      </c>
      <c r="F5112" s="19" t="s">
        <v>7763</v>
      </c>
      <c r="G5112" s="9" t="str">
        <f>HYPERLINK("http://jsmh.umin.jp/journal/53-1/150.pdf")</f>
        <v>http://jsmh.umin.jp/journal/53-1/150.pdf</v>
      </c>
      <c r="H5112" s="43"/>
    </row>
    <row r="5113" spans="1:8" ht="30" customHeight="1" x14ac:dyDescent="0.15">
      <c r="A5113" s="16" t="s">
        <v>1855</v>
      </c>
      <c r="B5113" s="17" t="s">
        <v>8589</v>
      </c>
      <c r="C5113" s="17" t="s">
        <v>8590</v>
      </c>
      <c r="D5113" s="25" t="s">
        <v>8504</v>
      </c>
      <c r="E5113" s="19" t="s">
        <v>8505</v>
      </c>
      <c r="F5113" s="19" t="s">
        <v>2537</v>
      </c>
      <c r="G5113" s="9" t="str">
        <f>HYPERLINK("http://jsmh.umin.jp/journal/53-1/152.pdf")</f>
        <v>http://jsmh.umin.jp/journal/53-1/152.pdf</v>
      </c>
      <c r="H5113" s="43"/>
    </row>
    <row r="5114" spans="1:8" ht="30" customHeight="1" x14ac:dyDescent="0.15">
      <c r="A5114" s="16" t="s">
        <v>1855</v>
      </c>
      <c r="B5114" s="17" t="s">
        <v>10408</v>
      </c>
      <c r="C5114" s="17" t="s">
        <v>8591</v>
      </c>
      <c r="D5114" s="25" t="s">
        <v>8504</v>
      </c>
      <c r="E5114" s="19" t="s">
        <v>8505</v>
      </c>
      <c r="F5114" s="19" t="s">
        <v>3648</v>
      </c>
      <c r="G5114" s="9" t="str">
        <f>HYPERLINK("http://jsmh.umin.jp/journal/53-1/154.pdf")</f>
        <v>http://jsmh.umin.jp/journal/53-1/154.pdf</v>
      </c>
      <c r="H5114" s="43"/>
    </row>
    <row r="5115" spans="1:8" ht="30" customHeight="1" x14ac:dyDescent="0.15">
      <c r="A5115" s="16" t="s">
        <v>1855</v>
      </c>
      <c r="B5115" s="17" t="s">
        <v>8592</v>
      </c>
      <c r="C5115" s="17" t="s">
        <v>8593</v>
      </c>
      <c r="D5115" s="25" t="s">
        <v>8504</v>
      </c>
      <c r="E5115" s="19" t="s">
        <v>8505</v>
      </c>
      <c r="F5115" s="19" t="s">
        <v>1691</v>
      </c>
      <c r="G5115" s="9" t="str">
        <f>HYPERLINK("http://jsmh.umin.jp/journal/53-1/156.pdf")</f>
        <v>http://jsmh.umin.jp/journal/53-1/156.pdf</v>
      </c>
      <c r="H5115" s="43"/>
    </row>
    <row r="5116" spans="1:8" ht="30" customHeight="1" x14ac:dyDescent="0.15">
      <c r="A5116" s="16" t="s">
        <v>1855</v>
      </c>
      <c r="B5116" s="17" t="s">
        <v>8594</v>
      </c>
      <c r="C5116" s="17" t="s">
        <v>7971</v>
      </c>
      <c r="D5116" s="25" t="s">
        <v>8504</v>
      </c>
      <c r="E5116" s="19" t="s">
        <v>8505</v>
      </c>
      <c r="F5116" s="19" t="s">
        <v>4814</v>
      </c>
      <c r="G5116" s="9" t="str">
        <f>HYPERLINK("http://jsmh.umin.jp/journal/53-1/158.pdf")</f>
        <v>http://jsmh.umin.jp/journal/53-1/158.pdf</v>
      </c>
      <c r="H5116" s="43"/>
    </row>
    <row r="5117" spans="1:8" ht="30" customHeight="1" x14ac:dyDescent="0.15">
      <c r="A5117" s="16" t="s">
        <v>1855</v>
      </c>
      <c r="B5117" s="17" t="s">
        <v>8595</v>
      </c>
      <c r="C5117" s="17" t="s">
        <v>7320</v>
      </c>
      <c r="D5117" s="25" t="s">
        <v>8504</v>
      </c>
      <c r="E5117" s="19" t="s">
        <v>8505</v>
      </c>
      <c r="F5117" s="19" t="s">
        <v>2546</v>
      </c>
      <c r="G5117" s="9" t="str">
        <f>HYPERLINK("http://jsmh.umin.jp/journal/53-1/160.pdf")</f>
        <v>http://jsmh.umin.jp/journal/53-1/160.pdf</v>
      </c>
      <c r="H5117" s="43"/>
    </row>
    <row r="5118" spans="1:8" ht="30" customHeight="1" x14ac:dyDescent="0.15">
      <c r="A5118" s="16" t="s">
        <v>1855</v>
      </c>
      <c r="B5118" s="17" t="s">
        <v>8596</v>
      </c>
      <c r="C5118" s="17" t="s">
        <v>1929</v>
      </c>
      <c r="D5118" s="25" t="s">
        <v>8504</v>
      </c>
      <c r="E5118" s="19" t="s">
        <v>8505</v>
      </c>
      <c r="F5118" s="19" t="s">
        <v>3658</v>
      </c>
      <c r="G5118" s="9" t="str">
        <f>HYPERLINK("http://jsmh.umin.jp/journal/53-1/162.pdf")</f>
        <v>http://jsmh.umin.jp/journal/53-1/162.pdf</v>
      </c>
      <c r="H5118" s="43"/>
    </row>
    <row r="5119" spans="1:8" ht="30" customHeight="1" x14ac:dyDescent="0.15">
      <c r="A5119" s="16" t="s">
        <v>1855</v>
      </c>
      <c r="B5119" s="17" t="s">
        <v>8597</v>
      </c>
      <c r="C5119" s="17" t="s">
        <v>7420</v>
      </c>
      <c r="D5119" s="25" t="s">
        <v>8504</v>
      </c>
      <c r="E5119" s="19" t="s">
        <v>8505</v>
      </c>
      <c r="F5119" s="19" t="s">
        <v>2041</v>
      </c>
      <c r="G5119" s="9" t="str">
        <f>HYPERLINK("http://jsmh.umin.jp/journal/53-1/164.pdf")</f>
        <v>http://jsmh.umin.jp/journal/53-1/164.pdf</v>
      </c>
      <c r="H5119" s="43"/>
    </row>
    <row r="5120" spans="1:8" ht="30" customHeight="1" x14ac:dyDescent="0.15">
      <c r="A5120" s="16" t="s">
        <v>1855</v>
      </c>
      <c r="B5120" s="17" t="s">
        <v>8598</v>
      </c>
      <c r="C5120" s="17" t="s">
        <v>8599</v>
      </c>
      <c r="D5120" s="25" t="s">
        <v>8504</v>
      </c>
      <c r="E5120" s="19" t="s">
        <v>8505</v>
      </c>
      <c r="F5120" s="19" t="s">
        <v>2776</v>
      </c>
      <c r="G5120" s="9" t="str">
        <f>HYPERLINK("http://jsmh.umin.jp/journal/53-1/166.pdf")</f>
        <v>http://jsmh.umin.jp/journal/53-1/166.pdf</v>
      </c>
      <c r="H5120" s="43"/>
    </row>
    <row r="5121" spans="1:8" ht="30" customHeight="1" x14ac:dyDescent="0.15">
      <c r="A5121" s="16" t="s">
        <v>1855</v>
      </c>
      <c r="B5121" s="17" t="s">
        <v>8600</v>
      </c>
      <c r="C5121" s="17" t="s">
        <v>8601</v>
      </c>
      <c r="D5121" s="25" t="s">
        <v>8504</v>
      </c>
      <c r="E5121" s="19" t="s">
        <v>8505</v>
      </c>
      <c r="F5121" s="19" t="s">
        <v>6221</v>
      </c>
      <c r="G5121" s="9" t="str">
        <f>HYPERLINK("http://jsmh.umin.jp/journal/53-1/168.pdf")</f>
        <v>http://jsmh.umin.jp/journal/53-1/168.pdf</v>
      </c>
      <c r="H5121" s="43"/>
    </row>
    <row r="5122" spans="1:8" ht="30" customHeight="1" x14ac:dyDescent="0.15">
      <c r="A5122" s="16" t="s">
        <v>1855</v>
      </c>
      <c r="B5122" s="17" t="s">
        <v>8602</v>
      </c>
      <c r="C5122" s="17" t="s">
        <v>8603</v>
      </c>
      <c r="D5122" s="25" t="s">
        <v>8504</v>
      </c>
      <c r="E5122" s="19" t="s">
        <v>8505</v>
      </c>
      <c r="F5122" s="19" t="s">
        <v>4826</v>
      </c>
      <c r="G5122" s="9" t="str">
        <f>HYPERLINK("http://jsmh.umin.jp/journal/53-1/170.pdf")</f>
        <v>http://jsmh.umin.jp/journal/53-1/170.pdf</v>
      </c>
      <c r="H5122" s="43"/>
    </row>
    <row r="5123" spans="1:8" ht="30" customHeight="1" x14ac:dyDescent="0.15">
      <c r="A5123" s="16" t="s">
        <v>1855</v>
      </c>
      <c r="B5123" s="17" t="s">
        <v>8604</v>
      </c>
      <c r="C5123" s="17" t="s">
        <v>4085</v>
      </c>
      <c r="D5123" s="25" t="s">
        <v>8504</v>
      </c>
      <c r="E5123" s="19" t="s">
        <v>8505</v>
      </c>
      <c r="F5123" s="19" t="s">
        <v>6223</v>
      </c>
      <c r="G5123" s="9" t="str">
        <f>HYPERLINK("http://jsmh.umin.jp/journal/53-1/172.pdf")</f>
        <v>http://jsmh.umin.jp/journal/53-1/172.pdf</v>
      </c>
      <c r="H5123" s="43"/>
    </row>
    <row r="5124" spans="1:8" ht="30" customHeight="1" x14ac:dyDescent="0.15">
      <c r="A5124" s="16" t="s">
        <v>1855</v>
      </c>
      <c r="B5124" s="17" t="s">
        <v>8605</v>
      </c>
      <c r="C5124" s="17" t="s">
        <v>1932</v>
      </c>
      <c r="D5124" s="25" t="s">
        <v>8504</v>
      </c>
      <c r="E5124" s="19" t="s">
        <v>8505</v>
      </c>
      <c r="F5124" s="19" t="s">
        <v>2922</v>
      </c>
      <c r="G5124" s="9" t="str">
        <f>HYPERLINK("http://jsmh.umin.jp/journal/53-1/174.pdf")</f>
        <v>http://jsmh.umin.jp/journal/53-1/174.pdf</v>
      </c>
      <c r="H5124" s="43"/>
    </row>
    <row r="5125" spans="1:8" ht="30" customHeight="1" x14ac:dyDescent="0.15">
      <c r="A5125" s="16" t="s">
        <v>1855</v>
      </c>
      <c r="B5125" s="17" t="s">
        <v>8606</v>
      </c>
      <c r="C5125" s="17" t="s">
        <v>5625</v>
      </c>
      <c r="D5125" s="25" t="s">
        <v>8504</v>
      </c>
      <c r="E5125" s="19" t="s">
        <v>8505</v>
      </c>
      <c r="F5125" s="19" t="s">
        <v>74</v>
      </c>
      <c r="G5125" s="9" t="str">
        <f>HYPERLINK("http://jsmh.umin.jp/journal/53-1/176.pdf")</f>
        <v>http://jsmh.umin.jp/journal/53-1/176.pdf</v>
      </c>
      <c r="H5125" s="43"/>
    </row>
    <row r="5126" spans="1:8" ht="30" customHeight="1" x14ac:dyDescent="0.15">
      <c r="A5126" s="16" t="s">
        <v>1855</v>
      </c>
      <c r="B5126" s="17" t="s">
        <v>8607</v>
      </c>
      <c r="C5126" s="17" t="s">
        <v>4585</v>
      </c>
      <c r="D5126" s="25" t="s">
        <v>8504</v>
      </c>
      <c r="E5126" s="19" t="s">
        <v>8505</v>
      </c>
      <c r="F5126" s="19" t="s">
        <v>3667</v>
      </c>
      <c r="G5126" s="9" t="str">
        <f>HYPERLINK("http://jsmh.umin.jp/journal/53-1/178.pdf")</f>
        <v>http://jsmh.umin.jp/journal/53-1/178.pdf</v>
      </c>
      <c r="H5126" s="43"/>
    </row>
    <row r="5127" spans="1:8" ht="30" customHeight="1" x14ac:dyDescent="0.15">
      <c r="A5127" s="16" t="s">
        <v>1855</v>
      </c>
      <c r="B5127" s="17" t="s">
        <v>10409</v>
      </c>
      <c r="C5127" s="17" t="s">
        <v>8608</v>
      </c>
      <c r="D5127" s="25" t="s">
        <v>8504</v>
      </c>
      <c r="E5127" s="19" t="s">
        <v>8505</v>
      </c>
      <c r="F5127" s="19" t="s">
        <v>8609</v>
      </c>
      <c r="G5127" s="9" t="str">
        <f>HYPERLINK("http://jsmh.umin.jp/journal/53-1/183.pdf")</f>
        <v>http://jsmh.umin.jp/journal/53-1/183.pdf</v>
      </c>
      <c r="H5127" s="43"/>
    </row>
    <row r="5128" spans="1:8" ht="30" customHeight="1" x14ac:dyDescent="0.15">
      <c r="A5128" s="16" t="s">
        <v>17</v>
      </c>
      <c r="B5128" s="17" t="s">
        <v>8610</v>
      </c>
      <c r="C5128" s="17" t="s">
        <v>790</v>
      </c>
      <c r="D5128" s="25" t="s">
        <v>8504</v>
      </c>
      <c r="E5128" s="19" t="s">
        <v>8611</v>
      </c>
      <c r="F5128" s="19" t="s">
        <v>8612</v>
      </c>
      <c r="G5128" s="9" t="str">
        <f>HYPERLINK("http://jsmh.umin.jp/journal/53-2/191.pdf")</f>
        <v>http://jsmh.umin.jp/journal/53-2/191.pdf</v>
      </c>
      <c r="H5128" s="43"/>
    </row>
    <row r="5129" spans="1:8" ht="30" customHeight="1" x14ac:dyDescent="0.15">
      <c r="A5129" s="16" t="s">
        <v>17</v>
      </c>
      <c r="B5129" s="17" t="s">
        <v>8613</v>
      </c>
      <c r="C5129" s="17" t="s">
        <v>8344</v>
      </c>
      <c r="D5129" s="25" t="s">
        <v>8504</v>
      </c>
      <c r="E5129" s="19" t="s">
        <v>8611</v>
      </c>
      <c r="F5129" s="19" t="s">
        <v>8614</v>
      </c>
      <c r="G5129" s="9" t="str">
        <f>HYPERLINK("http://jsmh.umin.jp/journal/53-2/229.pdf")</f>
        <v>http://jsmh.umin.jp/journal/53-2/229.pdf</v>
      </c>
      <c r="H5129" s="43"/>
    </row>
    <row r="5130" spans="1:8" ht="30" customHeight="1" x14ac:dyDescent="0.15">
      <c r="A5130" s="16" t="s">
        <v>17</v>
      </c>
      <c r="B5130" s="17" t="s">
        <v>8615</v>
      </c>
      <c r="C5130" s="17" t="s">
        <v>2465</v>
      </c>
      <c r="D5130" s="25" t="s">
        <v>8504</v>
      </c>
      <c r="E5130" s="19" t="s">
        <v>8611</v>
      </c>
      <c r="F5130" s="19" t="s">
        <v>8616</v>
      </c>
      <c r="G5130" s="9" t="str">
        <f>HYPERLINK("http://jsmh.umin.jp/journal/53-2/249.pdf")</f>
        <v>http://jsmh.umin.jp/journal/53-2/249.pdf</v>
      </c>
      <c r="H5130" s="43"/>
    </row>
    <row r="5131" spans="1:8" ht="30" customHeight="1" x14ac:dyDescent="0.15">
      <c r="A5131" s="16" t="s">
        <v>17</v>
      </c>
      <c r="B5131" s="17" t="s">
        <v>8617</v>
      </c>
      <c r="C5131" s="17" t="s">
        <v>8618</v>
      </c>
      <c r="D5131" s="25" t="s">
        <v>8504</v>
      </c>
      <c r="E5131" s="19" t="s">
        <v>8611</v>
      </c>
      <c r="F5131" s="19" t="s">
        <v>8619</v>
      </c>
      <c r="G5131" s="9" t="str">
        <f>HYPERLINK("http://jsmh.umin.jp/journal/53-2/271.pdf")</f>
        <v>http://jsmh.umin.jp/journal/53-2/271.pdf</v>
      </c>
      <c r="H5131" s="43"/>
    </row>
    <row r="5132" spans="1:8" ht="30" customHeight="1" x14ac:dyDescent="0.15">
      <c r="A5132" s="16" t="s">
        <v>7637</v>
      </c>
      <c r="B5132" s="17" t="s">
        <v>8620</v>
      </c>
      <c r="C5132" s="17" t="s">
        <v>7843</v>
      </c>
      <c r="D5132" s="25" t="s">
        <v>8504</v>
      </c>
      <c r="E5132" s="19" t="s">
        <v>8611</v>
      </c>
      <c r="F5132" s="19" t="s">
        <v>8621</v>
      </c>
      <c r="G5132" s="9" t="str">
        <f>HYPERLINK("http://jsmh.umin.jp/journal/53-2/285.pdf")</f>
        <v>http://jsmh.umin.jp/journal/53-2/285.pdf</v>
      </c>
      <c r="H5132" s="43"/>
    </row>
    <row r="5133" spans="1:8" ht="30" customHeight="1" x14ac:dyDescent="0.15">
      <c r="A5133" s="16" t="s">
        <v>7637</v>
      </c>
      <c r="B5133" s="17" t="s">
        <v>8622</v>
      </c>
      <c r="C5133" s="17" t="s">
        <v>3644</v>
      </c>
      <c r="D5133" s="25" t="s">
        <v>8504</v>
      </c>
      <c r="E5133" s="19" t="s">
        <v>8611</v>
      </c>
      <c r="F5133" s="19" t="s">
        <v>8623</v>
      </c>
      <c r="G5133" s="9" t="str">
        <f>HYPERLINK("http://jsmh.umin.jp/journal/53-2/303.pdf")</f>
        <v>http://jsmh.umin.jp/journal/53-2/303.pdf</v>
      </c>
      <c r="H5133" s="43"/>
    </row>
    <row r="5134" spans="1:8" ht="30" customHeight="1" x14ac:dyDescent="0.15">
      <c r="A5134" s="16" t="s">
        <v>692</v>
      </c>
      <c r="B5134" s="17" t="s">
        <v>8624</v>
      </c>
      <c r="C5134" s="17" t="s">
        <v>4870</v>
      </c>
      <c r="D5134" s="25" t="s">
        <v>8504</v>
      </c>
      <c r="E5134" s="19" t="s">
        <v>8611</v>
      </c>
      <c r="F5134" s="19" t="s">
        <v>8625</v>
      </c>
      <c r="G5134" s="9" t="str">
        <f>HYPERLINK("http://jsmh.umin.jp/journal/53-2/311.pdf")</f>
        <v>http://jsmh.umin.jp/journal/53-2/311.pdf</v>
      </c>
      <c r="H5134" s="43"/>
    </row>
    <row r="5135" spans="1:8" ht="30" customHeight="1" x14ac:dyDescent="0.15">
      <c r="A5135" s="16" t="s">
        <v>692</v>
      </c>
      <c r="B5135" s="17" t="s">
        <v>8626</v>
      </c>
      <c r="C5135" s="17" t="s">
        <v>6139</v>
      </c>
      <c r="D5135" s="25" t="s">
        <v>8504</v>
      </c>
      <c r="E5135" s="19" t="s">
        <v>8611</v>
      </c>
      <c r="F5135" s="19" t="s">
        <v>8627</v>
      </c>
      <c r="G5135" s="9" t="str">
        <f>HYPERLINK("http://jsmh.umin.jp/journal/53-2/317.pdf")</f>
        <v>http://jsmh.umin.jp/journal/53-2/317.pdf</v>
      </c>
      <c r="H5135" s="43"/>
    </row>
    <row r="5136" spans="1:8" ht="30" customHeight="1" x14ac:dyDescent="0.15">
      <c r="A5136" s="16" t="s">
        <v>3223</v>
      </c>
      <c r="B5136" s="17" t="s">
        <v>8628</v>
      </c>
      <c r="C5136" s="17" t="s">
        <v>3655</v>
      </c>
      <c r="D5136" s="25" t="s">
        <v>8504</v>
      </c>
      <c r="E5136" s="19" t="s">
        <v>8611</v>
      </c>
      <c r="F5136" s="19" t="s">
        <v>8629</v>
      </c>
      <c r="G5136" s="9" t="str">
        <f>HYPERLINK("http://jsmh.umin.jp/journal/53-2/322.pdf")</f>
        <v>http://jsmh.umin.jp/journal/53-2/322.pdf</v>
      </c>
      <c r="H5136" s="43"/>
    </row>
    <row r="5137" spans="1:8" ht="30" customHeight="1" x14ac:dyDescent="0.15">
      <c r="A5137" s="16" t="s">
        <v>558</v>
      </c>
      <c r="B5137" s="17" t="s">
        <v>10410</v>
      </c>
      <c r="C5137" s="17" t="s">
        <v>4085</v>
      </c>
      <c r="D5137" s="25" t="s">
        <v>8504</v>
      </c>
      <c r="E5137" s="19" t="s">
        <v>8611</v>
      </c>
      <c r="F5137" s="19" t="s">
        <v>3887</v>
      </c>
      <c r="G5137" s="9" t="str">
        <f>HYPERLINK("http://jsmh.umin.jp/journal/53-2/326.pdf")</f>
        <v>http://jsmh.umin.jp/journal/53-2/326.pdf</v>
      </c>
      <c r="H5137" s="43"/>
    </row>
    <row r="5138" spans="1:8" ht="30" customHeight="1" x14ac:dyDescent="0.15">
      <c r="A5138" s="16" t="s">
        <v>558</v>
      </c>
      <c r="B5138" s="17" t="s">
        <v>8630</v>
      </c>
      <c r="C5138" s="17"/>
      <c r="D5138" s="25" t="s">
        <v>8504</v>
      </c>
      <c r="E5138" s="19" t="s">
        <v>8611</v>
      </c>
      <c r="F5138" s="19" t="s">
        <v>1603</v>
      </c>
      <c r="G5138" s="9" t="str">
        <f>HYPERLINK("http://jsmh.umin.jp/journal/53-2/327.pdf")</f>
        <v>http://jsmh.umin.jp/journal/53-2/327.pdf</v>
      </c>
      <c r="H5138" s="43"/>
    </row>
    <row r="5139" spans="1:8" ht="30" customHeight="1" x14ac:dyDescent="0.15">
      <c r="A5139" s="16" t="s">
        <v>3720</v>
      </c>
      <c r="B5139" s="17" t="s">
        <v>8631</v>
      </c>
      <c r="C5139" s="17" t="s">
        <v>8632</v>
      </c>
      <c r="D5139" s="25" t="s">
        <v>8504</v>
      </c>
      <c r="E5139" s="19" t="s">
        <v>8611</v>
      </c>
      <c r="F5139" s="19" t="s">
        <v>3891</v>
      </c>
      <c r="G5139" s="9" t="str">
        <f>HYPERLINK("http://jsmh.umin.jp/journal/53-2/328.pdf")</f>
        <v>http://jsmh.umin.jp/journal/53-2/328.pdf</v>
      </c>
      <c r="H5139" s="43"/>
    </row>
    <row r="5140" spans="1:8" ht="30" customHeight="1" x14ac:dyDescent="0.15">
      <c r="A5140" s="16" t="s">
        <v>3720</v>
      </c>
      <c r="B5140" s="17" t="s">
        <v>8633</v>
      </c>
      <c r="C5140" s="17" t="s">
        <v>8634</v>
      </c>
      <c r="D5140" s="25" t="s">
        <v>8504</v>
      </c>
      <c r="E5140" s="19" t="s">
        <v>8611</v>
      </c>
      <c r="F5140" s="19" t="s">
        <v>8019</v>
      </c>
      <c r="G5140" s="9" t="str">
        <f>HYPERLINK("http://jsmh.umin.jp/journal/53-2/329.pdf")</f>
        <v>http://jsmh.umin.jp/journal/53-2/329.pdf</v>
      </c>
      <c r="H5140" s="43"/>
    </row>
    <row r="5141" spans="1:8" ht="30" customHeight="1" x14ac:dyDescent="0.15">
      <c r="A5141" s="16" t="s">
        <v>3720</v>
      </c>
      <c r="B5141" s="17" t="s">
        <v>8635</v>
      </c>
      <c r="C5141" s="17" t="s">
        <v>3167</v>
      </c>
      <c r="D5141" s="25" t="s">
        <v>8504</v>
      </c>
      <c r="E5141" s="19" t="s">
        <v>8611</v>
      </c>
      <c r="F5141" s="19" t="s">
        <v>1609</v>
      </c>
      <c r="G5141" s="9" t="str">
        <f>HYPERLINK("http://jsmh.umin.jp/journal/53-2/331.pdf")</f>
        <v>http://jsmh.umin.jp/journal/53-2/331.pdf</v>
      </c>
      <c r="H5141" s="43"/>
    </row>
    <row r="5142" spans="1:8" ht="30" customHeight="1" x14ac:dyDescent="0.15">
      <c r="A5142" s="16" t="s">
        <v>3720</v>
      </c>
      <c r="B5142" s="17" t="s">
        <v>8636</v>
      </c>
      <c r="C5142" s="17" t="s">
        <v>8637</v>
      </c>
      <c r="D5142" s="25" t="s">
        <v>8504</v>
      </c>
      <c r="E5142" s="19" t="s">
        <v>8611</v>
      </c>
      <c r="F5142" s="19" t="s">
        <v>1619</v>
      </c>
      <c r="G5142" s="9" t="str">
        <f>HYPERLINK("http://jsmh.umin.jp/journal/53-2/333.pdf")</f>
        <v>http://jsmh.umin.jp/journal/53-2/333.pdf</v>
      </c>
      <c r="H5142" s="43"/>
    </row>
    <row r="5143" spans="1:8" ht="30" customHeight="1" x14ac:dyDescent="0.15">
      <c r="A5143" s="16" t="s">
        <v>2990</v>
      </c>
      <c r="B5143" s="17" t="s">
        <v>8638</v>
      </c>
      <c r="C5143" s="17" t="s">
        <v>4039</v>
      </c>
      <c r="D5143" s="25" t="s">
        <v>8504</v>
      </c>
      <c r="E5143" s="19" t="s">
        <v>8611</v>
      </c>
      <c r="F5143" s="19" t="s">
        <v>8639</v>
      </c>
      <c r="G5143" s="9" t="str">
        <f>HYPERLINK("http://jsmh.umin.jp/journal/53-2/335.pdf")</f>
        <v>http://jsmh.umin.jp/journal/53-2/335.pdf</v>
      </c>
      <c r="H5143" s="43"/>
    </row>
    <row r="5144" spans="1:8" ht="30" customHeight="1" x14ac:dyDescent="0.15">
      <c r="A5144" s="16" t="s">
        <v>2990</v>
      </c>
      <c r="B5144" s="17" t="s">
        <v>8640</v>
      </c>
      <c r="C5144" s="17" t="s">
        <v>8059</v>
      </c>
      <c r="D5144" s="25" t="s">
        <v>8504</v>
      </c>
      <c r="E5144" s="19" t="s">
        <v>8611</v>
      </c>
      <c r="F5144" s="19" t="s">
        <v>4891</v>
      </c>
      <c r="G5144" s="9" t="str">
        <f>HYPERLINK("http://jsmh.umin.jp/journal/53-2/338.pdf")</f>
        <v>http://jsmh.umin.jp/journal/53-2/338.pdf</v>
      </c>
      <c r="H5144" s="43"/>
    </row>
    <row r="5145" spans="1:8" ht="30" customHeight="1" x14ac:dyDescent="0.15">
      <c r="A5145" s="16" t="s">
        <v>2990</v>
      </c>
      <c r="B5145" s="17" t="s">
        <v>8641</v>
      </c>
      <c r="C5145" s="17" t="s">
        <v>4085</v>
      </c>
      <c r="D5145" s="25" t="s">
        <v>8504</v>
      </c>
      <c r="E5145" s="19" t="s">
        <v>8611</v>
      </c>
      <c r="F5145" s="19" t="s">
        <v>4893</v>
      </c>
      <c r="G5145" s="9" t="str">
        <f>HYPERLINK("http://jsmh.umin.jp/journal/53-2/339.pdf")</f>
        <v>http://jsmh.umin.jp/journal/53-2/339.pdf</v>
      </c>
      <c r="H5145" s="43"/>
    </row>
    <row r="5146" spans="1:8" ht="30" customHeight="1" x14ac:dyDescent="0.15">
      <c r="A5146" s="16" t="s">
        <v>2990</v>
      </c>
      <c r="B5146" s="17" t="s">
        <v>8642</v>
      </c>
      <c r="C5146" s="17" t="s">
        <v>6252</v>
      </c>
      <c r="D5146" s="25" t="s">
        <v>8504</v>
      </c>
      <c r="E5146" s="19" t="s">
        <v>8611</v>
      </c>
      <c r="F5146" s="19" t="s">
        <v>3150</v>
      </c>
      <c r="G5146" s="9" t="str">
        <f>HYPERLINK("http://jsmh.umin.jp/journal/53-2/340.pdf")</f>
        <v>http://jsmh.umin.jp/journal/53-2/340.pdf</v>
      </c>
      <c r="H5146" s="43"/>
    </row>
    <row r="5147" spans="1:8" ht="30" customHeight="1" x14ac:dyDescent="0.15">
      <c r="A5147" s="16" t="s">
        <v>2990</v>
      </c>
      <c r="B5147" s="17" t="s">
        <v>8643</v>
      </c>
      <c r="C5147" s="17" t="s">
        <v>2937</v>
      </c>
      <c r="D5147" s="25" t="s">
        <v>8504</v>
      </c>
      <c r="E5147" s="19" t="s">
        <v>8611</v>
      </c>
      <c r="F5147" s="19" t="s">
        <v>1797</v>
      </c>
      <c r="G5147" s="9" t="str">
        <f>HYPERLINK("http://jsmh.umin.jp/journal/53-2/342.pdf")</f>
        <v>http://jsmh.umin.jp/journal/53-2/342.pdf</v>
      </c>
      <c r="H5147" s="43"/>
    </row>
    <row r="5148" spans="1:8" ht="30" customHeight="1" x14ac:dyDescent="0.15">
      <c r="A5148" s="16" t="s">
        <v>2990</v>
      </c>
      <c r="B5148" s="17" t="s">
        <v>8644</v>
      </c>
      <c r="C5148" s="17" t="s">
        <v>4085</v>
      </c>
      <c r="D5148" s="25" t="s">
        <v>8504</v>
      </c>
      <c r="E5148" s="19" t="s">
        <v>8611</v>
      </c>
      <c r="F5148" s="19" t="s">
        <v>8645</v>
      </c>
      <c r="G5148" s="9" t="str">
        <f>HYPERLINK("http://jsmh.umin.jp/journal/53-2/346.pdf")</f>
        <v>http://jsmh.umin.jp/journal/53-2/346.pdf</v>
      </c>
      <c r="H5148" s="43"/>
    </row>
    <row r="5149" spans="1:8" ht="30" customHeight="1" x14ac:dyDescent="0.15">
      <c r="A5149" s="16" t="s">
        <v>17</v>
      </c>
      <c r="B5149" s="17" t="s">
        <v>8646</v>
      </c>
      <c r="C5149" s="17" t="s">
        <v>10391</v>
      </c>
      <c r="D5149" s="25" t="s">
        <v>8504</v>
      </c>
      <c r="E5149" s="19" t="s">
        <v>8647</v>
      </c>
      <c r="F5149" s="19" t="s">
        <v>10602</v>
      </c>
      <c r="G5149" s="27" t="str">
        <f>HYPERLINK("http://jsmh.umin.jp/journal/53-3/353-421.pdf")</f>
        <v>http://jsmh.umin.jp/journal/53-3/353-421.pdf</v>
      </c>
      <c r="H5149" s="43"/>
    </row>
    <row r="5150" spans="1:8" ht="30" customHeight="1" x14ac:dyDescent="0.15">
      <c r="A5150" s="16" t="s">
        <v>17</v>
      </c>
      <c r="B5150" s="17" t="s">
        <v>8648</v>
      </c>
      <c r="C5150" s="17" t="s">
        <v>790</v>
      </c>
      <c r="D5150" s="25" t="s">
        <v>8504</v>
      </c>
      <c r="E5150" s="19" t="s">
        <v>8647</v>
      </c>
      <c r="F5150" s="19" t="s">
        <v>8649</v>
      </c>
      <c r="G5150" s="27" t="str">
        <f>HYPERLINK("http://jsmh.umin.jp/journal/53-3/423-440.pdf")</f>
        <v>http://jsmh.umin.jp/journal/53-3/423-440.pdf</v>
      </c>
      <c r="H5150" s="43"/>
    </row>
    <row r="5151" spans="1:8" ht="30" customHeight="1" x14ac:dyDescent="0.15">
      <c r="A5151" s="16" t="s">
        <v>692</v>
      </c>
      <c r="B5151" s="17" t="s">
        <v>8650</v>
      </c>
      <c r="C5151" s="17" t="s">
        <v>4870</v>
      </c>
      <c r="D5151" s="25" t="s">
        <v>8504</v>
      </c>
      <c r="E5151" s="19" t="s">
        <v>8647</v>
      </c>
      <c r="F5151" s="19" t="s">
        <v>8651</v>
      </c>
      <c r="G5151" s="27" t="str">
        <f>HYPERLINK("http://jsmh.umin.jp/journal/53-3/441-454.pdf")</f>
        <v>http://jsmh.umin.jp/journal/53-3/441-454.pdf</v>
      </c>
      <c r="H5151" s="43"/>
    </row>
    <row r="5152" spans="1:8" ht="30" customHeight="1" x14ac:dyDescent="0.15">
      <c r="A5152" s="16" t="s">
        <v>558</v>
      </c>
      <c r="B5152" s="17" t="s">
        <v>8652</v>
      </c>
      <c r="C5152" s="17" t="s">
        <v>4039</v>
      </c>
      <c r="D5152" s="25" t="s">
        <v>8504</v>
      </c>
      <c r="E5152" s="19" t="s">
        <v>8647</v>
      </c>
      <c r="F5152" s="19" t="s">
        <v>8653</v>
      </c>
      <c r="G5152" s="9" t="str">
        <f>HYPERLINK("http://jsmh.umin.jp/journal/53-3/455.pdf")</f>
        <v>http://jsmh.umin.jp/journal/53-3/455.pdf</v>
      </c>
      <c r="H5152" s="43"/>
    </row>
    <row r="5153" spans="1:8" ht="30" customHeight="1" x14ac:dyDescent="0.15">
      <c r="A5153" s="16" t="s">
        <v>558</v>
      </c>
      <c r="B5153" s="17" t="s">
        <v>8654</v>
      </c>
      <c r="C5153" s="17"/>
      <c r="D5153" s="25" t="s">
        <v>8504</v>
      </c>
      <c r="E5153" s="19" t="s">
        <v>8647</v>
      </c>
      <c r="F5153" s="19" t="s">
        <v>8653</v>
      </c>
      <c r="G5153" s="9" t="str">
        <f>HYPERLINK("http://jsmh.umin.jp/journal/53-3/455.pdf")</f>
        <v>http://jsmh.umin.jp/journal/53-3/455.pdf</v>
      </c>
      <c r="H5153" s="43"/>
    </row>
    <row r="5154" spans="1:8" ht="30" customHeight="1" x14ac:dyDescent="0.15">
      <c r="A5154" s="16" t="s">
        <v>3720</v>
      </c>
      <c r="B5154" s="17" t="s">
        <v>8655</v>
      </c>
      <c r="C5154" s="17" t="s">
        <v>3482</v>
      </c>
      <c r="D5154" s="25" t="s">
        <v>8504</v>
      </c>
      <c r="E5154" s="19" t="s">
        <v>8647</v>
      </c>
      <c r="F5154" s="19" t="s">
        <v>8656</v>
      </c>
      <c r="G5154" s="27" t="str">
        <f>HYPERLINK("http://jsmh.umin.jp/journal/53-3/456-458.pdf")</f>
        <v>http://jsmh.umin.jp/journal/53-3/456-458.pdf</v>
      </c>
      <c r="H5154" s="43"/>
    </row>
    <row r="5155" spans="1:8" ht="30" customHeight="1" x14ac:dyDescent="0.15">
      <c r="A5155" s="16" t="s">
        <v>2990</v>
      </c>
      <c r="B5155" s="17" t="s">
        <v>10411</v>
      </c>
      <c r="C5155" s="17" t="s">
        <v>6078</v>
      </c>
      <c r="D5155" s="25" t="s">
        <v>8504</v>
      </c>
      <c r="E5155" s="19" t="s">
        <v>8647</v>
      </c>
      <c r="F5155" s="19" t="s">
        <v>4940</v>
      </c>
      <c r="G5155" s="27" t="str">
        <f>HYPERLINK("http://jsmh.umin.jp/journal/53-3/459.pdf")</f>
        <v>http://jsmh.umin.jp/journal/53-3/459.pdf</v>
      </c>
      <c r="H5155" s="43"/>
    </row>
    <row r="5156" spans="1:8" ht="30" customHeight="1" x14ac:dyDescent="0.15">
      <c r="A5156" s="16" t="s">
        <v>2990</v>
      </c>
      <c r="B5156" s="17" t="s">
        <v>8657</v>
      </c>
      <c r="C5156" s="17" t="s">
        <v>7154</v>
      </c>
      <c r="D5156" s="25" t="s">
        <v>8504</v>
      </c>
      <c r="E5156" s="19" t="s">
        <v>8647</v>
      </c>
      <c r="F5156" s="19" t="s">
        <v>4943</v>
      </c>
      <c r="G5156" s="27" t="str">
        <f>HYPERLINK("http://jsmh.umin.jp/journal/53-3/459-460.pdf")</f>
        <v>http://jsmh.umin.jp/journal/53-3/459-460.pdf</v>
      </c>
      <c r="H5156" s="43"/>
    </row>
    <row r="5157" spans="1:8" ht="30" customHeight="1" x14ac:dyDescent="0.15">
      <c r="A5157" s="16" t="s">
        <v>558</v>
      </c>
      <c r="B5157" s="17" t="s">
        <v>8658</v>
      </c>
      <c r="C5157" s="17"/>
      <c r="D5157" s="25" t="s">
        <v>8504</v>
      </c>
      <c r="E5157" s="19" t="s">
        <v>8647</v>
      </c>
      <c r="F5157" s="19" t="s">
        <v>8659</v>
      </c>
      <c r="G5157" s="27" t="str">
        <f>HYPERLINK("http://jsmh.umin.jp/journal/53-3/461-523.pdf")</f>
        <v>http://jsmh.umin.jp/journal/53-3/461-523.pdf</v>
      </c>
      <c r="H5157" s="43"/>
    </row>
    <row r="5158" spans="1:8" ht="30" customHeight="1" x14ac:dyDescent="0.15">
      <c r="A5158" s="16" t="s">
        <v>17</v>
      </c>
      <c r="B5158" s="17" t="s">
        <v>8660</v>
      </c>
      <c r="C5158" s="17" t="s">
        <v>8252</v>
      </c>
      <c r="D5158" s="25" t="s">
        <v>8504</v>
      </c>
      <c r="E5158" s="19" t="s">
        <v>8661</v>
      </c>
      <c r="F5158" s="19" t="s">
        <v>8662</v>
      </c>
      <c r="G5158" s="9" t="str">
        <f>HYPERLINK("http://jsmh.umin.jp/journal/53-4/531.pdf")</f>
        <v>http://jsmh.umin.jp/journal/53-4/531.pdf</v>
      </c>
      <c r="H5158" s="43"/>
    </row>
    <row r="5159" spans="1:8" ht="30" customHeight="1" x14ac:dyDescent="0.15">
      <c r="A5159" s="16" t="s">
        <v>17</v>
      </c>
      <c r="B5159" s="17" t="s">
        <v>8663</v>
      </c>
      <c r="C5159" s="17" t="s">
        <v>8664</v>
      </c>
      <c r="D5159" s="25" t="s">
        <v>8504</v>
      </c>
      <c r="E5159" s="19" t="s">
        <v>8661</v>
      </c>
      <c r="F5159" s="19" t="s">
        <v>8665</v>
      </c>
      <c r="G5159" s="9" t="str">
        <f>HYPERLINK("http://jsmh.umin.jp/journal/53-4/545.pdf")</f>
        <v>http://jsmh.umin.jp/journal/53-4/545.pdf</v>
      </c>
      <c r="H5159" s="43"/>
    </row>
    <row r="5160" spans="1:8" ht="30" customHeight="1" x14ac:dyDescent="0.15">
      <c r="A5160" s="16" t="s">
        <v>7876</v>
      </c>
      <c r="B5160" s="17" t="s">
        <v>8666</v>
      </c>
      <c r="C5160" s="17" t="s">
        <v>790</v>
      </c>
      <c r="D5160" s="25" t="s">
        <v>8504</v>
      </c>
      <c r="E5160" s="19" t="s">
        <v>8661</v>
      </c>
      <c r="F5160" s="19" t="s">
        <v>8667</v>
      </c>
      <c r="G5160" s="9" t="str">
        <f>HYPERLINK("http://jsmh.umin.jp/journal/53-4/569.pdf")</f>
        <v>http://jsmh.umin.jp/journal/53-4/569.pdf</v>
      </c>
      <c r="H5160" s="43"/>
    </row>
    <row r="5161" spans="1:8" ht="30" customHeight="1" x14ac:dyDescent="0.15">
      <c r="A5161" s="16" t="s">
        <v>558</v>
      </c>
      <c r="B5161" s="17" t="s">
        <v>10610</v>
      </c>
      <c r="C5161" s="17" t="s">
        <v>4795</v>
      </c>
      <c r="D5161" s="25" t="s">
        <v>8504</v>
      </c>
      <c r="E5161" s="19" t="s">
        <v>8661</v>
      </c>
      <c r="F5161" s="19" t="s">
        <v>8668</v>
      </c>
      <c r="G5161" s="9" t="str">
        <f>HYPERLINK("http://jsmh.umin.jp/journal/53-4/626.pdf")</f>
        <v>http://jsmh.umin.jp/journal/53-4/626.pdf</v>
      </c>
      <c r="H5161" s="43"/>
    </row>
    <row r="5162" spans="1:8" ht="30" customHeight="1" x14ac:dyDescent="0.15">
      <c r="A5162" s="16" t="s">
        <v>3387</v>
      </c>
      <c r="B5162" s="17" t="s">
        <v>8669</v>
      </c>
      <c r="C5162" s="17" t="s">
        <v>2937</v>
      </c>
      <c r="D5162" s="25" t="s">
        <v>8504</v>
      </c>
      <c r="E5162" s="19" t="s">
        <v>8661</v>
      </c>
      <c r="F5162" s="19" t="s">
        <v>8670</v>
      </c>
      <c r="G5162" s="9" t="str">
        <f>HYPERLINK("http://jsmh.umin.jp/journal/53-4/627.pdf")</f>
        <v>http://jsmh.umin.jp/journal/53-4/627.pdf</v>
      </c>
      <c r="H5162" s="43"/>
    </row>
    <row r="5163" spans="1:8" ht="30" customHeight="1" x14ac:dyDescent="0.15">
      <c r="A5163" s="16" t="s">
        <v>3387</v>
      </c>
      <c r="B5163" s="17" t="s">
        <v>8671</v>
      </c>
      <c r="C5163" s="17" t="s">
        <v>1070</v>
      </c>
      <c r="D5163" s="25" t="s">
        <v>8504</v>
      </c>
      <c r="E5163" s="19" t="s">
        <v>8661</v>
      </c>
      <c r="F5163" s="19" t="s">
        <v>8672</v>
      </c>
      <c r="G5163" s="9" t="str">
        <f>HYPERLINK("http://jsmh.umin.jp/journal/53-4/635.pdf")</f>
        <v>http://jsmh.umin.jp/journal/53-4/635.pdf</v>
      </c>
      <c r="H5163" s="43"/>
    </row>
    <row r="5164" spans="1:8" ht="30" customHeight="1" x14ac:dyDescent="0.15">
      <c r="A5164" s="16" t="s">
        <v>3387</v>
      </c>
      <c r="B5164" s="17" t="s">
        <v>8673</v>
      </c>
      <c r="C5164" s="17" t="s">
        <v>2781</v>
      </c>
      <c r="D5164" s="25" t="s">
        <v>8504</v>
      </c>
      <c r="E5164" s="19" t="s">
        <v>8661</v>
      </c>
      <c r="F5164" s="19" t="s">
        <v>8674</v>
      </c>
      <c r="G5164" s="9" t="str">
        <f>HYPERLINK("http://jsmh.umin.jp/journal/53-4/642.pdf")</f>
        <v>http://jsmh.umin.jp/journal/53-4/642.pdf</v>
      </c>
      <c r="H5164" s="43"/>
    </row>
    <row r="5165" spans="1:8" ht="30" customHeight="1" x14ac:dyDescent="0.15">
      <c r="A5165" s="16" t="s">
        <v>3387</v>
      </c>
      <c r="B5165" s="17" t="s">
        <v>8675</v>
      </c>
      <c r="C5165" s="17" t="s">
        <v>4351</v>
      </c>
      <c r="D5165" s="25" t="s">
        <v>8504</v>
      </c>
      <c r="E5165" s="19" t="s">
        <v>8661</v>
      </c>
      <c r="F5165" s="19" t="s">
        <v>8676</v>
      </c>
      <c r="G5165" s="9" t="str">
        <f>HYPERLINK("http://jsmh.umin.jp/journal/53-4/650.pdf")</f>
        <v>http://jsmh.umin.jp/journal/53-4/650.pdf</v>
      </c>
      <c r="H5165" s="43"/>
    </row>
    <row r="5166" spans="1:8" ht="30" customHeight="1" x14ac:dyDescent="0.15">
      <c r="A5166" s="16" t="s">
        <v>7637</v>
      </c>
      <c r="B5166" s="17" t="s">
        <v>8677</v>
      </c>
      <c r="C5166" s="17" t="s">
        <v>8678</v>
      </c>
      <c r="D5166" s="25" t="s">
        <v>8504</v>
      </c>
      <c r="E5166" s="19" t="s">
        <v>8661</v>
      </c>
      <c r="F5166" s="19" t="s">
        <v>8679</v>
      </c>
      <c r="G5166" s="9" t="str">
        <f>HYPERLINK("http://jsmh.umin.jp/journal/53-4/659.pdf")</f>
        <v>http://jsmh.umin.jp/journal/53-4/659.pdf</v>
      </c>
      <c r="H5166" s="43"/>
    </row>
    <row r="5167" spans="1:8" ht="30" customHeight="1" x14ac:dyDescent="0.15">
      <c r="A5167" s="16" t="s">
        <v>692</v>
      </c>
      <c r="B5167" s="17" t="s">
        <v>8680</v>
      </c>
      <c r="C5167" s="17" t="s">
        <v>7818</v>
      </c>
      <c r="D5167" s="25" t="s">
        <v>8504</v>
      </c>
      <c r="E5167" s="19" t="s">
        <v>8661</v>
      </c>
      <c r="F5167" s="19" t="s">
        <v>8681</v>
      </c>
      <c r="G5167" s="9" t="str">
        <f>HYPERLINK("http://jsmh.umin.jp/journal/53-4/672.pdf")</f>
        <v>http://jsmh.umin.jp/journal/53-4/672.pdf</v>
      </c>
      <c r="H5167" s="43"/>
    </row>
    <row r="5168" spans="1:8" ht="30" customHeight="1" x14ac:dyDescent="0.15">
      <c r="A5168" s="16" t="s">
        <v>558</v>
      </c>
      <c r="B5168" s="17" t="s">
        <v>8682</v>
      </c>
      <c r="C5168" s="17" t="s">
        <v>8683</v>
      </c>
      <c r="D5168" s="25" t="s">
        <v>8504</v>
      </c>
      <c r="E5168" s="19" t="s">
        <v>8661</v>
      </c>
      <c r="F5168" s="19" t="s">
        <v>7232</v>
      </c>
      <c r="G5168" s="9" t="str">
        <f>HYPERLINK("http://jsmh.umin.jp/journal/53-4/679.pdf")</f>
        <v>http://jsmh.umin.jp/journal/53-4/679.pdf</v>
      </c>
      <c r="H5168" s="43"/>
    </row>
    <row r="5169" spans="1:8" ht="30" customHeight="1" x14ac:dyDescent="0.15">
      <c r="A5169" s="16" t="s">
        <v>558</v>
      </c>
      <c r="B5169" s="17" t="s">
        <v>8684</v>
      </c>
      <c r="C5169" s="17"/>
      <c r="D5169" s="25" t="s">
        <v>8504</v>
      </c>
      <c r="E5169" s="19" t="s">
        <v>8661</v>
      </c>
      <c r="F5169" s="19" t="s">
        <v>8685</v>
      </c>
      <c r="G5169" s="9" t="str">
        <f>HYPERLINK("http://jsmh.umin.jp/journal/53-4/681.pdf")</f>
        <v>http://jsmh.umin.jp/journal/53-4/681.pdf</v>
      </c>
      <c r="H5169" s="43"/>
    </row>
    <row r="5170" spans="1:8" ht="30" customHeight="1" x14ac:dyDescent="0.15">
      <c r="A5170" s="16" t="s">
        <v>2990</v>
      </c>
      <c r="B5170" s="17" t="s">
        <v>8686</v>
      </c>
      <c r="C5170" s="17" t="s">
        <v>6565</v>
      </c>
      <c r="D5170" s="25" t="s">
        <v>8504</v>
      </c>
      <c r="E5170" s="19" t="s">
        <v>8661</v>
      </c>
      <c r="F5170" s="19" t="s">
        <v>7869</v>
      </c>
      <c r="G5170" s="9" t="str">
        <f>HYPERLINK("http://jsmh.umin.jp/journal/53-4/682.pdf")</f>
        <v>http://jsmh.umin.jp/journal/53-4/682.pdf</v>
      </c>
      <c r="H5170" s="43"/>
    </row>
    <row r="5171" spans="1:8" ht="30" customHeight="1" x14ac:dyDescent="0.15">
      <c r="A5171" s="16" t="s">
        <v>2990</v>
      </c>
      <c r="B5171" s="17" t="s">
        <v>8687</v>
      </c>
      <c r="C5171" s="17" t="s">
        <v>1929</v>
      </c>
      <c r="D5171" s="25" t="s">
        <v>8504</v>
      </c>
      <c r="E5171" s="19" t="s">
        <v>8661</v>
      </c>
      <c r="F5171" s="19" t="s">
        <v>8688</v>
      </c>
      <c r="G5171" s="9" t="str">
        <f>HYPERLINK("http://jsmh.umin.jp/journal/53-4/683.pdf")</f>
        <v>http://jsmh.umin.jp/journal/53-4/683.pdf</v>
      </c>
      <c r="H5171" s="43"/>
    </row>
    <row r="5172" spans="1:8" ht="30" customHeight="1" x14ac:dyDescent="0.15">
      <c r="A5172" s="16" t="s">
        <v>2990</v>
      </c>
      <c r="B5172" s="17" t="s">
        <v>8689</v>
      </c>
      <c r="C5172" s="17" t="s">
        <v>4770</v>
      </c>
      <c r="D5172" s="25" t="s">
        <v>8504</v>
      </c>
      <c r="E5172" s="19" t="s">
        <v>8661</v>
      </c>
      <c r="F5172" s="19" t="s">
        <v>8690</v>
      </c>
      <c r="G5172" s="9" t="str">
        <f>HYPERLINK("http://jsmh.umin.jp/journal/53-4/684.pdf")</f>
        <v>http://jsmh.umin.jp/journal/53-4/684.pdf</v>
      </c>
      <c r="H5172" s="43"/>
    </row>
    <row r="5173" spans="1:8" ht="30" customHeight="1" x14ac:dyDescent="0.15">
      <c r="A5173" s="16" t="s">
        <v>558</v>
      </c>
      <c r="B5173" s="17" t="s">
        <v>8691</v>
      </c>
      <c r="C5173" s="17"/>
      <c r="D5173" s="25" t="s">
        <v>8504</v>
      </c>
      <c r="E5173" s="19" t="s">
        <v>8661</v>
      </c>
      <c r="F5173" s="19" t="s">
        <v>8692</v>
      </c>
      <c r="G5173" s="27" t="str">
        <f>HYPERLINK("http://jsmh.umin.jp/journal/53-4/somokuji.pdf")</f>
        <v>http://jsmh.umin.jp/journal/53-4/somokuji.pdf</v>
      </c>
      <c r="H5173" s="43"/>
    </row>
    <row r="5174" spans="1:8" ht="30" customHeight="1" x14ac:dyDescent="0.15">
      <c r="A5174" s="16" t="s">
        <v>558</v>
      </c>
      <c r="B5174" s="17" t="s">
        <v>8693</v>
      </c>
      <c r="C5174" s="17"/>
      <c r="D5174" s="25" t="s">
        <v>8504</v>
      </c>
      <c r="E5174" s="19" t="s">
        <v>8661</v>
      </c>
      <c r="F5174" s="19" t="s">
        <v>8694</v>
      </c>
      <c r="G5174" s="27" t="str">
        <f>HYPERLINK("http://jsmh.umin.jp/journal/53-4/kaiho.pdf")</f>
        <v>http://jsmh.umin.jp/journal/53-4/kaiho.pdf</v>
      </c>
      <c r="H5174" s="43"/>
    </row>
    <row r="5175" spans="1:8" ht="30" customHeight="1" x14ac:dyDescent="0.15">
      <c r="A5175" s="16" t="s">
        <v>17</v>
      </c>
      <c r="B5175" s="17" t="s">
        <v>8695</v>
      </c>
      <c r="C5175" s="17" t="s">
        <v>8696</v>
      </c>
      <c r="D5175" s="18" t="s">
        <v>8697</v>
      </c>
      <c r="E5175" s="19" t="s">
        <v>8698</v>
      </c>
      <c r="F5175" s="19" t="s">
        <v>8699</v>
      </c>
      <c r="G5175" s="9" t="str">
        <f>HYPERLINK("http://jsmh.umin.jp/journal/54-1/3.pdf")</f>
        <v>http://jsmh.umin.jp/journal/54-1/3.pdf</v>
      </c>
      <c r="H5175" s="43"/>
    </row>
    <row r="5176" spans="1:8" ht="30" customHeight="1" x14ac:dyDescent="0.15">
      <c r="A5176" s="16" t="s">
        <v>17</v>
      </c>
      <c r="B5176" s="17" t="s">
        <v>8700</v>
      </c>
      <c r="C5176" s="17" t="s">
        <v>8701</v>
      </c>
      <c r="D5176" s="25" t="s">
        <v>8697</v>
      </c>
      <c r="E5176" s="19" t="s">
        <v>8698</v>
      </c>
      <c r="F5176" s="19" t="s">
        <v>8702</v>
      </c>
      <c r="G5176" s="9" t="str">
        <f>HYPERLINK("http://jsmh.umin.jp/journal/54-1/19.pdf")</f>
        <v>http://jsmh.umin.jp/journal/54-1/19.pdf</v>
      </c>
      <c r="H5176" s="43"/>
    </row>
    <row r="5177" spans="1:8" ht="30" customHeight="1" x14ac:dyDescent="0.15">
      <c r="A5177" s="16" t="s">
        <v>17</v>
      </c>
      <c r="B5177" s="17" t="s">
        <v>8703</v>
      </c>
      <c r="C5177" s="17" t="s">
        <v>8704</v>
      </c>
      <c r="D5177" s="25" t="s">
        <v>8697</v>
      </c>
      <c r="E5177" s="19" t="s">
        <v>8698</v>
      </c>
      <c r="F5177" s="19" t="s">
        <v>8705</v>
      </c>
      <c r="G5177" s="9" t="str">
        <f>HYPERLINK("http://jsmh.umin.jp/journal/54-1/31.pdf")</f>
        <v>http://jsmh.umin.jp/journal/54-1/31.pdf</v>
      </c>
      <c r="H5177" s="43"/>
    </row>
    <row r="5178" spans="1:8" ht="30" customHeight="1" x14ac:dyDescent="0.15">
      <c r="A5178" s="16" t="s">
        <v>17</v>
      </c>
      <c r="B5178" s="17" t="s">
        <v>8706</v>
      </c>
      <c r="C5178" s="17" t="s">
        <v>8707</v>
      </c>
      <c r="D5178" s="25" t="s">
        <v>8697</v>
      </c>
      <c r="E5178" s="19" t="s">
        <v>8698</v>
      </c>
      <c r="F5178" s="19" t="s">
        <v>8708</v>
      </c>
      <c r="G5178" s="9" t="str">
        <f>HYPERLINK("http://jsmh.umin.jp/journal/54-1/39.pdf")</f>
        <v>http://jsmh.umin.jp/journal/54-1/39.pdf</v>
      </c>
      <c r="H5178" s="43"/>
    </row>
    <row r="5179" spans="1:8" ht="30" customHeight="1" x14ac:dyDescent="0.15">
      <c r="A5179" s="16" t="s">
        <v>7637</v>
      </c>
      <c r="B5179" s="17" t="s">
        <v>8709</v>
      </c>
      <c r="C5179" s="17" t="s">
        <v>2937</v>
      </c>
      <c r="D5179" s="25" t="s">
        <v>8697</v>
      </c>
      <c r="E5179" s="19" t="s">
        <v>8698</v>
      </c>
      <c r="F5179" s="19" t="s">
        <v>8710</v>
      </c>
      <c r="G5179" s="9" t="str">
        <f>HYPERLINK("http://jsmh.umin.jp/journal/54-1/49.pdf")</f>
        <v>http://jsmh.umin.jp/journal/54-1/49.pdf</v>
      </c>
      <c r="H5179" s="43"/>
    </row>
    <row r="5180" spans="1:8" ht="30" customHeight="1" x14ac:dyDescent="0.15">
      <c r="A5180" s="16" t="s">
        <v>692</v>
      </c>
      <c r="B5180" s="17" t="s">
        <v>8711</v>
      </c>
      <c r="C5180" s="17" t="s">
        <v>4870</v>
      </c>
      <c r="D5180" s="25" t="s">
        <v>8697</v>
      </c>
      <c r="E5180" s="19" t="s">
        <v>8698</v>
      </c>
      <c r="F5180" s="19" t="s">
        <v>8712</v>
      </c>
      <c r="G5180" s="9" t="str">
        <f>HYPERLINK("http://jsmh.umin.jp/journal/54-1/57.pdf")</f>
        <v>http://jsmh.umin.jp/journal/54-1/57.pdf</v>
      </c>
      <c r="H5180" s="43"/>
    </row>
    <row r="5181" spans="1:8" ht="30" customHeight="1" x14ac:dyDescent="0.15">
      <c r="A5181" s="16" t="s">
        <v>558</v>
      </c>
      <c r="B5181" s="17" t="s">
        <v>8713</v>
      </c>
      <c r="C5181" s="17" t="s">
        <v>7527</v>
      </c>
      <c r="D5181" s="25" t="s">
        <v>8697</v>
      </c>
      <c r="E5181" s="19" t="s">
        <v>8698</v>
      </c>
      <c r="F5181" s="19" t="s">
        <v>8714</v>
      </c>
      <c r="G5181" s="9" t="str">
        <f>HYPERLINK("http://jsmh.umin.jp/journal/54-1/67.pdf")</f>
        <v>http://jsmh.umin.jp/journal/54-1/67.pdf</v>
      </c>
      <c r="H5181" s="43"/>
    </row>
    <row r="5182" spans="1:8" ht="30" customHeight="1" x14ac:dyDescent="0.15">
      <c r="A5182" s="16" t="s">
        <v>3720</v>
      </c>
      <c r="B5182" s="17" t="s">
        <v>8715</v>
      </c>
      <c r="C5182" s="17" t="s">
        <v>8716</v>
      </c>
      <c r="D5182" s="25" t="s">
        <v>8697</v>
      </c>
      <c r="E5182" s="19" t="s">
        <v>8698</v>
      </c>
      <c r="F5182" s="19" t="s">
        <v>8717</v>
      </c>
      <c r="G5182" s="9" t="str">
        <f>HYPERLINK("http://jsmh.umin.jp/journal/54-1/74.pdf")</f>
        <v>http://jsmh.umin.jp/journal/54-1/74.pdf</v>
      </c>
      <c r="H5182" s="43"/>
    </row>
    <row r="5183" spans="1:8" ht="30" customHeight="1" x14ac:dyDescent="0.15">
      <c r="A5183" s="16" t="s">
        <v>558</v>
      </c>
      <c r="B5183" s="17" t="s">
        <v>8718</v>
      </c>
      <c r="C5183" s="17"/>
      <c r="D5183" s="25" t="s">
        <v>8697</v>
      </c>
      <c r="E5183" s="19" t="s">
        <v>8698</v>
      </c>
      <c r="F5183" s="19" t="s">
        <v>833</v>
      </c>
      <c r="G5183" s="9" t="str">
        <f>HYPERLINK("http://jsmh.umin.jp/journal/54-1/74k.pdf")</f>
        <v>http://jsmh.umin.jp/journal/54-1/74k.pdf</v>
      </c>
      <c r="H5183" s="43"/>
    </row>
    <row r="5184" spans="1:8" ht="30" customHeight="1" x14ac:dyDescent="0.15">
      <c r="A5184" s="16" t="s">
        <v>3720</v>
      </c>
      <c r="B5184" s="17" t="s">
        <v>8719</v>
      </c>
      <c r="C5184" s="17" t="s">
        <v>5084</v>
      </c>
      <c r="D5184" s="25" t="s">
        <v>8697</v>
      </c>
      <c r="E5184" s="19" t="s">
        <v>8698</v>
      </c>
      <c r="F5184" s="19" t="s">
        <v>8358</v>
      </c>
      <c r="G5184" s="27" t="str">
        <f>HYPERLINK("http://jsmh.umin.jp/journal/54-1/76.pdf")</f>
        <v>http://jsmh.umin.jp/journal/54-1/76.pdf</v>
      </c>
      <c r="H5184" s="43"/>
    </row>
    <row r="5185" spans="1:8" ht="30" customHeight="1" x14ac:dyDescent="0.15">
      <c r="A5185" s="16" t="s">
        <v>3720</v>
      </c>
      <c r="B5185" s="17" t="s">
        <v>8720</v>
      </c>
      <c r="C5185" s="17" t="s">
        <v>8721</v>
      </c>
      <c r="D5185" s="25" t="s">
        <v>8697</v>
      </c>
      <c r="E5185" s="19" t="s">
        <v>8698</v>
      </c>
      <c r="F5185" s="19" t="s">
        <v>8722</v>
      </c>
      <c r="G5185" s="8" t="str">
        <f>HYPERLINK("http://jsmh.umin.jp/journal/54-1/77.pdf")</f>
        <v>http://jsmh.umin.jp/journal/54-1/77.pdf</v>
      </c>
      <c r="H5185" s="43"/>
    </row>
    <row r="5186" spans="1:8" ht="30" customHeight="1" x14ac:dyDescent="0.15">
      <c r="A5186" s="16" t="s">
        <v>3720</v>
      </c>
      <c r="B5186" s="17" t="s">
        <v>8723</v>
      </c>
      <c r="C5186" s="17" t="s">
        <v>8724</v>
      </c>
      <c r="D5186" s="25" t="s">
        <v>8697</v>
      </c>
      <c r="E5186" s="19" t="s">
        <v>8698</v>
      </c>
      <c r="F5186" s="19" t="s">
        <v>8725</v>
      </c>
      <c r="G5186" s="9" t="str">
        <f>HYPERLINK("http://jsmh.umin.jp/journal/54-1/79.pdf")</f>
        <v>http://jsmh.umin.jp/journal/54-1/79.pdf</v>
      </c>
      <c r="H5186" s="43"/>
    </row>
    <row r="5187" spans="1:8" ht="30" customHeight="1" x14ac:dyDescent="0.15">
      <c r="A5187" s="16" t="s">
        <v>3720</v>
      </c>
      <c r="B5187" s="17" t="s">
        <v>8726</v>
      </c>
      <c r="C5187" s="17" t="s">
        <v>6565</v>
      </c>
      <c r="D5187" s="25" t="s">
        <v>8697</v>
      </c>
      <c r="E5187" s="19" t="s">
        <v>8698</v>
      </c>
      <c r="F5187" s="19" t="s">
        <v>8361</v>
      </c>
      <c r="G5187" s="9" t="str">
        <f>HYPERLINK("http://jsmh.umin.jp/journal/54-1/80.pdf")</f>
        <v>http://jsmh.umin.jp/journal/54-1/80.pdf</v>
      </c>
      <c r="H5187" s="43"/>
    </row>
    <row r="5188" spans="1:8" ht="30" customHeight="1" x14ac:dyDescent="0.15">
      <c r="A5188" s="16" t="s">
        <v>3720</v>
      </c>
      <c r="B5188" s="17" t="s">
        <v>8727</v>
      </c>
      <c r="C5188" s="17" t="s">
        <v>2937</v>
      </c>
      <c r="D5188" s="25" t="s">
        <v>8697</v>
      </c>
      <c r="E5188" s="19" t="s">
        <v>8698</v>
      </c>
      <c r="F5188" s="19" t="s">
        <v>8728</v>
      </c>
      <c r="G5188" s="9" t="str">
        <f>HYPERLINK("http://jsmh.umin.jp/journal/54-1/82.pdf")</f>
        <v>http://jsmh.umin.jp/journal/54-1/82.pdf</v>
      </c>
      <c r="H5188" s="43"/>
    </row>
    <row r="5189" spans="1:8" ht="30" customHeight="1" x14ac:dyDescent="0.15">
      <c r="A5189" s="16" t="s">
        <v>2990</v>
      </c>
      <c r="B5189" s="17" t="s">
        <v>8729</v>
      </c>
      <c r="C5189" s="17" t="s">
        <v>2071</v>
      </c>
      <c r="D5189" s="25" t="s">
        <v>8697</v>
      </c>
      <c r="E5189" s="19" t="s">
        <v>8698</v>
      </c>
      <c r="F5189" s="19" t="s">
        <v>8730</v>
      </c>
      <c r="G5189" s="9" t="str">
        <f>HYPERLINK("http://jsmh.umin.jp/journal/54-1/85.pdf")</f>
        <v>http://jsmh.umin.jp/journal/54-1/85.pdf</v>
      </c>
      <c r="H5189" s="43"/>
    </row>
    <row r="5190" spans="1:8" ht="30" customHeight="1" x14ac:dyDescent="0.15">
      <c r="A5190" s="16" t="s">
        <v>2990</v>
      </c>
      <c r="B5190" s="17" t="s">
        <v>8731</v>
      </c>
      <c r="C5190" s="17" t="s">
        <v>4085</v>
      </c>
      <c r="D5190" s="25" t="s">
        <v>8697</v>
      </c>
      <c r="E5190" s="19" t="s">
        <v>8698</v>
      </c>
      <c r="F5190" s="19" t="s">
        <v>8367</v>
      </c>
      <c r="G5190" s="9" t="str">
        <f>HYPERLINK("http://jsmh.umin.jp/journal/54-1/86.pdf")</f>
        <v>http://jsmh.umin.jp/journal/54-1/86.pdf</v>
      </c>
      <c r="H5190" s="43"/>
    </row>
    <row r="5191" spans="1:8" ht="30" customHeight="1" x14ac:dyDescent="0.15">
      <c r="A5191" s="16" t="s">
        <v>2990</v>
      </c>
      <c r="B5191" s="17" t="s">
        <v>8732</v>
      </c>
      <c r="C5191" s="17" t="s">
        <v>8733</v>
      </c>
      <c r="D5191" s="25" t="s">
        <v>8697</v>
      </c>
      <c r="E5191" s="19" t="s">
        <v>8698</v>
      </c>
      <c r="F5191" s="19" t="s">
        <v>8734</v>
      </c>
      <c r="G5191" s="9" t="str">
        <f>HYPERLINK("http://jsmh.umin.jp/journal/54-1/87.pdf")</f>
        <v>http://jsmh.umin.jp/journal/54-1/87.pdf</v>
      </c>
      <c r="H5191" s="43"/>
    </row>
    <row r="5192" spans="1:8" ht="30" customHeight="1" x14ac:dyDescent="0.15">
      <c r="A5192" s="16" t="s">
        <v>1855</v>
      </c>
      <c r="B5192" s="17" t="s">
        <v>8735</v>
      </c>
      <c r="C5192" s="17" t="s">
        <v>10412</v>
      </c>
      <c r="D5192" s="25" t="s">
        <v>8697</v>
      </c>
      <c r="E5192" s="19" t="s">
        <v>8736</v>
      </c>
      <c r="F5192" s="19" t="s">
        <v>8737</v>
      </c>
      <c r="G5192" s="9" t="str">
        <f>HYPERLINK("http://jsmh.umin.jp/journal/54-2/97.pdf")</f>
        <v>http://jsmh.umin.jp/journal/54-2/97.pdf</v>
      </c>
      <c r="H5192" s="43"/>
    </row>
    <row r="5193" spans="1:8" ht="30" customHeight="1" x14ac:dyDescent="0.15">
      <c r="A5193" s="16" t="s">
        <v>1855</v>
      </c>
      <c r="B5193" s="17" t="s">
        <v>8738</v>
      </c>
      <c r="C5193" s="17" t="s">
        <v>1070</v>
      </c>
      <c r="D5193" s="25" t="s">
        <v>8697</v>
      </c>
      <c r="E5193" s="19" t="s">
        <v>8736</v>
      </c>
      <c r="F5193" s="19" t="s">
        <v>779</v>
      </c>
      <c r="G5193" s="9" t="str">
        <f>HYPERLINK("http://jsmh.umin.jp/journal/54-2/102.pdf")</f>
        <v>http://jsmh.umin.jp/journal/54-2/102.pdf</v>
      </c>
      <c r="H5193" s="43"/>
    </row>
    <row r="5194" spans="1:8" ht="30" customHeight="1" x14ac:dyDescent="0.15">
      <c r="A5194" s="16" t="s">
        <v>1855</v>
      </c>
      <c r="B5194" s="17" t="s">
        <v>8739</v>
      </c>
      <c r="C5194" s="17" t="s">
        <v>8740</v>
      </c>
      <c r="D5194" s="25" t="s">
        <v>8697</v>
      </c>
      <c r="E5194" s="19" t="s">
        <v>8736</v>
      </c>
      <c r="F5194" s="19" t="s">
        <v>50</v>
      </c>
      <c r="G5194" s="9" t="str">
        <f>HYPERLINK("http://jsmh.umin.jp/journal/54-2/104.pdf")</f>
        <v>http://jsmh.umin.jp/journal/54-2/104.pdf</v>
      </c>
      <c r="H5194" s="43"/>
    </row>
    <row r="5195" spans="1:8" ht="30" customHeight="1" x14ac:dyDescent="0.15">
      <c r="A5195" s="16" t="s">
        <v>1855</v>
      </c>
      <c r="B5195" s="17" t="s">
        <v>8741</v>
      </c>
      <c r="C5195" s="17" t="s">
        <v>7316</v>
      </c>
      <c r="D5195" s="25" t="s">
        <v>8697</v>
      </c>
      <c r="E5195" s="19" t="s">
        <v>8736</v>
      </c>
      <c r="F5195" s="19" t="s">
        <v>6184</v>
      </c>
      <c r="G5195" s="9" t="str">
        <f>HYPERLINK("http://jsmh.umin.jp/journal/54-2/105.pdf")</f>
        <v>http://jsmh.umin.jp/journal/54-2/105.pdf</v>
      </c>
      <c r="H5195" s="43"/>
    </row>
    <row r="5196" spans="1:8" ht="30" customHeight="1" x14ac:dyDescent="0.15">
      <c r="A5196" s="16" t="s">
        <v>1855</v>
      </c>
      <c r="B5196" s="17" t="s">
        <v>10413</v>
      </c>
      <c r="C5196" s="17" t="s">
        <v>6851</v>
      </c>
      <c r="D5196" s="25" t="s">
        <v>8697</v>
      </c>
      <c r="E5196" s="19" t="s">
        <v>8736</v>
      </c>
      <c r="F5196" s="19" t="s">
        <v>192</v>
      </c>
      <c r="G5196" s="9" t="str">
        <f>HYPERLINK("http://jsmh.umin.jp/journal/54-2/106.pdf")</f>
        <v>http://jsmh.umin.jp/journal/54-2/106.pdf</v>
      </c>
      <c r="H5196" s="43"/>
    </row>
    <row r="5197" spans="1:8" ht="30" customHeight="1" x14ac:dyDescent="0.15">
      <c r="A5197" s="16" t="s">
        <v>1855</v>
      </c>
      <c r="B5197" s="24" t="s">
        <v>10414</v>
      </c>
      <c r="C5197" s="17" t="s">
        <v>2071</v>
      </c>
      <c r="D5197" s="25" t="s">
        <v>8697</v>
      </c>
      <c r="E5197" s="19" t="s">
        <v>8736</v>
      </c>
      <c r="F5197" s="19" t="s">
        <v>1829</v>
      </c>
      <c r="G5197" s="9" t="str">
        <f>HYPERLINK("http://jsmh.umin.jp/journal/54-2/107.pdf")</f>
        <v>http://jsmh.umin.jp/journal/54-2/107.pdf</v>
      </c>
      <c r="H5197" s="43"/>
    </row>
    <row r="5198" spans="1:8" ht="30" customHeight="1" x14ac:dyDescent="0.15">
      <c r="A5198" s="16" t="s">
        <v>1855</v>
      </c>
      <c r="B5198" s="17" t="s">
        <v>8742</v>
      </c>
      <c r="C5198" s="17" t="s">
        <v>8743</v>
      </c>
      <c r="D5198" s="25" t="s">
        <v>8697</v>
      </c>
      <c r="E5198" s="19" t="s">
        <v>8736</v>
      </c>
      <c r="F5198" s="19" t="s">
        <v>5025</v>
      </c>
      <c r="G5198" s="9" t="str">
        <f>HYPERLINK("http://jsmh.umin.jp/journal/54-2/108.pdf")</f>
        <v>http://jsmh.umin.jp/journal/54-2/108.pdf</v>
      </c>
      <c r="H5198" s="43"/>
    </row>
    <row r="5199" spans="1:8" ht="30" customHeight="1" x14ac:dyDescent="0.15">
      <c r="A5199" s="16" t="s">
        <v>1855</v>
      </c>
      <c r="B5199" s="17" t="s">
        <v>8744</v>
      </c>
      <c r="C5199" s="17" t="s">
        <v>10280</v>
      </c>
      <c r="D5199" s="25" t="s">
        <v>8697</v>
      </c>
      <c r="E5199" s="19" t="s">
        <v>8736</v>
      </c>
      <c r="F5199" s="19" t="s">
        <v>8745</v>
      </c>
      <c r="G5199" s="9" t="str">
        <f>HYPERLINK("http://jsmh.umin.jp/journal/54-2/109.pdf")</f>
        <v>http://jsmh.umin.jp/journal/54-2/109.pdf</v>
      </c>
      <c r="H5199" s="43"/>
    </row>
    <row r="5200" spans="1:8" ht="30" customHeight="1" x14ac:dyDescent="0.15">
      <c r="A5200" s="16" t="s">
        <v>1855</v>
      </c>
      <c r="B5200" s="17" t="s">
        <v>8746</v>
      </c>
      <c r="C5200" s="17" t="s">
        <v>2386</v>
      </c>
      <c r="D5200" s="25" t="s">
        <v>8697</v>
      </c>
      <c r="E5200" s="19" t="s">
        <v>8736</v>
      </c>
      <c r="F5200" s="19" t="s">
        <v>199</v>
      </c>
      <c r="G5200" s="9" t="str">
        <f>HYPERLINK("http://jsmh.umin.jp/journal/54-2/110.pdf")</f>
        <v>http://jsmh.umin.jp/journal/54-2/110.pdf</v>
      </c>
      <c r="H5200" s="43"/>
    </row>
    <row r="5201" spans="1:8" ht="30" customHeight="1" x14ac:dyDescent="0.15">
      <c r="A5201" s="16" t="s">
        <v>1855</v>
      </c>
      <c r="B5201" s="17" t="s">
        <v>8747</v>
      </c>
      <c r="C5201" s="17" t="s">
        <v>4848</v>
      </c>
      <c r="D5201" s="25" t="s">
        <v>8697</v>
      </c>
      <c r="E5201" s="19" t="s">
        <v>8736</v>
      </c>
      <c r="F5201" s="19" t="s">
        <v>205</v>
      </c>
      <c r="G5201" s="9" t="str">
        <f>HYPERLINK("http://jsmh.umin.jp/journal/54-2/111.pdf")</f>
        <v>http://jsmh.umin.jp/journal/54-2/111.pdf</v>
      </c>
      <c r="H5201" s="43"/>
    </row>
    <row r="5202" spans="1:8" ht="30" customHeight="1" x14ac:dyDescent="0.15">
      <c r="A5202" s="16" t="s">
        <v>1855</v>
      </c>
      <c r="B5202" s="17" t="s">
        <v>8748</v>
      </c>
      <c r="C5202" s="17" t="s">
        <v>2937</v>
      </c>
      <c r="D5202" s="25" t="s">
        <v>8697</v>
      </c>
      <c r="E5202" s="19" t="s">
        <v>8736</v>
      </c>
      <c r="F5202" s="19" t="s">
        <v>2392</v>
      </c>
      <c r="G5202" s="9" t="str">
        <f>HYPERLINK("http://jsmh.umin.jp/journal/54-2/112.pdf")</f>
        <v>http://jsmh.umin.jp/journal/54-2/112.pdf</v>
      </c>
      <c r="H5202" s="43"/>
    </row>
    <row r="5203" spans="1:8" ht="30" customHeight="1" x14ac:dyDescent="0.15">
      <c r="A5203" s="16" t="s">
        <v>1855</v>
      </c>
      <c r="B5203" s="17" t="s">
        <v>8749</v>
      </c>
      <c r="C5203" s="17" t="s">
        <v>8371</v>
      </c>
      <c r="D5203" s="25" t="s">
        <v>8697</v>
      </c>
      <c r="E5203" s="19" t="s">
        <v>8736</v>
      </c>
      <c r="F5203" s="19" t="s">
        <v>8750</v>
      </c>
      <c r="G5203" s="9" t="str">
        <f>HYPERLINK("http://jsmh.umin.jp/journal/54-2/113.pdf")</f>
        <v>http://jsmh.umin.jp/journal/54-2/113.pdf</v>
      </c>
      <c r="H5203" s="43"/>
    </row>
    <row r="5204" spans="1:8" ht="30" customHeight="1" x14ac:dyDescent="0.15">
      <c r="A5204" s="16" t="s">
        <v>1855</v>
      </c>
      <c r="B5204" s="17" t="s">
        <v>8751</v>
      </c>
      <c r="C5204" s="17" t="s">
        <v>7320</v>
      </c>
      <c r="D5204" s="25" t="s">
        <v>8697</v>
      </c>
      <c r="E5204" s="19" t="s">
        <v>8736</v>
      </c>
      <c r="F5204" s="19" t="s">
        <v>1839</v>
      </c>
      <c r="G5204" s="9" t="str">
        <f>HYPERLINK("http://jsmh.umin.jp/journal/54-2/114.pdf")</f>
        <v>http://jsmh.umin.jp/journal/54-2/114.pdf</v>
      </c>
      <c r="H5204" s="43"/>
    </row>
    <row r="5205" spans="1:8" ht="30" customHeight="1" x14ac:dyDescent="0.15">
      <c r="A5205" s="16" t="s">
        <v>1855</v>
      </c>
      <c r="B5205" s="17" t="s">
        <v>8752</v>
      </c>
      <c r="C5205" s="17" t="s">
        <v>6848</v>
      </c>
      <c r="D5205" s="25" t="s">
        <v>8697</v>
      </c>
      <c r="E5205" s="19" t="s">
        <v>8736</v>
      </c>
      <c r="F5205" s="19" t="s">
        <v>8753</v>
      </c>
      <c r="G5205" s="9" t="str">
        <f>HYPERLINK("http://jsmh.umin.jp/journal/54-2/115.pdf")</f>
        <v>http://jsmh.umin.jp/journal/54-2/115.pdf</v>
      </c>
      <c r="H5205" s="43"/>
    </row>
    <row r="5206" spans="1:8" ht="30" customHeight="1" x14ac:dyDescent="0.15">
      <c r="A5206" s="16" t="s">
        <v>1855</v>
      </c>
      <c r="B5206" s="17" t="s">
        <v>8754</v>
      </c>
      <c r="C5206" s="17" t="s">
        <v>8406</v>
      </c>
      <c r="D5206" s="25" t="s">
        <v>8697</v>
      </c>
      <c r="E5206" s="19" t="s">
        <v>8736</v>
      </c>
      <c r="F5206" s="19" t="s">
        <v>8755</v>
      </c>
      <c r="G5206" s="9" t="str">
        <f>HYPERLINK("http://jsmh.umin.jp/journal/54-2/116.pdf")</f>
        <v>http://jsmh.umin.jp/journal/54-2/116.pdf</v>
      </c>
      <c r="H5206" s="43"/>
    </row>
    <row r="5207" spans="1:8" ht="30" customHeight="1" x14ac:dyDescent="0.15">
      <c r="A5207" s="16" t="s">
        <v>1855</v>
      </c>
      <c r="B5207" s="17" t="s">
        <v>8756</v>
      </c>
      <c r="C5207" s="17" t="s">
        <v>7971</v>
      </c>
      <c r="D5207" s="25" t="s">
        <v>8697</v>
      </c>
      <c r="E5207" s="19" t="s">
        <v>8736</v>
      </c>
      <c r="F5207" s="19" t="s">
        <v>213</v>
      </c>
      <c r="G5207" s="9" t="str">
        <f>HYPERLINK("http://jsmh.umin.jp/journal/54-2/117.pdf")</f>
        <v>http://jsmh.umin.jp/journal/54-2/117.pdf</v>
      </c>
      <c r="H5207" s="43"/>
    </row>
    <row r="5208" spans="1:8" ht="30" customHeight="1" x14ac:dyDescent="0.15">
      <c r="A5208" s="16" t="s">
        <v>1855</v>
      </c>
      <c r="B5208" s="17" t="s">
        <v>8757</v>
      </c>
      <c r="C5208" s="17" t="s">
        <v>7944</v>
      </c>
      <c r="D5208" s="25" t="s">
        <v>8697</v>
      </c>
      <c r="E5208" s="19" t="s">
        <v>8736</v>
      </c>
      <c r="F5208" s="19" t="s">
        <v>6409</v>
      </c>
      <c r="G5208" s="9" t="str">
        <f>HYPERLINK("http://jsmh.umin.jp/journal/54-2/118.pdf")</f>
        <v>http://jsmh.umin.jp/journal/54-2/118.pdf</v>
      </c>
      <c r="H5208" s="43"/>
    </row>
    <row r="5209" spans="1:8" ht="30" customHeight="1" x14ac:dyDescent="0.15">
      <c r="A5209" s="16" t="s">
        <v>1855</v>
      </c>
      <c r="B5209" s="17" t="s">
        <v>8758</v>
      </c>
      <c r="C5209" s="17" t="s">
        <v>10415</v>
      </c>
      <c r="D5209" s="25" t="s">
        <v>8697</v>
      </c>
      <c r="E5209" s="19" t="s">
        <v>8736</v>
      </c>
      <c r="F5209" s="19" t="s">
        <v>2404</v>
      </c>
      <c r="G5209" s="9" t="str">
        <f>HYPERLINK("http://jsmh.umin.jp/journal/54-2/119.pdf")</f>
        <v>http://jsmh.umin.jp/journal/54-2/119.pdf</v>
      </c>
      <c r="H5209" s="43"/>
    </row>
    <row r="5210" spans="1:8" ht="30" customHeight="1" x14ac:dyDescent="0.15">
      <c r="A5210" s="16" t="s">
        <v>1855</v>
      </c>
      <c r="B5210" s="17" t="s">
        <v>8759</v>
      </c>
      <c r="C5210" s="17" t="s">
        <v>6676</v>
      </c>
      <c r="D5210" s="25" t="s">
        <v>8697</v>
      </c>
      <c r="E5210" s="19" t="s">
        <v>8736</v>
      </c>
      <c r="F5210" s="19" t="s">
        <v>8106</v>
      </c>
      <c r="G5210" s="9" t="str">
        <f>HYPERLINK("http://jsmh.umin.jp/journal/54-2/120.pdf")</f>
        <v>http://jsmh.umin.jp/journal/54-2/120.pdf</v>
      </c>
      <c r="H5210" s="43"/>
    </row>
    <row r="5211" spans="1:8" ht="30" customHeight="1" x14ac:dyDescent="0.15">
      <c r="A5211" s="16" t="s">
        <v>1855</v>
      </c>
      <c r="B5211" s="17" t="s">
        <v>8760</v>
      </c>
      <c r="C5211" s="17" t="s">
        <v>8761</v>
      </c>
      <c r="D5211" s="25" t="s">
        <v>8697</v>
      </c>
      <c r="E5211" s="19" t="s">
        <v>8736</v>
      </c>
      <c r="F5211" s="19" t="s">
        <v>4148</v>
      </c>
      <c r="G5211" s="9" t="str">
        <f>HYPERLINK("http://jsmh.umin.jp/journal/54-2/121.pdf")</f>
        <v>http://jsmh.umin.jp/journal/54-2/121.pdf</v>
      </c>
      <c r="H5211" s="43"/>
    </row>
    <row r="5212" spans="1:8" ht="30" customHeight="1" x14ac:dyDescent="0.15">
      <c r="A5212" s="16" t="s">
        <v>1855</v>
      </c>
      <c r="B5212" s="17" t="s">
        <v>8762</v>
      </c>
      <c r="C5212" s="17" t="s">
        <v>8337</v>
      </c>
      <c r="D5212" s="25" t="s">
        <v>8697</v>
      </c>
      <c r="E5212" s="19" t="s">
        <v>8736</v>
      </c>
      <c r="F5212" s="19" t="s">
        <v>4151</v>
      </c>
      <c r="G5212" s="9" t="str">
        <f>HYPERLINK("http://jsmh.umin.jp/journal/54-2/122.pdf")</f>
        <v>http://jsmh.umin.jp/journal/54-2/122.pdf</v>
      </c>
      <c r="H5212" s="43"/>
    </row>
    <row r="5213" spans="1:8" ht="30" customHeight="1" x14ac:dyDescent="0.15">
      <c r="A5213" s="16" t="s">
        <v>1855</v>
      </c>
      <c r="B5213" s="17" t="s">
        <v>8763</v>
      </c>
      <c r="C5213" s="17" t="s">
        <v>6267</v>
      </c>
      <c r="D5213" s="25" t="s">
        <v>8697</v>
      </c>
      <c r="E5213" s="19" t="s">
        <v>8736</v>
      </c>
      <c r="F5213" s="19" t="s">
        <v>2412</v>
      </c>
      <c r="G5213" s="9" t="str">
        <f>HYPERLINK("http://jsmh.umin.jp/journal/54-2/123.pdf")</f>
        <v>http://jsmh.umin.jp/journal/54-2/123.pdf</v>
      </c>
      <c r="H5213" s="43"/>
    </row>
    <row r="5214" spans="1:8" ht="30" customHeight="1" x14ac:dyDescent="0.15">
      <c r="A5214" s="16" t="s">
        <v>1855</v>
      </c>
      <c r="B5214" s="17" t="s">
        <v>8764</v>
      </c>
      <c r="C5214" s="17" t="s">
        <v>7448</v>
      </c>
      <c r="D5214" s="25" t="s">
        <v>8697</v>
      </c>
      <c r="E5214" s="19" t="s">
        <v>8736</v>
      </c>
      <c r="F5214" s="19" t="s">
        <v>3620</v>
      </c>
      <c r="G5214" s="9" t="str">
        <f>HYPERLINK("http://jsmh.umin.jp/journal/54-2/124.pdf")</f>
        <v>http://jsmh.umin.jp/journal/54-2/124.pdf</v>
      </c>
      <c r="H5214" s="43"/>
    </row>
    <row r="5215" spans="1:8" ht="30" customHeight="1" x14ac:dyDescent="0.15">
      <c r="A5215" s="16" t="s">
        <v>1855</v>
      </c>
      <c r="B5215" s="17" t="s">
        <v>8765</v>
      </c>
      <c r="C5215" s="17" t="s">
        <v>6903</v>
      </c>
      <c r="D5215" s="25" t="s">
        <v>8697</v>
      </c>
      <c r="E5215" s="19" t="s">
        <v>8736</v>
      </c>
      <c r="F5215" s="19" t="s">
        <v>2207</v>
      </c>
      <c r="G5215" s="9" t="str">
        <f>HYPERLINK("http://jsmh.umin.jp/journal/54-2/125.pdf")</f>
        <v>http://jsmh.umin.jp/journal/54-2/125.pdf</v>
      </c>
      <c r="H5215" s="43"/>
    </row>
    <row r="5216" spans="1:8" ht="30" customHeight="1" x14ac:dyDescent="0.15">
      <c r="A5216" s="16" t="s">
        <v>1855</v>
      </c>
      <c r="B5216" s="17" t="s">
        <v>8766</v>
      </c>
      <c r="C5216" s="17" t="s">
        <v>8767</v>
      </c>
      <c r="D5216" s="25" t="s">
        <v>8697</v>
      </c>
      <c r="E5216" s="19" t="s">
        <v>8736</v>
      </c>
      <c r="F5216" s="19" t="s">
        <v>8768</v>
      </c>
      <c r="G5216" s="9" t="str">
        <f>HYPERLINK("http://jsmh.umin.jp/journal/54-2/126.pdf")</f>
        <v>http://jsmh.umin.jp/journal/54-2/126.pdf</v>
      </c>
      <c r="H5216" s="43"/>
    </row>
    <row r="5217" spans="1:8" ht="30" customHeight="1" x14ac:dyDescent="0.15">
      <c r="A5217" s="16" t="s">
        <v>1855</v>
      </c>
      <c r="B5217" s="17" t="s">
        <v>8769</v>
      </c>
      <c r="C5217" s="17" t="s">
        <v>8344</v>
      </c>
      <c r="D5217" s="25" t="s">
        <v>8697</v>
      </c>
      <c r="E5217" s="19" t="s">
        <v>8736</v>
      </c>
      <c r="F5217" s="19" t="s">
        <v>8770</v>
      </c>
      <c r="G5217" s="9" t="str">
        <f>HYPERLINK("http://jsmh.umin.jp/journal/54-2/127.pdf")</f>
        <v>http://jsmh.umin.jp/journal/54-2/127.pdf</v>
      </c>
      <c r="H5217" s="43"/>
    </row>
    <row r="5218" spans="1:8" ht="30" customHeight="1" x14ac:dyDescent="0.15">
      <c r="A5218" s="16" t="s">
        <v>1855</v>
      </c>
      <c r="B5218" s="17" t="s">
        <v>8771</v>
      </c>
      <c r="C5218" s="17" t="s">
        <v>7542</v>
      </c>
      <c r="D5218" s="25" t="s">
        <v>8697</v>
      </c>
      <c r="E5218" s="19" t="s">
        <v>8736</v>
      </c>
      <c r="F5218" s="19" t="s">
        <v>8772</v>
      </c>
      <c r="G5218" s="9" t="str">
        <f>HYPERLINK("http://jsmh.umin.jp/journal/54-2/128.pdf")</f>
        <v>http://jsmh.umin.jp/journal/54-2/128.pdf</v>
      </c>
      <c r="H5218" s="43"/>
    </row>
    <row r="5219" spans="1:8" ht="30" customHeight="1" x14ac:dyDescent="0.15">
      <c r="A5219" s="16" t="s">
        <v>1855</v>
      </c>
      <c r="B5219" s="17" t="s">
        <v>10416</v>
      </c>
      <c r="C5219" s="17" t="s">
        <v>8148</v>
      </c>
      <c r="D5219" s="25" t="s">
        <v>8697</v>
      </c>
      <c r="E5219" s="19" t="s">
        <v>8736</v>
      </c>
      <c r="F5219" s="19" t="s">
        <v>2417</v>
      </c>
      <c r="G5219" s="9" t="str">
        <f>HYPERLINK("http://jsmh.umin.jp/journal/54-2/129.pdf")</f>
        <v>http://jsmh.umin.jp/journal/54-2/129.pdf</v>
      </c>
      <c r="H5219" s="43"/>
    </row>
    <row r="5220" spans="1:8" ht="30" customHeight="1" x14ac:dyDescent="0.15">
      <c r="A5220" s="16" t="s">
        <v>1855</v>
      </c>
      <c r="B5220" s="17" t="s">
        <v>8773</v>
      </c>
      <c r="C5220" s="17" t="s">
        <v>7248</v>
      </c>
      <c r="D5220" s="25" t="s">
        <v>8697</v>
      </c>
      <c r="E5220" s="19" t="s">
        <v>8736</v>
      </c>
      <c r="F5220" s="19" t="s">
        <v>58</v>
      </c>
      <c r="G5220" s="9" t="str">
        <f>HYPERLINK("http://jsmh.umin.jp/journal/54-2/130.pdf")</f>
        <v>http://jsmh.umin.jp/journal/54-2/130.pdf</v>
      </c>
      <c r="H5220" s="43"/>
    </row>
    <row r="5221" spans="1:8" ht="30" customHeight="1" x14ac:dyDescent="0.15">
      <c r="A5221" s="16" t="s">
        <v>1855</v>
      </c>
      <c r="B5221" s="17" t="s">
        <v>8774</v>
      </c>
      <c r="C5221" s="17" t="s">
        <v>8146</v>
      </c>
      <c r="D5221" s="25" t="s">
        <v>8697</v>
      </c>
      <c r="E5221" s="19" t="s">
        <v>8736</v>
      </c>
      <c r="F5221" s="19" t="s">
        <v>8775</v>
      </c>
      <c r="G5221" s="9" t="str">
        <f>HYPERLINK("http://jsmh.umin.jp/journal/54-2/131.pdf")</f>
        <v>http://jsmh.umin.jp/journal/54-2/131.pdf</v>
      </c>
      <c r="H5221" s="43"/>
    </row>
    <row r="5222" spans="1:8" ht="30" customHeight="1" x14ac:dyDescent="0.15">
      <c r="A5222" s="16" t="s">
        <v>1855</v>
      </c>
      <c r="B5222" s="17" t="s">
        <v>8776</v>
      </c>
      <c r="C5222" s="17" t="s">
        <v>7136</v>
      </c>
      <c r="D5222" s="25" t="s">
        <v>8697</v>
      </c>
      <c r="E5222" s="19" t="s">
        <v>8736</v>
      </c>
      <c r="F5222" s="19" t="s">
        <v>221</v>
      </c>
      <c r="G5222" s="9" t="str">
        <f>HYPERLINK("http://jsmh.umin.jp/journal/54-2/132.pdf")</f>
        <v>http://jsmh.umin.jp/journal/54-2/132.pdf</v>
      </c>
      <c r="H5222" s="43"/>
    </row>
    <row r="5223" spans="1:8" ht="30" customHeight="1" x14ac:dyDescent="0.15">
      <c r="A5223" s="16" t="s">
        <v>1855</v>
      </c>
      <c r="B5223" s="17" t="s">
        <v>8777</v>
      </c>
      <c r="C5223" s="17" t="s">
        <v>7583</v>
      </c>
      <c r="D5223" s="25" t="s">
        <v>8697</v>
      </c>
      <c r="E5223" s="19" t="s">
        <v>8736</v>
      </c>
      <c r="F5223" s="19" t="s">
        <v>2220</v>
      </c>
      <c r="G5223" s="9" t="str">
        <f>HYPERLINK("http://jsmh.umin.jp/journal/54-2/133.pdf")</f>
        <v>http://jsmh.umin.jp/journal/54-2/133.pdf</v>
      </c>
      <c r="H5223" s="43"/>
    </row>
    <row r="5224" spans="1:8" ht="30" customHeight="1" x14ac:dyDescent="0.15">
      <c r="A5224" s="16" t="s">
        <v>1855</v>
      </c>
      <c r="B5224" s="17" t="s">
        <v>8778</v>
      </c>
      <c r="C5224" s="17" t="s">
        <v>10417</v>
      </c>
      <c r="D5224" s="25" t="s">
        <v>8697</v>
      </c>
      <c r="E5224" s="19" t="s">
        <v>8736</v>
      </c>
      <c r="F5224" s="19" t="s">
        <v>1506</v>
      </c>
      <c r="G5224" s="9" t="str">
        <f>HYPERLINK("http://jsmh.umin.jp/journal/54-2/134.pdf")</f>
        <v>http://jsmh.umin.jp/journal/54-2/134.pdf</v>
      </c>
      <c r="H5224" s="43"/>
    </row>
    <row r="5225" spans="1:8" ht="30" customHeight="1" x14ac:dyDescent="0.15">
      <c r="A5225" s="16" t="s">
        <v>1855</v>
      </c>
      <c r="B5225" s="17" t="s">
        <v>8779</v>
      </c>
      <c r="C5225" s="17" t="s">
        <v>7180</v>
      </c>
      <c r="D5225" s="25" t="s">
        <v>8697</v>
      </c>
      <c r="E5225" s="19" t="s">
        <v>8736</v>
      </c>
      <c r="F5225" s="19" t="s">
        <v>8780</v>
      </c>
      <c r="G5225" s="9" t="str">
        <f>HYPERLINK("http://jsmh.umin.jp/journal/54-2/135.pdf")</f>
        <v>http://jsmh.umin.jp/journal/54-2/135.pdf</v>
      </c>
      <c r="H5225" s="43"/>
    </row>
    <row r="5226" spans="1:8" ht="30" customHeight="1" x14ac:dyDescent="0.15">
      <c r="A5226" s="16" t="s">
        <v>1855</v>
      </c>
      <c r="B5226" s="17" t="s">
        <v>8781</v>
      </c>
      <c r="C5226" s="17" t="s">
        <v>7366</v>
      </c>
      <c r="D5226" s="25" t="s">
        <v>8697</v>
      </c>
      <c r="E5226" s="19" t="s">
        <v>8736</v>
      </c>
      <c r="F5226" s="19" t="s">
        <v>1347</v>
      </c>
      <c r="G5226" s="9" t="str">
        <f>HYPERLINK("http://jsmh.umin.jp/journal/54-2/136.pdf")</f>
        <v>http://jsmh.umin.jp/journal/54-2/136.pdf</v>
      </c>
      <c r="H5226" s="43"/>
    </row>
    <row r="5227" spans="1:8" ht="30" customHeight="1" x14ac:dyDescent="0.15">
      <c r="A5227" s="16" t="s">
        <v>1855</v>
      </c>
      <c r="B5227" s="17" t="s">
        <v>10418</v>
      </c>
      <c r="C5227" s="17" t="s">
        <v>7176</v>
      </c>
      <c r="D5227" s="25" t="s">
        <v>8697</v>
      </c>
      <c r="E5227" s="19" t="s">
        <v>8736</v>
      </c>
      <c r="F5227" s="19" t="s">
        <v>1351</v>
      </c>
      <c r="G5227" s="9" t="str">
        <f>HYPERLINK("http://jsmh.umin.jp/journal/54-2/137.pdf")</f>
        <v>http://jsmh.umin.jp/journal/54-2/137.pdf</v>
      </c>
      <c r="H5227" s="43"/>
    </row>
    <row r="5228" spans="1:8" ht="30" customHeight="1" x14ac:dyDescent="0.15">
      <c r="A5228" s="16" t="s">
        <v>1855</v>
      </c>
      <c r="B5228" s="17" t="s">
        <v>8782</v>
      </c>
      <c r="C5228" s="17" t="s">
        <v>7420</v>
      </c>
      <c r="D5228" s="25" t="s">
        <v>8697</v>
      </c>
      <c r="E5228" s="19" t="s">
        <v>8736</v>
      </c>
      <c r="F5228" s="19" t="s">
        <v>1353</v>
      </c>
      <c r="G5228" s="9" t="str">
        <f>HYPERLINK("http://jsmh.umin.jp/journal/54-2/138.pdf")</f>
        <v>http://jsmh.umin.jp/journal/54-2/138.pdf</v>
      </c>
      <c r="H5228" s="43"/>
    </row>
    <row r="5229" spans="1:8" ht="30" customHeight="1" x14ac:dyDescent="0.15">
      <c r="A5229" s="16" t="s">
        <v>1855</v>
      </c>
      <c r="B5229" s="17" t="s">
        <v>8783</v>
      </c>
      <c r="C5229" s="17" t="s">
        <v>3644</v>
      </c>
      <c r="D5229" s="25" t="s">
        <v>8697</v>
      </c>
      <c r="E5229" s="19" t="s">
        <v>8736</v>
      </c>
      <c r="F5229" s="19" t="s">
        <v>1358</v>
      </c>
      <c r="G5229" s="9" t="str">
        <f>HYPERLINK("http://jsmh.umin.jp/journal/54-2/139.pdf")</f>
        <v>http://jsmh.umin.jp/journal/54-2/139.pdf</v>
      </c>
      <c r="H5229" s="43"/>
    </row>
    <row r="5230" spans="1:8" ht="30" customHeight="1" x14ac:dyDescent="0.15">
      <c r="A5230" s="16" t="s">
        <v>1855</v>
      </c>
      <c r="B5230" s="17" t="s">
        <v>8784</v>
      </c>
      <c r="C5230" s="17" t="s">
        <v>6705</v>
      </c>
      <c r="D5230" s="25" t="s">
        <v>8697</v>
      </c>
      <c r="E5230" s="19" t="s">
        <v>8736</v>
      </c>
      <c r="F5230" s="19" t="s">
        <v>1361</v>
      </c>
      <c r="G5230" s="9" t="str">
        <f>HYPERLINK("http://jsmh.umin.jp/journal/54-2/140.pdf")</f>
        <v>http://jsmh.umin.jp/journal/54-2/140.pdf</v>
      </c>
      <c r="H5230" s="43"/>
    </row>
    <row r="5231" spans="1:8" ht="30" customHeight="1" x14ac:dyDescent="0.15">
      <c r="A5231" s="16" t="s">
        <v>1855</v>
      </c>
      <c r="B5231" s="17" t="s">
        <v>8785</v>
      </c>
      <c r="C5231" s="17" t="s">
        <v>10299</v>
      </c>
      <c r="D5231" s="25" t="s">
        <v>8697</v>
      </c>
      <c r="E5231" s="19" t="s">
        <v>8736</v>
      </c>
      <c r="F5231" s="19" t="s">
        <v>1363</v>
      </c>
      <c r="G5231" s="9" t="str">
        <f>HYPERLINK("http://jsmh.umin.jp/journal/54-2/141.pdf")</f>
        <v>http://jsmh.umin.jp/journal/54-2/141.pdf</v>
      </c>
      <c r="H5231" s="43"/>
    </row>
    <row r="5232" spans="1:8" ht="30" customHeight="1" x14ac:dyDescent="0.15">
      <c r="A5232" s="16" t="s">
        <v>1855</v>
      </c>
      <c r="B5232" s="17" t="s">
        <v>8786</v>
      </c>
      <c r="C5232" s="17" t="s">
        <v>6394</v>
      </c>
      <c r="D5232" s="25" t="s">
        <v>8697</v>
      </c>
      <c r="E5232" s="19" t="s">
        <v>8736</v>
      </c>
      <c r="F5232" s="19" t="s">
        <v>1367</v>
      </c>
      <c r="G5232" s="9" t="str">
        <f>HYPERLINK("http://jsmh.umin.jp/journal/54-2/142.pdf")</f>
        <v>http://jsmh.umin.jp/journal/54-2/142.pdf</v>
      </c>
      <c r="H5232" s="43"/>
    </row>
    <row r="5233" spans="1:8" ht="30" customHeight="1" x14ac:dyDescent="0.15">
      <c r="A5233" s="16" t="s">
        <v>1855</v>
      </c>
      <c r="B5233" s="17" t="s">
        <v>10419</v>
      </c>
      <c r="C5233" s="17" t="s">
        <v>8212</v>
      </c>
      <c r="D5233" s="25" t="s">
        <v>8697</v>
      </c>
      <c r="E5233" s="19" t="s">
        <v>8736</v>
      </c>
      <c r="F5233" s="19" t="s">
        <v>1369</v>
      </c>
      <c r="G5233" s="9" t="str">
        <f>HYPERLINK("http://jsmh.umin.jp/journal/54-2/143.pdf")</f>
        <v>http://jsmh.umin.jp/journal/54-2/143.pdf</v>
      </c>
      <c r="H5233" s="43"/>
    </row>
    <row r="5234" spans="1:8" ht="30" customHeight="1" x14ac:dyDescent="0.15">
      <c r="A5234" s="16" t="s">
        <v>1855</v>
      </c>
      <c r="B5234" s="17" t="s">
        <v>8787</v>
      </c>
      <c r="C5234" s="17" t="s">
        <v>10289</v>
      </c>
      <c r="D5234" s="25" t="s">
        <v>8697</v>
      </c>
      <c r="E5234" s="19" t="s">
        <v>8736</v>
      </c>
      <c r="F5234" s="19" t="s">
        <v>8788</v>
      </c>
      <c r="G5234" s="9" t="str">
        <f>HYPERLINK("http://jsmh.umin.jp/journal/54-2/144.pdf")</f>
        <v>http://jsmh.umin.jp/journal/54-2/144.pdf</v>
      </c>
      <c r="H5234" s="43"/>
    </row>
    <row r="5235" spans="1:8" ht="30" customHeight="1" x14ac:dyDescent="0.15">
      <c r="A5235" s="16" t="s">
        <v>1855</v>
      </c>
      <c r="B5235" s="17" t="s">
        <v>8789</v>
      </c>
      <c r="C5235" s="17" t="s">
        <v>8790</v>
      </c>
      <c r="D5235" s="25" t="s">
        <v>8697</v>
      </c>
      <c r="E5235" s="19" t="s">
        <v>8736</v>
      </c>
      <c r="F5235" s="19" t="s">
        <v>1520</v>
      </c>
      <c r="G5235" s="9" t="str">
        <f>HYPERLINK("http://jsmh.umin.jp/journal/54-2/145.pdf")</f>
        <v>http://jsmh.umin.jp/journal/54-2/145.pdf</v>
      </c>
      <c r="H5235" s="43"/>
    </row>
    <row r="5236" spans="1:8" ht="30" customHeight="1" x14ac:dyDescent="0.15">
      <c r="A5236" s="16" t="s">
        <v>1855</v>
      </c>
      <c r="B5236" s="17" t="s">
        <v>8791</v>
      </c>
      <c r="C5236" s="17" t="s">
        <v>8305</v>
      </c>
      <c r="D5236" s="25" t="s">
        <v>8697</v>
      </c>
      <c r="E5236" s="19" t="s">
        <v>8736</v>
      </c>
      <c r="F5236" s="19" t="s">
        <v>1524</v>
      </c>
      <c r="G5236" s="9" t="str">
        <f>HYPERLINK("http://jsmh.umin.jp/journal/54-2/146.pdf")</f>
        <v>http://jsmh.umin.jp/journal/54-2/146.pdf</v>
      </c>
      <c r="H5236" s="43"/>
    </row>
    <row r="5237" spans="1:8" ht="30" customHeight="1" x14ac:dyDescent="0.15">
      <c r="A5237" s="16" t="s">
        <v>1855</v>
      </c>
      <c r="B5237" s="17" t="s">
        <v>8792</v>
      </c>
      <c r="C5237" s="17" t="s">
        <v>6565</v>
      </c>
      <c r="D5237" s="25" t="s">
        <v>8697</v>
      </c>
      <c r="E5237" s="19" t="s">
        <v>8736</v>
      </c>
      <c r="F5237" s="19" t="s">
        <v>1526</v>
      </c>
      <c r="G5237" s="9" t="str">
        <f>HYPERLINK("http://jsmh.umin.jp/journal/54-2/147.pdf")</f>
        <v>http://jsmh.umin.jp/journal/54-2/147.pdf</v>
      </c>
      <c r="H5237" s="43"/>
    </row>
    <row r="5238" spans="1:8" ht="30" customHeight="1" x14ac:dyDescent="0.15">
      <c r="A5238" s="16" t="s">
        <v>1855</v>
      </c>
      <c r="B5238" s="17" t="s">
        <v>8793</v>
      </c>
      <c r="C5238" s="17" t="s">
        <v>8794</v>
      </c>
      <c r="D5238" s="25" t="s">
        <v>8697</v>
      </c>
      <c r="E5238" s="19" t="s">
        <v>8736</v>
      </c>
      <c r="F5238" s="19" t="s">
        <v>1686</v>
      </c>
      <c r="G5238" s="9" t="str">
        <f>HYPERLINK("http://jsmh.umin.jp/journal/54-2/148.pdf")</f>
        <v>http://jsmh.umin.jp/journal/54-2/148.pdf</v>
      </c>
      <c r="H5238" s="43"/>
    </row>
    <row r="5239" spans="1:8" ht="30" customHeight="1" x14ac:dyDescent="0.15">
      <c r="A5239" s="16" t="s">
        <v>1855</v>
      </c>
      <c r="B5239" s="17" t="s">
        <v>8795</v>
      </c>
      <c r="C5239" s="17" t="s">
        <v>8796</v>
      </c>
      <c r="D5239" s="25" t="s">
        <v>8697</v>
      </c>
      <c r="E5239" s="19" t="s">
        <v>8736</v>
      </c>
      <c r="F5239" s="19" t="s">
        <v>6645</v>
      </c>
      <c r="G5239" s="9" t="str">
        <f>HYPERLINK("http://jsmh.umin.jp/journal/54-2/149.pdf")</f>
        <v>http://jsmh.umin.jp/journal/54-2/149.pdf</v>
      </c>
      <c r="H5239" s="43"/>
    </row>
    <row r="5240" spans="1:8" ht="30" customHeight="1" x14ac:dyDescent="0.15">
      <c r="A5240" s="16" t="s">
        <v>1855</v>
      </c>
      <c r="B5240" s="17" t="s">
        <v>8797</v>
      </c>
      <c r="C5240" s="17" t="s">
        <v>8798</v>
      </c>
      <c r="D5240" s="25" t="s">
        <v>8697</v>
      </c>
      <c r="E5240" s="19" t="s">
        <v>8736</v>
      </c>
      <c r="F5240" s="19" t="s">
        <v>2244</v>
      </c>
      <c r="G5240" s="9" t="str">
        <f>HYPERLINK("http://jsmh.umin.jp/journal/54-2/150.pdf")</f>
        <v>http://jsmh.umin.jp/journal/54-2/150.pdf</v>
      </c>
      <c r="H5240" s="43"/>
    </row>
    <row r="5241" spans="1:8" ht="30" customHeight="1" x14ac:dyDescent="0.15">
      <c r="A5241" s="16" t="s">
        <v>1855</v>
      </c>
      <c r="B5241" s="17" t="s">
        <v>8799</v>
      </c>
      <c r="C5241" s="17" t="s">
        <v>2881</v>
      </c>
      <c r="D5241" s="25" t="s">
        <v>8697</v>
      </c>
      <c r="E5241" s="19" t="s">
        <v>8736</v>
      </c>
      <c r="F5241" s="19" t="s">
        <v>2245</v>
      </c>
      <c r="G5241" s="9" t="str">
        <f>HYPERLINK("http://jsmh.umin.jp/journal/54-2/151.pdf")</f>
        <v>http://jsmh.umin.jp/journal/54-2/151.pdf</v>
      </c>
      <c r="H5241" s="43"/>
    </row>
    <row r="5242" spans="1:8" ht="30" customHeight="1" x14ac:dyDescent="0.15">
      <c r="A5242" s="16" t="s">
        <v>1855</v>
      </c>
      <c r="B5242" s="17" t="s">
        <v>8800</v>
      </c>
      <c r="C5242" s="17" t="s">
        <v>6370</v>
      </c>
      <c r="D5242" s="25" t="s">
        <v>8697</v>
      </c>
      <c r="E5242" s="19" t="s">
        <v>8736</v>
      </c>
      <c r="F5242" s="19" t="s">
        <v>61</v>
      </c>
      <c r="G5242" s="9" t="str">
        <f>HYPERLINK("http://jsmh.umin.jp/journal/54-2/152.pdf")</f>
        <v>http://jsmh.umin.jp/journal/54-2/152.pdf</v>
      </c>
      <c r="H5242" s="43"/>
    </row>
    <row r="5243" spans="1:8" ht="30" customHeight="1" x14ac:dyDescent="0.15">
      <c r="A5243" s="16" t="s">
        <v>1855</v>
      </c>
      <c r="B5243" s="17" t="s">
        <v>8801</v>
      </c>
      <c r="C5243" s="17" t="s">
        <v>7352</v>
      </c>
      <c r="D5243" s="25" t="s">
        <v>8697</v>
      </c>
      <c r="E5243" s="19" t="s">
        <v>8736</v>
      </c>
      <c r="F5243" s="19" t="s">
        <v>2248</v>
      </c>
      <c r="G5243" s="9" t="str">
        <f>HYPERLINK("http://jsmh.umin.jp/journal/54-2/153.pdf")</f>
        <v>http://jsmh.umin.jp/journal/54-2/153.pdf</v>
      </c>
      <c r="H5243" s="43"/>
    </row>
    <row r="5244" spans="1:8" ht="30" customHeight="1" x14ac:dyDescent="0.15">
      <c r="A5244" s="16" t="s">
        <v>1855</v>
      </c>
      <c r="B5244" s="17" t="s">
        <v>8802</v>
      </c>
      <c r="C5244" s="17" t="s">
        <v>1292</v>
      </c>
      <c r="D5244" s="25" t="s">
        <v>8697</v>
      </c>
      <c r="E5244" s="19" t="s">
        <v>8736</v>
      </c>
      <c r="F5244" s="19" t="s">
        <v>2250</v>
      </c>
      <c r="G5244" s="9" t="str">
        <f>HYPERLINK("http://jsmh.umin.jp/journal/54-2/154.pdf")</f>
        <v>http://jsmh.umin.jp/journal/54-2/154.pdf</v>
      </c>
      <c r="H5244" s="43"/>
    </row>
    <row r="5245" spans="1:8" ht="30" customHeight="1" x14ac:dyDescent="0.15">
      <c r="A5245" s="16" t="s">
        <v>1855</v>
      </c>
      <c r="B5245" s="17" t="s">
        <v>8803</v>
      </c>
      <c r="C5245" s="17" t="s">
        <v>8704</v>
      </c>
      <c r="D5245" s="25" t="s">
        <v>8697</v>
      </c>
      <c r="E5245" s="19" t="s">
        <v>8736</v>
      </c>
      <c r="F5245" s="19" t="s">
        <v>8804</v>
      </c>
      <c r="G5245" s="9" t="str">
        <f>HYPERLINK("http://jsmh.umin.jp/journal/54-2/155.pdf")</f>
        <v>http://jsmh.umin.jp/journal/54-2/155.pdf</v>
      </c>
      <c r="H5245" s="43"/>
    </row>
    <row r="5246" spans="1:8" ht="30" customHeight="1" x14ac:dyDescent="0.15">
      <c r="A5246" s="16" t="s">
        <v>1855</v>
      </c>
      <c r="B5246" s="17" t="s">
        <v>8805</v>
      </c>
      <c r="C5246" s="17" t="s">
        <v>5625</v>
      </c>
      <c r="D5246" s="25" t="s">
        <v>8697</v>
      </c>
      <c r="E5246" s="19" t="s">
        <v>8736</v>
      </c>
      <c r="F5246" s="19" t="s">
        <v>1692</v>
      </c>
      <c r="G5246" s="9" t="str">
        <f>HYPERLINK("http://jsmh.umin.jp/journal/54-2/156.pdf")</f>
        <v>http://jsmh.umin.jp/journal/54-2/156.pdf</v>
      </c>
      <c r="H5246" s="43"/>
    </row>
    <row r="5247" spans="1:8" ht="30" customHeight="1" x14ac:dyDescent="0.15">
      <c r="A5247" s="16" t="s">
        <v>1855</v>
      </c>
      <c r="B5247" s="17" t="s">
        <v>8806</v>
      </c>
      <c r="C5247" s="17" t="s">
        <v>4039</v>
      </c>
      <c r="D5247" s="25" t="s">
        <v>8697</v>
      </c>
      <c r="E5247" s="19" t="s">
        <v>8736</v>
      </c>
      <c r="F5247" s="19" t="s">
        <v>1696</v>
      </c>
      <c r="G5247" s="9" t="str">
        <f>HYPERLINK("http://jsmh.umin.jp/journal/54-2/157.pdf")</f>
        <v>http://jsmh.umin.jp/journal/54-2/157.pdf</v>
      </c>
      <c r="H5247" s="43"/>
    </row>
    <row r="5248" spans="1:8" ht="30" customHeight="1" x14ac:dyDescent="0.15">
      <c r="A5248" s="16" t="s">
        <v>1855</v>
      </c>
      <c r="B5248" s="17" t="s">
        <v>8807</v>
      </c>
      <c r="C5248" s="17" t="s">
        <v>5837</v>
      </c>
      <c r="D5248" s="25" t="s">
        <v>8697</v>
      </c>
      <c r="E5248" s="19" t="s">
        <v>8736</v>
      </c>
      <c r="F5248" s="19" t="s">
        <v>8808</v>
      </c>
      <c r="G5248" s="9" t="str">
        <f>HYPERLINK("http://jsmh.umin.jp/journal/54-2/158.pdf")</f>
        <v>http://jsmh.umin.jp/journal/54-2/158.pdf</v>
      </c>
      <c r="H5248" s="43"/>
    </row>
    <row r="5249" spans="1:8" ht="30" customHeight="1" x14ac:dyDescent="0.15">
      <c r="A5249" s="16" t="s">
        <v>1855</v>
      </c>
      <c r="B5249" s="17" t="s">
        <v>8809</v>
      </c>
      <c r="C5249" s="17" t="s">
        <v>8810</v>
      </c>
      <c r="D5249" s="25" t="s">
        <v>8697</v>
      </c>
      <c r="E5249" s="19" t="s">
        <v>8736</v>
      </c>
      <c r="F5249" s="19" t="s">
        <v>2259</v>
      </c>
      <c r="G5249" s="9" t="str">
        <f>HYPERLINK("http://jsmh.umin.jp/journal/54-2/159.pdf")</f>
        <v>http://jsmh.umin.jp/journal/54-2/159.pdf</v>
      </c>
      <c r="H5249" s="43"/>
    </row>
    <row r="5250" spans="1:8" ht="30" customHeight="1" x14ac:dyDescent="0.15">
      <c r="A5250" s="16" t="s">
        <v>1855</v>
      </c>
      <c r="B5250" s="17" t="s">
        <v>8811</v>
      </c>
      <c r="C5250" s="17" t="s">
        <v>10420</v>
      </c>
      <c r="D5250" s="25" t="s">
        <v>8697</v>
      </c>
      <c r="E5250" s="19" t="s">
        <v>8736</v>
      </c>
      <c r="F5250" s="19" t="s">
        <v>4816</v>
      </c>
      <c r="G5250" s="9" t="str">
        <f>HYPERLINK("http://jsmh.umin.jp/journal/54-2/160.pdf")</f>
        <v>http://jsmh.umin.jp/journal/54-2/160.pdf</v>
      </c>
      <c r="H5250" s="43"/>
    </row>
    <row r="5251" spans="1:8" ht="30" customHeight="1" x14ac:dyDescent="0.15">
      <c r="A5251" s="16" t="s">
        <v>1855</v>
      </c>
      <c r="B5251" s="17" t="s">
        <v>8812</v>
      </c>
      <c r="C5251" s="17" t="s">
        <v>8813</v>
      </c>
      <c r="D5251" s="25" t="s">
        <v>8697</v>
      </c>
      <c r="E5251" s="19" t="s">
        <v>8736</v>
      </c>
      <c r="F5251" s="19" t="s">
        <v>228</v>
      </c>
      <c r="G5251" s="9" t="str">
        <f>HYPERLINK("http://jsmh.umin.jp/journal/54-2/161.pdf")</f>
        <v>http://jsmh.umin.jp/journal/54-2/161.pdf</v>
      </c>
      <c r="H5251" s="43"/>
    </row>
    <row r="5252" spans="1:8" ht="30" customHeight="1" x14ac:dyDescent="0.15">
      <c r="A5252" s="16" t="s">
        <v>1855</v>
      </c>
      <c r="B5252" s="17" t="s">
        <v>8814</v>
      </c>
      <c r="C5252" s="17" t="s">
        <v>8815</v>
      </c>
      <c r="D5252" s="25" t="s">
        <v>8697</v>
      </c>
      <c r="E5252" s="19" t="s">
        <v>8736</v>
      </c>
      <c r="F5252" s="19" t="s">
        <v>8816</v>
      </c>
      <c r="G5252" s="9" t="str">
        <f>HYPERLINK("http://jsmh.umin.jp/journal/54-2/162.pdf")</f>
        <v>http://jsmh.umin.jp/journal/54-2/162.pdf</v>
      </c>
      <c r="H5252" s="43"/>
    </row>
    <row r="5253" spans="1:8" ht="30" customHeight="1" x14ac:dyDescent="0.15">
      <c r="A5253" s="16" t="s">
        <v>1855</v>
      </c>
      <c r="B5253" s="17" t="s">
        <v>10421</v>
      </c>
      <c r="C5253" s="17" t="s">
        <v>8817</v>
      </c>
      <c r="D5253" s="25" t="s">
        <v>8697</v>
      </c>
      <c r="E5253" s="19" t="s">
        <v>8736</v>
      </c>
      <c r="F5253" s="19" t="s">
        <v>3260</v>
      </c>
      <c r="G5253" s="9" t="str">
        <f>HYPERLINK("http://jsmh.umin.jp/journal/54-2/163.pdf")</f>
        <v>http://jsmh.umin.jp/journal/54-2/163.pdf</v>
      </c>
      <c r="H5253" s="43"/>
    </row>
    <row r="5254" spans="1:8" ht="30" customHeight="1" x14ac:dyDescent="0.15">
      <c r="A5254" s="16" t="s">
        <v>17</v>
      </c>
      <c r="B5254" s="17" t="s">
        <v>8818</v>
      </c>
      <c r="C5254" s="17" t="s">
        <v>790</v>
      </c>
      <c r="D5254" s="25" t="s">
        <v>8697</v>
      </c>
      <c r="E5254" s="19" t="s">
        <v>8819</v>
      </c>
      <c r="F5254" s="19" t="s">
        <v>8820</v>
      </c>
      <c r="G5254" s="9" t="str">
        <f>HYPERLINK("http://jsmh.umin.jp/journal/54-3/215.pdf")</f>
        <v>http://jsmh.umin.jp/journal/54-3/215.pdf</v>
      </c>
      <c r="H5254" s="43"/>
    </row>
    <row r="5255" spans="1:8" ht="30" customHeight="1" x14ac:dyDescent="0.15">
      <c r="A5255" s="16" t="s">
        <v>17</v>
      </c>
      <c r="B5255" s="17" t="s">
        <v>8821</v>
      </c>
      <c r="C5255" s="17" t="s">
        <v>8822</v>
      </c>
      <c r="D5255" s="25" t="s">
        <v>8697</v>
      </c>
      <c r="E5255" s="19" t="s">
        <v>8819</v>
      </c>
      <c r="F5255" s="19" t="s">
        <v>8823</v>
      </c>
      <c r="G5255" s="9" t="str">
        <f>HYPERLINK("http://jsmh.umin.jp/journal/54-3/231.pdf")</f>
        <v>http://jsmh.umin.jp/journal/54-3/231.pdf</v>
      </c>
      <c r="H5255" s="43"/>
    </row>
    <row r="5256" spans="1:8" ht="30" customHeight="1" x14ac:dyDescent="0.15">
      <c r="A5256" s="16" t="s">
        <v>17</v>
      </c>
      <c r="B5256" s="17" t="s">
        <v>8824</v>
      </c>
      <c r="C5256" s="17" t="s">
        <v>8825</v>
      </c>
      <c r="D5256" s="25" t="s">
        <v>8697</v>
      </c>
      <c r="E5256" s="19" t="s">
        <v>8819</v>
      </c>
      <c r="F5256" s="19" t="s">
        <v>8826</v>
      </c>
      <c r="G5256" s="9" t="str">
        <f>HYPERLINK("http://jsmh.umin.jp/journal/54-3/239.pdf")</f>
        <v>http://jsmh.umin.jp/journal/54-3/239.pdf</v>
      </c>
      <c r="H5256" s="43"/>
    </row>
    <row r="5257" spans="1:8" ht="30" customHeight="1" x14ac:dyDescent="0.15">
      <c r="A5257" s="16" t="s">
        <v>3387</v>
      </c>
      <c r="B5257" s="17" t="s">
        <v>8827</v>
      </c>
      <c r="C5257" s="17" t="s">
        <v>3644</v>
      </c>
      <c r="D5257" s="25" t="s">
        <v>8697</v>
      </c>
      <c r="E5257" s="19" t="s">
        <v>8819</v>
      </c>
      <c r="F5257" s="19" t="s">
        <v>8828</v>
      </c>
      <c r="G5257" s="9" t="str">
        <f>HYPERLINK("http://jsmh.umin.jp/journal/54-3/249.pdf")</f>
        <v>http://jsmh.umin.jp/journal/54-3/249.pdf</v>
      </c>
      <c r="H5257" s="43"/>
    </row>
    <row r="5258" spans="1:8" ht="30" customHeight="1" x14ac:dyDescent="0.15">
      <c r="A5258" s="16" t="s">
        <v>7637</v>
      </c>
      <c r="B5258" s="17" t="s">
        <v>8829</v>
      </c>
      <c r="C5258" s="17" t="s">
        <v>3644</v>
      </c>
      <c r="D5258" s="25" t="s">
        <v>8697</v>
      </c>
      <c r="E5258" s="19" t="s">
        <v>8819</v>
      </c>
      <c r="F5258" s="19" t="s">
        <v>8830</v>
      </c>
      <c r="G5258" s="9" t="str">
        <f>HYPERLINK("http://jsmh.umin.jp/journal/54-3/259.pdf")</f>
        <v>http://jsmh.umin.jp/journal/54-3/259.pdf</v>
      </c>
      <c r="H5258" s="43"/>
    </row>
    <row r="5259" spans="1:8" ht="30" customHeight="1" x14ac:dyDescent="0.15">
      <c r="A5259" s="16" t="s">
        <v>7637</v>
      </c>
      <c r="B5259" s="17" t="s">
        <v>8831</v>
      </c>
      <c r="C5259" s="17" t="s">
        <v>8678</v>
      </c>
      <c r="D5259" s="25" t="s">
        <v>8697</v>
      </c>
      <c r="E5259" s="19" t="s">
        <v>8819</v>
      </c>
      <c r="F5259" s="19" t="s">
        <v>8832</v>
      </c>
      <c r="G5259" s="9" t="str">
        <f>HYPERLINK("http://jsmh.umin.jp/journal/54-3/265.pdf")</f>
        <v>http://jsmh.umin.jp/journal/54-3/265.pdf</v>
      </c>
      <c r="H5259" s="43"/>
    </row>
    <row r="5260" spans="1:8" ht="30" customHeight="1" x14ac:dyDescent="0.15">
      <c r="A5260" s="16" t="s">
        <v>7637</v>
      </c>
      <c r="B5260" s="17" t="s">
        <v>8833</v>
      </c>
      <c r="C5260" s="17" t="s">
        <v>8834</v>
      </c>
      <c r="D5260" s="25" t="s">
        <v>8697</v>
      </c>
      <c r="E5260" s="19" t="s">
        <v>8819</v>
      </c>
      <c r="F5260" s="19" t="s">
        <v>8835</v>
      </c>
      <c r="G5260" s="9" t="str">
        <f>HYPERLINK("http://jsmh.umin.jp/journal/54-3/275.pdf")</f>
        <v>http://jsmh.umin.jp/journal/54-3/275.pdf</v>
      </c>
      <c r="H5260" s="43"/>
    </row>
    <row r="5261" spans="1:8" ht="30" customHeight="1" x14ac:dyDescent="0.15">
      <c r="A5261" s="16" t="s">
        <v>692</v>
      </c>
      <c r="B5261" s="17" t="s">
        <v>8836</v>
      </c>
      <c r="C5261" s="17" t="s">
        <v>8837</v>
      </c>
      <c r="D5261" s="25" t="s">
        <v>8697</v>
      </c>
      <c r="E5261" s="19" t="s">
        <v>8819</v>
      </c>
      <c r="F5261" s="19" t="s">
        <v>5893</v>
      </c>
      <c r="G5261" s="9" t="str">
        <f>HYPERLINK("http://jsmh.umin.jp/journal/54-3/281.pdf")</f>
        <v>http://jsmh.umin.jp/journal/54-3/281.pdf</v>
      </c>
      <c r="H5261" s="43"/>
    </row>
    <row r="5262" spans="1:8" ht="30" customHeight="1" x14ac:dyDescent="0.15">
      <c r="A5262" s="16" t="s">
        <v>692</v>
      </c>
      <c r="B5262" s="17" t="s">
        <v>8838</v>
      </c>
      <c r="C5262" s="17" t="s">
        <v>4870</v>
      </c>
      <c r="D5262" s="25" t="s">
        <v>8697</v>
      </c>
      <c r="E5262" s="19" t="s">
        <v>8819</v>
      </c>
      <c r="F5262" s="19" t="s">
        <v>8839</v>
      </c>
      <c r="G5262" s="9" t="str">
        <f>HYPERLINK("http://jsmh.umin.jp/journal/54-3/293.pdf")</f>
        <v>http://jsmh.umin.jp/journal/54-3/293.pdf</v>
      </c>
      <c r="H5262" s="43"/>
    </row>
    <row r="5263" spans="1:8" ht="30" customHeight="1" x14ac:dyDescent="0.15">
      <c r="A5263" s="16" t="s">
        <v>3720</v>
      </c>
      <c r="B5263" s="17" t="s">
        <v>8840</v>
      </c>
      <c r="C5263" s="17" t="s">
        <v>5778</v>
      </c>
      <c r="D5263" s="25" t="s">
        <v>8697</v>
      </c>
      <c r="E5263" s="19" t="s">
        <v>8819</v>
      </c>
      <c r="F5263" s="19" t="s">
        <v>3113</v>
      </c>
      <c r="G5263" s="27" t="str">
        <f>HYPERLINK("http://jsmh.umin.jp/journal/54-3/303.pdf")</f>
        <v>http://jsmh.umin.jp/journal/54-3/303.pdf</v>
      </c>
      <c r="H5263" s="43"/>
    </row>
    <row r="5264" spans="1:8" ht="30" customHeight="1" x14ac:dyDescent="0.15">
      <c r="A5264" s="16" t="s">
        <v>558</v>
      </c>
      <c r="B5264" s="17" t="s">
        <v>8841</v>
      </c>
      <c r="C5264" s="17"/>
      <c r="D5264" s="25" t="s">
        <v>8697</v>
      </c>
      <c r="E5264" s="19" t="s">
        <v>8819</v>
      </c>
      <c r="F5264" s="19" t="s">
        <v>8842</v>
      </c>
      <c r="G5264" s="27" t="str">
        <f>HYPERLINK("http://jsmh.umin.jp/journal/54-3/303k.pdf")</f>
        <v>http://jsmh.umin.jp/journal/54-3/303k.pdf</v>
      </c>
      <c r="H5264" s="43"/>
    </row>
    <row r="5265" spans="1:8" ht="30" customHeight="1" x14ac:dyDescent="0.15">
      <c r="A5265" s="16" t="s">
        <v>3720</v>
      </c>
      <c r="B5265" s="17" t="s">
        <v>8843</v>
      </c>
      <c r="C5265" s="17" t="s">
        <v>8844</v>
      </c>
      <c r="D5265" s="25" t="s">
        <v>8697</v>
      </c>
      <c r="E5265" s="19" t="s">
        <v>8819</v>
      </c>
      <c r="F5265" s="19" t="s">
        <v>8845</v>
      </c>
      <c r="G5265" s="9" t="str">
        <f>HYPERLINK("http://jsmh.umin.jp/journal/54-3/305.pdf")</f>
        <v>http://jsmh.umin.jp/journal/54-3/305.pdf</v>
      </c>
      <c r="H5265" s="43"/>
    </row>
    <row r="5266" spans="1:8" ht="30" customHeight="1" x14ac:dyDescent="0.15">
      <c r="A5266" s="16" t="s">
        <v>3720</v>
      </c>
      <c r="B5266" s="17" t="s">
        <v>8846</v>
      </c>
      <c r="C5266" s="17" t="s">
        <v>7316</v>
      </c>
      <c r="D5266" s="25" t="s">
        <v>8697</v>
      </c>
      <c r="E5266" s="19" t="s">
        <v>8819</v>
      </c>
      <c r="F5266" s="19" t="s">
        <v>8847</v>
      </c>
      <c r="G5266" s="9" t="str">
        <f>HYPERLINK("http://jsmh.umin.jp/journal/54-3/307.pdf")</f>
        <v>http://jsmh.umin.jp/journal/54-3/307.pdf</v>
      </c>
      <c r="H5266" s="43"/>
    </row>
    <row r="5267" spans="1:8" ht="30" customHeight="1" x14ac:dyDescent="0.15">
      <c r="A5267" s="16" t="s">
        <v>3720</v>
      </c>
      <c r="B5267" s="17" t="s">
        <v>8848</v>
      </c>
      <c r="C5267" s="17" t="s">
        <v>8849</v>
      </c>
      <c r="D5267" s="25" t="s">
        <v>8697</v>
      </c>
      <c r="E5267" s="19" t="s">
        <v>8819</v>
      </c>
      <c r="F5267" s="19" t="s">
        <v>1432</v>
      </c>
      <c r="G5267" s="9" t="str">
        <f>HYPERLINK("http://jsmh.umin.jp/journal/54-3/308.pdf")</f>
        <v>http://jsmh.umin.jp/journal/54-3/308.pdf</v>
      </c>
      <c r="H5267" s="43"/>
    </row>
    <row r="5268" spans="1:8" ht="30" customHeight="1" x14ac:dyDescent="0.15">
      <c r="A5268" s="16" t="s">
        <v>3720</v>
      </c>
      <c r="B5268" s="17" t="s">
        <v>8850</v>
      </c>
      <c r="C5268" s="17" t="s">
        <v>10278</v>
      </c>
      <c r="D5268" s="25" t="s">
        <v>8697</v>
      </c>
      <c r="E5268" s="19" t="s">
        <v>8819</v>
      </c>
      <c r="F5268" s="19" t="s">
        <v>2296</v>
      </c>
      <c r="G5268" s="9" t="str">
        <f>HYPERLINK("http://jsmh.umin.jp/journal/54-3/309.pdf")</f>
        <v>http://jsmh.umin.jp/journal/54-3/309.pdf</v>
      </c>
      <c r="H5268" s="43"/>
    </row>
    <row r="5269" spans="1:8" ht="30" customHeight="1" x14ac:dyDescent="0.15">
      <c r="A5269" s="16" t="s">
        <v>2990</v>
      </c>
      <c r="B5269" s="17" t="s">
        <v>8851</v>
      </c>
      <c r="C5269" s="17" t="s">
        <v>4342</v>
      </c>
      <c r="D5269" s="25" t="s">
        <v>8697</v>
      </c>
      <c r="E5269" s="19" t="s">
        <v>8819</v>
      </c>
      <c r="F5269" s="19" t="s">
        <v>5510</v>
      </c>
      <c r="G5269" s="9" t="str">
        <f>HYPERLINK("http://jsmh.umin.jp/journal/54-3/311.pdf")</f>
        <v>http://jsmh.umin.jp/journal/54-3/311.pdf</v>
      </c>
      <c r="H5269" s="43"/>
    </row>
    <row r="5270" spans="1:8" ht="30" customHeight="1" x14ac:dyDescent="0.15">
      <c r="A5270" s="16" t="s">
        <v>2990</v>
      </c>
      <c r="B5270" s="17" t="s">
        <v>8852</v>
      </c>
      <c r="C5270" s="17" t="s">
        <v>1803</v>
      </c>
      <c r="D5270" s="25" t="s">
        <v>8697</v>
      </c>
      <c r="E5270" s="19" t="s">
        <v>8819</v>
      </c>
      <c r="F5270" s="19" t="s">
        <v>6073</v>
      </c>
      <c r="G5270" s="9" t="str">
        <f>HYPERLINK("http://jsmh.umin.jp/journal/54-3/312.pdf")</f>
        <v>http://jsmh.umin.jp/journal/54-3/312.pdf</v>
      </c>
      <c r="H5270" s="43"/>
    </row>
    <row r="5271" spans="1:8" ht="30" customHeight="1" x14ac:dyDescent="0.15">
      <c r="A5271" s="16" t="s">
        <v>2990</v>
      </c>
      <c r="B5271" s="17" t="s">
        <v>8853</v>
      </c>
      <c r="C5271" s="17" t="s">
        <v>5516</v>
      </c>
      <c r="D5271" s="25" t="s">
        <v>8697</v>
      </c>
      <c r="E5271" s="19" t="s">
        <v>8819</v>
      </c>
      <c r="F5271" s="19" t="s">
        <v>1774</v>
      </c>
      <c r="G5271" s="9" t="str">
        <f>HYPERLINK("http://jsmh.umin.jp/journal/54-3/313.pdf")</f>
        <v>http://jsmh.umin.jp/journal/54-3/313.pdf</v>
      </c>
      <c r="H5271" s="43"/>
    </row>
    <row r="5272" spans="1:8" ht="30" customHeight="1" x14ac:dyDescent="0.15">
      <c r="A5272" s="16" t="s">
        <v>2990</v>
      </c>
      <c r="B5272" s="17" t="s">
        <v>8854</v>
      </c>
      <c r="C5272" s="17" t="s">
        <v>8855</v>
      </c>
      <c r="D5272" s="25" t="s">
        <v>8697</v>
      </c>
      <c r="E5272" s="19" t="s">
        <v>8819</v>
      </c>
      <c r="F5272" s="19" t="s">
        <v>1779</v>
      </c>
      <c r="G5272" s="9" t="str">
        <f>HYPERLINK("http://jsmh.umin.jp/journal/54-3/314.pdf")</f>
        <v>http://jsmh.umin.jp/journal/54-3/314.pdf</v>
      </c>
      <c r="H5272" s="43"/>
    </row>
    <row r="5273" spans="1:8" ht="30" customHeight="1" x14ac:dyDescent="0.15">
      <c r="A5273" s="16" t="s">
        <v>2990</v>
      </c>
      <c r="B5273" s="17" t="s">
        <v>10422</v>
      </c>
      <c r="C5273" s="17" t="s">
        <v>1082</v>
      </c>
      <c r="D5273" s="25" t="s">
        <v>8697</v>
      </c>
      <c r="E5273" s="19" t="s">
        <v>8819</v>
      </c>
      <c r="F5273" s="19" t="s">
        <v>2980</v>
      </c>
      <c r="G5273" s="9" t="str">
        <f>HYPERLINK("http://jsmh.umin.jp/journal/54-3/315.pdf")</f>
        <v>http://jsmh.umin.jp/journal/54-3/315.pdf</v>
      </c>
      <c r="H5273" s="43"/>
    </row>
    <row r="5274" spans="1:8" ht="30" customHeight="1" x14ac:dyDescent="0.15">
      <c r="A5274" s="16" t="s">
        <v>17</v>
      </c>
      <c r="B5274" s="17" t="s">
        <v>8856</v>
      </c>
      <c r="C5274" s="17" t="s">
        <v>8707</v>
      </c>
      <c r="D5274" s="25" t="s">
        <v>8697</v>
      </c>
      <c r="E5274" s="19" t="s">
        <v>8857</v>
      </c>
      <c r="F5274" s="19" t="s">
        <v>8858</v>
      </c>
      <c r="G5274" s="9" t="str">
        <f>HYPERLINK("http://jsmh.umin.jp/journal/54-4/325.pdf")</f>
        <v>http://jsmh.umin.jp/journal/54-4/325.pdf</v>
      </c>
      <c r="H5274" s="43"/>
    </row>
    <row r="5275" spans="1:8" ht="30" customHeight="1" x14ac:dyDescent="0.15">
      <c r="A5275" s="16" t="s">
        <v>17</v>
      </c>
      <c r="B5275" s="17" t="s">
        <v>8859</v>
      </c>
      <c r="C5275" s="17" t="s">
        <v>790</v>
      </c>
      <c r="D5275" s="25" t="s">
        <v>8697</v>
      </c>
      <c r="E5275" s="19" t="s">
        <v>8857</v>
      </c>
      <c r="F5275" s="19" t="s">
        <v>8860</v>
      </c>
      <c r="G5275" s="9" t="str">
        <f>HYPERLINK("http://jsmh.umin.jp/journal/54-4/339.pdf")</f>
        <v>http://jsmh.umin.jp/journal/54-4/339.pdf</v>
      </c>
      <c r="H5275" s="43"/>
    </row>
    <row r="5276" spans="1:8" ht="30" customHeight="1" x14ac:dyDescent="0.15">
      <c r="A5276" s="16" t="s">
        <v>17</v>
      </c>
      <c r="B5276" s="17" t="s">
        <v>8861</v>
      </c>
      <c r="C5276" s="17" t="s">
        <v>6565</v>
      </c>
      <c r="D5276" s="25" t="s">
        <v>8697</v>
      </c>
      <c r="E5276" s="19" t="s">
        <v>8857</v>
      </c>
      <c r="F5276" s="19" t="s">
        <v>8862</v>
      </c>
      <c r="G5276" s="9" t="str">
        <f>HYPERLINK("http://jsmh.umin.jp/journal/54-4/359.pdf")</f>
        <v>http://jsmh.umin.jp/journal/54-4/359.pdf</v>
      </c>
      <c r="H5276" s="43"/>
    </row>
    <row r="5277" spans="1:8" ht="30" customHeight="1" x14ac:dyDescent="0.15">
      <c r="A5277" s="16" t="s">
        <v>17</v>
      </c>
      <c r="B5277" s="17" t="s">
        <v>8863</v>
      </c>
      <c r="C5277" s="17" t="s">
        <v>8864</v>
      </c>
      <c r="D5277" s="25" t="s">
        <v>8697</v>
      </c>
      <c r="E5277" s="19" t="s">
        <v>8857</v>
      </c>
      <c r="F5277" s="19" t="s">
        <v>8865</v>
      </c>
      <c r="G5277" s="9" t="str">
        <f>HYPERLINK("http://jsmh.umin.jp/journal/54-4/373.pdf")</f>
        <v>http://jsmh.umin.jp/journal/54-4/373.pdf</v>
      </c>
      <c r="H5277" s="43"/>
    </row>
    <row r="5278" spans="1:8" ht="30" customHeight="1" x14ac:dyDescent="0.15">
      <c r="A5278" s="16" t="s">
        <v>692</v>
      </c>
      <c r="B5278" s="17" t="s">
        <v>8866</v>
      </c>
      <c r="C5278" s="17" t="s">
        <v>8867</v>
      </c>
      <c r="D5278" s="25" t="s">
        <v>8697</v>
      </c>
      <c r="E5278" s="19" t="s">
        <v>8857</v>
      </c>
      <c r="F5278" s="19" t="s">
        <v>8868</v>
      </c>
      <c r="G5278" s="9" t="str">
        <f>HYPERLINK("http://jsmh.umin.jp/journal/54-4/387.pdf")</f>
        <v>http://jsmh.umin.jp/journal/54-4/387.pdf</v>
      </c>
      <c r="H5278" s="43"/>
    </row>
    <row r="5279" spans="1:8" ht="30" customHeight="1" x14ac:dyDescent="0.15">
      <c r="A5279" s="16" t="s">
        <v>692</v>
      </c>
      <c r="B5279" s="17" t="s">
        <v>8869</v>
      </c>
      <c r="C5279" s="17" t="s">
        <v>6565</v>
      </c>
      <c r="D5279" s="25" t="s">
        <v>8697</v>
      </c>
      <c r="E5279" s="19" t="s">
        <v>8857</v>
      </c>
      <c r="F5279" s="19" t="s">
        <v>8870</v>
      </c>
      <c r="G5279" s="9" t="str">
        <f>HYPERLINK("http://jsmh.umin.jp/journal/54-4/393.pdf")</f>
        <v>http://jsmh.umin.jp/journal/54-4/393.pdf</v>
      </c>
      <c r="H5279" s="43"/>
    </row>
    <row r="5280" spans="1:8" ht="30" customHeight="1" x14ac:dyDescent="0.15">
      <c r="A5280" s="16" t="s">
        <v>692</v>
      </c>
      <c r="B5280" s="17" t="s">
        <v>8871</v>
      </c>
      <c r="C5280" s="17" t="s">
        <v>4870</v>
      </c>
      <c r="D5280" s="25" t="s">
        <v>8697</v>
      </c>
      <c r="E5280" s="19" t="s">
        <v>8857</v>
      </c>
      <c r="F5280" s="19" t="s">
        <v>8872</v>
      </c>
      <c r="G5280" s="9" t="str">
        <f>HYPERLINK("http://jsmh.umin.jp/journal/54-4/399.pdf")</f>
        <v>http://jsmh.umin.jp/journal/54-4/399.pdf</v>
      </c>
      <c r="H5280" s="43"/>
    </row>
    <row r="5281" spans="1:8" ht="30" customHeight="1" x14ac:dyDescent="0.15">
      <c r="A5281" s="16" t="s">
        <v>558</v>
      </c>
      <c r="B5281" s="17" t="s">
        <v>10423</v>
      </c>
      <c r="C5281" s="17" t="s">
        <v>6300</v>
      </c>
      <c r="D5281" s="25" t="s">
        <v>8697</v>
      </c>
      <c r="E5281" s="19" t="s">
        <v>8857</v>
      </c>
      <c r="F5281" s="19" t="s">
        <v>8873</v>
      </c>
      <c r="G5281" s="9" t="str">
        <f>HYPERLINK("http://jsmh.umin.jp/journal/54-4/409.pdf")</f>
        <v>http://jsmh.umin.jp/journal/54-4/409.pdf</v>
      </c>
      <c r="H5281" s="43"/>
    </row>
    <row r="5282" spans="1:8" ht="30" customHeight="1" x14ac:dyDescent="0.15">
      <c r="A5282" s="16" t="s">
        <v>1855</v>
      </c>
      <c r="B5282" s="17" t="s">
        <v>8874</v>
      </c>
      <c r="C5282" s="17" t="s">
        <v>8849</v>
      </c>
      <c r="D5282" s="25" t="s">
        <v>8697</v>
      </c>
      <c r="E5282" s="19" t="s">
        <v>8857</v>
      </c>
      <c r="F5282" s="19" t="s">
        <v>8875</v>
      </c>
      <c r="G5282" s="9" t="str">
        <f>HYPERLINK("http://jsmh.umin.jp/journal/54-4/411.pdf")</f>
        <v>http://jsmh.umin.jp/journal/54-4/411.pdf</v>
      </c>
      <c r="H5282" s="43"/>
    </row>
    <row r="5283" spans="1:8" ht="30" customHeight="1" x14ac:dyDescent="0.15">
      <c r="A5283" s="16" t="s">
        <v>558</v>
      </c>
      <c r="B5283" s="17" t="s">
        <v>8876</v>
      </c>
      <c r="C5283" s="17"/>
      <c r="D5283" s="25" t="s">
        <v>8697</v>
      </c>
      <c r="E5283" s="19" t="s">
        <v>8857</v>
      </c>
      <c r="F5283" s="19" t="s">
        <v>4432</v>
      </c>
      <c r="G5283" s="9" t="str">
        <f>HYPERLINK("http://jsmh.umin.jp/journal/54-4/411k.pdf")</f>
        <v>http://jsmh.umin.jp/journal/54-4/411k.pdf</v>
      </c>
      <c r="H5283" s="43"/>
    </row>
    <row r="5284" spans="1:8" ht="30" customHeight="1" x14ac:dyDescent="0.15">
      <c r="A5284" s="16" t="s">
        <v>558</v>
      </c>
      <c r="B5284" s="17" t="s">
        <v>10424</v>
      </c>
      <c r="C5284" s="17" t="s">
        <v>7316</v>
      </c>
      <c r="D5284" s="25" t="s">
        <v>8697</v>
      </c>
      <c r="E5284" s="19" t="s">
        <v>8857</v>
      </c>
      <c r="F5284" s="19" t="s">
        <v>7172</v>
      </c>
      <c r="G5284" s="9" t="str">
        <f>HYPERLINK("http://jsmh.umin.jp/journal/54-4/412.pdf")</f>
        <v>http://jsmh.umin.jp/journal/54-4/412.pdf</v>
      </c>
      <c r="H5284" s="43"/>
    </row>
    <row r="5285" spans="1:8" ht="30" customHeight="1" x14ac:dyDescent="0.15">
      <c r="A5285" s="16" t="s">
        <v>2990</v>
      </c>
      <c r="B5285" s="17" t="s">
        <v>8877</v>
      </c>
      <c r="C5285" s="17" t="s">
        <v>6903</v>
      </c>
      <c r="D5285" s="25" t="s">
        <v>8697</v>
      </c>
      <c r="E5285" s="19" t="s">
        <v>8857</v>
      </c>
      <c r="F5285" s="19" t="s">
        <v>6305</v>
      </c>
      <c r="G5285" s="9" t="str">
        <f>HYPERLINK("http://jsmh.umin.jp/journal/54-4/414-416.pdf")</f>
        <v>http://jsmh.umin.jp/journal/54-4/414-416.pdf</v>
      </c>
      <c r="H5285" s="43"/>
    </row>
    <row r="5286" spans="1:8" ht="30" customHeight="1" x14ac:dyDescent="0.15">
      <c r="A5286" s="16" t="s">
        <v>2990</v>
      </c>
      <c r="B5286" s="17" t="s">
        <v>8878</v>
      </c>
      <c r="C5286" s="17" t="s">
        <v>8436</v>
      </c>
      <c r="D5286" s="25" t="s">
        <v>8697</v>
      </c>
      <c r="E5286" s="19" t="s">
        <v>8857</v>
      </c>
      <c r="F5286" s="19" t="s">
        <v>8879</v>
      </c>
      <c r="G5286" s="9" t="str">
        <f>HYPERLINK("http://jsmh.umin.jp/journal/54-4/414.pdf")</f>
        <v>http://jsmh.umin.jp/journal/54-4/414.pdf</v>
      </c>
      <c r="H5286" s="43"/>
    </row>
    <row r="5287" spans="1:8" ht="30" customHeight="1" x14ac:dyDescent="0.15">
      <c r="A5287" s="16" t="s">
        <v>558</v>
      </c>
      <c r="B5287" s="17" t="s">
        <v>8880</v>
      </c>
      <c r="C5287" s="17"/>
      <c r="D5287" s="25" t="s">
        <v>8697</v>
      </c>
      <c r="E5287" s="19" t="s">
        <v>8857</v>
      </c>
      <c r="F5287" s="19" t="s">
        <v>8881</v>
      </c>
      <c r="G5287" s="9" t="str">
        <f>HYPERLINK("http://jsmh.umin.jp/journal/54-4/420.pdf")</f>
        <v>http://jsmh.umin.jp/journal/54-4/420.pdf</v>
      </c>
      <c r="H5287" s="43"/>
    </row>
    <row r="5288" spans="1:8" ht="30" customHeight="1" x14ac:dyDescent="0.15">
      <c r="A5288" s="16" t="s">
        <v>558</v>
      </c>
      <c r="B5288" s="17" t="s">
        <v>8882</v>
      </c>
      <c r="C5288" s="17"/>
      <c r="D5288" s="25" t="s">
        <v>8697</v>
      </c>
      <c r="E5288" s="19" t="s">
        <v>8857</v>
      </c>
      <c r="F5288" s="19" t="s">
        <v>8883</v>
      </c>
      <c r="G5288" s="27" t="str">
        <f>HYPERLINK("http://jsmh.umin.jp/journal/54-4/kaiho.pdf")</f>
        <v>http://jsmh.umin.jp/journal/54-4/kaiho.pdf</v>
      </c>
      <c r="H5288" s="43"/>
    </row>
    <row r="5289" spans="1:8" ht="30" customHeight="1" x14ac:dyDescent="0.15">
      <c r="A5289" s="16" t="s">
        <v>17</v>
      </c>
      <c r="B5289" s="17" t="s">
        <v>10425</v>
      </c>
      <c r="C5289" s="17" t="s">
        <v>10426</v>
      </c>
      <c r="D5289" s="18" t="s">
        <v>8884</v>
      </c>
      <c r="E5289" s="19" t="s">
        <v>8885</v>
      </c>
      <c r="F5289" s="19" t="s">
        <v>8886</v>
      </c>
      <c r="G5289" s="9" t="str">
        <f>HYPERLINK("http://jsmh.umin.jp/journal/55-1/3-13.pdf")</f>
        <v>http://jsmh.umin.jp/journal/55-1/3-13.pdf</v>
      </c>
      <c r="H5289" s="43"/>
    </row>
    <row r="5290" spans="1:8" ht="30" customHeight="1" x14ac:dyDescent="0.15">
      <c r="A5290" s="16" t="s">
        <v>17</v>
      </c>
      <c r="B5290" s="17" t="s">
        <v>8887</v>
      </c>
      <c r="C5290" s="17" t="s">
        <v>8888</v>
      </c>
      <c r="D5290" s="25" t="s">
        <v>8884</v>
      </c>
      <c r="E5290" s="19" t="s">
        <v>8885</v>
      </c>
      <c r="F5290" s="19" t="s">
        <v>8889</v>
      </c>
      <c r="G5290" s="9" t="str">
        <f>HYPERLINK("http://jsmh.umin.jp/journal/55-1/15.pdf")</f>
        <v>http://jsmh.umin.jp/journal/55-1/15.pdf</v>
      </c>
      <c r="H5290" s="43"/>
    </row>
    <row r="5291" spans="1:8" ht="30" customHeight="1" x14ac:dyDescent="0.15">
      <c r="A5291" s="16" t="s">
        <v>17</v>
      </c>
      <c r="B5291" s="17" t="s">
        <v>8890</v>
      </c>
      <c r="C5291" s="17" t="s">
        <v>8601</v>
      </c>
      <c r="D5291" s="25" t="s">
        <v>8884</v>
      </c>
      <c r="E5291" s="19" t="s">
        <v>8885</v>
      </c>
      <c r="F5291" s="19" t="s">
        <v>8891</v>
      </c>
      <c r="G5291" s="9" t="str">
        <f>HYPERLINK("http://jsmh.umin.jp/journal/55-1/31.pdf")</f>
        <v>http://jsmh.umin.jp/journal/55-1/31.pdf</v>
      </c>
      <c r="H5291" s="43"/>
    </row>
    <row r="5292" spans="1:8" ht="30" customHeight="1" x14ac:dyDescent="0.15">
      <c r="A5292" s="16" t="s">
        <v>17</v>
      </c>
      <c r="B5292" s="17" t="s">
        <v>8892</v>
      </c>
      <c r="C5292" s="17" t="s">
        <v>10355</v>
      </c>
      <c r="D5292" s="25" t="s">
        <v>8884</v>
      </c>
      <c r="E5292" s="19" t="s">
        <v>8885</v>
      </c>
      <c r="F5292" s="19" t="s">
        <v>8893</v>
      </c>
      <c r="G5292" s="9" t="str">
        <f>HYPERLINK("http://jsmh.umin.jp/journal/55-1/43.pdf")</f>
        <v>http://jsmh.umin.jp/journal/55-1/43.pdf</v>
      </c>
      <c r="H5292" s="43"/>
    </row>
    <row r="5293" spans="1:8" ht="30" customHeight="1" x14ac:dyDescent="0.15">
      <c r="A5293" s="16" t="s">
        <v>17</v>
      </c>
      <c r="B5293" s="17" t="s">
        <v>8894</v>
      </c>
      <c r="C5293" s="17" t="s">
        <v>8678</v>
      </c>
      <c r="D5293" s="25" t="s">
        <v>8884</v>
      </c>
      <c r="E5293" s="19" t="s">
        <v>8885</v>
      </c>
      <c r="F5293" s="19" t="s">
        <v>8895</v>
      </c>
      <c r="G5293" s="9" t="str">
        <f>HYPERLINK("http://jsmh.umin.jp/journal/55-1/57.pdf")</f>
        <v>http://jsmh.umin.jp/journal/55-1/57.pdf</v>
      </c>
      <c r="H5293" s="43"/>
    </row>
    <row r="5294" spans="1:8" ht="30" customHeight="1" x14ac:dyDescent="0.15">
      <c r="A5294" s="16" t="s">
        <v>17</v>
      </c>
      <c r="B5294" s="17" t="s">
        <v>8896</v>
      </c>
      <c r="C5294" s="17" t="s">
        <v>8897</v>
      </c>
      <c r="D5294" s="25" t="s">
        <v>8884</v>
      </c>
      <c r="E5294" s="19" t="s">
        <v>8885</v>
      </c>
      <c r="F5294" s="19" t="s">
        <v>774</v>
      </c>
      <c r="G5294" s="9" t="str">
        <f>HYPERLINK("http://jsmh.umin.jp/journal/55-1/77.pdf")</f>
        <v>http://jsmh.umin.jp/journal/55-1/77.pdf</v>
      </c>
      <c r="H5294" s="43"/>
    </row>
    <row r="5295" spans="1:8" ht="30" customHeight="1" x14ac:dyDescent="0.15">
      <c r="A5295" s="16" t="s">
        <v>8453</v>
      </c>
      <c r="B5295" s="17" t="s">
        <v>10427</v>
      </c>
      <c r="C5295" s="17" t="s">
        <v>2937</v>
      </c>
      <c r="D5295" s="25" t="s">
        <v>8884</v>
      </c>
      <c r="E5295" s="19" t="s">
        <v>8885</v>
      </c>
      <c r="F5295" s="19" t="s">
        <v>943</v>
      </c>
      <c r="G5295" s="9" t="str">
        <f>HYPERLINK("http://jsmh.umin.jp/journal/55-1/97.pdf")</f>
        <v>http://jsmh.umin.jp/journal/55-1/97.pdf</v>
      </c>
      <c r="H5295" s="43"/>
    </row>
    <row r="5296" spans="1:8" ht="30" customHeight="1" x14ac:dyDescent="0.15">
      <c r="A5296" s="16" t="s">
        <v>8453</v>
      </c>
      <c r="B5296" s="17" t="s">
        <v>8898</v>
      </c>
      <c r="C5296" s="17" t="s">
        <v>4864</v>
      </c>
      <c r="D5296" s="25" t="s">
        <v>8884</v>
      </c>
      <c r="E5296" s="19" t="s">
        <v>8885</v>
      </c>
      <c r="F5296" s="19" t="s">
        <v>2381</v>
      </c>
      <c r="G5296" s="9" t="str">
        <f>HYPERLINK("http://jsmh.umin.jp/journal/55-1/101.pdf")</f>
        <v>http://jsmh.umin.jp/journal/55-1/101.pdf</v>
      </c>
      <c r="H5296" s="43"/>
    </row>
    <row r="5297" spans="1:8" ht="30" customHeight="1" x14ac:dyDescent="0.15">
      <c r="A5297" s="16" t="s">
        <v>8453</v>
      </c>
      <c r="B5297" s="17" t="s">
        <v>10428</v>
      </c>
      <c r="C5297" s="17" t="s">
        <v>790</v>
      </c>
      <c r="D5297" s="25" t="s">
        <v>8884</v>
      </c>
      <c r="E5297" s="19" t="s">
        <v>8885</v>
      </c>
      <c r="F5297" s="19" t="s">
        <v>951</v>
      </c>
      <c r="G5297" s="9" t="str">
        <f>HYPERLINK("http://jsmh.umin.jp/journal/55-1/104.pdf")</f>
        <v>http://jsmh.umin.jp/journal/55-1/104.pdf</v>
      </c>
      <c r="H5297" s="43"/>
    </row>
    <row r="5298" spans="1:8" ht="30" customHeight="1" x14ac:dyDescent="0.15">
      <c r="A5298" s="16" t="s">
        <v>8453</v>
      </c>
      <c r="B5298" s="17" t="s">
        <v>10429</v>
      </c>
      <c r="C5298" s="17" t="s">
        <v>5778</v>
      </c>
      <c r="D5298" s="25" t="s">
        <v>8884</v>
      </c>
      <c r="E5298" s="19" t="s">
        <v>8885</v>
      </c>
      <c r="F5298" s="19" t="s">
        <v>3604</v>
      </c>
      <c r="G5298" s="9" t="str">
        <f>HYPERLINK("http://jsmh.umin.jp/journal/55-1/108.pdf")</f>
        <v>http://jsmh.umin.jp/journal/55-1/108.pdf</v>
      </c>
      <c r="H5298" s="43"/>
    </row>
    <row r="5299" spans="1:8" ht="30" customHeight="1" x14ac:dyDescent="0.15">
      <c r="A5299" s="16" t="s">
        <v>558</v>
      </c>
      <c r="B5299" s="17" t="s">
        <v>8899</v>
      </c>
      <c r="C5299" s="17" t="s">
        <v>8900</v>
      </c>
      <c r="D5299" s="25" t="s">
        <v>8884</v>
      </c>
      <c r="E5299" s="19" t="s">
        <v>8885</v>
      </c>
      <c r="F5299" s="19" t="s">
        <v>202</v>
      </c>
      <c r="G5299" s="9" t="str">
        <f>HYPERLINK("http://jsmh.umin.jp/journal/55-1/111.pdf")</f>
        <v>http://jsmh.umin.jp/journal/55-1/111.pdf</v>
      </c>
      <c r="H5299" s="43"/>
    </row>
    <row r="5300" spans="1:8" ht="30" customHeight="1" x14ac:dyDescent="0.15">
      <c r="A5300" s="16" t="s">
        <v>3720</v>
      </c>
      <c r="B5300" s="17" t="s">
        <v>8901</v>
      </c>
      <c r="C5300" s="17" t="s">
        <v>7697</v>
      </c>
      <c r="D5300" s="25" t="s">
        <v>8884</v>
      </c>
      <c r="E5300" s="19" t="s">
        <v>8885</v>
      </c>
      <c r="F5300" s="19" t="s">
        <v>2394</v>
      </c>
      <c r="G5300" s="9" t="str">
        <f>HYPERLINK("http://jsmh.umin.jp/journal/55-1/113.pdf")</f>
        <v>http://jsmh.umin.jp/journal/55-1/113.pdf</v>
      </c>
      <c r="H5300" s="43"/>
    </row>
    <row r="5301" spans="1:8" ht="30" customHeight="1" x14ac:dyDescent="0.15">
      <c r="A5301" s="16" t="s">
        <v>3720</v>
      </c>
      <c r="B5301" s="17" t="s">
        <v>10430</v>
      </c>
      <c r="C5301" s="17" t="s">
        <v>8902</v>
      </c>
      <c r="D5301" s="25" t="s">
        <v>8884</v>
      </c>
      <c r="E5301" s="19" t="s">
        <v>8885</v>
      </c>
      <c r="F5301" s="19" t="s">
        <v>2396</v>
      </c>
      <c r="G5301" s="9" t="str">
        <f>HYPERLINK("http://jsmh.umin.jp/journal/55-1/114.pdf")</f>
        <v>http://jsmh.umin.jp/journal/55-1/114.pdf</v>
      </c>
      <c r="H5301" s="43"/>
    </row>
    <row r="5302" spans="1:8" ht="30" customHeight="1" x14ac:dyDescent="0.15">
      <c r="A5302" s="16" t="s">
        <v>3720</v>
      </c>
      <c r="B5302" s="17" t="s">
        <v>8903</v>
      </c>
      <c r="C5302" s="17" t="s">
        <v>8904</v>
      </c>
      <c r="D5302" s="25" t="s">
        <v>8884</v>
      </c>
      <c r="E5302" s="19" t="s">
        <v>8885</v>
      </c>
      <c r="F5302" s="19" t="s">
        <v>2398</v>
      </c>
      <c r="G5302" s="9" t="str">
        <f>HYPERLINK("http://jsmh.umin.jp/journal/55-1/115.pdf")</f>
        <v>http://jsmh.umin.jp/journal/55-1/115.pdf</v>
      </c>
      <c r="H5302" s="43"/>
    </row>
    <row r="5303" spans="1:8" ht="30" customHeight="1" x14ac:dyDescent="0.15">
      <c r="A5303" s="16" t="s">
        <v>2990</v>
      </c>
      <c r="B5303" s="17" t="s">
        <v>8905</v>
      </c>
      <c r="C5303" s="17" t="s">
        <v>10214</v>
      </c>
      <c r="D5303" s="25" t="s">
        <v>8884</v>
      </c>
      <c r="E5303" s="19" t="s">
        <v>8885</v>
      </c>
      <c r="F5303" s="19" t="s">
        <v>2402</v>
      </c>
      <c r="G5303" s="9" t="str">
        <f>HYPERLINK("http://jsmh.umin.jp/journal/55-1/117.pdf")</f>
        <v>http://jsmh.umin.jp/journal/55-1/117.pdf</v>
      </c>
      <c r="H5303" s="43"/>
    </row>
    <row r="5304" spans="1:8" ht="30" customHeight="1" x14ac:dyDescent="0.15">
      <c r="A5304" s="16" t="s">
        <v>2990</v>
      </c>
      <c r="B5304" s="17" t="s">
        <v>8906</v>
      </c>
      <c r="C5304" s="17" t="s">
        <v>4085</v>
      </c>
      <c r="D5304" s="25" t="s">
        <v>8884</v>
      </c>
      <c r="E5304" s="19" t="s">
        <v>8885</v>
      </c>
      <c r="F5304" s="19" t="s">
        <v>964</v>
      </c>
      <c r="G5304" s="9" t="str">
        <f>HYPERLINK("http://jsmh.umin.jp/journal/55-1/118.pdf")</f>
        <v>http://jsmh.umin.jp/journal/55-1/118.pdf</v>
      </c>
      <c r="H5304" s="43"/>
    </row>
    <row r="5305" spans="1:8" ht="30" customHeight="1" x14ac:dyDescent="0.15">
      <c r="A5305" s="16" t="s">
        <v>1855</v>
      </c>
      <c r="B5305" s="17" t="s">
        <v>8907</v>
      </c>
      <c r="C5305" s="17" t="s">
        <v>8439</v>
      </c>
      <c r="D5305" s="25" t="s">
        <v>8884</v>
      </c>
      <c r="E5305" s="19" t="s">
        <v>8908</v>
      </c>
      <c r="F5305" s="19" t="s">
        <v>8117</v>
      </c>
      <c r="G5305" s="9" t="str">
        <f>HYPERLINK("http://jsmh.umin.jp/journal/55-2/133.pdf")</f>
        <v>http://jsmh.umin.jp/journal/55-2/133.pdf</v>
      </c>
      <c r="H5305" s="43"/>
    </row>
    <row r="5306" spans="1:8" ht="30" customHeight="1" x14ac:dyDescent="0.15">
      <c r="A5306" s="16" t="s">
        <v>1855</v>
      </c>
      <c r="B5306" s="17" t="s">
        <v>8909</v>
      </c>
      <c r="C5306" s="17" t="s">
        <v>8683</v>
      </c>
      <c r="D5306" s="25" t="s">
        <v>8884</v>
      </c>
      <c r="E5306" s="19" t="s">
        <v>8908</v>
      </c>
      <c r="F5306" s="19" t="s">
        <v>1682</v>
      </c>
      <c r="G5306" s="9" t="str">
        <f>HYPERLINK("http://jsmh.umin.jp/journal/55-2/135.pdf")</f>
        <v>http://jsmh.umin.jp/journal/55-2/135.pdf</v>
      </c>
      <c r="H5306" s="43"/>
    </row>
    <row r="5307" spans="1:8" ht="30" customHeight="1" x14ac:dyDescent="0.15">
      <c r="A5307" s="16" t="s">
        <v>1855</v>
      </c>
      <c r="B5307" s="17" t="s">
        <v>8910</v>
      </c>
      <c r="C5307" s="17" t="s">
        <v>8911</v>
      </c>
      <c r="D5307" s="25" t="s">
        <v>8884</v>
      </c>
      <c r="E5307" s="19" t="s">
        <v>8908</v>
      </c>
      <c r="F5307" s="19" t="s">
        <v>1358</v>
      </c>
      <c r="G5307" s="9" t="str">
        <f>HYPERLINK("http://jsmh.umin.jp/journal/55-2/139.pdf")</f>
        <v>http://jsmh.umin.jp/journal/55-2/139.pdf</v>
      </c>
      <c r="H5307" s="43"/>
    </row>
    <row r="5308" spans="1:8" ht="30" customHeight="1" x14ac:dyDescent="0.15">
      <c r="A5308" s="16" t="s">
        <v>1855</v>
      </c>
      <c r="B5308" s="17" t="s">
        <v>8912</v>
      </c>
      <c r="C5308" s="17" t="s">
        <v>8913</v>
      </c>
      <c r="D5308" s="25" t="s">
        <v>8884</v>
      </c>
      <c r="E5308" s="19" t="s">
        <v>8908</v>
      </c>
      <c r="F5308" s="19" t="s">
        <v>2231</v>
      </c>
      <c r="G5308" s="9" t="str">
        <f>HYPERLINK("http://jsmh.umin.jp/journal/55-2/140.pdf")</f>
        <v>http://jsmh.umin.jp/journal/55-2/140.pdf</v>
      </c>
      <c r="H5308" s="43"/>
    </row>
    <row r="5309" spans="1:8" ht="30" customHeight="1" x14ac:dyDescent="0.15">
      <c r="A5309" s="16" t="s">
        <v>1855</v>
      </c>
      <c r="B5309" s="17" t="s">
        <v>8914</v>
      </c>
      <c r="C5309" s="17" t="s">
        <v>7343</v>
      </c>
      <c r="D5309" s="25" t="s">
        <v>8884</v>
      </c>
      <c r="E5309" s="19" t="s">
        <v>8908</v>
      </c>
      <c r="F5309" s="19" t="s">
        <v>1367</v>
      </c>
      <c r="G5309" s="9" t="str">
        <f>HYPERLINK("http://jsmh.umin.jp/journal/55-2/142.pdf")</f>
        <v>http://jsmh.umin.jp/journal/55-2/142.pdf</v>
      </c>
      <c r="H5309" s="43"/>
    </row>
    <row r="5310" spans="1:8" ht="30" customHeight="1" x14ac:dyDescent="0.15">
      <c r="A5310" s="16" t="s">
        <v>1855</v>
      </c>
      <c r="B5310" s="17" t="s">
        <v>8915</v>
      </c>
      <c r="C5310" s="17" t="s">
        <v>10431</v>
      </c>
      <c r="D5310" s="25" t="s">
        <v>8884</v>
      </c>
      <c r="E5310" s="19" t="s">
        <v>8908</v>
      </c>
      <c r="F5310" s="19" t="s">
        <v>1369</v>
      </c>
      <c r="G5310" s="9" t="str">
        <f>HYPERLINK("http://jsmh.umin.jp/journal/55-2/143.pdf")</f>
        <v>http://jsmh.umin.jp/journal/55-2/143.pdf</v>
      </c>
      <c r="H5310" s="43"/>
    </row>
    <row r="5311" spans="1:8" ht="30" customHeight="1" x14ac:dyDescent="0.15">
      <c r="A5311" s="16" t="s">
        <v>1855</v>
      </c>
      <c r="B5311" s="17" t="s">
        <v>8916</v>
      </c>
      <c r="C5311" s="17" t="s">
        <v>8917</v>
      </c>
      <c r="D5311" s="25" t="s">
        <v>8884</v>
      </c>
      <c r="E5311" s="19" t="s">
        <v>8908</v>
      </c>
      <c r="F5311" s="19" t="s">
        <v>8788</v>
      </c>
      <c r="G5311" s="9" t="str">
        <f>HYPERLINK("http://jsmh.umin.jp/journal/55-2/144.pdf")</f>
        <v>http://jsmh.umin.jp/journal/55-2/144.pdf</v>
      </c>
      <c r="H5311" s="43"/>
    </row>
    <row r="5312" spans="1:8" ht="30" customHeight="1" x14ac:dyDescent="0.15">
      <c r="A5312" s="16" t="s">
        <v>1855</v>
      </c>
      <c r="B5312" s="17" t="s">
        <v>10432</v>
      </c>
      <c r="C5312" s="17" t="s">
        <v>2386</v>
      </c>
      <c r="D5312" s="25" t="s">
        <v>8884</v>
      </c>
      <c r="E5312" s="19" t="s">
        <v>8908</v>
      </c>
      <c r="F5312" s="19" t="s">
        <v>1520</v>
      </c>
      <c r="G5312" s="9" t="str">
        <f>HYPERLINK("http://jsmh.umin.jp/journal/55-2/145.pdf")</f>
        <v>http://jsmh.umin.jp/journal/55-2/145.pdf</v>
      </c>
      <c r="H5312" s="43"/>
    </row>
    <row r="5313" spans="1:8" ht="30" customHeight="1" x14ac:dyDescent="0.15">
      <c r="A5313" s="16" t="s">
        <v>1855</v>
      </c>
      <c r="B5313" s="17" t="s">
        <v>8918</v>
      </c>
      <c r="C5313" s="17" t="s">
        <v>1070</v>
      </c>
      <c r="D5313" s="25" t="s">
        <v>8884</v>
      </c>
      <c r="E5313" s="19" t="s">
        <v>8908</v>
      </c>
      <c r="F5313" s="19" t="s">
        <v>1524</v>
      </c>
      <c r="G5313" s="9" t="str">
        <f>HYPERLINK("http://jsmh.umin.jp/journal/55-2/146.pdf")</f>
        <v>http://jsmh.umin.jp/journal/55-2/146.pdf</v>
      </c>
      <c r="H5313" s="43"/>
    </row>
    <row r="5314" spans="1:8" ht="30" customHeight="1" x14ac:dyDescent="0.15">
      <c r="A5314" s="16" t="s">
        <v>1855</v>
      </c>
      <c r="B5314" s="17" t="s">
        <v>8919</v>
      </c>
      <c r="C5314" s="17" t="s">
        <v>8920</v>
      </c>
      <c r="D5314" s="25" t="s">
        <v>8884</v>
      </c>
      <c r="E5314" s="19" t="s">
        <v>8908</v>
      </c>
      <c r="F5314" s="19" t="s">
        <v>1526</v>
      </c>
      <c r="G5314" s="9" t="str">
        <f>HYPERLINK("http://jsmh.umin.jp/journal/55-2/147.pdf")</f>
        <v>http://jsmh.umin.jp/journal/55-2/147.pdf</v>
      </c>
      <c r="H5314" s="43"/>
    </row>
    <row r="5315" spans="1:8" ht="30" customHeight="1" x14ac:dyDescent="0.15">
      <c r="A5315" s="16" t="s">
        <v>1855</v>
      </c>
      <c r="B5315" s="17" t="s">
        <v>8921</v>
      </c>
      <c r="C5315" s="17" t="s">
        <v>8922</v>
      </c>
      <c r="D5315" s="25" t="s">
        <v>8884</v>
      </c>
      <c r="E5315" s="19" t="s">
        <v>8908</v>
      </c>
      <c r="F5315" s="19" t="s">
        <v>1686</v>
      </c>
      <c r="G5315" s="9" t="str">
        <f>HYPERLINK("http://jsmh.umin.jp/journal/55-2/148.pdf")</f>
        <v>http://jsmh.umin.jp/journal/55-2/148.pdf</v>
      </c>
      <c r="H5315" s="43"/>
    </row>
    <row r="5316" spans="1:8" ht="30" customHeight="1" x14ac:dyDescent="0.15">
      <c r="A5316" s="16" t="s">
        <v>1855</v>
      </c>
      <c r="B5316" s="17" t="s">
        <v>8923</v>
      </c>
      <c r="C5316" s="17" t="s">
        <v>7343</v>
      </c>
      <c r="D5316" s="25" t="s">
        <v>8884</v>
      </c>
      <c r="E5316" s="19" t="s">
        <v>8908</v>
      </c>
      <c r="F5316" s="19" t="s">
        <v>6645</v>
      </c>
      <c r="G5316" s="9" t="str">
        <f>HYPERLINK("http://jsmh.umin.jp/journal/55-2/149.pdf")</f>
        <v>http://jsmh.umin.jp/journal/55-2/149.pdf</v>
      </c>
      <c r="H5316" s="43"/>
    </row>
    <row r="5317" spans="1:8" ht="30" customHeight="1" x14ac:dyDescent="0.15">
      <c r="A5317" s="16" t="s">
        <v>1855</v>
      </c>
      <c r="B5317" s="17" t="s">
        <v>8924</v>
      </c>
      <c r="C5317" s="17" t="s">
        <v>6078</v>
      </c>
      <c r="D5317" s="25" t="s">
        <v>8884</v>
      </c>
      <c r="E5317" s="19" t="s">
        <v>8908</v>
      </c>
      <c r="F5317" s="19" t="s">
        <v>2244</v>
      </c>
      <c r="G5317" s="9" t="str">
        <f>HYPERLINK("http://jsmh.umin.jp/journal/55-2/150.pdf")</f>
        <v>http://jsmh.umin.jp/journal/55-2/150.pdf</v>
      </c>
      <c r="H5317" s="43"/>
    </row>
    <row r="5318" spans="1:8" ht="30" customHeight="1" x14ac:dyDescent="0.15">
      <c r="A5318" s="16" t="s">
        <v>1855</v>
      </c>
      <c r="B5318" s="17" t="s">
        <v>10433</v>
      </c>
      <c r="C5318" s="17" t="s">
        <v>790</v>
      </c>
      <c r="D5318" s="25" t="s">
        <v>8884</v>
      </c>
      <c r="E5318" s="19" t="s">
        <v>8908</v>
      </c>
      <c r="F5318" s="19" t="s">
        <v>2245</v>
      </c>
      <c r="G5318" s="9" t="str">
        <f>HYPERLINK("http://jsmh.umin.jp/journal/55-2/151.pdf")</f>
        <v>http://jsmh.umin.jp/journal/55-2/151.pdf</v>
      </c>
      <c r="H5318" s="43"/>
    </row>
    <row r="5319" spans="1:8" ht="30" customHeight="1" x14ac:dyDescent="0.15">
      <c r="A5319" s="16" t="s">
        <v>1855</v>
      </c>
      <c r="B5319" s="17" t="s">
        <v>10434</v>
      </c>
      <c r="C5319" s="17" t="s">
        <v>6871</v>
      </c>
      <c r="D5319" s="25" t="s">
        <v>8884</v>
      </c>
      <c r="E5319" s="19" t="s">
        <v>8908</v>
      </c>
      <c r="F5319" s="19" t="s">
        <v>61</v>
      </c>
      <c r="G5319" s="9" t="str">
        <f>HYPERLINK("http://jsmh.umin.jp/journal/55-2/152.pdf")</f>
        <v>http://jsmh.umin.jp/journal/55-2/152.pdf</v>
      </c>
      <c r="H5319" s="43"/>
    </row>
    <row r="5320" spans="1:8" ht="30" customHeight="1" x14ac:dyDescent="0.15">
      <c r="A5320" s="16" t="s">
        <v>1855</v>
      </c>
      <c r="B5320" s="17" t="s">
        <v>8925</v>
      </c>
      <c r="C5320" s="17" t="s">
        <v>8926</v>
      </c>
      <c r="D5320" s="25" t="s">
        <v>8884</v>
      </c>
      <c r="E5320" s="19" t="s">
        <v>8908</v>
      </c>
      <c r="F5320" s="19" t="s">
        <v>2248</v>
      </c>
      <c r="G5320" s="9" t="str">
        <f>HYPERLINK("http://jsmh.umin.jp/journal/55-2/153.pdf")</f>
        <v>http://jsmh.umin.jp/journal/55-2/153.pdf</v>
      </c>
      <c r="H5320" s="43"/>
    </row>
    <row r="5321" spans="1:8" ht="30" customHeight="1" x14ac:dyDescent="0.15">
      <c r="A5321" s="16" t="s">
        <v>1855</v>
      </c>
      <c r="B5321" s="17" t="s">
        <v>8927</v>
      </c>
      <c r="C5321" s="17" t="s">
        <v>10405</v>
      </c>
      <c r="D5321" s="25" t="s">
        <v>8884</v>
      </c>
      <c r="E5321" s="19" t="s">
        <v>8908</v>
      </c>
      <c r="F5321" s="19" t="s">
        <v>2250</v>
      </c>
      <c r="G5321" s="9" t="str">
        <f>HYPERLINK("http://jsmh.umin.jp/journal/55-2/154.pdf")</f>
        <v>http://jsmh.umin.jp/journal/55-2/154.pdf</v>
      </c>
      <c r="H5321" s="43"/>
    </row>
    <row r="5322" spans="1:8" ht="30" customHeight="1" x14ac:dyDescent="0.15">
      <c r="A5322" s="16" t="s">
        <v>1855</v>
      </c>
      <c r="B5322" s="17" t="s">
        <v>8928</v>
      </c>
      <c r="C5322" s="17" t="s">
        <v>10435</v>
      </c>
      <c r="D5322" s="25" t="s">
        <v>8884</v>
      </c>
      <c r="E5322" s="19" t="s">
        <v>8908</v>
      </c>
      <c r="F5322" s="19" t="s">
        <v>8804</v>
      </c>
      <c r="G5322" s="9" t="str">
        <f>HYPERLINK("http://jsmh.umin.jp/journal/55-2/155.pdf")</f>
        <v>http://jsmh.umin.jp/journal/55-2/155.pdf</v>
      </c>
      <c r="H5322" s="43"/>
    </row>
    <row r="5323" spans="1:8" ht="30" customHeight="1" x14ac:dyDescent="0.15">
      <c r="A5323" s="16" t="s">
        <v>1855</v>
      </c>
      <c r="B5323" s="17" t="s">
        <v>8929</v>
      </c>
      <c r="C5323" s="17" t="s">
        <v>10436</v>
      </c>
      <c r="D5323" s="25" t="s">
        <v>8884</v>
      </c>
      <c r="E5323" s="19" t="s">
        <v>8908</v>
      </c>
      <c r="F5323" s="19" t="s">
        <v>1692</v>
      </c>
      <c r="G5323" s="9" t="str">
        <f>HYPERLINK("http://jsmh.umin.jp/journal/55-2/156.pdf")</f>
        <v>http://jsmh.umin.jp/journal/55-2/156.pdf</v>
      </c>
      <c r="H5323" s="43"/>
    </row>
    <row r="5324" spans="1:8" ht="30" customHeight="1" x14ac:dyDescent="0.15">
      <c r="A5324" s="16" t="s">
        <v>1855</v>
      </c>
      <c r="B5324" s="17" t="s">
        <v>8930</v>
      </c>
      <c r="C5324" s="17" t="s">
        <v>2926</v>
      </c>
      <c r="D5324" s="25" t="s">
        <v>8884</v>
      </c>
      <c r="E5324" s="19" t="s">
        <v>8908</v>
      </c>
      <c r="F5324" s="19" t="s">
        <v>1696</v>
      </c>
      <c r="G5324" s="9" t="str">
        <f>HYPERLINK("http://jsmh.umin.jp/journal/55-2/157.pdf")</f>
        <v>http://jsmh.umin.jp/journal/55-2/157.pdf</v>
      </c>
      <c r="H5324" s="43"/>
    </row>
    <row r="5325" spans="1:8" ht="30" customHeight="1" x14ac:dyDescent="0.15">
      <c r="A5325" s="16" t="s">
        <v>1855</v>
      </c>
      <c r="B5325" s="17" t="s">
        <v>8931</v>
      </c>
      <c r="C5325" s="17" t="s">
        <v>6676</v>
      </c>
      <c r="D5325" s="25" t="s">
        <v>8884</v>
      </c>
      <c r="E5325" s="19" t="s">
        <v>8908</v>
      </c>
      <c r="F5325" s="19" t="s">
        <v>8808</v>
      </c>
      <c r="G5325" s="9" t="str">
        <f>HYPERLINK("http://jsmh.umin.jp/journal/55-2/158.pdf")</f>
        <v>http://jsmh.umin.jp/journal/55-2/158.pdf</v>
      </c>
      <c r="H5325" s="43"/>
    </row>
    <row r="5326" spans="1:8" ht="30" customHeight="1" x14ac:dyDescent="0.15">
      <c r="A5326" s="16" t="s">
        <v>1855</v>
      </c>
      <c r="B5326" s="17" t="s">
        <v>8932</v>
      </c>
      <c r="C5326" s="17" t="s">
        <v>8888</v>
      </c>
      <c r="D5326" s="25" t="s">
        <v>8884</v>
      </c>
      <c r="E5326" s="19" t="s">
        <v>8908</v>
      </c>
      <c r="F5326" s="19" t="s">
        <v>2259</v>
      </c>
      <c r="G5326" s="9" t="str">
        <f>HYPERLINK("http://jsmh.umin.jp/journal/55-2/159.pdf")</f>
        <v>http://jsmh.umin.jp/journal/55-2/159.pdf</v>
      </c>
      <c r="H5326" s="43"/>
    </row>
    <row r="5327" spans="1:8" ht="30" customHeight="1" x14ac:dyDescent="0.15">
      <c r="A5327" s="16" t="s">
        <v>1855</v>
      </c>
      <c r="B5327" s="17" t="s">
        <v>8933</v>
      </c>
      <c r="C5327" s="17" t="s">
        <v>6903</v>
      </c>
      <c r="D5327" s="25" t="s">
        <v>8884</v>
      </c>
      <c r="E5327" s="19" t="s">
        <v>8908</v>
      </c>
      <c r="F5327" s="19" t="s">
        <v>4816</v>
      </c>
      <c r="G5327" s="9" t="str">
        <f>HYPERLINK("http://jsmh.umin.jp/journal/55-2/160.pdf")</f>
        <v>http://jsmh.umin.jp/journal/55-2/160.pdf</v>
      </c>
      <c r="H5327" s="43"/>
    </row>
    <row r="5328" spans="1:8" ht="30" customHeight="1" x14ac:dyDescent="0.15">
      <c r="A5328" s="16" t="s">
        <v>1855</v>
      </c>
      <c r="B5328" s="17" t="s">
        <v>8934</v>
      </c>
      <c r="C5328" s="17" t="s">
        <v>8935</v>
      </c>
      <c r="D5328" s="25" t="s">
        <v>8884</v>
      </c>
      <c r="E5328" s="19" t="s">
        <v>8908</v>
      </c>
      <c r="F5328" s="19" t="s">
        <v>228</v>
      </c>
      <c r="G5328" s="9" t="str">
        <f>HYPERLINK("http://jsmh.umin.jp/journal/55-2/161.pdf")</f>
        <v>http://jsmh.umin.jp/journal/55-2/161.pdf</v>
      </c>
      <c r="H5328" s="43"/>
    </row>
    <row r="5329" spans="1:8" ht="30" customHeight="1" x14ac:dyDescent="0.15">
      <c r="A5329" s="16" t="s">
        <v>1855</v>
      </c>
      <c r="B5329" s="17" t="s">
        <v>10437</v>
      </c>
      <c r="C5329" s="17" t="s">
        <v>10438</v>
      </c>
      <c r="D5329" s="25" t="s">
        <v>8884</v>
      </c>
      <c r="E5329" s="19" t="s">
        <v>8908</v>
      </c>
      <c r="F5329" s="19" t="s">
        <v>8816</v>
      </c>
      <c r="G5329" s="9" t="str">
        <f>HYPERLINK("http://jsmh.umin.jp/journal/55-2/162.pdf")</f>
        <v>http://jsmh.umin.jp/journal/55-2/162.pdf</v>
      </c>
      <c r="H5329" s="43"/>
    </row>
    <row r="5330" spans="1:8" ht="30" customHeight="1" x14ac:dyDescent="0.15">
      <c r="A5330" s="16" t="s">
        <v>1855</v>
      </c>
      <c r="B5330" s="17" t="s">
        <v>8936</v>
      </c>
      <c r="C5330" s="17" t="s">
        <v>7320</v>
      </c>
      <c r="D5330" s="25" t="s">
        <v>8884</v>
      </c>
      <c r="E5330" s="19" t="s">
        <v>8908</v>
      </c>
      <c r="F5330" s="19" t="s">
        <v>3260</v>
      </c>
      <c r="G5330" s="9" t="str">
        <f>HYPERLINK("http://jsmh.umin.jp/journal/55-2/163.pdf")</f>
        <v>http://jsmh.umin.jp/journal/55-2/163.pdf</v>
      </c>
      <c r="H5330" s="43"/>
    </row>
    <row r="5331" spans="1:8" ht="30" customHeight="1" x14ac:dyDescent="0.15">
      <c r="A5331" s="16" t="s">
        <v>1855</v>
      </c>
      <c r="B5331" s="17" t="s">
        <v>8937</v>
      </c>
      <c r="C5331" s="17" t="s">
        <v>2937</v>
      </c>
      <c r="D5331" s="25" t="s">
        <v>8884</v>
      </c>
      <c r="E5331" s="19" t="s">
        <v>8908</v>
      </c>
      <c r="F5331" s="19" t="s">
        <v>68</v>
      </c>
      <c r="G5331" s="9" t="str">
        <f>HYPERLINK("http://jsmh.umin.jp/journal/55-2/164.pdf")</f>
        <v>http://jsmh.umin.jp/journal/55-2/164.pdf</v>
      </c>
      <c r="H5331" s="43"/>
    </row>
    <row r="5332" spans="1:8" ht="30" customHeight="1" x14ac:dyDescent="0.15">
      <c r="A5332" s="16" t="s">
        <v>1855</v>
      </c>
      <c r="B5332" s="17" t="s">
        <v>8938</v>
      </c>
      <c r="C5332" s="17" t="s">
        <v>6004</v>
      </c>
      <c r="D5332" s="25" t="s">
        <v>8884</v>
      </c>
      <c r="E5332" s="19" t="s">
        <v>8908</v>
      </c>
      <c r="F5332" s="19" t="s">
        <v>8939</v>
      </c>
      <c r="G5332" s="9" t="str">
        <f>HYPERLINK("http://jsmh.umin.jp/journal/55-2/165.pdf")</f>
        <v>http://jsmh.umin.jp/journal/55-2/165.pdf</v>
      </c>
      <c r="H5332" s="43"/>
    </row>
    <row r="5333" spans="1:8" ht="30" customHeight="1" x14ac:dyDescent="0.15">
      <c r="A5333" s="16" t="s">
        <v>1855</v>
      </c>
      <c r="B5333" s="17" t="s">
        <v>8940</v>
      </c>
      <c r="C5333" s="17" t="s">
        <v>6743</v>
      </c>
      <c r="D5333" s="25" t="s">
        <v>8884</v>
      </c>
      <c r="E5333" s="19" t="s">
        <v>8908</v>
      </c>
      <c r="F5333" s="19" t="s">
        <v>3813</v>
      </c>
      <c r="G5333" s="9" t="str">
        <f>HYPERLINK("http://jsmh.umin.jp/journal/55-2/166.pdf")</f>
        <v>http://jsmh.umin.jp/journal/55-2/166.pdf</v>
      </c>
      <c r="H5333" s="43"/>
    </row>
    <row r="5334" spans="1:8" ht="30" customHeight="1" x14ac:dyDescent="0.15">
      <c r="A5334" s="16" t="s">
        <v>1855</v>
      </c>
      <c r="B5334" s="17" t="s">
        <v>8941</v>
      </c>
      <c r="C5334" s="17" t="s">
        <v>8942</v>
      </c>
      <c r="D5334" s="25" t="s">
        <v>8884</v>
      </c>
      <c r="E5334" s="19" t="s">
        <v>8908</v>
      </c>
      <c r="F5334" s="19" t="s">
        <v>73</v>
      </c>
      <c r="G5334" s="9" t="str">
        <f>HYPERLINK("http://jsmh.umin.jp/journal/55-2/167.pdf")</f>
        <v>http://jsmh.umin.jp/journal/55-2/167.pdf</v>
      </c>
      <c r="H5334" s="43"/>
    </row>
    <row r="5335" spans="1:8" ht="30" customHeight="1" x14ac:dyDescent="0.15">
      <c r="A5335" s="16" t="s">
        <v>1855</v>
      </c>
      <c r="B5335" s="17" t="s">
        <v>8943</v>
      </c>
      <c r="C5335" s="17" t="s">
        <v>8944</v>
      </c>
      <c r="D5335" s="25" t="s">
        <v>8884</v>
      </c>
      <c r="E5335" s="19" t="s">
        <v>8908</v>
      </c>
      <c r="F5335" s="19" t="s">
        <v>8945</v>
      </c>
      <c r="G5335" s="9" t="str">
        <f>HYPERLINK("http://jsmh.umin.jp/journal/55-2/168.pdf")</f>
        <v>http://jsmh.umin.jp/journal/55-2/168.pdf</v>
      </c>
      <c r="H5335" s="43"/>
    </row>
    <row r="5336" spans="1:8" ht="30" customHeight="1" x14ac:dyDescent="0.15">
      <c r="A5336" s="16" t="s">
        <v>1855</v>
      </c>
      <c r="B5336" s="17" t="s">
        <v>8946</v>
      </c>
      <c r="C5336" s="17" t="s">
        <v>8947</v>
      </c>
      <c r="D5336" s="25" t="s">
        <v>8884</v>
      </c>
      <c r="E5336" s="19" t="s">
        <v>8908</v>
      </c>
      <c r="F5336" s="19" t="s">
        <v>8948</v>
      </c>
      <c r="G5336" s="9" t="str">
        <f>HYPERLINK("http://jsmh.umin.jp/journal/55-2/169.pdf")</f>
        <v>http://jsmh.umin.jp/journal/55-2/169.pdf</v>
      </c>
      <c r="H5336" s="43"/>
    </row>
    <row r="5337" spans="1:8" ht="30" customHeight="1" x14ac:dyDescent="0.15">
      <c r="A5337" s="16" t="s">
        <v>1855</v>
      </c>
      <c r="B5337" s="17" t="s">
        <v>8949</v>
      </c>
      <c r="C5337" s="17" t="s">
        <v>6267</v>
      </c>
      <c r="D5337" s="25" t="s">
        <v>8884</v>
      </c>
      <c r="E5337" s="19" t="s">
        <v>8908</v>
      </c>
      <c r="F5337" s="19" t="s">
        <v>2557</v>
      </c>
      <c r="G5337" s="9" t="str">
        <f>HYPERLINK("http://jsmh.umin.jp/journal/55-2/170.pdf")</f>
        <v>http://jsmh.umin.jp/journal/55-2/170.pdf</v>
      </c>
      <c r="H5337" s="43"/>
    </row>
    <row r="5338" spans="1:8" ht="30" customHeight="1" x14ac:dyDescent="0.15">
      <c r="A5338" s="16" t="s">
        <v>1855</v>
      </c>
      <c r="B5338" s="17" t="s">
        <v>8950</v>
      </c>
      <c r="C5338" s="17" t="s">
        <v>6565</v>
      </c>
      <c r="D5338" s="25" t="s">
        <v>8884</v>
      </c>
      <c r="E5338" s="19" t="s">
        <v>8908</v>
      </c>
      <c r="F5338" s="19" t="s">
        <v>5046</v>
      </c>
      <c r="G5338" s="9" t="str">
        <f>HYPERLINK("http://jsmh.umin.jp/journal/55-2/171.pdf")</f>
        <v>http://jsmh.umin.jp/journal/55-2/171.pdf</v>
      </c>
      <c r="H5338" s="43"/>
    </row>
    <row r="5339" spans="1:8" ht="30" customHeight="1" x14ac:dyDescent="0.15">
      <c r="A5339" s="16" t="s">
        <v>1855</v>
      </c>
      <c r="B5339" s="17" t="s">
        <v>8951</v>
      </c>
      <c r="C5339" s="17" t="s">
        <v>10280</v>
      </c>
      <c r="D5339" s="25" t="s">
        <v>8884</v>
      </c>
      <c r="E5339" s="19" t="s">
        <v>8908</v>
      </c>
      <c r="F5339" s="19" t="s">
        <v>5048</v>
      </c>
      <c r="G5339" s="9" t="str">
        <f>HYPERLINK("http://jsmh.umin.jp/journal/55-2/172.pdf")</f>
        <v>http://jsmh.umin.jp/journal/55-2/172.pdf</v>
      </c>
      <c r="H5339" s="43"/>
    </row>
    <row r="5340" spans="1:8" ht="30" customHeight="1" x14ac:dyDescent="0.15">
      <c r="A5340" s="16" t="s">
        <v>1855</v>
      </c>
      <c r="B5340" s="17" t="s">
        <v>8952</v>
      </c>
      <c r="C5340" s="17" t="s">
        <v>8953</v>
      </c>
      <c r="D5340" s="25" t="s">
        <v>8884</v>
      </c>
      <c r="E5340" s="19" t="s">
        <v>8908</v>
      </c>
      <c r="F5340" s="19" t="s">
        <v>5050</v>
      </c>
      <c r="G5340" s="9" t="str">
        <f>HYPERLINK("http://jsmh.umin.jp/journal/55-2/173.pdf")</f>
        <v>http://jsmh.umin.jp/journal/55-2/173.pdf</v>
      </c>
      <c r="H5340" s="43"/>
    </row>
    <row r="5341" spans="1:8" ht="30" customHeight="1" x14ac:dyDescent="0.15">
      <c r="A5341" s="16" t="s">
        <v>1855</v>
      </c>
      <c r="B5341" s="17" t="s">
        <v>8954</v>
      </c>
      <c r="C5341" s="17" t="s">
        <v>8146</v>
      </c>
      <c r="D5341" s="25" t="s">
        <v>8884</v>
      </c>
      <c r="E5341" s="19" t="s">
        <v>8908</v>
      </c>
      <c r="F5341" s="19" t="s">
        <v>5053</v>
      </c>
      <c r="G5341" s="9" t="str">
        <f>HYPERLINK("http://jsmh.umin.jp/journal/55-2/174.pdf")</f>
        <v>http://jsmh.umin.jp/journal/55-2/174.pdf</v>
      </c>
      <c r="H5341" s="43"/>
    </row>
    <row r="5342" spans="1:8" ht="30" customHeight="1" x14ac:dyDescent="0.15">
      <c r="A5342" s="16" t="s">
        <v>1855</v>
      </c>
      <c r="B5342" s="17" t="s">
        <v>8955</v>
      </c>
      <c r="C5342" s="17" t="s">
        <v>8305</v>
      </c>
      <c r="D5342" s="25" t="s">
        <v>8884</v>
      </c>
      <c r="E5342" s="19" t="s">
        <v>8908</v>
      </c>
      <c r="F5342" s="19" t="s">
        <v>8956</v>
      </c>
      <c r="G5342" s="9" t="str">
        <f>HYPERLINK("http://jsmh.umin.jp/journal/55-2/175.pdf")</f>
        <v>http://jsmh.umin.jp/journal/55-2/175.pdf</v>
      </c>
      <c r="H5342" s="43"/>
    </row>
    <row r="5343" spans="1:8" ht="30" customHeight="1" x14ac:dyDescent="0.15">
      <c r="A5343" s="16" t="s">
        <v>1855</v>
      </c>
      <c r="B5343" s="17" t="s">
        <v>8957</v>
      </c>
      <c r="C5343" s="17" t="s">
        <v>10299</v>
      </c>
      <c r="D5343" s="25" t="s">
        <v>8884</v>
      </c>
      <c r="E5343" s="19" t="s">
        <v>8908</v>
      </c>
      <c r="F5343" s="19" t="s">
        <v>8958</v>
      </c>
      <c r="G5343" s="9" t="str">
        <f>HYPERLINK("http://jsmh.umin.jp/journal/55-2/176.pdf")</f>
        <v>http://jsmh.umin.jp/journal/55-2/176.pdf</v>
      </c>
      <c r="H5343" s="43"/>
    </row>
    <row r="5344" spans="1:8" ht="30" customHeight="1" x14ac:dyDescent="0.15">
      <c r="A5344" s="16" t="s">
        <v>1855</v>
      </c>
      <c r="B5344" s="17" t="s">
        <v>8959</v>
      </c>
      <c r="C5344" s="17" t="s">
        <v>6705</v>
      </c>
      <c r="D5344" s="25" t="s">
        <v>8884</v>
      </c>
      <c r="E5344" s="19" t="s">
        <v>8908</v>
      </c>
      <c r="F5344" s="19" t="s">
        <v>1709</v>
      </c>
      <c r="G5344" s="9" t="str">
        <f>HYPERLINK("http://jsmh.umin.jp/journal/55-2/177.pdf")</f>
        <v>http://jsmh.umin.jp/journal/55-2/177.pdf</v>
      </c>
      <c r="H5344" s="43"/>
    </row>
    <row r="5345" spans="1:8" ht="30" customHeight="1" x14ac:dyDescent="0.15">
      <c r="A5345" s="16" t="s">
        <v>1855</v>
      </c>
      <c r="B5345" s="17" t="s">
        <v>8960</v>
      </c>
      <c r="C5345" s="17" t="s">
        <v>7180</v>
      </c>
      <c r="D5345" s="25" t="s">
        <v>8884</v>
      </c>
      <c r="E5345" s="19" t="s">
        <v>8908</v>
      </c>
      <c r="F5345" s="19" t="s">
        <v>8961</v>
      </c>
      <c r="G5345" s="9" t="str">
        <f>HYPERLINK("http://jsmh.umin.jp/journal/55-2/178.pdf")</f>
        <v>http://jsmh.umin.jp/journal/55-2/178.pdf</v>
      </c>
      <c r="H5345" s="43"/>
    </row>
    <row r="5346" spans="1:8" ht="30" customHeight="1" x14ac:dyDescent="0.15">
      <c r="A5346" s="16" t="s">
        <v>1855</v>
      </c>
      <c r="B5346" s="17" t="s">
        <v>8962</v>
      </c>
      <c r="C5346" s="17" t="s">
        <v>8963</v>
      </c>
      <c r="D5346" s="25" t="s">
        <v>8884</v>
      </c>
      <c r="E5346" s="19" t="s">
        <v>8908</v>
      </c>
      <c r="F5346" s="19" t="s">
        <v>4173</v>
      </c>
      <c r="G5346" s="9" t="str">
        <f>HYPERLINK("http://jsmh.umin.jp/journal/55-2/179.pdf")</f>
        <v>http://jsmh.umin.jp/journal/55-2/179.pdf</v>
      </c>
      <c r="H5346" s="43"/>
    </row>
    <row r="5347" spans="1:8" ht="30" customHeight="1" x14ac:dyDescent="0.15">
      <c r="A5347" s="16" t="s">
        <v>1855</v>
      </c>
      <c r="B5347" s="17" t="s">
        <v>8964</v>
      </c>
      <c r="C5347" s="17" t="s">
        <v>10439</v>
      </c>
      <c r="D5347" s="25" t="s">
        <v>8884</v>
      </c>
      <c r="E5347" s="19" t="s">
        <v>8908</v>
      </c>
      <c r="F5347" s="19" t="s">
        <v>8965</v>
      </c>
      <c r="G5347" s="9" t="str">
        <f>HYPERLINK("http://jsmh.umin.jp/journal/55-2/180.pdf")</f>
        <v>http://jsmh.umin.jp/journal/55-2/180.pdf</v>
      </c>
      <c r="H5347" s="43"/>
    </row>
    <row r="5348" spans="1:8" ht="30" customHeight="1" x14ac:dyDescent="0.15">
      <c r="A5348" s="16" t="s">
        <v>1855</v>
      </c>
      <c r="B5348" s="17" t="s">
        <v>8966</v>
      </c>
      <c r="C5348" s="17" t="s">
        <v>10440</v>
      </c>
      <c r="D5348" s="25" t="s">
        <v>8884</v>
      </c>
      <c r="E5348" s="19" t="s">
        <v>8908</v>
      </c>
      <c r="F5348" s="19" t="s">
        <v>3424</v>
      </c>
      <c r="G5348" s="9" t="str">
        <f>HYPERLINK("http://jsmh.umin.jp/journal/55-2/181.pdf")</f>
        <v>http://jsmh.umin.jp/journal/55-2/181.pdf</v>
      </c>
      <c r="H5348" s="43"/>
    </row>
    <row r="5349" spans="1:8" ht="30" customHeight="1" x14ac:dyDescent="0.15">
      <c r="A5349" s="16" t="s">
        <v>1855</v>
      </c>
      <c r="B5349" s="17" t="s">
        <v>8967</v>
      </c>
      <c r="C5349" s="17" t="s">
        <v>5837</v>
      </c>
      <c r="D5349" s="25" t="s">
        <v>8884</v>
      </c>
      <c r="E5349" s="19" t="s">
        <v>8908</v>
      </c>
      <c r="F5349" s="19" t="s">
        <v>1717</v>
      </c>
      <c r="G5349" s="9" t="str">
        <f>HYPERLINK("http://jsmh.umin.jp/journal/55-2/182.pdf")</f>
        <v>http://jsmh.umin.jp/journal/55-2/182.pdf</v>
      </c>
      <c r="H5349" s="43"/>
    </row>
    <row r="5350" spans="1:8" ht="30" customHeight="1" x14ac:dyDescent="0.15">
      <c r="A5350" s="16" t="s">
        <v>1855</v>
      </c>
      <c r="B5350" s="17" t="s">
        <v>8968</v>
      </c>
      <c r="C5350" s="17" t="s">
        <v>7176</v>
      </c>
      <c r="D5350" s="25" t="s">
        <v>8884</v>
      </c>
      <c r="E5350" s="19" t="s">
        <v>8908</v>
      </c>
      <c r="F5350" s="19" t="s">
        <v>8969</v>
      </c>
      <c r="G5350" s="9" t="str">
        <f>HYPERLINK("http://jsmh.umin.jp/journal/55-2/183.pdf")</f>
        <v>http://jsmh.umin.jp/journal/55-2/183.pdf</v>
      </c>
      <c r="H5350" s="43"/>
    </row>
    <row r="5351" spans="1:8" ht="30" customHeight="1" x14ac:dyDescent="0.15">
      <c r="A5351" s="16" t="s">
        <v>1855</v>
      </c>
      <c r="B5351" s="17" t="s">
        <v>8970</v>
      </c>
      <c r="C5351" s="17" t="s">
        <v>8810</v>
      </c>
      <c r="D5351" s="25" t="s">
        <v>8884</v>
      </c>
      <c r="E5351" s="19" t="s">
        <v>8908</v>
      </c>
      <c r="F5351" s="19" t="s">
        <v>2047</v>
      </c>
      <c r="G5351" s="9" t="str">
        <f>HYPERLINK("http://jsmh.umin.jp/journal/55-2/184.pdf")</f>
        <v>http://jsmh.umin.jp/journal/55-2/184.pdf</v>
      </c>
      <c r="H5351" s="43"/>
    </row>
    <row r="5352" spans="1:8" ht="30" customHeight="1" x14ac:dyDescent="0.15">
      <c r="A5352" s="16" t="s">
        <v>1855</v>
      </c>
      <c r="B5352" s="17" t="s">
        <v>8971</v>
      </c>
      <c r="C5352" s="17" t="s">
        <v>7583</v>
      </c>
      <c r="D5352" s="25" t="s">
        <v>8884</v>
      </c>
      <c r="E5352" s="19" t="s">
        <v>8908</v>
      </c>
      <c r="F5352" s="19" t="s">
        <v>2055</v>
      </c>
      <c r="G5352" s="9" t="str">
        <f>HYPERLINK("http://jsmh.umin.jp/journal/55-2/185.pdf")</f>
        <v>http://jsmh.umin.jp/journal/55-2/185.pdf</v>
      </c>
      <c r="H5352" s="43"/>
    </row>
    <row r="5353" spans="1:8" ht="30" customHeight="1" x14ac:dyDescent="0.15">
      <c r="A5353" s="16" t="s">
        <v>1855</v>
      </c>
      <c r="B5353" s="17" t="s">
        <v>8972</v>
      </c>
      <c r="C5353" s="17" t="s">
        <v>8973</v>
      </c>
      <c r="D5353" s="25" t="s">
        <v>8884</v>
      </c>
      <c r="E5353" s="19" t="s">
        <v>8908</v>
      </c>
      <c r="F5353" s="19" t="s">
        <v>2057</v>
      </c>
      <c r="G5353" s="9" t="str">
        <f>HYPERLINK("http://jsmh.umin.jp/journal/55-2/186.pdf")</f>
        <v>http://jsmh.umin.jp/journal/55-2/186.pdf</v>
      </c>
      <c r="H5353" s="43"/>
    </row>
    <row r="5354" spans="1:8" ht="30" customHeight="1" x14ac:dyDescent="0.15">
      <c r="A5354" s="16" t="s">
        <v>1855</v>
      </c>
      <c r="B5354" s="17" t="s">
        <v>8974</v>
      </c>
      <c r="C5354" s="17" t="s">
        <v>10441</v>
      </c>
      <c r="D5354" s="25" t="s">
        <v>8884</v>
      </c>
      <c r="E5354" s="19" t="s">
        <v>8908</v>
      </c>
      <c r="F5354" s="19" t="s">
        <v>3674</v>
      </c>
      <c r="G5354" s="9" t="str">
        <f>HYPERLINK("http://jsmh.umin.jp/journal/55-2/187.pdf")</f>
        <v>http://jsmh.umin.jp/journal/55-2/187.pdf</v>
      </c>
      <c r="H5354" s="43"/>
    </row>
    <row r="5355" spans="1:8" ht="30" customHeight="1" x14ac:dyDescent="0.15">
      <c r="A5355" s="16" t="s">
        <v>1855</v>
      </c>
      <c r="B5355" s="17" t="s">
        <v>8975</v>
      </c>
      <c r="C5355" s="17" t="s">
        <v>8976</v>
      </c>
      <c r="D5355" s="25" t="s">
        <v>8884</v>
      </c>
      <c r="E5355" s="19" t="s">
        <v>8908</v>
      </c>
      <c r="F5355" s="19" t="s">
        <v>8977</v>
      </c>
      <c r="G5355" s="9" t="str">
        <f>HYPERLINK("http://jsmh.umin.jp/journal/55-2/188.pdf")</f>
        <v>http://jsmh.umin.jp/journal/55-2/188.pdf</v>
      </c>
      <c r="H5355" s="43"/>
    </row>
    <row r="5356" spans="1:8" ht="30" customHeight="1" x14ac:dyDescent="0.15">
      <c r="A5356" s="16" t="s">
        <v>1855</v>
      </c>
      <c r="B5356" s="17" t="s">
        <v>8978</v>
      </c>
      <c r="C5356" s="17" t="s">
        <v>8601</v>
      </c>
      <c r="D5356" s="25" t="s">
        <v>8884</v>
      </c>
      <c r="E5356" s="19" t="s">
        <v>8908</v>
      </c>
      <c r="F5356" s="19" t="s">
        <v>1725</v>
      </c>
      <c r="G5356" s="9" t="str">
        <f>HYPERLINK("http://jsmh.umin.jp/journal/55-2/189.pdf")</f>
        <v>http://jsmh.umin.jp/journal/55-2/189.pdf</v>
      </c>
      <c r="H5356" s="43"/>
    </row>
    <row r="5357" spans="1:8" ht="30" customHeight="1" x14ac:dyDescent="0.15">
      <c r="A5357" s="16" t="s">
        <v>1855</v>
      </c>
      <c r="B5357" s="17" t="s">
        <v>8979</v>
      </c>
      <c r="C5357" s="17" t="s">
        <v>6394</v>
      </c>
      <c r="D5357" s="25" t="s">
        <v>8884</v>
      </c>
      <c r="E5357" s="19" t="s">
        <v>8908</v>
      </c>
      <c r="F5357" s="19" t="s">
        <v>979</v>
      </c>
      <c r="G5357" s="9" t="str">
        <f>HYPERLINK("http://jsmh.umin.jp/journal/55-2/190.pdf")</f>
        <v>http://jsmh.umin.jp/journal/55-2/190.pdf</v>
      </c>
      <c r="H5357" s="43"/>
    </row>
    <row r="5358" spans="1:8" ht="30" customHeight="1" x14ac:dyDescent="0.15">
      <c r="A5358" s="16" t="s">
        <v>1855</v>
      </c>
      <c r="B5358" s="17" t="s">
        <v>8980</v>
      </c>
      <c r="C5358" s="17" t="s">
        <v>5516</v>
      </c>
      <c r="D5358" s="25" t="s">
        <v>8884</v>
      </c>
      <c r="E5358" s="19" t="s">
        <v>8908</v>
      </c>
      <c r="F5358" s="19" t="s">
        <v>983</v>
      </c>
      <c r="G5358" s="9" t="str">
        <f>HYPERLINK("http://jsmh.umin.jp/journal/55-2/191.pdf")</f>
        <v>http://jsmh.umin.jp/journal/55-2/191.pdf</v>
      </c>
      <c r="H5358" s="43"/>
    </row>
    <row r="5359" spans="1:8" ht="30" customHeight="1" x14ac:dyDescent="0.15">
      <c r="A5359" s="16" t="s">
        <v>1855</v>
      </c>
      <c r="B5359" s="17" t="s">
        <v>8981</v>
      </c>
      <c r="C5359" s="17" t="s">
        <v>6640</v>
      </c>
      <c r="D5359" s="25" t="s">
        <v>8884</v>
      </c>
      <c r="E5359" s="19" t="s">
        <v>8908</v>
      </c>
      <c r="F5359" s="19" t="s">
        <v>988</v>
      </c>
      <c r="G5359" s="9" t="str">
        <f>HYPERLINK("http://jsmh.umin.jp/journal/55-2/192.pdf")</f>
        <v>http://jsmh.umin.jp/journal/55-2/192.pdf</v>
      </c>
      <c r="H5359" s="43"/>
    </row>
    <row r="5360" spans="1:8" ht="30" customHeight="1" x14ac:dyDescent="0.15">
      <c r="A5360" s="16" t="s">
        <v>1855</v>
      </c>
      <c r="B5360" s="17" t="s">
        <v>8982</v>
      </c>
      <c r="C5360" s="17" t="s">
        <v>10289</v>
      </c>
      <c r="D5360" s="25" t="s">
        <v>8884</v>
      </c>
      <c r="E5360" s="19" t="s">
        <v>8908</v>
      </c>
      <c r="F5360" s="19" t="s">
        <v>5077</v>
      </c>
      <c r="G5360" s="9" t="str">
        <f>HYPERLINK("http://jsmh.umin.jp/journal/55-2/193.pdf")</f>
        <v>http://jsmh.umin.jp/journal/55-2/193.pdf</v>
      </c>
      <c r="H5360" s="43"/>
    </row>
    <row r="5361" spans="1:8" ht="30" customHeight="1" x14ac:dyDescent="0.15">
      <c r="A5361" s="16" t="s">
        <v>1855</v>
      </c>
      <c r="B5361" s="17" t="s">
        <v>8983</v>
      </c>
      <c r="C5361" s="17" t="s">
        <v>8984</v>
      </c>
      <c r="D5361" s="25" t="s">
        <v>8884</v>
      </c>
      <c r="E5361" s="19" t="s">
        <v>8908</v>
      </c>
      <c r="F5361" s="19" t="s">
        <v>1732</v>
      </c>
      <c r="G5361" s="9" t="str">
        <f>HYPERLINK("http://jsmh.umin.jp/journal/55-2/194.pdf")</f>
        <v>http://jsmh.umin.jp/journal/55-2/194.pdf</v>
      </c>
      <c r="H5361" s="43"/>
    </row>
    <row r="5362" spans="1:8" ht="30" customHeight="1" x14ac:dyDescent="0.15">
      <c r="A5362" s="16" t="s">
        <v>1855</v>
      </c>
      <c r="B5362" s="17" t="s">
        <v>8985</v>
      </c>
      <c r="C5362" s="17" t="s">
        <v>2071</v>
      </c>
      <c r="D5362" s="25" t="s">
        <v>8884</v>
      </c>
      <c r="E5362" s="19" t="s">
        <v>8908</v>
      </c>
      <c r="F5362" s="19" t="s">
        <v>995</v>
      </c>
      <c r="G5362" s="9" t="str">
        <f>HYPERLINK("http://jsmh.umin.jp/journal/55-2/195.pdf")</f>
        <v>http://jsmh.umin.jp/journal/55-2/195.pdf</v>
      </c>
      <c r="H5362" s="43"/>
    </row>
    <row r="5363" spans="1:8" ht="30" customHeight="1" x14ac:dyDescent="0.15">
      <c r="A5363" s="16" t="s">
        <v>1855</v>
      </c>
      <c r="B5363" s="17" t="s">
        <v>8986</v>
      </c>
      <c r="C5363" s="17" t="s">
        <v>6139</v>
      </c>
      <c r="D5363" s="25" t="s">
        <v>8884</v>
      </c>
      <c r="E5363" s="19" t="s">
        <v>8908</v>
      </c>
      <c r="F5363" s="19" t="s">
        <v>1001</v>
      </c>
      <c r="G5363" s="9" t="str">
        <f>HYPERLINK("http://jsmh.umin.jp/journal/55-2/196.pdf")</f>
        <v>http://jsmh.umin.jp/journal/55-2/196.pdf</v>
      </c>
      <c r="H5363" s="43"/>
    </row>
    <row r="5364" spans="1:8" ht="30" customHeight="1" x14ac:dyDescent="0.15">
      <c r="A5364" s="16" t="s">
        <v>1855</v>
      </c>
      <c r="B5364" s="17" t="s">
        <v>8987</v>
      </c>
      <c r="C5364" s="17" t="s">
        <v>7727</v>
      </c>
      <c r="D5364" s="25" t="s">
        <v>8884</v>
      </c>
      <c r="E5364" s="19" t="s">
        <v>8908</v>
      </c>
      <c r="F5364" s="19" t="s">
        <v>1004</v>
      </c>
      <c r="G5364" s="9" t="str">
        <f>HYPERLINK("http://jsmh.umin.jp/journal/55-2/197.pdf")</f>
        <v>http://jsmh.umin.jp/journal/55-2/197.pdf</v>
      </c>
      <c r="H5364" s="43"/>
    </row>
    <row r="5365" spans="1:8" ht="30" customHeight="1" x14ac:dyDescent="0.15">
      <c r="A5365" s="16" t="s">
        <v>1855</v>
      </c>
      <c r="B5365" s="17" t="s">
        <v>10442</v>
      </c>
      <c r="C5365" s="17" t="s">
        <v>8743</v>
      </c>
      <c r="D5365" s="25" t="s">
        <v>8884</v>
      </c>
      <c r="E5365" s="19" t="s">
        <v>8908</v>
      </c>
      <c r="F5365" s="19" t="s">
        <v>2440</v>
      </c>
      <c r="G5365" s="9" t="str">
        <f>HYPERLINK("http://jsmh.umin.jp/journal/55-2/198.pdf")</f>
        <v>http://jsmh.umin.jp/journal/55-2/198.pdf</v>
      </c>
      <c r="H5365" s="43"/>
    </row>
    <row r="5366" spans="1:8" ht="30" customHeight="1" x14ac:dyDescent="0.15">
      <c r="A5366" s="16" t="s">
        <v>1855</v>
      </c>
      <c r="B5366" s="17" t="s">
        <v>8988</v>
      </c>
      <c r="C5366" s="17" t="s">
        <v>8989</v>
      </c>
      <c r="D5366" s="25" t="s">
        <v>8884</v>
      </c>
      <c r="E5366" s="19" t="s">
        <v>8908</v>
      </c>
      <c r="F5366" s="19" t="s">
        <v>8990</v>
      </c>
      <c r="G5366" s="9" t="str">
        <f>HYPERLINK("http://jsmh.umin.jp/journal/55-2/199.pdf")</f>
        <v>http://jsmh.umin.jp/journal/55-2/199.pdf</v>
      </c>
      <c r="H5366" s="43"/>
    </row>
    <row r="5367" spans="1:8" ht="30" customHeight="1" x14ac:dyDescent="0.15">
      <c r="A5367" s="16" t="s">
        <v>1855</v>
      </c>
      <c r="B5367" s="17" t="s">
        <v>8991</v>
      </c>
      <c r="C5367" s="17" t="s">
        <v>8992</v>
      </c>
      <c r="D5367" s="25" t="s">
        <v>8884</v>
      </c>
      <c r="E5367" s="19" t="s">
        <v>8908</v>
      </c>
      <c r="F5367" s="19" t="s">
        <v>2942</v>
      </c>
      <c r="G5367" s="9" t="str">
        <f>HYPERLINK("http://jsmh.umin.jp/journal/55-2/200.pdf")</f>
        <v>http://jsmh.umin.jp/journal/55-2/200.pdf</v>
      </c>
      <c r="H5367" s="43"/>
    </row>
    <row r="5368" spans="1:8" ht="30" customHeight="1" x14ac:dyDescent="0.15">
      <c r="A5368" s="16" t="s">
        <v>1855</v>
      </c>
      <c r="B5368" s="17" t="s">
        <v>8993</v>
      </c>
      <c r="C5368" s="17" t="s">
        <v>8337</v>
      </c>
      <c r="D5368" s="25" t="s">
        <v>8884</v>
      </c>
      <c r="E5368" s="19" t="s">
        <v>8908</v>
      </c>
      <c r="F5368" s="19" t="s">
        <v>2944</v>
      </c>
      <c r="G5368" s="9" t="str">
        <f>HYPERLINK("http://jsmh.umin.jp/journal/55-2/201.pdf")</f>
        <v>http://jsmh.umin.jp/journal/55-2/201.pdf</v>
      </c>
      <c r="H5368" s="43"/>
    </row>
    <row r="5369" spans="1:8" ht="30" customHeight="1" x14ac:dyDescent="0.15">
      <c r="A5369" s="16" t="s">
        <v>1855</v>
      </c>
      <c r="B5369" s="17" t="s">
        <v>8994</v>
      </c>
      <c r="C5369" s="17" t="s">
        <v>7448</v>
      </c>
      <c r="D5369" s="25" t="s">
        <v>8884</v>
      </c>
      <c r="E5369" s="19" t="s">
        <v>8908</v>
      </c>
      <c r="F5369" s="19" t="s">
        <v>80</v>
      </c>
      <c r="G5369" s="9" t="str">
        <f>HYPERLINK("http://jsmh.umin.jp/journal/55-2/202.pdf")</f>
        <v>http://jsmh.umin.jp/journal/55-2/202.pdf</v>
      </c>
      <c r="H5369" s="43"/>
    </row>
    <row r="5370" spans="1:8" ht="30" customHeight="1" x14ac:dyDescent="0.15">
      <c r="A5370" s="16" t="s">
        <v>1855</v>
      </c>
      <c r="B5370" s="17" t="s">
        <v>8995</v>
      </c>
      <c r="C5370" s="17" t="s">
        <v>5084</v>
      </c>
      <c r="D5370" s="25" t="s">
        <v>8884</v>
      </c>
      <c r="E5370" s="19" t="s">
        <v>8908</v>
      </c>
      <c r="F5370" s="19" t="s">
        <v>2594</v>
      </c>
      <c r="G5370" s="9" t="str">
        <f>HYPERLINK("http://jsmh.umin.jp/journal/55-2/203.pdf")</f>
        <v>http://jsmh.umin.jp/journal/55-2/203.pdf</v>
      </c>
      <c r="H5370" s="43"/>
    </row>
    <row r="5371" spans="1:8" ht="30" customHeight="1" x14ac:dyDescent="0.15">
      <c r="A5371" s="16" t="s">
        <v>1855</v>
      </c>
      <c r="B5371" s="17" t="s">
        <v>8996</v>
      </c>
      <c r="C5371" s="17" t="s">
        <v>10375</v>
      </c>
      <c r="D5371" s="25" t="s">
        <v>8884</v>
      </c>
      <c r="E5371" s="19" t="s">
        <v>8908</v>
      </c>
      <c r="F5371" s="19" t="s">
        <v>8997</v>
      </c>
      <c r="G5371" s="9" t="str">
        <f>HYPERLINK("http://jsmh.umin.jp/journal/55-2/204.pdf")</f>
        <v>http://jsmh.umin.jp/journal/55-2/204.pdf</v>
      </c>
      <c r="H5371" s="43"/>
    </row>
    <row r="5372" spans="1:8" ht="30" customHeight="1" x14ac:dyDescent="0.15">
      <c r="A5372" s="16" t="s">
        <v>1855</v>
      </c>
      <c r="B5372" s="17" t="s">
        <v>8998</v>
      </c>
      <c r="C5372" s="17" t="s">
        <v>7891</v>
      </c>
      <c r="D5372" s="25" t="s">
        <v>8884</v>
      </c>
      <c r="E5372" s="19" t="s">
        <v>8908</v>
      </c>
      <c r="F5372" s="19" t="s">
        <v>8999</v>
      </c>
      <c r="G5372" s="9" t="str">
        <f>HYPERLINK("http://jsmh.umin.jp/journal/55-2/205.pdf")</f>
        <v>http://jsmh.umin.jp/journal/55-2/205.pdf</v>
      </c>
      <c r="H5372" s="43"/>
    </row>
    <row r="5373" spans="1:8" ht="30" customHeight="1" x14ac:dyDescent="0.15">
      <c r="A5373" s="16" t="s">
        <v>1855</v>
      </c>
      <c r="B5373" s="17" t="s">
        <v>9000</v>
      </c>
      <c r="C5373" s="17" t="s">
        <v>7154</v>
      </c>
      <c r="D5373" s="25" t="s">
        <v>8884</v>
      </c>
      <c r="E5373" s="19" t="s">
        <v>8908</v>
      </c>
      <c r="F5373" s="19" t="s">
        <v>9001</v>
      </c>
      <c r="G5373" s="9" t="str">
        <f>HYPERLINK("http://jsmh.umin.jp/journal/55-2/206.pdf")</f>
        <v>http://jsmh.umin.jp/journal/55-2/206.pdf</v>
      </c>
      <c r="H5373" s="43"/>
    </row>
    <row r="5374" spans="1:8" ht="30" customHeight="1" x14ac:dyDescent="0.15">
      <c r="A5374" s="16" t="s">
        <v>1855</v>
      </c>
      <c r="B5374" s="17" t="s">
        <v>9002</v>
      </c>
      <c r="C5374" s="17" t="s">
        <v>2881</v>
      </c>
      <c r="D5374" s="25" t="s">
        <v>8884</v>
      </c>
      <c r="E5374" s="19" t="s">
        <v>8908</v>
      </c>
      <c r="F5374" s="19" t="s">
        <v>261</v>
      </c>
      <c r="G5374" s="9" t="str">
        <f>HYPERLINK("http://jsmh.umin.jp/journal/55-2/207.pdf")</f>
        <v>http://jsmh.umin.jp/journal/55-2/207.pdf</v>
      </c>
      <c r="H5374" s="43"/>
    </row>
    <row r="5375" spans="1:8" ht="30" customHeight="1" x14ac:dyDescent="0.15">
      <c r="A5375" s="16" t="s">
        <v>1855</v>
      </c>
      <c r="B5375" s="17" t="s">
        <v>9003</v>
      </c>
      <c r="C5375" s="17" t="s">
        <v>7248</v>
      </c>
      <c r="D5375" s="25" t="s">
        <v>8884</v>
      </c>
      <c r="E5375" s="19" t="s">
        <v>8908</v>
      </c>
      <c r="F5375" s="19" t="s">
        <v>264</v>
      </c>
      <c r="G5375" s="9" t="str">
        <f>HYPERLINK("http://jsmh.umin.jp/journal/55-2/208.pdf")</f>
        <v>http://jsmh.umin.jp/journal/55-2/208.pdf</v>
      </c>
      <c r="H5375" s="43"/>
    </row>
    <row r="5376" spans="1:8" ht="30" customHeight="1" x14ac:dyDescent="0.15">
      <c r="A5376" s="16" t="s">
        <v>1855</v>
      </c>
      <c r="B5376" s="17" t="s">
        <v>9004</v>
      </c>
      <c r="C5376" s="17" t="s">
        <v>7420</v>
      </c>
      <c r="D5376" s="25" t="s">
        <v>8884</v>
      </c>
      <c r="E5376" s="19" t="s">
        <v>8908</v>
      </c>
      <c r="F5376" s="19" t="s">
        <v>269</v>
      </c>
      <c r="G5376" s="9" t="str">
        <f>HYPERLINK("http://jsmh.umin.jp/journal/55-2/209.pdf")</f>
        <v>http://jsmh.umin.jp/journal/55-2/209.pdf</v>
      </c>
      <c r="H5376" s="43"/>
    </row>
    <row r="5377" spans="1:8" ht="30" customHeight="1" x14ac:dyDescent="0.15">
      <c r="A5377" s="16" t="s">
        <v>1855</v>
      </c>
      <c r="B5377" s="17" t="s">
        <v>10443</v>
      </c>
      <c r="C5377" s="17" t="s">
        <v>9005</v>
      </c>
      <c r="D5377" s="25" t="s">
        <v>8884</v>
      </c>
      <c r="E5377" s="19" t="s">
        <v>8908</v>
      </c>
      <c r="F5377" s="19" t="s">
        <v>9006</v>
      </c>
      <c r="G5377" s="9" t="str">
        <f>HYPERLINK("http://jsmh.umin.jp/journal/55-2/210.pdf")</f>
        <v>http://jsmh.umin.jp/journal/55-2/210.pdf</v>
      </c>
      <c r="H5377" s="43"/>
    </row>
    <row r="5378" spans="1:8" ht="30" customHeight="1" x14ac:dyDescent="0.15">
      <c r="A5378" s="16" t="s">
        <v>1855</v>
      </c>
      <c r="B5378" s="17" t="s">
        <v>9007</v>
      </c>
      <c r="C5378" s="17" t="s">
        <v>7542</v>
      </c>
      <c r="D5378" s="25" t="s">
        <v>8884</v>
      </c>
      <c r="E5378" s="19" t="s">
        <v>8908</v>
      </c>
      <c r="F5378" s="19" t="s">
        <v>9008</v>
      </c>
      <c r="G5378" s="9" t="str">
        <f>HYPERLINK("http://jsmh.umin.jp/journal/55-2/211.pdf")</f>
        <v>http://jsmh.umin.jp/journal/55-2/211.pdf</v>
      </c>
      <c r="H5378" s="43"/>
    </row>
    <row r="5379" spans="1:8" ht="30" customHeight="1" x14ac:dyDescent="0.15">
      <c r="A5379" s="16" t="s">
        <v>1855</v>
      </c>
      <c r="B5379" s="17" t="s">
        <v>9009</v>
      </c>
      <c r="C5379" s="17" t="s">
        <v>7366</v>
      </c>
      <c r="D5379" s="25" t="s">
        <v>8884</v>
      </c>
      <c r="E5379" s="19" t="s">
        <v>8908</v>
      </c>
      <c r="F5379" s="19" t="s">
        <v>4196</v>
      </c>
      <c r="G5379" s="9" t="str">
        <f>HYPERLINK("http://jsmh.umin.jp/journal/55-2/212.pdf")</f>
        <v>http://jsmh.umin.jp/journal/55-2/212.pdf</v>
      </c>
      <c r="H5379" s="43"/>
    </row>
    <row r="5380" spans="1:8" ht="30" customHeight="1" x14ac:dyDescent="0.15">
      <c r="A5380" s="16" t="s">
        <v>1855</v>
      </c>
      <c r="B5380" s="17" t="s">
        <v>9010</v>
      </c>
      <c r="C5380" s="17" t="s">
        <v>7136</v>
      </c>
      <c r="D5380" s="25" t="s">
        <v>8884</v>
      </c>
      <c r="E5380" s="19" t="s">
        <v>8908</v>
      </c>
      <c r="F5380" s="19" t="s">
        <v>279</v>
      </c>
      <c r="G5380" s="9" t="str">
        <f>HYPERLINK("http://jsmh.umin.jp/journal/55-2/213.pdf")</f>
        <v>http://jsmh.umin.jp/journal/55-2/213.pdf</v>
      </c>
      <c r="H5380" s="43"/>
    </row>
    <row r="5381" spans="1:8" ht="30" customHeight="1" x14ac:dyDescent="0.15">
      <c r="A5381" s="16" t="s">
        <v>1855</v>
      </c>
      <c r="B5381" s="17" t="s">
        <v>9011</v>
      </c>
      <c r="C5381" s="17" t="s">
        <v>9012</v>
      </c>
      <c r="D5381" s="25" t="s">
        <v>8884</v>
      </c>
      <c r="E5381" s="19" t="s">
        <v>8908</v>
      </c>
      <c r="F5381" s="19" t="s">
        <v>283</v>
      </c>
      <c r="G5381" s="9" t="str">
        <f>HYPERLINK("http://jsmh.umin.jp/journal/55-2/214.pdf")</f>
        <v>http://jsmh.umin.jp/journal/55-2/214.pdf</v>
      </c>
      <c r="H5381" s="43"/>
    </row>
    <row r="5382" spans="1:8" ht="30" customHeight="1" x14ac:dyDescent="0.15">
      <c r="A5382" s="16" t="s">
        <v>1855</v>
      </c>
      <c r="B5382" s="17" t="s">
        <v>9013</v>
      </c>
      <c r="C5382" s="17" t="s">
        <v>4039</v>
      </c>
      <c r="D5382" s="25" t="s">
        <v>8884</v>
      </c>
      <c r="E5382" s="19" t="s">
        <v>8908</v>
      </c>
      <c r="F5382" s="19" t="s">
        <v>288</v>
      </c>
      <c r="G5382" s="9" t="str">
        <f>HYPERLINK("http://jsmh.umin.jp/journal/55-2/215.pdf")</f>
        <v>http://jsmh.umin.jp/journal/55-2/215.pdf</v>
      </c>
      <c r="H5382" s="43"/>
    </row>
    <row r="5383" spans="1:8" ht="30" customHeight="1" x14ac:dyDescent="0.15">
      <c r="A5383" s="16" t="s">
        <v>1855</v>
      </c>
      <c r="B5383" s="17" t="s">
        <v>9014</v>
      </c>
      <c r="C5383" s="17" t="s">
        <v>9015</v>
      </c>
      <c r="D5383" s="25" t="s">
        <v>8884</v>
      </c>
      <c r="E5383" s="19" t="s">
        <v>8908</v>
      </c>
      <c r="F5383" s="19" t="s">
        <v>9016</v>
      </c>
      <c r="G5383" s="9" t="str">
        <f>HYPERLINK("http://jsmh.umin.jp/journal/55-2/216.pdf")</f>
        <v>http://jsmh.umin.jp/journal/55-2/216.pdf</v>
      </c>
      <c r="H5383" s="43"/>
    </row>
    <row r="5384" spans="1:8" ht="30" customHeight="1" x14ac:dyDescent="0.15">
      <c r="A5384" s="16" t="s">
        <v>1855</v>
      </c>
      <c r="B5384" s="17" t="s">
        <v>9017</v>
      </c>
      <c r="C5384" s="17" t="s">
        <v>7316</v>
      </c>
      <c r="D5384" s="25" t="s">
        <v>8884</v>
      </c>
      <c r="E5384" s="19" t="s">
        <v>8908</v>
      </c>
      <c r="F5384" s="19" t="s">
        <v>9018</v>
      </c>
      <c r="G5384" s="9" t="str">
        <f>HYPERLINK("http://jsmh.umin.jp/journal/55-2/217.pdf")</f>
        <v>http://jsmh.umin.jp/journal/55-2/217.pdf</v>
      </c>
      <c r="H5384" s="43"/>
    </row>
    <row r="5385" spans="1:8" ht="30" customHeight="1" x14ac:dyDescent="0.15">
      <c r="A5385" s="16" t="s">
        <v>1855</v>
      </c>
      <c r="B5385" s="17" t="s">
        <v>9019</v>
      </c>
      <c r="C5385" s="17" t="s">
        <v>6300</v>
      </c>
      <c r="D5385" s="25" t="s">
        <v>8884</v>
      </c>
      <c r="E5385" s="19" t="s">
        <v>8908</v>
      </c>
      <c r="F5385" s="19" t="s">
        <v>2957</v>
      </c>
      <c r="G5385" s="9" t="str">
        <f>HYPERLINK("http://jsmh.umin.jp/journal/55-2/218.pdf")</f>
        <v>http://jsmh.umin.jp/journal/55-2/218.pdf</v>
      </c>
      <c r="H5385" s="43"/>
    </row>
    <row r="5386" spans="1:8" ht="30" customHeight="1" x14ac:dyDescent="0.15">
      <c r="A5386" s="16" t="s">
        <v>1855</v>
      </c>
      <c r="B5386" s="17" t="s">
        <v>9020</v>
      </c>
      <c r="C5386" s="17" t="s">
        <v>7352</v>
      </c>
      <c r="D5386" s="25" t="s">
        <v>8884</v>
      </c>
      <c r="E5386" s="19" t="s">
        <v>8908</v>
      </c>
      <c r="F5386" s="19" t="s">
        <v>1857</v>
      </c>
      <c r="G5386" s="9" t="str">
        <f>HYPERLINK("http://jsmh.umin.jp/journal/55-2/219.pdf")</f>
        <v>http://jsmh.umin.jp/journal/55-2/219.pdf</v>
      </c>
      <c r="H5386" s="43"/>
    </row>
    <row r="5387" spans="1:8" ht="30" customHeight="1" x14ac:dyDescent="0.15">
      <c r="A5387" s="16" t="s">
        <v>1855</v>
      </c>
      <c r="B5387" s="17" t="s">
        <v>9021</v>
      </c>
      <c r="C5387" s="17" t="s">
        <v>8813</v>
      </c>
      <c r="D5387" s="25" t="s">
        <v>8884</v>
      </c>
      <c r="E5387" s="19" t="s">
        <v>8908</v>
      </c>
      <c r="F5387" s="19" t="s">
        <v>2084</v>
      </c>
      <c r="G5387" s="9" t="str">
        <f>HYPERLINK("http://jsmh.umin.jp/journal/55-2/220.pdf")</f>
        <v>http://jsmh.umin.jp/journal/55-2/220.pdf</v>
      </c>
      <c r="H5387" s="43"/>
    </row>
    <row r="5388" spans="1:8" ht="30" customHeight="1" x14ac:dyDescent="0.15">
      <c r="A5388" s="16" t="s">
        <v>1855</v>
      </c>
      <c r="B5388" s="17" t="s">
        <v>10603</v>
      </c>
      <c r="C5388" s="17" t="s">
        <v>9022</v>
      </c>
      <c r="D5388" s="25" t="s">
        <v>8884</v>
      </c>
      <c r="E5388" s="19" t="s">
        <v>8908</v>
      </c>
      <c r="F5388" s="19" t="s">
        <v>2960</v>
      </c>
      <c r="G5388" s="9" t="str">
        <f>HYPERLINK("http://jsmh.umin.jp/journal/55-2/221.pdf")</f>
        <v>http://jsmh.umin.jp/journal/55-2/221.pdf</v>
      </c>
      <c r="H5388" s="43"/>
    </row>
    <row r="5389" spans="1:8" ht="30" customHeight="1" x14ac:dyDescent="0.15">
      <c r="A5389" s="16" t="s">
        <v>558</v>
      </c>
      <c r="B5389" s="17" t="s">
        <v>9023</v>
      </c>
      <c r="C5389" s="17"/>
      <c r="D5389" s="25" t="s">
        <v>8884</v>
      </c>
      <c r="E5389" s="19" t="s">
        <v>8908</v>
      </c>
      <c r="F5389" s="19" t="s">
        <v>9024</v>
      </c>
      <c r="G5389" s="9" t="str">
        <f>HYPERLINK("http://jsmh.umin.jp/journal/55-2/227.pdf")</f>
        <v>http://jsmh.umin.jp/journal/55-2/227.pdf</v>
      </c>
      <c r="H5389" s="43"/>
    </row>
    <row r="5390" spans="1:8" ht="30" customHeight="1" x14ac:dyDescent="0.15">
      <c r="A5390" s="16" t="s">
        <v>17</v>
      </c>
      <c r="B5390" s="17" t="s">
        <v>9025</v>
      </c>
      <c r="C5390" s="17" t="s">
        <v>2465</v>
      </c>
      <c r="D5390" s="25" t="s">
        <v>8884</v>
      </c>
      <c r="E5390" s="19" t="s">
        <v>9026</v>
      </c>
      <c r="F5390" s="19" t="s">
        <v>9027</v>
      </c>
      <c r="G5390" s="9" t="str">
        <f>HYPERLINK("http://jsmh.umin.jp/journal/55-3/291.pdf")</f>
        <v>http://jsmh.umin.jp/journal/55-3/291.pdf</v>
      </c>
      <c r="H5390" s="43"/>
    </row>
    <row r="5391" spans="1:8" ht="30" customHeight="1" x14ac:dyDescent="0.15">
      <c r="A5391" s="16" t="s">
        <v>17</v>
      </c>
      <c r="B5391" s="17" t="s">
        <v>9028</v>
      </c>
      <c r="C5391" s="17" t="s">
        <v>5944</v>
      </c>
      <c r="D5391" s="25" t="s">
        <v>8884</v>
      </c>
      <c r="E5391" s="19" t="s">
        <v>9026</v>
      </c>
      <c r="F5391" s="19" t="s">
        <v>4067</v>
      </c>
      <c r="G5391" s="8" t="str">
        <f>HYPERLINK("http://jsmh.umin.jp/journal/55-3/303.pdf")</f>
        <v>http://jsmh.umin.jp/journal/55-3/303.pdf</v>
      </c>
      <c r="H5391" s="43"/>
    </row>
    <row r="5392" spans="1:8" ht="30" customHeight="1" x14ac:dyDescent="0.15">
      <c r="A5392" s="16" t="s">
        <v>17</v>
      </c>
      <c r="B5392" s="17" t="s">
        <v>9029</v>
      </c>
      <c r="C5392" s="17" t="s">
        <v>10280</v>
      </c>
      <c r="D5392" s="25" t="s">
        <v>8884</v>
      </c>
      <c r="E5392" s="19" t="s">
        <v>9026</v>
      </c>
      <c r="F5392" s="19" t="s">
        <v>9030</v>
      </c>
      <c r="G5392" s="9" t="str">
        <f>HYPERLINK("http://jsmh.umin.jp/journal/55-3/317.pdf")</f>
        <v>http://jsmh.umin.jp/journal/55-3/317.pdf</v>
      </c>
      <c r="H5392" s="43"/>
    </row>
    <row r="5393" spans="1:8" ht="30" customHeight="1" x14ac:dyDescent="0.15">
      <c r="A5393" s="16" t="s">
        <v>17</v>
      </c>
      <c r="B5393" s="17" t="s">
        <v>9031</v>
      </c>
      <c r="C5393" s="17" t="s">
        <v>9032</v>
      </c>
      <c r="D5393" s="25" t="s">
        <v>8884</v>
      </c>
      <c r="E5393" s="19" t="s">
        <v>9026</v>
      </c>
      <c r="F5393" s="19" t="s">
        <v>9033</v>
      </c>
      <c r="G5393" s="9" t="str">
        <f>HYPERLINK("http://jsmh.umin.jp/journal/55-3/329.pdf")</f>
        <v>http://jsmh.umin.jp/journal/55-3/329.pdf</v>
      </c>
      <c r="H5393" s="43"/>
    </row>
    <row r="5394" spans="1:8" ht="30" customHeight="1" x14ac:dyDescent="0.15">
      <c r="A5394" s="16" t="s">
        <v>17</v>
      </c>
      <c r="B5394" s="17" t="s">
        <v>9034</v>
      </c>
      <c r="C5394" s="17" t="s">
        <v>9035</v>
      </c>
      <c r="D5394" s="25" t="s">
        <v>8884</v>
      </c>
      <c r="E5394" s="19" t="s">
        <v>9026</v>
      </c>
      <c r="F5394" s="19" t="s">
        <v>9036</v>
      </c>
      <c r="G5394" s="9" t="str">
        <f>HYPERLINK("http://jsmh.umin.jp/journal/55-3/347.pdf")</f>
        <v>http://jsmh.umin.jp/journal/55-3/347.pdf</v>
      </c>
      <c r="H5394" s="43"/>
    </row>
    <row r="5395" spans="1:8" ht="30" customHeight="1" x14ac:dyDescent="0.15">
      <c r="A5395" s="16" t="s">
        <v>7637</v>
      </c>
      <c r="B5395" s="17" t="s">
        <v>9037</v>
      </c>
      <c r="C5395" s="17" t="s">
        <v>48</v>
      </c>
      <c r="D5395" s="25" t="s">
        <v>8884</v>
      </c>
      <c r="E5395" s="19" t="s">
        <v>9026</v>
      </c>
      <c r="F5395" s="19" t="s">
        <v>9038</v>
      </c>
      <c r="G5395" s="9" t="str">
        <f>HYPERLINK("http://jsmh.umin.jp/journal/55-3/365.pdf")</f>
        <v>http://jsmh.umin.jp/journal/55-3/365.pdf</v>
      </c>
      <c r="H5395" s="43"/>
    </row>
    <row r="5396" spans="1:8" ht="30" customHeight="1" x14ac:dyDescent="0.15">
      <c r="A5396" s="16" t="s">
        <v>7637</v>
      </c>
      <c r="B5396" s="17" t="s">
        <v>9039</v>
      </c>
      <c r="C5396" s="17" t="s">
        <v>48</v>
      </c>
      <c r="D5396" s="25" t="s">
        <v>8884</v>
      </c>
      <c r="E5396" s="19" t="s">
        <v>9026</v>
      </c>
      <c r="F5396" s="19" t="s">
        <v>4253</v>
      </c>
      <c r="G5396" s="9" t="str">
        <f>HYPERLINK("http://jsmh.umin.jp/journal/55-3/369.pdf")</f>
        <v>http://jsmh.umin.jp/journal/55-3/369.pdf</v>
      </c>
      <c r="H5396" s="43"/>
    </row>
    <row r="5397" spans="1:8" ht="30" customHeight="1" x14ac:dyDescent="0.15">
      <c r="A5397" s="16" t="s">
        <v>7637</v>
      </c>
      <c r="B5397" s="17" t="s">
        <v>9040</v>
      </c>
      <c r="C5397" s="17" t="s">
        <v>6139</v>
      </c>
      <c r="D5397" s="25" t="s">
        <v>8884</v>
      </c>
      <c r="E5397" s="19" t="s">
        <v>9026</v>
      </c>
      <c r="F5397" s="19" t="s">
        <v>9041</v>
      </c>
      <c r="G5397" s="9" t="str">
        <f>HYPERLINK("http://jsmh.umin.jp/journal/55-3/371.pdf")</f>
        <v>http://jsmh.umin.jp/journal/55-3/371.pdf</v>
      </c>
      <c r="H5397" s="43"/>
    </row>
    <row r="5398" spans="1:8" ht="30" customHeight="1" x14ac:dyDescent="0.15">
      <c r="A5398" s="16" t="s">
        <v>692</v>
      </c>
      <c r="B5398" s="17" t="s">
        <v>9042</v>
      </c>
      <c r="C5398" s="17" t="s">
        <v>4870</v>
      </c>
      <c r="D5398" s="25" t="s">
        <v>8884</v>
      </c>
      <c r="E5398" s="19" t="s">
        <v>9026</v>
      </c>
      <c r="F5398" s="19" t="s">
        <v>9043</v>
      </c>
      <c r="G5398" s="9" t="str">
        <f>HYPERLINK("http://jsmh.umin.jp/journal/55-3/377.pdf")</f>
        <v>http://jsmh.umin.jp/journal/55-3/377.pdf</v>
      </c>
      <c r="H5398" s="43"/>
    </row>
    <row r="5399" spans="1:8" ht="30" customHeight="1" x14ac:dyDescent="0.15">
      <c r="A5399" s="16" t="s">
        <v>3720</v>
      </c>
      <c r="B5399" s="17" t="s">
        <v>9044</v>
      </c>
      <c r="C5399" s="17" t="s">
        <v>9045</v>
      </c>
      <c r="D5399" s="25" t="s">
        <v>8884</v>
      </c>
      <c r="E5399" s="19" t="s">
        <v>9026</v>
      </c>
      <c r="F5399" s="19" t="s">
        <v>9046</v>
      </c>
      <c r="G5399" s="9" t="str">
        <f>HYPERLINK("http://jsmh.umin.jp/journal/55-3/387.pdf")</f>
        <v>http://jsmh.umin.jp/journal/55-3/387.pdf</v>
      </c>
      <c r="H5399" s="43"/>
    </row>
    <row r="5400" spans="1:8" ht="30" customHeight="1" x14ac:dyDescent="0.15">
      <c r="A5400" s="16" t="s">
        <v>558</v>
      </c>
      <c r="B5400" s="17" t="s">
        <v>9047</v>
      </c>
      <c r="C5400" s="17"/>
      <c r="D5400" s="25" t="s">
        <v>8884</v>
      </c>
      <c r="E5400" s="19" t="s">
        <v>9026</v>
      </c>
      <c r="F5400" s="19" t="s">
        <v>9048</v>
      </c>
      <c r="G5400" s="9" t="str">
        <f>HYPERLINK("http://jsmh.umin.jp/journal/55-3/387k.pdf")</f>
        <v>http://jsmh.umin.jp/journal/55-3/387k.pdf</v>
      </c>
      <c r="H5400" s="43"/>
    </row>
    <row r="5401" spans="1:8" ht="30" customHeight="1" x14ac:dyDescent="0.15">
      <c r="A5401" s="16" t="s">
        <v>3720</v>
      </c>
      <c r="B5401" s="17" t="s">
        <v>9049</v>
      </c>
      <c r="C5401" s="17" t="s">
        <v>6325</v>
      </c>
      <c r="D5401" s="25" t="s">
        <v>8884</v>
      </c>
      <c r="E5401" s="19" t="s">
        <v>9026</v>
      </c>
      <c r="F5401" s="19" t="s">
        <v>5731</v>
      </c>
      <c r="G5401" s="9" t="str">
        <f>HYPERLINK("http://jsmh.umin.jp/journal/55-3/389.pdf")</f>
        <v>http://jsmh.umin.jp/journal/55-3/389.pdf</v>
      </c>
      <c r="H5401" s="43"/>
    </row>
    <row r="5402" spans="1:8" ht="30" customHeight="1" x14ac:dyDescent="0.15">
      <c r="A5402" s="16" t="s">
        <v>2990</v>
      </c>
      <c r="B5402" s="17" t="s">
        <v>9050</v>
      </c>
      <c r="C5402" s="17" t="s">
        <v>6851</v>
      </c>
      <c r="D5402" s="25" t="s">
        <v>8884</v>
      </c>
      <c r="E5402" s="19" t="s">
        <v>9026</v>
      </c>
      <c r="F5402" s="19" t="s">
        <v>2141</v>
      </c>
      <c r="G5402" s="9" t="str">
        <f>HYPERLINK("http://jsmh.umin.jp/journal/55-3/390.pdf")</f>
        <v>http://jsmh.umin.jp/journal/55-3/390.pdf</v>
      </c>
      <c r="H5402" s="43"/>
    </row>
    <row r="5403" spans="1:8" ht="30" customHeight="1" x14ac:dyDescent="0.15">
      <c r="A5403" s="16" t="s">
        <v>2990</v>
      </c>
      <c r="B5403" s="17" t="s">
        <v>9051</v>
      </c>
      <c r="C5403" s="17" t="s">
        <v>4892</v>
      </c>
      <c r="D5403" s="25" t="s">
        <v>8884</v>
      </c>
      <c r="E5403" s="19" t="s">
        <v>9026</v>
      </c>
      <c r="F5403" s="19" t="s">
        <v>9052</v>
      </c>
      <c r="G5403" s="9" t="str">
        <f>HYPERLINK("http://jsmh.umin.jp/journal/55-3/392.pdf")</f>
        <v>http://jsmh.umin.jp/journal/55-3/392.pdf</v>
      </c>
      <c r="H5403" s="43"/>
    </row>
    <row r="5404" spans="1:8" ht="30" customHeight="1" x14ac:dyDescent="0.15">
      <c r="A5404" s="16" t="s">
        <v>2990</v>
      </c>
      <c r="B5404" s="17" t="s">
        <v>9053</v>
      </c>
      <c r="C5404" s="17" t="s">
        <v>7316</v>
      </c>
      <c r="D5404" s="25" t="s">
        <v>8884</v>
      </c>
      <c r="E5404" s="19" t="s">
        <v>9026</v>
      </c>
      <c r="F5404" s="19" t="s">
        <v>2320</v>
      </c>
      <c r="G5404" s="9" t="str">
        <f>HYPERLINK("http://jsmh.umin.jp/journal/55-3/395.pdf")</f>
        <v>http://jsmh.umin.jp/journal/55-3/395.pdf</v>
      </c>
      <c r="H5404" s="43"/>
    </row>
    <row r="5405" spans="1:8" ht="30" customHeight="1" x14ac:dyDescent="0.15">
      <c r="A5405" s="16" t="s">
        <v>2990</v>
      </c>
      <c r="B5405" s="17" t="s">
        <v>9054</v>
      </c>
      <c r="C5405" s="17" t="s">
        <v>1292</v>
      </c>
      <c r="D5405" s="25" t="s">
        <v>8884</v>
      </c>
      <c r="E5405" s="19" t="s">
        <v>9026</v>
      </c>
      <c r="F5405" s="19" t="s">
        <v>2338</v>
      </c>
      <c r="G5405" s="9" t="str">
        <f>HYPERLINK("http://jsmh.umin.jp/journal/55-3/397.pdf")</f>
        <v>http://jsmh.umin.jp/journal/55-3/397.pdf</v>
      </c>
      <c r="H5405" s="43"/>
    </row>
    <row r="5406" spans="1:8" ht="30" customHeight="1" x14ac:dyDescent="0.15">
      <c r="A5406" s="16" t="s">
        <v>2990</v>
      </c>
      <c r="B5406" s="17" t="s">
        <v>9055</v>
      </c>
      <c r="C5406" s="17" t="s">
        <v>9056</v>
      </c>
      <c r="D5406" s="25" t="s">
        <v>8884</v>
      </c>
      <c r="E5406" s="19" t="s">
        <v>9026</v>
      </c>
      <c r="F5406" s="19" t="s">
        <v>2340</v>
      </c>
      <c r="G5406" s="9" t="str">
        <f>HYPERLINK("http://jsmh.umin.jp/journal/55-3/398.pdf")</f>
        <v>http://jsmh.umin.jp/journal/55-3/398.pdf</v>
      </c>
      <c r="H5406" s="43"/>
    </row>
    <row r="5407" spans="1:8" ht="30" customHeight="1" x14ac:dyDescent="0.15">
      <c r="A5407" s="16" t="s">
        <v>2990</v>
      </c>
      <c r="B5407" s="17" t="s">
        <v>9057</v>
      </c>
      <c r="C5407" s="17" t="s">
        <v>7154</v>
      </c>
      <c r="D5407" s="25" t="s">
        <v>8884</v>
      </c>
      <c r="E5407" s="19" t="s">
        <v>9026</v>
      </c>
      <c r="F5407" s="19" t="s">
        <v>5743</v>
      </c>
      <c r="G5407" s="9" t="str">
        <f>HYPERLINK("http://jsmh.umin.jp/journal/55-3/399.pdf")</f>
        <v>http://jsmh.umin.jp/journal/55-3/399.pdf</v>
      </c>
      <c r="H5407" s="43"/>
    </row>
    <row r="5408" spans="1:8" ht="30" customHeight="1" x14ac:dyDescent="0.15">
      <c r="A5408" s="16" t="s">
        <v>2990</v>
      </c>
      <c r="B5408" s="17" t="s">
        <v>9058</v>
      </c>
      <c r="C5408" s="17" t="s">
        <v>2667</v>
      </c>
      <c r="D5408" s="25" t="s">
        <v>8884</v>
      </c>
      <c r="E5408" s="19" t="s">
        <v>9026</v>
      </c>
      <c r="F5408" s="19" t="s">
        <v>6556</v>
      </c>
      <c r="G5408" s="9" t="str">
        <f>HYPERLINK("http://jsmh.umin.jp/journal/55-3/400.pdf")</f>
        <v>http://jsmh.umin.jp/journal/55-3/400.pdf</v>
      </c>
      <c r="H5408" s="43"/>
    </row>
    <row r="5409" spans="1:8" ht="30" customHeight="1" x14ac:dyDescent="0.15">
      <c r="A5409" s="16" t="s">
        <v>2990</v>
      </c>
      <c r="B5409" s="17" t="s">
        <v>10444</v>
      </c>
      <c r="C5409" s="17" t="s">
        <v>6903</v>
      </c>
      <c r="D5409" s="25" t="s">
        <v>8884</v>
      </c>
      <c r="E5409" s="19" t="s">
        <v>9026</v>
      </c>
      <c r="F5409" s="19" t="s">
        <v>6558</v>
      </c>
      <c r="G5409" s="9" t="str">
        <f>HYPERLINK("http://jsmh.umin.jp/journal/55-3/402.pdf")</f>
        <v>http://jsmh.umin.jp/journal/55-3/402.pdf</v>
      </c>
      <c r="H5409" s="43"/>
    </row>
    <row r="5410" spans="1:8" ht="30" customHeight="1" x14ac:dyDescent="0.15">
      <c r="A5410" s="16" t="s">
        <v>17</v>
      </c>
      <c r="B5410" s="17" t="s">
        <v>9059</v>
      </c>
      <c r="C5410" s="17" t="s">
        <v>8707</v>
      </c>
      <c r="D5410" s="25" t="s">
        <v>8884</v>
      </c>
      <c r="E5410" s="19" t="s">
        <v>9060</v>
      </c>
      <c r="F5410" s="19" t="s">
        <v>9061</v>
      </c>
      <c r="G5410" s="9" t="str">
        <f>HYPERLINK("http://jsmh.umin.jp/journal/55-4/411.pdf")</f>
        <v>http://jsmh.umin.jp/journal/55-4/411.pdf</v>
      </c>
      <c r="H5410" s="43"/>
    </row>
    <row r="5411" spans="1:8" ht="30" customHeight="1" x14ac:dyDescent="0.15">
      <c r="A5411" s="16" t="s">
        <v>17</v>
      </c>
      <c r="B5411" s="17" t="s">
        <v>9062</v>
      </c>
      <c r="C5411" s="17" t="s">
        <v>7944</v>
      </c>
      <c r="D5411" s="25" t="s">
        <v>8884</v>
      </c>
      <c r="E5411" s="19" t="s">
        <v>9060</v>
      </c>
      <c r="F5411" s="19" t="s">
        <v>3540</v>
      </c>
      <c r="G5411" s="9" t="str">
        <f>HYPERLINK("http://jsmh.umin.jp/journal/55-4/427.pdf")</f>
        <v>http://jsmh.umin.jp/journal/55-4/427.pdf</v>
      </c>
      <c r="H5411" s="43"/>
    </row>
    <row r="5412" spans="1:8" ht="30" customHeight="1" x14ac:dyDescent="0.15">
      <c r="A5412" s="16" t="s">
        <v>17</v>
      </c>
      <c r="B5412" s="17" t="s">
        <v>9063</v>
      </c>
      <c r="C5412" s="17" t="s">
        <v>7944</v>
      </c>
      <c r="D5412" s="25" t="s">
        <v>8884</v>
      </c>
      <c r="E5412" s="19" t="s">
        <v>9060</v>
      </c>
      <c r="F5412" s="19" t="s">
        <v>9064</v>
      </c>
      <c r="G5412" s="9" t="str">
        <f>HYPERLINK("http://jsmh.umin.jp/journal/55-4/445.pdf")</f>
        <v>http://jsmh.umin.jp/journal/55-4/445.pdf</v>
      </c>
      <c r="H5412" s="43"/>
    </row>
    <row r="5413" spans="1:8" ht="30" customHeight="1" x14ac:dyDescent="0.15">
      <c r="A5413" s="16" t="s">
        <v>17</v>
      </c>
      <c r="B5413" s="17" t="s">
        <v>9065</v>
      </c>
      <c r="C5413" s="17" t="s">
        <v>9066</v>
      </c>
      <c r="D5413" s="25" t="s">
        <v>8884</v>
      </c>
      <c r="E5413" s="19" t="s">
        <v>9060</v>
      </c>
      <c r="F5413" s="19" t="s">
        <v>9067</v>
      </c>
      <c r="G5413" s="9" t="str">
        <f>HYPERLINK("http://jsmh.umin.jp/journal/55-4/463.pdf")</f>
        <v>http://jsmh.umin.jp/journal/55-4/463.pdf</v>
      </c>
      <c r="H5413" s="43"/>
    </row>
    <row r="5414" spans="1:8" ht="30" customHeight="1" x14ac:dyDescent="0.15">
      <c r="A5414" s="16" t="s">
        <v>17</v>
      </c>
      <c r="B5414" s="17" t="s">
        <v>9068</v>
      </c>
      <c r="C5414" s="17" t="s">
        <v>8252</v>
      </c>
      <c r="D5414" s="25" t="s">
        <v>8884</v>
      </c>
      <c r="E5414" s="19" t="s">
        <v>9060</v>
      </c>
      <c r="F5414" s="19" t="s">
        <v>6774</v>
      </c>
      <c r="G5414" s="9" t="str">
        <f>HYPERLINK("http://jsmh.umin.jp/journal/55-4/499.pdf")</f>
        <v>http://jsmh.umin.jp/journal/55-4/499.pdf</v>
      </c>
      <c r="H5414" s="43"/>
    </row>
    <row r="5415" spans="1:8" ht="30" customHeight="1" x14ac:dyDescent="0.15">
      <c r="A5415" s="16" t="s">
        <v>17</v>
      </c>
      <c r="B5415" s="17" t="s">
        <v>9069</v>
      </c>
      <c r="C5415" s="17" t="s">
        <v>8855</v>
      </c>
      <c r="D5415" s="25" t="s">
        <v>8884</v>
      </c>
      <c r="E5415" s="19" t="s">
        <v>9060</v>
      </c>
      <c r="F5415" s="19" t="s">
        <v>9070</v>
      </c>
      <c r="G5415" s="9" t="str">
        <f>HYPERLINK("http://jsmh.umin.jp/journal/55-4/509.pdf")</f>
        <v>http://jsmh.umin.jp/journal/55-4/509.pdf</v>
      </c>
      <c r="H5415" s="43"/>
    </row>
    <row r="5416" spans="1:8" ht="30" customHeight="1" x14ac:dyDescent="0.15">
      <c r="A5416" s="16" t="s">
        <v>3387</v>
      </c>
      <c r="B5416" s="17" t="s">
        <v>9071</v>
      </c>
      <c r="C5416" s="17" t="s">
        <v>8834</v>
      </c>
      <c r="D5416" s="25" t="s">
        <v>8884</v>
      </c>
      <c r="E5416" s="19" t="s">
        <v>9060</v>
      </c>
      <c r="F5416" s="19" t="s">
        <v>9072</v>
      </c>
      <c r="G5416" s="9" t="str">
        <f>HYPERLINK("http://jsmh.umin.jp/journal/55-4/521.pdf")</f>
        <v>http://jsmh.umin.jp/journal/55-4/521.pdf</v>
      </c>
      <c r="H5416" s="43"/>
    </row>
    <row r="5417" spans="1:8" ht="30" customHeight="1" x14ac:dyDescent="0.15">
      <c r="A5417" s="16" t="s">
        <v>3223</v>
      </c>
      <c r="B5417" s="17" t="s">
        <v>9073</v>
      </c>
      <c r="C5417" s="17" t="s">
        <v>1070</v>
      </c>
      <c r="D5417" s="25" t="s">
        <v>8884</v>
      </c>
      <c r="E5417" s="19" t="s">
        <v>9060</v>
      </c>
      <c r="F5417" s="19" t="s">
        <v>4682</v>
      </c>
      <c r="G5417" s="9" t="str">
        <f>HYPERLINK("http://jsmh.umin.jp/journal/55-4/529.pdf")</f>
        <v>http://jsmh.umin.jp/journal/55-4/529.pdf</v>
      </c>
      <c r="H5417" s="43"/>
    </row>
    <row r="5418" spans="1:8" ht="30" customHeight="1" x14ac:dyDescent="0.15">
      <c r="A5418" s="16" t="s">
        <v>3223</v>
      </c>
      <c r="B5418" s="17" t="s">
        <v>9074</v>
      </c>
      <c r="C5418" s="17" t="s">
        <v>4351</v>
      </c>
      <c r="D5418" s="25" t="s">
        <v>8884</v>
      </c>
      <c r="E5418" s="19" t="s">
        <v>9060</v>
      </c>
      <c r="F5418" s="19" t="s">
        <v>4686</v>
      </c>
      <c r="G5418" s="9" t="str">
        <f>HYPERLINK("http://jsmh.umin.jp/journal/55-4/531.pdf")</f>
        <v>http://jsmh.umin.jp/journal/55-4/531.pdf</v>
      </c>
      <c r="H5418" s="43"/>
    </row>
    <row r="5419" spans="1:8" ht="30" customHeight="1" x14ac:dyDescent="0.15">
      <c r="A5419" s="16" t="s">
        <v>3720</v>
      </c>
      <c r="B5419" s="17" t="s">
        <v>9075</v>
      </c>
      <c r="C5419" s="17" t="s">
        <v>2937</v>
      </c>
      <c r="D5419" s="25" t="s">
        <v>8884</v>
      </c>
      <c r="E5419" s="19" t="s">
        <v>9060</v>
      </c>
      <c r="F5419" s="19" t="s">
        <v>9076</v>
      </c>
      <c r="G5419" s="9" t="str">
        <f>HYPERLINK("http://jsmh.umin.jp/journal/55-4/533.pdf")</f>
        <v>http://jsmh.umin.jp/journal/55-4/533.pdf</v>
      </c>
      <c r="H5419" s="43"/>
    </row>
    <row r="5420" spans="1:8" ht="30" customHeight="1" x14ac:dyDescent="0.15">
      <c r="A5420" s="16" t="s">
        <v>558</v>
      </c>
      <c r="B5420" s="17" t="s">
        <v>9077</v>
      </c>
      <c r="C5420" s="17"/>
      <c r="D5420" s="25" t="s">
        <v>8884</v>
      </c>
      <c r="E5420" s="19" t="s">
        <v>9060</v>
      </c>
      <c r="F5420" s="19" t="s">
        <v>3564</v>
      </c>
      <c r="G5420" s="9" t="str">
        <f>HYPERLINK("http://jsmh.umin.jp/journal/55-4/533.pdf")</f>
        <v>http://jsmh.umin.jp/journal/55-4/533.pdf</v>
      </c>
      <c r="H5420" s="43"/>
    </row>
    <row r="5421" spans="1:8" ht="30" customHeight="1" x14ac:dyDescent="0.15">
      <c r="A5421" s="16" t="s">
        <v>3720</v>
      </c>
      <c r="B5421" s="17" t="s">
        <v>9078</v>
      </c>
      <c r="C5421" s="17" t="s">
        <v>48</v>
      </c>
      <c r="D5421" s="25" t="s">
        <v>8884</v>
      </c>
      <c r="E5421" s="19" t="s">
        <v>9060</v>
      </c>
      <c r="F5421" s="19" t="s">
        <v>3567</v>
      </c>
      <c r="G5421" s="8" t="str">
        <f>HYPERLINK("http://jsmh.umin.jp/journal/55-4/535.pdf")</f>
        <v>http://jsmh.umin.jp/journal/55-4/535.pdf</v>
      </c>
      <c r="H5421" s="43"/>
    </row>
    <row r="5422" spans="1:8" ht="30" customHeight="1" x14ac:dyDescent="0.15">
      <c r="A5422" s="16" t="s">
        <v>3720</v>
      </c>
      <c r="B5422" s="17" t="s">
        <v>10445</v>
      </c>
      <c r="C5422" s="17" t="s">
        <v>4351</v>
      </c>
      <c r="D5422" s="25" t="s">
        <v>8884</v>
      </c>
      <c r="E5422" s="19" t="s">
        <v>9060</v>
      </c>
      <c r="F5422" s="19" t="s">
        <v>4694</v>
      </c>
      <c r="G5422" s="8" t="str">
        <f>HYPERLINK("http://jsmh.umin.jp/journal/55-4/536.pdf")</f>
        <v>http://jsmh.umin.jp/journal/55-4/536.pdf</v>
      </c>
      <c r="H5422" s="43"/>
    </row>
    <row r="5423" spans="1:8" ht="30" customHeight="1" x14ac:dyDescent="0.15">
      <c r="A5423" s="16" t="s">
        <v>17</v>
      </c>
      <c r="B5423" s="17" t="s">
        <v>9079</v>
      </c>
      <c r="C5423" s="17" t="s">
        <v>9080</v>
      </c>
      <c r="D5423" s="18" t="s">
        <v>9081</v>
      </c>
      <c r="E5423" s="19" t="s">
        <v>9082</v>
      </c>
      <c r="F5423" s="19" t="s">
        <v>9083</v>
      </c>
      <c r="G5423" s="8" t="str">
        <f>HYPERLINK("http://jsmh.umin.jp/journal/56-1/56-1_3.pdf")</f>
        <v>http://jsmh.umin.jp/journal/56-1/56-1_3.pdf</v>
      </c>
      <c r="H5423" s="43" t="s">
        <v>10577</v>
      </c>
    </row>
    <row r="5424" spans="1:8" ht="30" customHeight="1" x14ac:dyDescent="0.15">
      <c r="A5424" s="16" t="s">
        <v>17</v>
      </c>
      <c r="B5424" s="17" t="s">
        <v>9084</v>
      </c>
      <c r="C5424" s="17" t="s">
        <v>10355</v>
      </c>
      <c r="D5424" s="25" t="s">
        <v>9081</v>
      </c>
      <c r="E5424" s="19" t="s">
        <v>9082</v>
      </c>
      <c r="F5424" s="19" t="s">
        <v>3946</v>
      </c>
      <c r="G5424" s="8" t="str">
        <f>HYPERLINK("http://jsmh.umin.jp/journal/56-1/56-1_25.pdf")</f>
        <v>http://jsmh.umin.jp/journal/56-1/56-1_25.pdf</v>
      </c>
      <c r="H5424" s="43"/>
    </row>
    <row r="5425" spans="1:8" ht="30" customHeight="1" x14ac:dyDescent="0.15">
      <c r="A5425" s="16" t="s">
        <v>17</v>
      </c>
      <c r="B5425" s="17" t="s">
        <v>9085</v>
      </c>
      <c r="C5425" s="17" t="s">
        <v>10446</v>
      </c>
      <c r="D5425" s="25" t="s">
        <v>9081</v>
      </c>
      <c r="E5425" s="19" t="s">
        <v>9082</v>
      </c>
      <c r="F5425" s="19" t="s">
        <v>9086</v>
      </c>
      <c r="G5425" s="9" t="str">
        <f>HYPERLINK("http://jsmh.umin.jp/journal/56-1/56-1_39.pdf")</f>
        <v>http://jsmh.umin.jp/journal/56-1/56-1_39.pdf</v>
      </c>
      <c r="H5425" s="43"/>
    </row>
    <row r="5426" spans="1:8" ht="30" customHeight="1" x14ac:dyDescent="0.15">
      <c r="A5426" s="16" t="s">
        <v>17</v>
      </c>
      <c r="B5426" s="17" t="s">
        <v>9087</v>
      </c>
      <c r="C5426" s="17" t="s">
        <v>9088</v>
      </c>
      <c r="D5426" s="25" t="s">
        <v>9081</v>
      </c>
      <c r="E5426" s="19" t="s">
        <v>9082</v>
      </c>
      <c r="F5426" s="19" t="s">
        <v>9089</v>
      </c>
      <c r="G5426" s="9" t="str">
        <f>HYPERLINK("http://jsmh.umin.jp/journal/56-1/56-1_53.pdf")</f>
        <v>http://jsmh.umin.jp/journal/56-1/56-1_53.pdf</v>
      </c>
      <c r="H5426" s="43"/>
    </row>
    <row r="5427" spans="1:8" ht="30" customHeight="1" x14ac:dyDescent="0.15">
      <c r="A5427" s="16" t="s">
        <v>3387</v>
      </c>
      <c r="B5427" s="17" t="s">
        <v>9090</v>
      </c>
      <c r="C5427" s="17" t="s">
        <v>9091</v>
      </c>
      <c r="D5427" s="25" t="s">
        <v>9081</v>
      </c>
      <c r="E5427" s="19" t="s">
        <v>9082</v>
      </c>
      <c r="F5427" s="19" t="s">
        <v>9092</v>
      </c>
      <c r="G5427" s="9" t="str">
        <f>HYPERLINK("http://jsmh.umin.jp/journal/56-1/56-1_67.pdf")</f>
        <v>http://jsmh.umin.jp/journal/56-1/56-1_67.pdf</v>
      </c>
      <c r="H5427" s="43"/>
    </row>
    <row r="5428" spans="1:8" ht="30" customHeight="1" x14ac:dyDescent="0.15">
      <c r="A5428" s="16" t="s">
        <v>7637</v>
      </c>
      <c r="B5428" s="17" t="s">
        <v>9093</v>
      </c>
      <c r="C5428" s="17" t="s">
        <v>9094</v>
      </c>
      <c r="D5428" s="25" t="s">
        <v>9081</v>
      </c>
      <c r="E5428" s="19" t="s">
        <v>9082</v>
      </c>
      <c r="F5428" s="19" t="s">
        <v>604</v>
      </c>
      <c r="G5428" s="9" t="str">
        <f>HYPERLINK("http://jsmh.umin.jp/journal/56-1/56-1_77.pdf")</f>
        <v>http://jsmh.umin.jp/journal/56-1/56-1_77.pdf</v>
      </c>
      <c r="H5428" s="43"/>
    </row>
    <row r="5429" spans="1:8" ht="30" customHeight="1" x14ac:dyDescent="0.15">
      <c r="A5429" s="16" t="s">
        <v>692</v>
      </c>
      <c r="B5429" s="17" t="s">
        <v>9095</v>
      </c>
      <c r="C5429" s="17" t="s">
        <v>4870</v>
      </c>
      <c r="D5429" s="25" t="s">
        <v>9081</v>
      </c>
      <c r="E5429" s="19" t="s">
        <v>9082</v>
      </c>
      <c r="F5429" s="19" t="s">
        <v>9096</v>
      </c>
      <c r="G5429" s="9" t="str">
        <f>HYPERLINK("http://jsmh.umin.jp/journal/56-1/56-1_79.pdf")</f>
        <v>http://jsmh.umin.jp/journal/56-1/56-1_79.pdf</v>
      </c>
      <c r="H5429" s="43"/>
    </row>
    <row r="5430" spans="1:8" ht="30" customHeight="1" x14ac:dyDescent="0.15">
      <c r="A5430" s="16" t="s">
        <v>3223</v>
      </c>
      <c r="B5430" s="17" t="s">
        <v>9097</v>
      </c>
      <c r="C5430" s="17" t="s">
        <v>1070</v>
      </c>
      <c r="D5430" s="25" t="s">
        <v>9081</v>
      </c>
      <c r="E5430" s="19" t="s">
        <v>9082</v>
      </c>
      <c r="F5430" s="19" t="s">
        <v>314</v>
      </c>
      <c r="G5430" s="9" t="str">
        <f>HYPERLINK("http://jsmh.umin.jp/journal/56-1/56-1_89.pdf")</f>
        <v>http://jsmh.umin.jp/journal/56-1/56-1_89.pdf</v>
      </c>
      <c r="H5430" s="43"/>
    </row>
    <row r="5431" spans="1:8" ht="30" customHeight="1" x14ac:dyDescent="0.15">
      <c r="A5431" s="16" t="s">
        <v>3223</v>
      </c>
      <c r="B5431" s="17" t="s">
        <v>9098</v>
      </c>
      <c r="C5431" s="17" t="s">
        <v>1994</v>
      </c>
      <c r="D5431" s="25" t="s">
        <v>9081</v>
      </c>
      <c r="E5431" s="19" t="s">
        <v>9082</v>
      </c>
      <c r="F5431" s="19" t="s">
        <v>474</v>
      </c>
      <c r="G5431" s="9" t="str">
        <f>HYPERLINK("http://jsmh.umin.jp/journal/56-1/56-1_91.pdf")</f>
        <v>http://jsmh.umin.jp/journal/56-1/56-1_91.pdf</v>
      </c>
      <c r="H5431" s="43"/>
    </row>
    <row r="5432" spans="1:8" ht="30" customHeight="1" x14ac:dyDescent="0.15">
      <c r="A5432" s="16" t="s">
        <v>3720</v>
      </c>
      <c r="B5432" s="17" t="s">
        <v>9099</v>
      </c>
      <c r="C5432" s="17" t="s">
        <v>9100</v>
      </c>
      <c r="D5432" s="25" t="s">
        <v>9081</v>
      </c>
      <c r="E5432" s="19" t="s">
        <v>9082</v>
      </c>
      <c r="F5432" s="19" t="s">
        <v>2190</v>
      </c>
      <c r="G5432" s="9" t="str">
        <f>HYPERLINK("http://jsmh.umin.jp/journal/56-1/56-1_93-94.pdf")</f>
        <v>http://jsmh.umin.jp/journal/56-1/56-1_93-94.pdf</v>
      </c>
      <c r="H5432" s="43"/>
    </row>
    <row r="5433" spans="1:8" ht="30" customHeight="1" x14ac:dyDescent="0.15">
      <c r="A5433" s="16" t="s">
        <v>558</v>
      </c>
      <c r="B5433" s="17" t="s">
        <v>537</v>
      </c>
      <c r="C5433" s="17"/>
      <c r="D5433" s="25" t="s">
        <v>9081</v>
      </c>
      <c r="E5433" s="19" t="s">
        <v>9082</v>
      </c>
      <c r="F5433" s="19" t="s">
        <v>482</v>
      </c>
      <c r="G5433" s="9" t="str">
        <f>HYPERLINK("http://jsmh.umin.jp/journal/56-1/56-1_93.pdf")</f>
        <v>http://jsmh.umin.jp/journal/56-1/56-1_93.pdf</v>
      </c>
      <c r="H5433" s="43"/>
    </row>
    <row r="5434" spans="1:8" ht="30" customHeight="1" x14ac:dyDescent="0.15">
      <c r="A5434" s="16" t="s">
        <v>3720</v>
      </c>
      <c r="B5434" s="17" t="s">
        <v>9101</v>
      </c>
      <c r="C5434" s="17" t="s">
        <v>7316</v>
      </c>
      <c r="D5434" s="25" t="s">
        <v>9081</v>
      </c>
      <c r="E5434" s="19" t="s">
        <v>9082</v>
      </c>
      <c r="F5434" s="19" t="s">
        <v>4778</v>
      </c>
      <c r="G5434" s="27" t="str">
        <f>HYPERLINK("http://jsmh.umin.jp/journal/56-1/56-1_95-96.pdf")</f>
        <v>http://jsmh.umin.jp/journal/56-1/56-1_95-96.pdf</v>
      </c>
      <c r="H5434" s="43"/>
    </row>
    <row r="5435" spans="1:8" ht="30" customHeight="1" x14ac:dyDescent="0.15">
      <c r="A5435" s="16" t="s">
        <v>3720</v>
      </c>
      <c r="B5435" s="17" t="s">
        <v>9102</v>
      </c>
      <c r="C5435" s="17" t="s">
        <v>9103</v>
      </c>
      <c r="D5435" s="25" t="s">
        <v>9081</v>
      </c>
      <c r="E5435" s="19" t="s">
        <v>9082</v>
      </c>
      <c r="F5435" s="19" t="s">
        <v>4578</v>
      </c>
      <c r="G5435" s="27" t="str">
        <f>HYPERLINK("http://jsmh.umin.jp/journal/56-1/56-1_96-97.pdf")</f>
        <v>http://jsmh.umin.jp/journal/56-1/56-1_96-97.pdf</v>
      </c>
      <c r="H5435" s="43"/>
    </row>
    <row r="5436" spans="1:8" ht="30" customHeight="1" x14ac:dyDescent="0.15">
      <c r="A5436" s="16" t="s">
        <v>9104</v>
      </c>
      <c r="B5436" s="17" t="s">
        <v>9105</v>
      </c>
      <c r="C5436" s="17" t="s">
        <v>8119</v>
      </c>
      <c r="D5436" s="25" t="s">
        <v>9081</v>
      </c>
      <c r="E5436" s="19" t="s">
        <v>9082</v>
      </c>
      <c r="F5436" s="19" t="s">
        <v>47</v>
      </c>
      <c r="G5436" s="27" t="str">
        <f>HYPERLINK("http://jsmh.umin.jp/journal/56-1/56-1_98-99.pdf")</f>
        <v>http://jsmh.umin.jp/journal/56-1/56-1_98-99.pdf</v>
      </c>
      <c r="H5436" s="43"/>
    </row>
    <row r="5437" spans="1:8" ht="30" customHeight="1" x14ac:dyDescent="0.15">
      <c r="A5437" s="16" t="s">
        <v>9104</v>
      </c>
      <c r="B5437" s="17" t="s">
        <v>9106</v>
      </c>
      <c r="C5437" s="17" t="s">
        <v>7697</v>
      </c>
      <c r="D5437" s="25" t="s">
        <v>9081</v>
      </c>
      <c r="E5437" s="19" t="s">
        <v>9082</v>
      </c>
      <c r="F5437" s="19" t="s">
        <v>2194</v>
      </c>
      <c r="G5437" s="27" t="str">
        <f>HYPERLINK("http://jsmh.umin.jp/journal/56-1/56-1_99-100.pdf")</f>
        <v>http://jsmh.umin.jp/journal/56-1/56-1_99-100.pdf</v>
      </c>
      <c r="H5437" s="43"/>
    </row>
    <row r="5438" spans="1:8" ht="30" customHeight="1" x14ac:dyDescent="0.15">
      <c r="A5438" s="16" t="s">
        <v>9104</v>
      </c>
      <c r="B5438" s="17" t="s">
        <v>9106</v>
      </c>
      <c r="C5438" s="17" t="s">
        <v>9107</v>
      </c>
      <c r="D5438" s="25" t="s">
        <v>9081</v>
      </c>
      <c r="E5438" s="19" t="s">
        <v>9082</v>
      </c>
      <c r="F5438" s="19" t="s">
        <v>778</v>
      </c>
      <c r="G5438" s="27" t="str">
        <f>HYPERLINK("http://jsmh.umin.jp/journal/56-1/56-1_100-101.pdf")</f>
        <v>http://jsmh.umin.jp/journal/56-1/56-1_100-101.pdf</v>
      </c>
      <c r="H5438" s="43"/>
    </row>
    <row r="5439" spans="1:8" ht="30" customHeight="1" x14ac:dyDescent="0.15">
      <c r="A5439" s="16" t="s">
        <v>9104</v>
      </c>
      <c r="B5439" s="17" t="s">
        <v>9108</v>
      </c>
      <c r="C5439" s="17" t="s">
        <v>5080</v>
      </c>
      <c r="D5439" s="25" t="s">
        <v>9081</v>
      </c>
      <c r="E5439" s="19" t="s">
        <v>9082</v>
      </c>
      <c r="F5439" s="19" t="s">
        <v>4582</v>
      </c>
      <c r="G5439" s="27" t="str">
        <f>HYPERLINK("http://jsmh.umin.jp/journal/56-1/56-1_101-102.pdf")</f>
        <v>http://jsmh.umin.jp/journal/56-1/56-1_101-102.pdf</v>
      </c>
      <c r="H5439" s="43"/>
    </row>
    <row r="5440" spans="1:8" ht="30" customHeight="1" x14ac:dyDescent="0.15">
      <c r="A5440" s="16" t="s">
        <v>9104</v>
      </c>
      <c r="B5440" s="17" t="s">
        <v>9109</v>
      </c>
      <c r="C5440" s="17" t="s">
        <v>9110</v>
      </c>
      <c r="D5440" s="25" t="s">
        <v>9081</v>
      </c>
      <c r="E5440" s="19" t="s">
        <v>9082</v>
      </c>
      <c r="F5440" s="19" t="s">
        <v>949</v>
      </c>
      <c r="G5440" s="27" t="str">
        <f>HYPERLINK("http://jsmh.umin.jp/journal/56-1/56-1_103-104.pdf")</f>
        <v>http://jsmh.umin.jp/journal/56-1/56-1_103-104.pdf</v>
      </c>
      <c r="H5440" s="43"/>
    </row>
    <row r="5441" spans="1:8" ht="30" customHeight="1" x14ac:dyDescent="0.15">
      <c r="A5441" s="16" t="s">
        <v>692</v>
      </c>
      <c r="B5441" s="17" t="s">
        <v>10447</v>
      </c>
      <c r="C5441" s="17" t="s">
        <v>9111</v>
      </c>
      <c r="D5441" s="25" t="s">
        <v>9081</v>
      </c>
      <c r="E5441" s="19" t="s">
        <v>9082</v>
      </c>
      <c r="F5441" s="19" t="s">
        <v>9112</v>
      </c>
      <c r="G5441" s="9" t="str">
        <f>HYPERLINK("http://jsmh.umin.jp/journal/56-1/56-1_136.pdf")</f>
        <v>http://jsmh.umin.jp/journal/56-1/56-1_136.pdf</v>
      </c>
      <c r="H5441" s="43"/>
    </row>
    <row r="5442" spans="1:8" ht="30" customHeight="1" x14ac:dyDescent="0.15">
      <c r="A5442" s="16" t="s">
        <v>1855</v>
      </c>
      <c r="B5442" s="17" t="s">
        <v>9113</v>
      </c>
      <c r="C5442" s="17" t="s">
        <v>4039</v>
      </c>
      <c r="D5442" s="25" t="s">
        <v>9081</v>
      </c>
      <c r="E5442" s="19" t="s">
        <v>9114</v>
      </c>
      <c r="F5442" s="19" t="s">
        <v>2245</v>
      </c>
      <c r="G5442" s="9" t="str">
        <f>HYPERLINK("http://jsmh.umin.jp/journal/56-2/56-2_151.pdf")</f>
        <v>http://jsmh.umin.jp/journal/56-2/56-2_151.pdf</v>
      </c>
      <c r="H5442" s="43"/>
    </row>
    <row r="5443" spans="1:8" ht="30" customHeight="1" x14ac:dyDescent="0.15">
      <c r="A5443" s="16" t="s">
        <v>1855</v>
      </c>
      <c r="B5443" s="17" t="s">
        <v>9115</v>
      </c>
      <c r="C5443" s="17" t="s">
        <v>9116</v>
      </c>
      <c r="D5443" s="25" t="s">
        <v>9081</v>
      </c>
      <c r="E5443" s="19" t="s">
        <v>9114</v>
      </c>
      <c r="F5443" s="19" t="s">
        <v>4816</v>
      </c>
      <c r="G5443" s="9" t="str">
        <f>HYPERLINK("http://jsmh.umin.jp/journal/56-2/56-2_160.pdf")</f>
        <v>http://jsmh.umin.jp/journal/56-2/56-2_160.pdf</v>
      </c>
      <c r="H5443" s="43"/>
    </row>
    <row r="5444" spans="1:8" ht="30" customHeight="1" x14ac:dyDescent="0.15">
      <c r="A5444" s="16" t="s">
        <v>1855</v>
      </c>
      <c r="B5444" s="17" t="s">
        <v>9117</v>
      </c>
      <c r="C5444" s="17" t="s">
        <v>9118</v>
      </c>
      <c r="D5444" s="25" t="s">
        <v>9081</v>
      </c>
      <c r="E5444" s="19" t="s">
        <v>9114</v>
      </c>
      <c r="F5444" s="19" t="s">
        <v>3260</v>
      </c>
      <c r="G5444" s="9" t="str">
        <f>HYPERLINK("http://jsmh.umin.jp/journal/56-2/56-2_163.pdf")</f>
        <v>http://jsmh.umin.jp/journal/56-2/56-2_163.pdf</v>
      </c>
      <c r="H5444" s="43"/>
    </row>
    <row r="5445" spans="1:8" ht="30" customHeight="1" x14ac:dyDescent="0.15">
      <c r="A5445" s="16" t="s">
        <v>1855</v>
      </c>
      <c r="B5445" s="17" t="s">
        <v>9119</v>
      </c>
      <c r="C5445" s="17" t="s">
        <v>9120</v>
      </c>
      <c r="D5445" s="25" t="s">
        <v>9081</v>
      </c>
      <c r="E5445" s="19" t="s">
        <v>9114</v>
      </c>
      <c r="F5445" s="19" t="s">
        <v>68</v>
      </c>
      <c r="G5445" s="9" t="str">
        <f>HYPERLINK("http://jsmh.umin.jp/journal/56-2/56-2_164.pdf")</f>
        <v>http://jsmh.umin.jp/journal/56-2/56-2_164.pdf</v>
      </c>
      <c r="H5445" s="43"/>
    </row>
    <row r="5446" spans="1:8" ht="30" customHeight="1" x14ac:dyDescent="0.15">
      <c r="A5446" s="16" t="s">
        <v>1855</v>
      </c>
      <c r="B5446" s="17" t="s">
        <v>9121</v>
      </c>
      <c r="C5446" s="17" t="s">
        <v>9122</v>
      </c>
      <c r="D5446" s="25" t="s">
        <v>9081</v>
      </c>
      <c r="E5446" s="19" t="s">
        <v>9114</v>
      </c>
      <c r="F5446" s="19" t="s">
        <v>8939</v>
      </c>
      <c r="G5446" s="9" t="str">
        <f>HYPERLINK("http://jsmh.umin.jp/journal/56-2/56-2_165.pdf")</f>
        <v>http://jsmh.umin.jp/journal/56-2/56-2_165.pdf</v>
      </c>
      <c r="H5446" s="43"/>
    </row>
    <row r="5447" spans="1:8" ht="30" customHeight="1" x14ac:dyDescent="0.15">
      <c r="A5447" s="16" t="s">
        <v>1855</v>
      </c>
      <c r="B5447" s="17" t="s">
        <v>9123</v>
      </c>
      <c r="C5447" s="17" t="s">
        <v>10448</v>
      </c>
      <c r="D5447" s="25" t="s">
        <v>9081</v>
      </c>
      <c r="E5447" s="19" t="s">
        <v>9114</v>
      </c>
      <c r="F5447" s="19" t="s">
        <v>3813</v>
      </c>
      <c r="G5447" s="9" t="str">
        <f>HYPERLINK("http://jsmh.umin.jp/journal/56-2/56-2_166.pdf")</f>
        <v>http://jsmh.umin.jp/journal/56-2/56-2_166.pdf</v>
      </c>
      <c r="H5447" s="43"/>
    </row>
    <row r="5448" spans="1:8" ht="30" customHeight="1" x14ac:dyDescent="0.15">
      <c r="A5448" s="16" t="s">
        <v>1855</v>
      </c>
      <c r="B5448" s="17" t="s">
        <v>9124</v>
      </c>
      <c r="C5448" s="17" t="s">
        <v>8743</v>
      </c>
      <c r="D5448" s="25" t="s">
        <v>9081</v>
      </c>
      <c r="E5448" s="19" t="s">
        <v>9114</v>
      </c>
      <c r="F5448" s="19" t="s">
        <v>73</v>
      </c>
      <c r="G5448" s="9" t="str">
        <f>HYPERLINK("http://jsmh.umin.jp/journal/56-2/56-2_167.pdf")</f>
        <v>http://jsmh.umin.jp/journal/56-2/56-2_167.pdf</v>
      </c>
      <c r="H5448" s="43"/>
    </row>
    <row r="5449" spans="1:8" ht="30" customHeight="1" x14ac:dyDescent="0.15">
      <c r="A5449" s="16" t="s">
        <v>1855</v>
      </c>
      <c r="B5449" s="17" t="s">
        <v>9125</v>
      </c>
      <c r="C5449" s="17" t="s">
        <v>9126</v>
      </c>
      <c r="D5449" s="25" t="s">
        <v>9081</v>
      </c>
      <c r="E5449" s="19" t="s">
        <v>9114</v>
      </c>
      <c r="F5449" s="19" t="s">
        <v>8945</v>
      </c>
      <c r="G5449" s="9" t="str">
        <f>HYPERLINK("http://jsmh.umin.jp/journal/56-2/56-2_168.pdf")</f>
        <v>http://jsmh.umin.jp/journal/56-2/56-2_168.pdf</v>
      </c>
      <c r="H5449" s="43"/>
    </row>
    <row r="5450" spans="1:8" ht="30" customHeight="1" x14ac:dyDescent="0.15">
      <c r="A5450" s="16" t="s">
        <v>1855</v>
      </c>
      <c r="B5450" s="17" t="s">
        <v>9127</v>
      </c>
      <c r="C5450" s="17" t="s">
        <v>7448</v>
      </c>
      <c r="D5450" s="25" t="s">
        <v>9081</v>
      </c>
      <c r="E5450" s="19" t="s">
        <v>9114</v>
      </c>
      <c r="F5450" s="19" t="s">
        <v>8948</v>
      </c>
      <c r="G5450" s="9" t="str">
        <f>HYPERLINK("http://jsmh.umin.jp/journal/56-2/56-2_169.pdf")</f>
        <v>http://jsmh.umin.jp/journal/56-2/56-2_169.pdf</v>
      </c>
      <c r="H5450" s="43"/>
    </row>
    <row r="5451" spans="1:8" ht="30" customHeight="1" x14ac:dyDescent="0.15">
      <c r="A5451" s="16" t="s">
        <v>1855</v>
      </c>
      <c r="B5451" s="17" t="s">
        <v>9128</v>
      </c>
      <c r="C5451" s="17" t="s">
        <v>6903</v>
      </c>
      <c r="D5451" s="25" t="s">
        <v>9081</v>
      </c>
      <c r="E5451" s="19" t="s">
        <v>9114</v>
      </c>
      <c r="F5451" s="19" t="s">
        <v>2557</v>
      </c>
      <c r="G5451" s="9" t="str">
        <f>HYPERLINK("http://jsmh.umin.jp/journal/56-2/56-2_170.pdf")</f>
        <v>http://jsmh.umin.jp/journal/56-2/56-2_170.pdf</v>
      </c>
      <c r="H5451" s="43"/>
    </row>
    <row r="5452" spans="1:8" ht="30" customHeight="1" x14ac:dyDescent="0.15">
      <c r="A5452" s="16" t="s">
        <v>1855</v>
      </c>
      <c r="B5452" s="17" t="s">
        <v>9129</v>
      </c>
      <c r="C5452" s="17" t="s">
        <v>9130</v>
      </c>
      <c r="D5452" s="25" t="s">
        <v>9081</v>
      </c>
      <c r="E5452" s="19" t="s">
        <v>9114</v>
      </c>
      <c r="F5452" s="19" t="s">
        <v>5046</v>
      </c>
      <c r="G5452" s="9" t="str">
        <f>HYPERLINK("http://jsmh.umin.jp/journal/56-2/56-2_171.pdf")</f>
        <v>http://jsmh.umin.jp/journal/56-2/56-2_171.pdf</v>
      </c>
      <c r="H5452" s="43"/>
    </row>
    <row r="5453" spans="1:8" ht="30" customHeight="1" x14ac:dyDescent="0.15">
      <c r="A5453" s="16" t="s">
        <v>1855</v>
      </c>
      <c r="B5453" s="17" t="s">
        <v>9131</v>
      </c>
      <c r="C5453" s="17" t="s">
        <v>9132</v>
      </c>
      <c r="D5453" s="25" t="s">
        <v>9081</v>
      </c>
      <c r="E5453" s="19" t="s">
        <v>9114</v>
      </c>
      <c r="F5453" s="19" t="s">
        <v>5048</v>
      </c>
      <c r="G5453" s="9" t="str">
        <f>HYPERLINK("http://jsmh.umin.jp/journal/56-2/56-2_172.pdf")</f>
        <v>http://jsmh.umin.jp/journal/56-2/56-2_172.pdf</v>
      </c>
      <c r="H5453" s="43"/>
    </row>
    <row r="5454" spans="1:8" ht="30" customHeight="1" x14ac:dyDescent="0.15">
      <c r="A5454" s="16" t="s">
        <v>1855</v>
      </c>
      <c r="B5454" s="17" t="s">
        <v>9133</v>
      </c>
      <c r="C5454" s="17" t="s">
        <v>5516</v>
      </c>
      <c r="D5454" s="25" t="s">
        <v>9081</v>
      </c>
      <c r="E5454" s="19" t="s">
        <v>9114</v>
      </c>
      <c r="F5454" s="19" t="s">
        <v>5050</v>
      </c>
      <c r="G5454" s="9" t="str">
        <f>HYPERLINK("http://jsmh.umin.jp/journal/56-2/56-2_173.pdf")</f>
        <v>http://jsmh.umin.jp/journal/56-2/56-2_173.pdf</v>
      </c>
      <c r="H5454" s="43"/>
    </row>
    <row r="5455" spans="1:8" ht="30" customHeight="1" x14ac:dyDescent="0.15">
      <c r="A5455" s="16" t="s">
        <v>1855</v>
      </c>
      <c r="B5455" s="17" t="s">
        <v>9134</v>
      </c>
      <c r="C5455" s="17" t="s">
        <v>9135</v>
      </c>
      <c r="D5455" s="25" t="s">
        <v>9081</v>
      </c>
      <c r="E5455" s="19" t="s">
        <v>9114</v>
      </c>
      <c r="F5455" s="19" t="s">
        <v>5053</v>
      </c>
      <c r="G5455" s="9" t="str">
        <f>HYPERLINK("http://jsmh.umin.jp/journal/56-2/56-2_174.pdf")</f>
        <v>http://jsmh.umin.jp/journal/56-2/56-2_174.pdf</v>
      </c>
      <c r="H5455" s="43"/>
    </row>
    <row r="5456" spans="1:8" ht="30" customHeight="1" x14ac:dyDescent="0.15">
      <c r="A5456" s="16" t="s">
        <v>1855</v>
      </c>
      <c r="B5456" s="17" t="s">
        <v>10449</v>
      </c>
      <c r="C5456" s="17" t="s">
        <v>9136</v>
      </c>
      <c r="D5456" s="25" t="s">
        <v>9081</v>
      </c>
      <c r="E5456" s="19" t="s">
        <v>9114</v>
      </c>
      <c r="F5456" s="19" t="s">
        <v>8956</v>
      </c>
      <c r="G5456" s="9" t="str">
        <f>HYPERLINK("http://jsmh.umin.jp/journal/56-2/56-2_175.pdf")</f>
        <v>http://jsmh.umin.jp/journal/56-2/56-2_175.pdf</v>
      </c>
      <c r="H5456" s="43"/>
    </row>
    <row r="5457" spans="1:8" ht="30" customHeight="1" x14ac:dyDescent="0.15">
      <c r="A5457" s="16" t="s">
        <v>1855</v>
      </c>
      <c r="B5457" s="17" t="s">
        <v>9137</v>
      </c>
      <c r="C5457" s="17" t="s">
        <v>7316</v>
      </c>
      <c r="D5457" s="25" t="s">
        <v>9081</v>
      </c>
      <c r="E5457" s="19" t="s">
        <v>9114</v>
      </c>
      <c r="F5457" s="19" t="s">
        <v>8958</v>
      </c>
      <c r="G5457" s="9" t="str">
        <f>HYPERLINK("http://jsmh.umin.jp/journal/56-2/56-2_176.pdf")</f>
        <v>http://jsmh.umin.jp/journal/56-2/56-2_176.pdf</v>
      </c>
      <c r="H5457" s="43"/>
    </row>
    <row r="5458" spans="1:8" ht="30" customHeight="1" x14ac:dyDescent="0.15">
      <c r="A5458" s="16" t="s">
        <v>1855</v>
      </c>
      <c r="B5458" s="17" t="s">
        <v>9138</v>
      </c>
      <c r="C5458" s="17" t="s">
        <v>9139</v>
      </c>
      <c r="D5458" s="25" t="s">
        <v>9081</v>
      </c>
      <c r="E5458" s="19" t="s">
        <v>9114</v>
      </c>
      <c r="F5458" s="19" t="s">
        <v>1709</v>
      </c>
      <c r="G5458" s="9" t="str">
        <f>HYPERLINK("http://jsmh.umin.jp/journal/56-2/56-2_177.pdf")</f>
        <v>http://jsmh.umin.jp/journal/56-2/56-2_177.pdf</v>
      </c>
      <c r="H5458" s="43"/>
    </row>
    <row r="5459" spans="1:8" ht="30" customHeight="1" x14ac:dyDescent="0.15">
      <c r="A5459" s="16" t="s">
        <v>1855</v>
      </c>
      <c r="B5459" s="17" t="s">
        <v>9140</v>
      </c>
      <c r="C5459" s="17" t="s">
        <v>6078</v>
      </c>
      <c r="D5459" s="25" t="s">
        <v>9081</v>
      </c>
      <c r="E5459" s="19" t="s">
        <v>9114</v>
      </c>
      <c r="F5459" s="19" t="s">
        <v>8961</v>
      </c>
      <c r="G5459" s="9" t="str">
        <f>HYPERLINK("http://jsmh.umin.jp/journal/56-2/56-2_178.pdf")</f>
        <v>http://jsmh.umin.jp/journal/56-2/56-2_178.pdf</v>
      </c>
      <c r="H5459" s="43"/>
    </row>
    <row r="5460" spans="1:8" ht="30" customHeight="1" x14ac:dyDescent="0.15">
      <c r="A5460" s="16" t="s">
        <v>1855</v>
      </c>
      <c r="B5460" s="17" t="s">
        <v>9141</v>
      </c>
      <c r="C5460" s="17" t="s">
        <v>9142</v>
      </c>
      <c r="D5460" s="25" t="s">
        <v>9081</v>
      </c>
      <c r="E5460" s="19" t="s">
        <v>9114</v>
      </c>
      <c r="F5460" s="19" t="s">
        <v>4173</v>
      </c>
      <c r="G5460" s="9" t="str">
        <f>HYPERLINK("http://jsmh.umin.jp/journal/56-2/56-2_179.pdf")</f>
        <v>http://jsmh.umin.jp/journal/56-2/56-2_179.pdf</v>
      </c>
      <c r="H5460" s="43"/>
    </row>
    <row r="5461" spans="1:8" ht="30" customHeight="1" x14ac:dyDescent="0.15">
      <c r="A5461" s="16" t="s">
        <v>1855</v>
      </c>
      <c r="B5461" s="17" t="s">
        <v>9143</v>
      </c>
      <c r="C5461" s="17" t="s">
        <v>10450</v>
      </c>
      <c r="D5461" s="25" t="s">
        <v>9081</v>
      </c>
      <c r="E5461" s="19" t="s">
        <v>9114</v>
      </c>
      <c r="F5461" s="19" t="s">
        <v>8965</v>
      </c>
      <c r="G5461" s="9" t="str">
        <f>HYPERLINK("http://jsmh.umin.jp/journal/56-2/56-2_180.pdf")</f>
        <v>http://jsmh.umin.jp/journal/56-2/56-2_180.pdf</v>
      </c>
      <c r="H5461" s="43"/>
    </row>
    <row r="5462" spans="1:8" ht="30" customHeight="1" x14ac:dyDescent="0.15">
      <c r="A5462" s="16" t="s">
        <v>1855</v>
      </c>
      <c r="B5462" s="17" t="s">
        <v>9144</v>
      </c>
      <c r="C5462" s="17" t="s">
        <v>9145</v>
      </c>
      <c r="D5462" s="25" t="s">
        <v>9081</v>
      </c>
      <c r="E5462" s="19" t="s">
        <v>9114</v>
      </c>
      <c r="F5462" s="19" t="s">
        <v>3424</v>
      </c>
      <c r="G5462" s="9" t="str">
        <f>HYPERLINK("http://jsmh.umin.jp/journal/56-2/56-2_181.pdf")</f>
        <v>http://jsmh.umin.jp/journal/56-2/56-2_181.pdf</v>
      </c>
      <c r="H5462" s="43"/>
    </row>
    <row r="5463" spans="1:8" ht="30" customHeight="1" x14ac:dyDescent="0.15">
      <c r="A5463" s="16" t="s">
        <v>1855</v>
      </c>
      <c r="B5463" s="17" t="s">
        <v>9146</v>
      </c>
      <c r="C5463" s="17" t="s">
        <v>9147</v>
      </c>
      <c r="D5463" s="25" t="s">
        <v>9081</v>
      </c>
      <c r="E5463" s="19" t="s">
        <v>9114</v>
      </c>
      <c r="F5463" s="19" t="s">
        <v>1717</v>
      </c>
      <c r="G5463" s="9" t="str">
        <f>HYPERLINK("http://jsmh.umin.jp/journal/56-2/56-2_182.pdf")</f>
        <v>http://jsmh.umin.jp/journal/56-2/56-2_182.pdf</v>
      </c>
      <c r="H5463" s="43"/>
    </row>
    <row r="5464" spans="1:8" ht="30" customHeight="1" x14ac:dyDescent="0.15">
      <c r="A5464" s="16" t="s">
        <v>1855</v>
      </c>
      <c r="B5464" s="17" t="s">
        <v>9148</v>
      </c>
      <c r="C5464" s="17" t="s">
        <v>6370</v>
      </c>
      <c r="D5464" s="25" t="s">
        <v>9081</v>
      </c>
      <c r="E5464" s="19" t="s">
        <v>9114</v>
      </c>
      <c r="F5464" s="19" t="s">
        <v>8969</v>
      </c>
      <c r="G5464" s="9" t="str">
        <f>HYPERLINK("http://jsmh.umin.jp/journal/56-2/56-2_183.pdf")</f>
        <v>http://jsmh.umin.jp/journal/56-2/56-2_183.pdf</v>
      </c>
      <c r="H5464" s="43"/>
    </row>
    <row r="5465" spans="1:8" ht="30" customHeight="1" x14ac:dyDescent="0.15">
      <c r="A5465" s="16" t="s">
        <v>1855</v>
      </c>
      <c r="B5465" s="17" t="s">
        <v>9149</v>
      </c>
      <c r="C5465" s="17" t="s">
        <v>9150</v>
      </c>
      <c r="D5465" s="25" t="s">
        <v>9081</v>
      </c>
      <c r="E5465" s="19" t="s">
        <v>9114</v>
      </c>
      <c r="F5465" s="19" t="s">
        <v>2047</v>
      </c>
      <c r="G5465" s="9" t="str">
        <f>HYPERLINK("http://jsmh.umin.jp/journal/56-2/56-2_184.pdf")</f>
        <v>http://jsmh.umin.jp/journal/56-2/56-2_184.pdf</v>
      </c>
      <c r="H5465" s="43"/>
    </row>
    <row r="5466" spans="1:8" ht="30" customHeight="1" x14ac:dyDescent="0.15">
      <c r="A5466" s="16" t="s">
        <v>1855</v>
      </c>
      <c r="B5466" s="17" t="s">
        <v>9151</v>
      </c>
      <c r="C5466" s="17" t="s">
        <v>9152</v>
      </c>
      <c r="D5466" s="25" t="s">
        <v>9081</v>
      </c>
      <c r="E5466" s="19" t="s">
        <v>9114</v>
      </c>
      <c r="F5466" s="19" t="s">
        <v>2055</v>
      </c>
      <c r="G5466" s="9" t="str">
        <f>HYPERLINK("http://jsmh.umin.jp/journal/56-2/56-2_185.pdf")</f>
        <v>http://jsmh.umin.jp/journal/56-2/56-2_185.pdf</v>
      </c>
      <c r="H5466" s="43"/>
    </row>
    <row r="5467" spans="1:8" ht="30" customHeight="1" x14ac:dyDescent="0.15">
      <c r="A5467" s="16" t="s">
        <v>1855</v>
      </c>
      <c r="B5467" s="17" t="s">
        <v>9153</v>
      </c>
      <c r="C5467" s="17" t="s">
        <v>7248</v>
      </c>
      <c r="D5467" s="25" t="s">
        <v>9081</v>
      </c>
      <c r="E5467" s="19" t="s">
        <v>9114</v>
      </c>
      <c r="F5467" s="19" t="s">
        <v>2057</v>
      </c>
      <c r="G5467" s="9" t="str">
        <f>HYPERLINK("http://jsmh.umin.jp/journal/56-2/56-2_186.pdf")</f>
        <v>http://jsmh.umin.jp/journal/56-2/56-2_186.pdf</v>
      </c>
      <c r="H5467" s="43"/>
    </row>
    <row r="5468" spans="1:8" ht="30" customHeight="1" x14ac:dyDescent="0.15">
      <c r="A5468" s="16" t="s">
        <v>1855</v>
      </c>
      <c r="B5468" s="17" t="s">
        <v>9154</v>
      </c>
      <c r="C5468" s="17" t="s">
        <v>9155</v>
      </c>
      <c r="D5468" s="25" t="s">
        <v>9081</v>
      </c>
      <c r="E5468" s="19" t="s">
        <v>9114</v>
      </c>
      <c r="F5468" s="19" t="s">
        <v>3674</v>
      </c>
      <c r="G5468" s="9" t="str">
        <f>HYPERLINK("http://jsmh.umin.jp/journal/56-2/56-2_187.pdf")</f>
        <v>http://jsmh.umin.jp/journal/56-2/56-2_187.pdf</v>
      </c>
      <c r="H5468" s="43"/>
    </row>
    <row r="5469" spans="1:8" ht="30" customHeight="1" x14ac:dyDescent="0.15">
      <c r="A5469" s="16" t="s">
        <v>1855</v>
      </c>
      <c r="B5469" s="17" t="s">
        <v>9156</v>
      </c>
      <c r="C5469" s="17" t="s">
        <v>9157</v>
      </c>
      <c r="D5469" s="25" t="s">
        <v>9081</v>
      </c>
      <c r="E5469" s="19" t="s">
        <v>9114</v>
      </c>
      <c r="F5469" s="19" t="s">
        <v>8977</v>
      </c>
      <c r="G5469" s="9" t="str">
        <f>HYPERLINK("http://jsmh.umin.jp/journal/56-2/56-2_188.pdf")</f>
        <v>http://jsmh.umin.jp/journal/56-2/56-2_188.pdf</v>
      </c>
      <c r="H5469" s="43"/>
    </row>
    <row r="5470" spans="1:8" ht="30" customHeight="1" x14ac:dyDescent="0.15">
      <c r="A5470" s="16" t="s">
        <v>1855</v>
      </c>
      <c r="B5470" s="17" t="s">
        <v>9158</v>
      </c>
      <c r="C5470" s="17" t="s">
        <v>9159</v>
      </c>
      <c r="D5470" s="25" t="s">
        <v>9081</v>
      </c>
      <c r="E5470" s="19" t="s">
        <v>9114</v>
      </c>
      <c r="F5470" s="19" t="s">
        <v>1725</v>
      </c>
      <c r="G5470" s="9" t="str">
        <f>HYPERLINK("http://jsmh.umin.jp/journal/56-2/56-2_189.pdf")</f>
        <v>http://jsmh.umin.jp/journal/56-2/56-2_189.pdf</v>
      </c>
      <c r="H5470" s="43"/>
    </row>
    <row r="5471" spans="1:8" ht="30" customHeight="1" x14ac:dyDescent="0.15">
      <c r="A5471" s="16" t="s">
        <v>1855</v>
      </c>
      <c r="B5471" s="17" t="s">
        <v>9160</v>
      </c>
      <c r="C5471" s="17" t="s">
        <v>10451</v>
      </c>
      <c r="D5471" s="25" t="s">
        <v>9081</v>
      </c>
      <c r="E5471" s="19" t="s">
        <v>9114</v>
      </c>
      <c r="F5471" s="19" t="s">
        <v>979</v>
      </c>
      <c r="G5471" s="9" t="str">
        <f>HYPERLINK("http://jsmh.umin.jp/journal/56-2/56-2_190.pdf")</f>
        <v>http://jsmh.umin.jp/journal/56-2/56-2_190.pdf</v>
      </c>
      <c r="H5471" s="43"/>
    </row>
    <row r="5472" spans="1:8" ht="30" customHeight="1" x14ac:dyDescent="0.15">
      <c r="A5472" s="16" t="s">
        <v>1855</v>
      </c>
      <c r="B5472" s="17" t="s">
        <v>9161</v>
      </c>
      <c r="C5472" s="17" t="s">
        <v>9162</v>
      </c>
      <c r="D5472" s="25" t="s">
        <v>9081</v>
      </c>
      <c r="E5472" s="19" t="s">
        <v>9114</v>
      </c>
      <c r="F5472" s="19" t="s">
        <v>983</v>
      </c>
      <c r="G5472" s="9" t="str">
        <f>HYPERLINK("http://jsmh.umin.jp/journal/56-2/56-2_191.pdf")</f>
        <v>http://jsmh.umin.jp/journal/56-2/56-2_191.pdf</v>
      </c>
      <c r="H5472" s="43"/>
    </row>
    <row r="5473" spans="1:8" ht="30" customHeight="1" x14ac:dyDescent="0.15">
      <c r="A5473" s="16" t="s">
        <v>1855</v>
      </c>
      <c r="B5473" s="17" t="s">
        <v>9163</v>
      </c>
      <c r="C5473" s="17" t="s">
        <v>48</v>
      </c>
      <c r="D5473" s="25" t="s">
        <v>9081</v>
      </c>
      <c r="E5473" s="19" t="s">
        <v>9114</v>
      </c>
      <c r="F5473" s="19" t="s">
        <v>988</v>
      </c>
      <c r="G5473" s="9" t="str">
        <f>HYPERLINK("http://jsmh.umin.jp/journal/56-2/56-2_192.pdf")</f>
        <v>http://jsmh.umin.jp/journal/56-2/56-2_192.pdf</v>
      </c>
      <c r="H5473" s="43"/>
    </row>
    <row r="5474" spans="1:8" ht="30" customHeight="1" x14ac:dyDescent="0.15">
      <c r="A5474" s="16" t="s">
        <v>1855</v>
      </c>
      <c r="B5474" s="17" t="s">
        <v>9164</v>
      </c>
      <c r="C5474" s="17" t="s">
        <v>9165</v>
      </c>
      <c r="D5474" s="25" t="s">
        <v>9081</v>
      </c>
      <c r="E5474" s="19" t="s">
        <v>9114</v>
      </c>
      <c r="F5474" s="19" t="s">
        <v>5077</v>
      </c>
      <c r="G5474" s="9" t="str">
        <f>HYPERLINK("http://jsmh.umin.jp/journal/56-2/56-2_193.pdf")</f>
        <v>http://jsmh.umin.jp/journal/56-2/56-2_193.pdf</v>
      </c>
      <c r="H5474" s="43"/>
    </row>
    <row r="5475" spans="1:8" ht="30" customHeight="1" x14ac:dyDescent="0.15">
      <c r="A5475" s="16" t="s">
        <v>1855</v>
      </c>
      <c r="B5475" s="17" t="s">
        <v>9166</v>
      </c>
      <c r="C5475" s="17" t="s">
        <v>5177</v>
      </c>
      <c r="D5475" s="25" t="s">
        <v>9081</v>
      </c>
      <c r="E5475" s="19" t="s">
        <v>9114</v>
      </c>
      <c r="F5475" s="19" t="s">
        <v>1732</v>
      </c>
      <c r="G5475" s="9" t="str">
        <f>HYPERLINK("http://jsmh.umin.jp/journal/56-2/56-2_194.pdf")</f>
        <v>http://jsmh.umin.jp/journal/56-2/56-2_194.pdf</v>
      </c>
      <c r="H5475" s="43"/>
    </row>
    <row r="5476" spans="1:8" ht="30" customHeight="1" x14ac:dyDescent="0.15">
      <c r="A5476" s="16" t="s">
        <v>1855</v>
      </c>
      <c r="B5476" s="17" t="s">
        <v>9167</v>
      </c>
      <c r="C5476" s="17" t="s">
        <v>9012</v>
      </c>
      <c r="D5476" s="25" t="s">
        <v>9081</v>
      </c>
      <c r="E5476" s="19" t="s">
        <v>9114</v>
      </c>
      <c r="F5476" s="19" t="s">
        <v>995</v>
      </c>
      <c r="G5476" s="9" t="str">
        <f>HYPERLINK("http://jsmh.umin.jp/journal/56-2/56-2_195.pdf")</f>
        <v>http://jsmh.umin.jp/journal/56-2/56-2_195.pdf</v>
      </c>
      <c r="H5476" s="43"/>
    </row>
    <row r="5477" spans="1:8" ht="30" customHeight="1" x14ac:dyDescent="0.15">
      <c r="A5477" s="16" t="s">
        <v>1855</v>
      </c>
      <c r="B5477" s="17" t="s">
        <v>9168</v>
      </c>
      <c r="C5477" s="17" t="s">
        <v>9169</v>
      </c>
      <c r="D5477" s="25" t="s">
        <v>9081</v>
      </c>
      <c r="E5477" s="19" t="s">
        <v>9114</v>
      </c>
      <c r="F5477" s="19" t="s">
        <v>1001</v>
      </c>
      <c r="G5477" s="9" t="str">
        <f>HYPERLINK("http://jsmh.umin.jp/journal/56-2/56-2_196.pdf")</f>
        <v>http://jsmh.umin.jp/journal/56-2/56-2_196.pdf</v>
      </c>
      <c r="H5477" s="43"/>
    </row>
    <row r="5478" spans="1:8" ht="30" customHeight="1" x14ac:dyDescent="0.15">
      <c r="A5478" s="16" t="s">
        <v>1855</v>
      </c>
      <c r="B5478" s="17" t="s">
        <v>9170</v>
      </c>
      <c r="C5478" s="17" t="s">
        <v>5837</v>
      </c>
      <c r="D5478" s="25" t="s">
        <v>9081</v>
      </c>
      <c r="E5478" s="19" t="s">
        <v>9114</v>
      </c>
      <c r="F5478" s="19" t="s">
        <v>1004</v>
      </c>
      <c r="G5478" s="9" t="str">
        <f>HYPERLINK("http://jsmh.umin.jp/journal/56-2/56-2_197.pdf")</f>
        <v>http://jsmh.umin.jp/journal/56-2/56-2_197.pdf</v>
      </c>
      <c r="H5478" s="43"/>
    </row>
    <row r="5479" spans="1:8" ht="30" customHeight="1" x14ac:dyDescent="0.15">
      <c r="A5479" s="16" t="s">
        <v>1855</v>
      </c>
      <c r="B5479" s="17" t="s">
        <v>9171</v>
      </c>
      <c r="C5479" s="17" t="s">
        <v>9172</v>
      </c>
      <c r="D5479" s="25" t="s">
        <v>9081</v>
      </c>
      <c r="E5479" s="19" t="s">
        <v>9114</v>
      </c>
      <c r="F5479" s="19" t="s">
        <v>2440</v>
      </c>
      <c r="G5479" s="9" t="str">
        <f>HYPERLINK("http://jsmh.umin.jp/journal/56-2/56-2_198.pdf")</f>
        <v>http://jsmh.umin.jp/journal/56-2/56-2_198.pdf</v>
      </c>
      <c r="H5479" s="43"/>
    </row>
    <row r="5480" spans="1:8" ht="30" customHeight="1" x14ac:dyDescent="0.15">
      <c r="A5480" s="16" t="s">
        <v>1855</v>
      </c>
      <c r="B5480" s="17" t="s">
        <v>9173</v>
      </c>
      <c r="C5480" s="17" t="s">
        <v>9015</v>
      </c>
      <c r="D5480" s="25" t="s">
        <v>9081</v>
      </c>
      <c r="E5480" s="19" t="s">
        <v>9114</v>
      </c>
      <c r="F5480" s="19" t="s">
        <v>8990</v>
      </c>
      <c r="G5480" s="9" t="str">
        <f>HYPERLINK("http://jsmh.umin.jp/journal/56-2/56-2_199.pdf")</f>
        <v>http://jsmh.umin.jp/journal/56-2/56-2_199.pdf</v>
      </c>
      <c r="H5480" s="43"/>
    </row>
    <row r="5481" spans="1:8" ht="30" customHeight="1" x14ac:dyDescent="0.15">
      <c r="A5481" s="16" t="s">
        <v>1855</v>
      </c>
      <c r="B5481" s="17" t="s">
        <v>9174</v>
      </c>
      <c r="C5481" s="17" t="s">
        <v>2937</v>
      </c>
      <c r="D5481" s="25" t="s">
        <v>9081</v>
      </c>
      <c r="E5481" s="19" t="s">
        <v>9114</v>
      </c>
      <c r="F5481" s="19" t="s">
        <v>2942</v>
      </c>
      <c r="G5481" s="9" t="str">
        <f>HYPERLINK("http://jsmh.umin.jp/journal/56-2/56-2_200.pdf")</f>
        <v>http://jsmh.umin.jp/journal/56-2/56-2_200.pdf</v>
      </c>
      <c r="H5481" s="43"/>
    </row>
    <row r="5482" spans="1:8" ht="30" customHeight="1" x14ac:dyDescent="0.15">
      <c r="A5482" s="16" t="s">
        <v>1855</v>
      </c>
      <c r="B5482" s="17" t="s">
        <v>9175</v>
      </c>
      <c r="C5482" s="17" t="s">
        <v>9176</v>
      </c>
      <c r="D5482" s="25" t="s">
        <v>9081</v>
      </c>
      <c r="E5482" s="19" t="s">
        <v>9114</v>
      </c>
      <c r="F5482" s="19" t="s">
        <v>2944</v>
      </c>
      <c r="G5482" s="9" t="str">
        <f>HYPERLINK("http://jsmh.umin.jp/journal/56-2/56-2_201.pdf")</f>
        <v>http://jsmh.umin.jp/journal/56-2/56-2_201.pdf</v>
      </c>
      <c r="H5482" s="43"/>
    </row>
    <row r="5483" spans="1:8" ht="30" customHeight="1" x14ac:dyDescent="0.15">
      <c r="A5483" s="16" t="s">
        <v>1855</v>
      </c>
      <c r="B5483" s="17" t="s">
        <v>9177</v>
      </c>
      <c r="C5483" s="17" t="s">
        <v>9178</v>
      </c>
      <c r="D5483" s="25" t="s">
        <v>9081</v>
      </c>
      <c r="E5483" s="19" t="s">
        <v>9114</v>
      </c>
      <c r="F5483" s="19" t="s">
        <v>80</v>
      </c>
      <c r="G5483" s="9" t="str">
        <f>HYPERLINK("http://jsmh.umin.jp/journal/56-2/56-2_202.pdf")</f>
        <v>http://jsmh.umin.jp/journal/56-2/56-2_202.pdf</v>
      </c>
      <c r="H5483" s="43"/>
    </row>
    <row r="5484" spans="1:8" ht="30" customHeight="1" x14ac:dyDescent="0.15">
      <c r="A5484" s="16" t="s">
        <v>1855</v>
      </c>
      <c r="B5484" s="17" t="s">
        <v>9179</v>
      </c>
      <c r="C5484" s="17" t="s">
        <v>6640</v>
      </c>
      <c r="D5484" s="25" t="s">
        <v>9081</v>
      </c>
      <c r="E5484" s="19" t="s">
        <v>9114</v>
      </c>
      <c r="F5484" s="19" t="s">
        <v>2594</v>
      </c>
      <c r="G5484" s="9" t="str">
        <f>HYPERLINK("http://jsmh.umin.jp/journal/56-2/56-2_203.pdf")</f>
        <v>http://jsmh.umin.jp/journal/56-2/56-2_203.pdf</v>
      </c>
      <c r="H5484" s="43"/>
    </row>
    <row r="5485" spans="1:8" ht="30" customHeight="1" x14ac:dyDescent="0.15">
      <c r="A5485" s="16" t="s">
        <v>1855</v>
      </c>
      <c r="B5485" s="17" t="s">
        <v>9180</v>
      </c>
      <c r="C5485" s="17" t="s">
        <v>6705</v>
      </c>
      <c r="D5485" s="25" t="s">
        <v>9081</v>
      </c>
      <c r="E5485" s="19" t="s">
        <v>9114</v>
      </c>
      <c r="F5485" s="19" t="s">
        <v>8997</v>
      </c>
      <c r="G5485" s="9" t="str">
        <f>HYPERLINK("http://jsmh.umin.jp/journal/56-2/56-2_204.pdf")</f>
        <v>http://jsmh.umin.jp/journal/56-2/56-2_204.pdf</v>
      </c>
      <c r="H5485" s="43"/>
    </row>
    <row r="5486" spans="1:8" ht="30" customHeight="1" x14ac:dyDescent="0.15">
      <c r="A5486" s="16" t="s">
        <v>1855</v>
      </c>
      <c r="B5486" s="17" t="s">
        <v>10452</v>
      </c>
      <c r="C5486" s="17" t="s">
        <v>8212</v>
      </c>
      <c r="D5486" s="25" t="s">
        <v>9081</v>
      </c>
      <c r="E5486" s="19" t="s">
        <v>9114</v>
      </c>
      <c r="F5486" s="19" t="s">
        <v>8999</v>
      </c>
      <c r="G5486" s="9" t="str">
        <f>HYPERLINK("http://jsmh.umin.jp/journal/56-2/56-2_205.pdf")</f>
        <v>http://jsmh.umin.jp/journal/56-2/56-2_205.pdf</v>
      </c>
      <c r="H5486" s="43"/>
    </row>
    <row r="5487" spans="1:8" ht="30" customHeight="1" x14ac:dyDescent="0.15">
      <c r="A5487" s="16" t="s">
        <v>1855</v>
      </c>
      <c r="B5487" s="17" t="s">
        <v>9181</v>
      </c>
      <c r="C5487" s="17" t="s">
        <v>9182</v>
      </c>
      <c r="D5487" s="25" t="s">
        <v>9081</v>
      </c>
      <c r="E5487" s="19" t="s">
        <v>9114</v>
      </c>
      <c r="F5487" s="19" t="s">
        <v>9001</v>
      </c>
      <c r="G5487" s="9" t="str">
        <f>HYPERLINK("http://jsmh.umin.jp/journal/56-2/56-2_206.pdf")</f>
        <v>http://jsmh.umin.jp/journal/56-2/56-2_206.pdf</v>
      </c>
      <c r="H5487" s="43"/>
    </row>
    <row r="5488" spans="1:8" ht="30" customHeight="1" x14ac:dyDescent="0.15">
      <c r="A5488" s="16" t="s">
        <v>1855</v>
      </c>
      <c r="B5488" s="17" t="s">
        <v>9183</v>
      </c>
      <c r="C5488" s="17" t="s">
        <v>9184</v>
      </c>
      <c r="D5488" s="25" t="s">
        <v>9081</v>
      </c>
      <c r="E5488" s="19" t="s">
        <v>9114</v>
      </c>
      <c r="F5488" s="19" t="s">
        <v>261</v>
      </c>
      <c r="G5488" s="9" t="str">
        <f>HYPERLINK("http://jsmh.umin.jp/journal/56-2/56-2_207.pdf")</f>
        <v>http://jsmh.umin.jp/journal/56-2/56-2_207.pdf</v>
      </c>
      <c r="H5488" s="43"/>
    </row>
    <row r="5489" spans="1:8" ht="30" customHeight="1" x14ac:dyDescent="0.15">
      <c r="A5489" s="16" t="s">
        <v>1855</v>
      </c>
      <c r="B5489" s="17" t="s">
        <v>9185</v>
      </c>
      <c r="C5489" s="17" t="s">
        <v>10453</v>
      </c>
      <c r="D5489" s="25" t="s">
        <v>9081</v>
      </c>
      <c r="E5489" s="19" t="s">
        <v>9114</v>
      </c>
      <c r="F5489" s="19" t="s">
        <v>264</v>
      </c>
      <c r="G5489" s="9" t="str">
        <f>HYPERLINK("http://jsmh.umin.jp/journal/56-2/56-2_208.pdf")</f>
        <v>http://jsmh.umin.jp/journal/56-2/56-2_208.pdf</v>
      </c>
      <c r="H5489" s="43"/>
    </row>
    <row r="5490" spans="1:8" ht="30" customHeight="1" x14ac:dyDescent="0.15">
      <c r="A5490" s="16" t="s">
        <v>1855</v>
      </c>
      <c r="B5490" s="17" t="s">
        <v>9186</v>
      </c>
      <c r="C5490" s="17" t="s">
        <v>8984</v>
      </c>
      <c r="D5490" s="25" t="s">
        <v>9081</v>
      </c>
      <c r="E5490" s="19" t="s">
        <v>9114</v>
      </c>
      <c r="F5490" s="19" t="s">
        <v>269</v>
      </c>
      <c r="G5490" s="9" t="str">
        <f>HYPERLINK("http://jsmh.umin.jp/journal/56-2/56-2_209.pdf")</f>
        <v>http://jsmh.umin.jp/journal/56-2/56-2_209.pdf</v>
      </c>
      <c r="H5490" s="43"/>
    </row>
    <row r="5491" spans="1:8" ht="30" customHeight="1" x14ac:dyDescent="0.15">
      <c r="A5491" s="16" t="s">
        <v>1855</v>
      </c>
      <c r="B5491" s="17" t="s">
        <v>9187</v>
      </c>
      <c r="C5491" s="17" t="s">
        <v>7944</v>
      </c>
      <c r="D5491" s="25" t="s">
        <v>9081</v>
      </c>
      <c r="E5491" s="19" t="s">
        <v>9114</v>
      </c>
      <c r="F5491" s="19" t="s">
        <v>9006</v>
      </c>
      <c r="G5491" s="9" t="str">
        <f>HYPERLINK("http://jsmh.umin.jp/journal/56-2/56-2_210.pdf")</f>
        <v>http://jsmh.umin.jp/journal/56-2/56-2_210.pdf</v>
      </c>
      <c r="H5491" s="43"/>
    </row>
    <row r="5492" spans="1:8" ht="30" customHeight="1" x14ac:dyDescent="0.15">
      <c r="A5492" s="16" t="s">
        <v>1855</v>
      </c>
      <c r="B5492" s="17" t="s">
        <v>9188</v>
      </c>
      <c r="C5492" s="17" t="s">
        <v>7497</v>
      </c>
      <c r="D5492" s="25" t="s">
        <v>9081</v>
      </c>
      <c r="E5492" s="19" t="s">
        <v>9114</v>
      </c>
      <c r="F5492" s="19" t="s">
        <v>9008</v>
      </c>
      <c r="G5492" s="9" t="str">
        <f>HYPERLINK("http://jsmh.umin.jp/journal/56-2/56-2_211.pdf")</f>
        <v>http://jsmh.umin.jp/journal/56-2/56-2_211.pdf</v>
      </c>
      <c r="H5492" s="43"/>
    </row>
    <row r="5493" spans="1:8" ht="30" customHeight="1" x14ac:dyDescent="0.15">
      <c r="A5493" s="16" t="s">
        <v>1855</v>
      </c>
      <c r="B5493" s="17" t="s">
        <v>9189</v>
      </c>
      <c r="C5493" s="17" t="s">
        <v>10454</v>
      </c>
      <c r="D5493" s="25" t="s">
        <v>9081</v>
      </c>
      <c r="E5493" s="19" t="s">
        <v>9114</v>
      </c>
      <c r="F5493" s="19" t="s">
        <v>4196</v>
      </c>
      <c r="G5493" s="9" t="str">
        <f>HYPERLINK("http://jsmh.umin.jp/journal/56-2/56-2_212.pdf")</f>
        <v>http://jsmh.umin.jp/journal/56-2/56-2_212.pdf</v>
      </c>
      <c r="H5493" s="43"/>
    </row>
    <row r="5494" spans="1:8" ht="30" customHeight="1" x14ac:dyDescent="0.15">
      <c r="A5494" s="16" t="s">
        <v>1855</v>
      </c>
      <c r="B5494" s="17" t="s">
        <v>9190</v>
      </c>
      <c r="C5494" s="17" t="s">
        <v>5625</v>
      </c>
      <c r="D5494" s="25" t="s">
        <v>9081</v>
      </c>
      <c r="E5494" s="19" t="s">
        <v>9114</v>
      </c>
      <c r="F5494" s="19" t="s">
        <v>279</v>
      </c>
      <c r="G5494" s="9" t="str">
        <f>HYPERLINK("http://jsmh.umin.jp/journal/56-2/56-2_213.pdf")</f>
        <v>http://jsmh.umin.jp/journal/56-2/56-2_213.pdf</v>
      </c>
      <c r="H5494" s="43"/>
    </row>
    <row r="5495" spans="1:8" ht="30" customHeight="1" x14ac:dyDescent="0.15">
      <c r="A5495" s="16" t="s">
        <v>1855</v>
      </c>
      <c r="B5495" s="17" t="s">
        <v>9191</v>
      </c>
      <c r="C5495" s="17" t="s">
        <v>10455</v>
      </c>
      <c r="D5495" s="25" t="s">
        <v>9081</v>
      </c>
      <c r="E5495" s="19" t="s">
        <v>9114</v>
      </c>
      <c r="F5495" s="19" t="s">
        <v>283</v>
      </c>
      <c r="G5495" s="9" t="str">
        <f>HYPERLINK("http://jsmh.umin.jp/journal/56-2/56-2_214.pdf")</f>
        <v>http://jsmh.umin.jp/journal/56-2/56-2_214.pdf</v>
      </c>
      <c r="H5495" s="43"/>
    </row>
    <row r="5496" spans="1:8" ht="30" customHeight="1" x14ac:dyDescent="0.15">
      <c r="A5496" s="16" t="s">
        <v>1855</v>
      </c>
      <c r="B5496" s="17" t="s">
        <v>9192</v>
      </c>
      <c r="C5496" s="17" t="s">
        <v>8637</v>
      </c>
      <c r="D5496" s="25" t="s">
        <v>9081</v>
      </c>
      <c r="E5496" s="19" t="s">
        <v>9114</v>
      </c>
      <c r="F5496" s="19" t="s">
        <v>288</v>
      </c>
      <c r="G5496" s="9" t="str">
        <f>HYPERLINK("http://jsmh.umin.jp/journal/56-2/56-2_215.pdf")</f>
        <v>http://jsmh.umin.jp/journal/56-2/56-2_215.pdf</v>
      </c>
      <c r="H5496" s="43"/>
    </row>
    <row r="5497" spans="1:8" ht="30" customHeight="1" x14ac:dyDescent="0.15">
      <c r="A5497" s="16" t="s">
        <v>1855</v>
      </c>
      <c r="B5497" s="17" t="s">
        <v>10456</v>
      </c>
      <c r="C5497" s="17" t="s">
        <v>10457</v>
      </c>
      <c r="D5497" s="25" t="s">
        <v>9081</v>
      </c>
      <c r="E5497" s="19" t="s">
        <v>9114</v>
      </c>
      <c r="F5497" s="19" t="s">
        <v>9016</v>
      </c>
      <c r="G5497" s="9" t="str">
        <f>HYPERLINK("http://jsmh.umin.jp/journal/56-2/56-2_216.pdf")</f>
        <v>http://jsmh.umin.jp/journal/56-2/56-2_216.pdf</v>
      </c>
      <c r="H5497" s="43"/>
    </row>
    <row r="5498" spans="1:8" ht="30" customHeight="1" x14ac:dyDescent="0.15">
      <c r="A5498" s="16" t="s">
        <v>1855</v>
      </c>
      <c r="B5498" s="17" t="s">
        <v>9193</v>
      </c>
      <c r="C5498" s="17" t="s">
        <v>7420</v>
      </c>
      <c r="D5498" s="25" t="s">
        <v>9081</v>
      </c>
      <c r="E5498" s="19" t="s">
        <v>9114</v>
      </c>
      <c r="F5498" s="19" t="s">
        <v>9018</v>
      </c>
      <c r="G5498" s="9" t="str">
        <f>HYPERLINK("http://jsmh.umin.jp/journal/56-2/56-2_217.pdf")</f>
        <v>http://jsmh.umin.jp/journal/56-2/56-2_217.pdf</v>
      </c>
      <c r="H5498" s="43"/>
    </row>
    <row r="5499" spans="1:8" ht="30" customHeight="1" x14ac:dyDescent="0.15">
      <c r="A5499" s="16" t="s">
        <v>1855</v>
      </c>
      <c r="B5499" s="17" t="s">
        <v>9194</v>
      </c>
      <c r="C5499" s="17" t="s">
        <v>9195</v>
      </c>
      <c r="D5499" s="25" t="s">
        <v>9081</v>
      </c>
      <c r="E5499" s="19" t="s">
        <v>9114</v>
      </c>
      <c r="F5499" s="19" t="s">
        <v>2957</v>
      </c>
      <c r="G5499" s="9" t="str">
        <f>HYPERLINK("http://jsmh.umin.jp/journal/56-2/56-2_218.pdf")</f>
        <v>http://jsmh.umin.jp/journal/56-2/56-2_218.pdf</v>
      </c>
      <c r="H5499" s="43"/>
    </row>
    <row r="5500" spans="1:8" ht="30" customHeight="1" x14ac:dyDescent="0.15">
      <c r="A5500" s="16" t="s">
        <v>1855</v>
      </c>
      <c r="B5500" s="17" t="s">
        <v>9196</v>
      </c>
      <c r="C5500" s="17" t="s">
        <v>10458</v>
      </c>
      <c r="D5500" s="25" t="s">
        <v>9081</v>
      </c>
      <c r="E5500" s="19" t="s">
        <v>9114</v>
      </c>
      <c r="F5500" s="19" t="s">
        <v>1857</v>
      </c>
      <c r="G5500" s="9" t="str">
        <f>HYPERLINK("http://jsmh.umin.jp/journal/56-2/56-2_219.pdf")</f>
        <v>http://jsmh.umin.jp/journal/56-2/56-2_219.pdf</v>
      </c>
      <c r="H5500" s="43"/>
    </row>
    <row r="5501" spans="1:8" ht="30" customHeight="1" x14ac:dyDescent="0.15">
      <c r="A5501" s="16" t="s">
        <v>1855</v>
      </c>
      <c r="B5501" s="17" t="s">
        <v>9197</v>
      </c>
      <c r="C5501" s="17" t="s">
        <v>9198</v>
      </c>
      <c r="D5501" s="25" t="s">
        <v>9081</v>
      </c>
      <c r="E5501" s="19" t="s">
        <v>9114</v>
      </c>
      <c r="F5501" s="19" t="s">
        <v>2084</v>
      </c>
      <c r="G5501" s="9" t="str">
        <f>HYPERLINK("http://jsmh.umin.jp/journal/56-2/56-2_220.pdf")</f>
        <v>http://jsmh.umin.jp/journal/56-2/56-2_220.pdf</v>
      </c>
      <c r="H5501" s="43"/>
    </row>
    <row r="5502" spans="1:8" ht="30" customHeight="1" x14ac:dyDescent="0.15">
      <c r="A5502" s="16" t="s">
        <v>1855</v>
      </c>
      <c r="B5502" s="17" t="s">
        <v>9199</v>
      </c>
      <c r="C5502" s="17" t="s">
        <v>10459</v>
      </c>
      <c r="D5502" s="25" t="s">
        <v>9081</v>
      </c>
      <c r="E5502" s="19" t="s">
        <v>9114</v>
      </c>
      <c r="F5502" s="19" t="s">
        <v>2960</v>
      </c>
      <c r="G5502" s="9" t="str">
        <f>HYPERLINK("http://jsmh.umin.jp/journal/56-2/56-2_221.pdf")</f>
        <v>http://jsmh.umin.jp/journal/56-2/56-2_221.pdf</v>
      </c>
      <c r="H5502" s="43"/>
    </row>
    <row r="5503" spans="1:8" ht="30" customHeight="1" x14ac:dyDescent="0.15">
      <c r="A5503" s="16" t="s">
        <v>1855</v>
      </c>
      <c r="B5503" s="17" t="s">
        <v>9200</v>
      </c>
      <c r="C5503" s="17" t="s">
        <v>8678</v>
      </c>
      <c r="D5503" s="25" t="s">
        <v>9081</v>
      </c>
      <c r="E5503" s="19" t="s">
        <v>9114</v>
      </c>
      <c r="F5503" s="19" t="s">
        <v>1254</v>
      </c>
      <c r="G5503" s="9" t="str">
        <f>HYPERLINK("http://jsmh.umin.jp/journal/56-2/56-2_222.pdf")</f>
        <v>http://jsmh.umin.jp/journal/56-2/56-2_222.pdf</v>
      </c>
      <c r="H5503" s="43"/>
    </row>
    <row r="5504" spans="1:8" ht="30" customHeight="1" x14ac:dyDescent="0.15">
      <c r="A5504" s="16" t="s">
        <v>1855</v>
      </c>
      <c r="B5504" s="17" t="s">
        <v>9201</v>
      </c>
      <c r="C5504" s="17" t="s">
        <v>7366</v>
      </c>
      <c r="D5504" s="25" t="s">
        <v>9081</v>
      </c>
      <c r="E5504" s="19" t="s">
        <v>9114</v>
      </c>
      <c r="F5504" s="19" t="s">
        <v>1263</v>
      </c>
      <c r="G5504" s="9" t="str">
        <f>HYPERLINK("http://jsmh.umin.jp/journal/56-2/56-2_223.pdf")</f>
        <v>http://jsmh.umin.jp/journal/56-2/56-2_223.pdf</v>
      </c>
      <c r="H5504" s="43"/>
    </row>
    <row r="5505" spans="1:8" ht="30" customHeight="1" x14ac:dyDescent="0.15">
      <c r="A5505" s="16" t="s">
        <v>1855</v>
      </c>
      <c r="B5505" s="17" t="s">
        <v>10460</v>
      </c>
      <c r="C5505" s="17" t="s">
        <v>9202</v>
      </c>
      <c r="D5505" s="25" t="s">
        <v>9081</v>
      </c>
      <c r="E5505" s="19" t="s">
        <v>9114</v>
      </c>
      <c r="F5505" s="19" t="s">
        <v>1265</v>
      </c>
      <c r="G5505" s="9" t="str">
        <f>HYPERLINK("http://jsmh.umin.jp/journal/56-2/56-2_224.pdf")</f>
        <v>http://jsmh.umin.jp/journal/56-2/56-2_224.pdf</v>
      </c>
      <c r="H5505" s="43"/>
    </row>
    <row r="5506" spans="1:8" ht="30" customHeight="1" x14ac:dyDescent="0.15">
      <c r="A5506" s="16" t="s">
        <v>1855</v>
      </c>
      <c r="B5506" s="17" t="s">
        <v>9203</v>
      </c>
      <c r="C5506" s="17" t="s">
        <v>7136</v>
      </c>
      <c r="D5506" s="25" t="s">
        <v>9081</v>
      </c>
      <c r="E5506" s="19" t="s">
        <v>9114</v>
      </c>
      <c r="F5506" s="19" t="s">
        <v>97</v>
      </c>
      <c r="G5506" s="9" t="str">
        <f>HYPERLINK("http://jsmh.umin.jp/journal/56-2/56-2_225.pdf")</f>
        <v>http://jsmh.umin.jp/journal/56-2/56-2_225.pdf</v>
      </c>
      <c r="H5506" s="43"/>
    </row>
    <row r="5507" spans="1:8" ht="30" customHeight="1" x14ac:dyDescent="0.15">
      <c r="A5507" s="16" t="s">
        <v>1855</v>
      </c>
      <c r="B5507" s="17" t="s">
        <v>9204</v>
      </c>
      <c r="C5507" s="17" t="s">
        <v>9205</v>
      </c>
      <c r="D5507" s="25" t="s">
        <v>9081</v>
      </c>
      <c r="E5507" s="19" t="s">
        <v>9114</v>
      </c>
      <c r="F5507" s="19" t="s">
        <v>99</v>
      </c>
      <c r="G5507" s="9" t="str">
        <f>HYPERLINK("http://jsmh.umin.jp/journal/56-2/56-2_226.pdf")</f>
        <v>http://jsmh.umin.jp/journal/56-2/56-2_226.pdf</v>
      </c>
      <c r="H5507" s="43"/>
    </row>
    <row r="5508" spans="1:8" ht="30" customHeight="1" x14ac:dyDescent="0.15">
      <c r="A5508" s="16" t="s">
        <v>1855</v>
      </c>
      <c r="B5508" s="17" t="s">
        <v>9206</v>
      </c>
      <c r="C5508" s="17" t="s">
        <v>9207</v>
      </c>
      <c r="D5508" s="25" t="s">
        <v>9081</v>
      </c>
      <c r="E5508" s="19" t="s">
        <v>9114</v>
      </c>
      <c r="F5508" s="19" t="s">
        <v>105</v>
      </c>
      <c r="G5508" s="9" t="str">
        <f>HYPERLINK("http://jsmh.umin.jp/journal/56-2/56-2_227.pdf")</f>
        <v>http://jsmh.umin.jp/journal/56-2/56-2_227.pdf</v>
      </c>
      <c r="H5508" s="43"/>
    </row>
    <row r="5509" spans="1:8" ht="30" customHeight="1" x14ac:dyDescent="0.15">
      <c r="A5509" s="16" t="s">
        <v>1855</v>
      </c>
      <c r="B5509" s="17" t="s">
        <v>9208</v>
      </c>
      <c r="C5509" s="17" t="s">
        <v>9209</v>
      </c>
      <c r="D5509" s="25" t="s">
        <v>9081</v>
      </c>
      <c r="E5509" s="19" t="s">
        <v>9114</v>
      </c>
      <c r="F5509" s="19" t="s">
        <v>1874</v>
      </c>
      <c r="G5509" s="9" t="str">
        <f>HYPERLINK("http://jsmh.umin.jp/journal/56-2/56-2_228.pdf")</f>
        <v>http://jsmh.umin.jp/journal/56-2/56-2_228.pdf</v>
      </c>
      <c r="H5509" s="43"/>
    </row>
    <row r="5510" spans="1:8" ht="30" customHeight="1" x14ac:dyDescent="0.15">
      <c r="A5510" s="16" t="s">
        <v>1855</v>
      </c>
      <c r="B5510" s="17" t="s">
        <v>9210</v>
      </c>
      <c r="C5510" s="17" t="s">
        <v>7542</v>
      </c>
      <c r="D5510" s="25" t="s">
        <v>9081</v>
      </c>
      <c r="E5510" s="19" t="s">
        <v>9114</v>
      </c>
      <c r="F5510" s="19" t="s">
        <v>114</v>
      </c>
      <c r="G5510" s="9" t="str">
        <f>HYPERLINK("http://jsmh.umin.jp/journal/56-2/56-2_229.pdf")</f>
        <v>http://jsmh.umin.jp/journal/56-2/56-2_229.pdf</v>
      </c>
      <c r="H5510" s="43"/>
    </row>
    <row r="5511" spans="1:8" ht="30" customHeight="1" x14ac:dyDescent="0.15">
      <c r="A5511" s="16" t="s">
        <v>1855</v>
      </c>
      <c r="B5511" s="17" t="s">
        <v>9211</v>
      </c>
      <c r="C5511" s="17" t="s">
        <v>7352</v>
      </c>
      <c r="D5511" s="25" t="s">
        <v>9081</v>
      </c>
      <c r="E5511" s="19" t="s">
        <v>9114</v>
      </c>
      <c r="F5511" s="19" t="s">
        <v>2615</v>
      </c>
      <c r="G5511" s="9" t="str">
        <f>HYPERLINK("http://jsmh.umin.jp/journal/56-2/56-2_230.pdf")</f>
        <v>http://jsmh.umin.jp/journal/56-2/56-2_230.pdf</v>
      </c>
      <c r="H5511" s="43"/>
    </row>
    <row r="5512" spans="1:8" ht="30" customHeight="1" x14ac:dyDescent="0.15">
      <c r="A5512" s="16" t="s">
        <v>1855</v>
      </c>
      <c r="B5512" s="17" t="s">
        <v>9212</v>
      </c>
      <c r="C5512" s="17" t="s">
        <v>7180</v>
      </c>
      <c r="D5512" s="25" t="s">
        <v>9081</v>
      </c>
      <c r="E5512" s="19" t="s">
        <v>9114</v>
      </c>
      <c r="F5512" s="19" t="s">
        <v>9213</v>
      </c>
      <c r="G5512" s="9" t="str">
        <f>HYPERLINK("http://jsmh.umin.jp/journal/56-2/56-2_231.pdf")</f>
        <v>http://jsmh.umin.jp/journal/56-2/56-2_231.pdf</v>
      </c>
      <c r="H5512" s="43"/>
    </row>
    <row r="5513" spans="1:8" ht="30" customHeight="1" x14ac:dyDescent="0.15">
      <c r="A5513" s="16" t="s">
        <v>1855</v>
      </c>
      <c r="B5513" s="17" t="s">
        <v>9214</v>
      </c>
      <c r="C5513" s="17" t="s">
        <v>7583</v>
      </c>
      <c r="D5513" s="25" t="s">
        <v>9081</v>
      </c>
      <c r="E5513" s="19" t="s">
        <v>9114</v>
      </c>
      <c r="F5513" s="19" t="s">
        <v>127</v>
      </c>
      <c r="G5513" s="9" t="str">
        <f>HYPERLINK("http://jsmh.umin.jp/journal/56-2/56-2_232.pdf")</f>
        <v>http://jsmh.umin.jp/journal/56-2/56-2_232.pdf</v>
      </c>
      <c r="H5513" s="43"/>
    </row>
    <row r="5514" spans="1:8" ht="30" customHeight="1" x14ac:dyDescent="0.15">
      <c r="A5514" s="16" t="s">
        <v>1855</v>
      </c>
      <c r="B5514" s="17" t="s">
        <v>9215</v>
      </c>
      <c r="C5514" s="17" t="s">
        <v>9216</v>
      </c>
      <c r="D5514" s="25" t="s">
        <v>9081</v>
      </c>
      <c r="E5514" s="19" t="s">
        <v>9114</v>
      </c>
      <c r="F5514" s="19" t="s">
        <v>1882</v>
      </c>
      <c r="G5514" s="9" t="str">
        <f>HYPERLINK("http://jsmh.umin.jp/journal/56-2/56-2_233.pdf")</f>
        <v>http://jsmh.umin.jp/journal/56-2/56-2_233.pdf</v>
      </c>
      <c r="H5514" s="43"/>
    </row>
    <row r="5515" spans="1:8" ht="30" customHeight="1" x14ac:dyDescent="0.15">
      <c r="A5515" s="16" t="s">
        <v>1855</v>
      </c>
      <c r="B5515" s="17" t="s">
        <v>9217</v>
      </c>
      <c r="C5515" s="17" t="s">
        <v>9218</v>
      </c>
      <c r="D5515" s="25" t="s">
        <v>9081</v>
      </c>
      <c r="E5515" s="19" t="s">
        <v>9114</v>
      </c>
      <c r="F5515" s="19" t="s">
        <v>135</v>
      </c>
      <c r="G5515" s="9" t="str">
        <f>HYPERLINK("http://jsmh.umin.jp/journal/56-2/56-2_234.pdf")</f>
        <v>http://jsmh.umin.jp/journal/56-2/56-2_234.pdf</v>
      </c>
      <c r="H5515" s="43"/>
    </row>
    <row r="5516" spans="1:8" ht="30" customHeight="1" x14ac:dyDescent="0.15">
      <c r="A5516" s="16" t="s">
        <v>1855</v>
      </c>
      <c r="B5516" s="17" t="s">
        <v>9219</v>
      </c>
      <c r="C5516" s="17" t="s">
        <v>9220</v>
      </c>
      <c r="D5516" s="25" t="s">
        <v>9081</v>
      </c>
      <c r="E5516" s="19" t="s">
        <v>9114</v>
      </c>
      <c r="F5516" s="19" t="s">
        <v>3295</v>
      </c>
      <c r="G5516" s="9" t="str">
        <f>HYPERLINK("http://jsmh.umin.jp/journal/56-2/56-2_235.pdf")</f>
        <v>http://jsmh.umin.jp/journal/56-2/56-2_235.pdf</v>
      </c>
      <c r="H5516" s="43"/>
    </row>
    <row r="5517" spans="1:8" ht="30" customHeight="1" x14ac:dyDescent="0.15">
      <c r="A5517" s="16" t="s">
        <v>1855</v>
      </c>
      <c r="B5517" s="17" t="s">
        <v>9221</v>
      </c>
      <c r="C5517" s="17" t="s">
        <v>7176</v>
      </c>
      <c r="D5517" s="25" t="s">
        <v>9081</v>
      </c>
      <c r="E5517" s="19" t="s">
        <v>9114</v>
      </c>
      <c r="F5517" s="19" t="s">
        <v>9222</v>
      </c>
      <c r="G5517" s="9" t="str">
        <f>HYPERLINK("http://jsmh.umin.jp/journal/56-2/56-2_236.pdf")</f>
        <v>http://jsmh.umin.jp/journal/56-2/56-2_236.pdf</v>
      </c>
      <c r="H5517" s="43"/>
    </row>
    <row r="5518" spans="1:8" ht="30" customHeight="1" x14ac:dyDescent="0.15">
      <c r="A5518" s="16" t="s">
        <v>1855</v>
      </c>
      <c r="B5518" s="17" t="s">
        <v>9223</v>
      </c>
      <c r="C5518" s="17" t="s">
        <v>6300</v>
      </c>
      <c r="D5518" s="25" t="s">
        <v>9081</v>
      </c>
      <c r="E5518" s="19" t="s">
        <v>9114</v>
      </c>
      <c r="F5518" s="19" t="s">
        <v>4019</v>
      </c>
      <c r="G5518" s="9" t="str">
        <f>HYPERLINK("http://jsmh.umin.jp/journal/56-2/56-2_237.pdf")</f>
        <v>http://jsmh.umin.jp/journal/56-2/56-2_237.pdf</v>
      </c>
      <c r="H5518" s="43"/>
    </row>
    <row r="5519" spans="1:8" ht="30" customHeight="1" x14ac:dyDescent="0.15">
      <c r="A5519" s="16" t="s">
        <v>1855</v>
      </c>
      <c r="B5519" s="17" t="s">
        <v>10461</v>
      </c>
      <c r="C5519" s="17" t="s">
        <v>6851</v>
      </c>
      <c r="D5519" s="25" t="s">
        <v>9081</v>
      </c>
      <c r="E5519" s="19" t="s">
        <v>9114</v>
      </c>
      <c r="F5519" s="19" t="s">
        <v>3064</v>
      </c>
      <c r="G5519" s="9" t="str">
        <f>HYPERLINK("http://jsmh.umin.jp/journal/56-2/56-2_238.pdf")</f>
        <v>http://jsmh.umin.jp/journal/56-2/56-2_238.pdf</v>
      </c>
      <c r="H5519" s="43"/>
    </row>
    <row r="5520" spans="1:8" ht="30" customHeight="1" x14ac:dyDescent="0.15">
      <c r="A5520" s="16" t="s">
        <v>1855</v>
      </c>
      <c r="B5520" s="17" t="s">
        <v>9224</v>
      </c>
      <c r="C5520" s="17" t="s">
        <v>7965</v>
      </c>
      <c r="D5520" s="25" t="s">
        <v>9081</v>
      </c>
      <c r="E5520" s="19" t="s">
        <v>9114</v>
      </c>
      <c r="F5520" s="19" t="s">
        <v>3299</v>
      </c>
      <c r="G5520" s="9" t="str">
        <f>HYPERLINK("http://jsmh.umin.jp/journal/56-2/56-2_239.pdf")</f>
        <v>http://jsmh.umin.jp/journal/56-2/56-2_239.pdf</v>
      </c>
      <c r="H5520" s="43"/>
    </row>
    <row r="5521" spans="1:8" ht="30" customHeight="1" x14ac:dyDescent="0.15">
      <c r="A5521" s="16" t="s">
        <v>1855</v>
      </c>
      <c r="B5521" s="17" t="s">
        <v>9225</v>
      </c>
      <c r="C5521" s="17" t="s">
        <v>7377</v>
      </c>
      <c r="D5521" s="25" t="s">
        <v>9081</v>
      </c>
      <c r="E5521" s="19" t="s">
        <v>9114</v>
      </c>
      <c r="F5521" s="19" t="s">
        <v>9226</v>
      </c>
      <c r="G5521" s="9" t="str">
        <f>HYPERLINK("http://jsmh.umin.jp/journal/56-2/56-2_240.pdf")</f>
        <v>http://jsmh.umin.jp/journal/56-2/56-2_240.pdf</v>
      </c>
      <c r="H5521" s="43"/>
    </row>
    <row r="5522" spans="1:8" ht="30" customHeight="1" x14ac:dyDescent="0.15">
      <c r="A5522" s="16" t="s">
        <v>1855</v>
      </c>
      <c r="B5522" s="17" t="s">
        <v>9227</v>
      </c>
      <c r="C5522" s="17" t="s">
        <v>9228</v>
      </c>
      <c r="D5522" s="25" t="s">
        <v>9081</v>
      </c>
      <c r="E5522" s="19" t="s">
        <v>9114</v>
      </c>
      <c r="F5522" s="19" t="s">
        <v>9229</v>
      </c>
      <c r="G5522" s="9" t="str">
        <f>HYPERLINK("http://jsmh.umin.jp/journal/56-2/56-2_241.pdf")</f>
        <v>http://jsmh.umin.jp/journal/56-2/56-2_241.pdf</v>
      </c>
      <c r="H5522" s="43"/>
    </row>
    <row r="5523" spans="1:8" ht="30" customHeight="1" x14ac:dyDescent="0.15">
      <c r="A5523" s="16" t="s">
        <v>1855</v>
      </c>
      <c r="B5523" s="17" t="s">
        <v>9230</v>
      </c>
      <c r="C5523" s="17" t="s">
        <v>9231</v>
      </c>
      <c r="D5523" s="25" t="s">
        <v>9081</v>
      </c>
      <c r="E5523" s="19" t="s">
        <v>9114</v>
      </c>
      <c r="F5523" s="19" t="s">
        <v>9232</v>
      </c>
      <c r="G5523" s="9" t="str">
        <f>HYPERLINK("http://jsmh.umin.jp/journal/56-2/56-2_242.pdf")</f>
        <v>http://jsmh.umin.jp/journal/56-2/56-2_242.pdf</v>
      </c>
      <c r="H5523" s="43"/>
    </row>
    <row r="5524" spans="1:8" ht="30" customHeight="1" x14ac:dyDescent="0.15">
      <c r="A5524" s="16" t="s">
        <v>1855</v>
      </c>
      <c r="B5524" s="17" t="s">
        <v>9233</v>
      </c>
      <c r="C5524" s="17" t="s">
        <v>10299</v>
      </c>
      <c r="D5524" s="25" t="s">
        <v>9081</v>
      </c>
      <c r="E5524" s="19" t="s">
        <v>9114</v>
      </c>
      <c r="F5524" s="19" t="s">
        <v>9234</v>
      </c>
      <c r="G5524" s="9" t="str">
        <f>HYPERLINK("http://jsmh.umin.jp/journal/56-2/56-2_243.pdf")</f>
        <v>http://jsmh.umin.jp/journal/56-2/56-2_243.pdf</v>
      </c>
      <c r="H5524" s="43"/>
    </row>
    <row r="5525" spans="1:8" ht="30" customHeight="1" x14ac:dyDescent="0.15">
      <c r="A5525" s="16" t="s">
        <v>1855</v>
      </c>
      <c r="B5525" s="17" t="s">
        <v>9235</v>
      </c>
      <c r="C5525" s="17" t="s">
        <v>10289</v>
      </c>
      <c r="D5525" s="25" t="s">
        <v>9081</v>
      </c>
      <c r="E5525" s="19" t="s">
        <v>9114</v>
      </c>
      <c r="F5525" s="19" t="s">
        <v>9236</v>
      </c>
      <c r="G5525" s="9" t="str">
        <f>HYPERLINK("http://jsmh.umin.jp/journal/56-2/56-2_244.pdf")</f>
        <v>http://jsmh.umin.jp/journal/56-2/56-2_244.pdf</v>
      </c>
      <c r="H5525" s="43"/>
    </row>
    <row r="5526" spans="1:8" ht="30" customHeight="1" x14ac:dyDescent="0.15">
      <c r="A5526" s="16" t="s">
        <v>1855</v>
      </c>
      <c r="B5526" s="17" t="s">
        <v>9237</v>
      </c>
      <c r="C5526" s="17" t="s">
        <v>6267</v>
      </c>
      <c r="D5526" s="25" t="s">
        <v>9081</v>
      </c>
      <c r="E5526" s="19" t="s">
        <v>9114</v>
      </c>
      <c r="F5526" s="19" t="s">
        <v>5889</v>
      </c>
      <c r="G5526" s="9" t="str">
        <f>HYPERLINK("http://jsmh.umin.jp/journal/56-2/56-2_245.pdf")</f>
        <v>http://jsmh.umin.jp/journal/56-2/56-2_245.pdf</v>
      </c>
      <c r="H5526" s="43"/>
    </row>
    <row r="5527" spans="1:8" ht="30" customHeight="1" x14ac:dyDescent="0.15">
      <c r="A5527" s="16" t="s">
        <v>1855</v>
      </c>
      <c r="B5527" s="17" t="s">
        <v>9238</v>
      </c>
      <c r="C5527" s="17" t="s">
        <v>8947</v>
      </c>
      <c r="D5527" s="25" t="s">
        <v>9081</v>
      </c>
      <c r="E5527" s="19" t="s">
        <v>9114</v>
      </c>
      <c r="F5527" s="19" t="s">
        <v>9239</v>
      </c>
      <c r="G5527" s="9" t="str">
        <f>HYPERLINK("http://jsmh.umin.jp/journal/56-2/56-2_246.pdf")</f>
        <v>http://jsmh.umin.jp/journal/56-2/56-2_246.pdf</v>
      </c>
      <c r="H5527" s="43"/>
    </row>
    <row r="5528" spans="1:8" ht="30" customHeight="1" x14ac:dyDescent="0.15">
      <c r="A5528" s="16" t="s">
        <v>1855</v>
      </c>
      <c r="B5528" s="17" t="s">
        <v>9240</v>
      </c>
      <c r="C5528" s="17" t="s">
        <v>2638</v>
      </c>
      <c r="D5528" s="25" t="s">
        <v>9081</v>
      </c>
      <c r="E5528" s="19" t="s">
        <v>9114</v>
      </c>
      <c r="F5528" s="19" t="s">
        <v>9241</v>
      </c>
      <c r="G5528" s="9" t="str">
        <f>HYPERLINK("http://jsmh.umin.jp/journal/56-2/56-2_247.pdf")</f>
        <v>http://jsmh.umin.jp/journal/56-2/56-2_247.pdf</v>
      </c>
      <c r="H5528" s="43"/>
    </row>
    <row r="5529" spans="1:8" ht="30" customHeight="1" x14ac:dyDescent="0.15">
      <c r="A5529" s="16" t="s">
        <v>1855</v>
      </c>
      <c r="B5529" s="17" t="s">
        <v>10462</v>
      </c>
      <c r="C5529" s="17" t="s">
        <v>9242</v>
      </c>
      <c r="D5529" s="25" t="s">
        <v>9081</v>
      </c>
      <c r="E5529" s="19" t="s">
        <v>9114</v>
      </c>
      <c r="F5529" s="19" t="s">
        <v>1551</v>
      </c>
      <c r="G5529" s="9" t="str">
        <f>HYPERLINK("http://jsmh.umin.jp/journal/56-2/56-2_248.pdf")</f>
        <v>http://jsmh.umin.jp/journal/56-2/56-2_248.pdf</v>
      </c>
      <c r="H5529" s="43"/>
    </row>
    <row r="5530" spans="1:8" ht="30" customHeight="1" x14ac:dyDescent="0.15">
      <c r="A5530" s="16" t="s">
        <v>1855</v>
      </c>
      <c r="B5530" s="17" t="s">
        <v>9243</v>
      </c>
      <c r="C5530" s="17" t="s">
        <v>10463</v>
      </c>
      <c r="D5530" s="25" t="s">
        <v>9081</v>
      </c>
      <c r="E5530" s="19" t="s">
        <v>9114</v>
      </c>
      <c r="F5530" s="19" t="s">
        <v>1555</v>
      </c>
      <c r="G5530" s="9" t="str">
        <f>HYPERLINK("http://jsmh.umin.jp/journal/56-2/56-2_249.pdf")</f>
        <v>http://jsmh.umin.jp/journal/56-2/56-2_249.pdf</v>
      </c>
      <c r="H5530" s="43"/>
    </row>
    <row r="5531" spans="1:8" ht="30" customHeight="1" x14ac:dyDescent="0.15">
      <c r="A5531" s="16" t="s">
        <v>1855</v>
      </c>
      <c r="B5531" s="17" t="s">
        <v>9244</v>
      </c>
      <c r="C5531" s="17" t="s">
        <v>790</v>
      </c>
      <c r="D5531" s="25" t="s">
        <v>9081</v>
      </c>
      <c r="E5531" s="19" t="s">
        <v>9114</v>
      </c>
      <c r="F5531" s="19" t="s">
        <v>9245</v>
      </c>
      <c r="G5531" s="9" t="str">
        <f>HYPERLINK("http://jsmh.umin.jp/journal/56-2/56-2_250.pdf")</f>
        <v>http://jsmh.umin.jp/journal/56-2/56-2_250.pdf</v>
      </c>
      <c r="H5531" s="43"/>
    </row>
    <row r="5532" spans="1:8" ht="30" customHeight="1" x14ac:dyDescent="0.15">
      <c r="A5532" s="16" t="s">
        <v>1855</v>
      </c>
      <c r="B5532" s="17" t="s">
        <v>9246</v>
      </c>
      <c r="C5532" s="17" t="s">
        <v>9247</v>
      </c>
      <c r="D5532" s="25" t="s">
        <v>9081</v>
      </c>
      <c r="E5532" s="19" t="s">
        <v>9114</v>
      </c>
      <c r="F5532" s="19" t="s">
        <v>9248</v>
      </c>
      <c r="G5532" s="9" t="str">
        <f>HYPERLINK("http://jsmh.umin.jp/journal/56-2/56-2_251.pdf")</f>
        <v>http://jsmh.umin.jp/journal/56-2/56-2_251.pdf</v>
      </c>
      <c r="H5532" s="43"/>
    </row>
    <row r="5533" spans="1:8" ht="30" customHeight="1" x14ac:dyDescent="0.15">
      <c r="A5533" s="16" t="s">
        <v>1855</v>
      </c>
      <c r="B5533" s="17" t="s">
        <v>10464</v>
      </c>
      <c r="C5533" s="17" t="s">
        <v>8406</v>
      </c>
      <c r="D5533" s="25" t="s">
        <v>9081</v>
      </c>
      <c r="E5533" s="19" t="s">
        <v>9114</v>
      </c>
      <c r="F5533" s="19" t="s">
        <v>3318</v>
      </c>
      <c r="G5533" s="9" t="str">
        <f>HYPERLINK("http://jsmh.umin.jp/journal/56-2/56-2_252.pdf")</f>
        <v>http://jsmh.umin.jp/journal/56-2/56-2_252.pdf</v>
      </c>
      <c r="H5533" s="43"/>
    </row>
    <row r="5534" spans="1:8" ht="30" customHeight="1" x14ac:dyDescent="0.15">
      <c r="A5534" s="16" t="s">
        <v>1855</v>
      </c>
      <c r="B5534" s="17" t="s">
        <v>9249</v>
      </c>
      <c r="C5534" s="17" t="s">
        <v>9250</v>
      </c>
      <c r="D5534" s="25" t="s">
        <v>9081</v>
      </c>
      <c r="E5534" s="19" t="s">
        <v>9114</v>
      </c>
      <c r="F5534" s="19" t="s">
        <v>9251</v>
      </c>
      <c r="G5534" s="9" t="str">
        <f>HYPERLINK("http://jsmh.umin.jp/journal/56-2/56-2_253.pdf")</f>
        <v>http://jsmh.umin.jp/journal/56-2/56-2_253.pdf</v>
      </c>
      <c r="H5534" s="43"/>
    </row>
    <row r="5535" spans="1:8" ht="30" customHeight="1" x14ac:dyDescent="0.15">
      <c r="A5535" s="16" t="s">
        <v>1855</v>
      </c>
      <c r="B5535" s="17" t="s">
        <v>10465</v>
      </c>
      <c r="C5535" s="17" t="s">
        <v>10280</v>
      </c>
      <c r="D5535" s="25" t="s">
        <v>9081</v>
      </c>
      <c r="E5535" s="19" t="s">
        <v>9114</v>
      </c>
      <c r="F5535" s="19" t="s">
        <v>3471</v>
      </c>
      <c r="G5535" s="9" t="str">
        <f>HYPERLINK("http://jsmh.umin.jp/journal/56-2/56-2_254.pdf")</f>
        <v>http://jsmh.umin.jp/journal/56-2/56-2_254.pdf</v>
      </c>
      <c r="H5535" s="43"/>
    </row>
    <row r="5536" spans="1:8" ht="30" customHeight="1" x14ac:dyDescent="0.15">
      <c r="A5536" s="16" t="s">
        <v>1855</v>
      </c>
      <c r="B5536" s="17" t="s">
        <v>9252</v>
      </c>
      <c r="C5536" s="17" t="s">
        <v>10466</v>
      </c>
      <c r="D5536" s="25" t="s">
        <v>9081</v>
      </c>
      <c r="E5536" s="19" t="s">
        <v>9114</v>
      </c>
      <c r="F5536" s="19" t="s">
        <v>9253</v>
      </c>
      <c r="G5536" s="9" t="str">
        <f>HYPERLINK("http://jsmh.umin.jp/journal/56-2/56-2_255.pdf")</f>
        <v>http://jsmh.umin.jp/journal/56-2/56-2_255.pdf</v>
      </c>
      <c r="H5536" s="43"/>
    </row>
    <row r="5537" spans="1:8" ht="30" customHeight="1" x14ac:dyDescent="0.15">
      <c r="A5537" s="16" t="s">
        <v>1855</v>
      </c>
      <c r="B5537" s="17" t="s">
        <v>10467</v>
      </c>
      <c r="C5537" s="17" t="s">
        <v>10468</v>
      </c>
      <c r="D5537" s="25" t="s">
        <v>9081</v>
      </c>
      <c r="E5537" s="19" t="s">
        <v>9114</v>
      </c>
      <c r="F5537" s="19" t="s">
        <v>4389</v>
      </c>
      <c r="G5537" s="9" t="str">
        <f>HYPERLINK("http://jsmh.umin.jp/journal/56-2/56-2_256.pdf")</f>
        <v>http://jsmh.umin.jp/journal/56-2/56-2_256.pdf</v>
      </c>
      <c r="H5537" s="43"/>
    </row>
    <row r="5538" spans="1:8" ht="30" customHeight="1" x14ac:dyDescent="0.15">
      <c r="A5538" s="16" t="s">
        <v>1855</v>
      </c>
      <c r="B5538" s="17" t="s">
        <v>9254</v>
      </c>
      <c r="C5538" s="17" t="s">
        <v>10469</v>
      </c>
      <c r="D5538" s="25" t="s">
        <v>9081</v>
      </c>
      <c r="E5538" s="19" t="s">
        <v>9114</v>
      </c>
      <c r="F5538" s="19" t="s">
        <v>9255</v>
      </c>
      <c r="G5538" s="9" t="str">
        <f>HYPERLINK("http://jsmh.umin.jp/journal/56-2/56-2_257.pdf")</f>
        <v>http://jsmh.umin.jp/journal/56-2/56-2_257.pdf</v>
      </c>
      <c r="H5538" s="43"/>
    </row>
    <row r="5539" spans="1:8" ht="30" customHeight="1" x14ac:dyDescent="0.15">
      <c r="A5539" s="16" t="s">
        <v>1855</v>
      </c>
      <c r="B5539" s="17" t="s">
        <v>9256</v>
      </c>
      <c r="C5539" s="17" t="s">
        <v>6565</v>
      </c>
      <c r="D5539" s="25" t="s">
        <v>9081</v>
      </c>
      <c r="E5539" s="19" t="s">
        <v>9114</v>
      </c>
      <c r="F5539" s="19" t="s">
        <v>1013</v>
      </c>
      <c r="G5539" s="9" t="str">
        <f>HYPERLINK("http://jsmh.umin.jp/journal/56-2/56-2_258.pdf")</f>
        <v>http://jsmh.umin.jp/journal/56-2/56-2_258.pdf</v>
      </c>
      <c r="H5539" s="43"/>
    </row>
    <row r="5540" spans="1:8" ht="30" customHeight="1" x14ac:dyDescent="0.15">
      <c r="A5540" s="16" t="s">
        <v>1855</v>
      </c>
      <c r="B5540" s="17" t="s">
        <v>9257</v>
      </c>
      <c r="C5540" s="17" t="s">
        <v>9022</v>
      </c>
      <c r="D5540" s="25" t="s">
        <v>9081</v>
      </c>
      <c r="E5540" s="19" t="s">
        <v>9114</v>
      </c>
      <c r="F5540" s="19" t="s">
        <v>1017</v>
      </c>
      <c r="G5540" s="9" t="str">
        <f>HYPERLINK("http://jsmh.umin.jp/journal/56-2/56-2_259.pdf")</f>
        <v>http://jsmh.umin.jp/journal/56-2/56-2_259.pdf</v>
      </c>
      <c r="H5540" s="43"/>
    </row>
    <row r="5541" spans="1:8" ht="30" customHeight="1" x14ac:dyDescent="0.15">
      <c r="A5541" s="16" t="s">
        <v>1855</v>
      </c>
      <c r="B5541" s="17" t="s">
        <v>10470</v>
      </c>
      <c r="C5541" s="17" t="s">
        <v>9258</v>
      </c>
      <c r="D5541" s="25" t="s">
        <v>9081</v>
      </c>
      <c r="E5541" s="19" t="s">
        <v>9114</v>
      </c>
      <c r="F5541" s="19" t="s">
        <v>4396</v>
      </c>
      <c r="G5541" s="9" t="str">
        <f>HYPERLINK("http://jsmh.umin.jp/journal/56-2/56-2_260.pdf")</f>
        <v>http://jsmh.umin.jp/journal/56-2/56-2_260.pdf</v>
      </c>
      <c r="H5541" s="43"/>
    </row>
    <row r="5542" spans="1:8" ht="30" customHeight="1" x14ac:dyDescent="0.15">
      <c r="A5542" s="16" t="s">
        <v>1855</v>
      </c>
      <c r="B5542" s="17" t="s">
        <v>9259</v>
      </c>
      <c r="C5542" s="17" t="s">
        <v>8813</v>
      </c>
      <c r="D5542" s="25" t="s">
        <v>9081</v>
      </c>
      <c r="E5542" s="19" t="s">
        <v>9114</v>
      </c>
      <c r="F5542" s="19" t="s">
        <v>9260</v>
      </c>
      <c r="G5542" s="9" t="str">
        <f>HYPERLINK("http://jsmh.umin.jp/journal/56-2/56-2_261.pdf")</f>
        <v>http://jsmh.umin.jp/journal/56-2/56-2_261.pdf</v>
      </c>
      <c r="H5542" s="43"/>
    </row>
    <row r="5543" spans="1:8" ht="30" customHeight="1" x14ac:dyDescent="0.15">
      <c r="A5543" s="16" t="s">
        <v>1855</v>
      </c>
      <c r="B5543" s="17" t="s">
        <v>9261</v>
      </c>
      <c r="C5543" s="17" t="s">
        <v>3312</v>
      </c>
      <c r="D5543" s="25" t="s">
        <v>9081</v>
      </c>
      <c r="E5543" s="19" t="s">
        <v>9114</v>
      </c>
      <c r="F5543" s="19" t="s">
        <v>1021</v>
      </c>
      <c r="G5543" s="9" t="str">
        <f>HYPERLINK("http://jsmh.umin.jp/journal/56-2/56-2_262.pdf")</f>
        <v>http://jsmh.umin.jp/journal/56-2/56-2_262.pdf</v>
      </c>
      <c r="H5543" s="43"/>
    </row>
    <row r="5544" spans="1:8" ht="30" customHeight="1" x14ac:dyDescent="0.15">
      <c r="A5544" s="16" t="s">
        <v>558</v>
      </c>
      <c r="B5544" s="17" t="s">
        <v>9262</v>
      </c>
      <c r="C5544" s="17" t="s">
        <v>9263</v>
      </c>
      <c r="D5544" s="25" t="s">
        <v>9081</v>
      </c>
      <c r="E5544" s="19" t="s">
        <v>9114</v>
      </c>
      <c r="F5544" s="19" t="s">
        <v>5702</v>
      </c>
      <c r="G5544" s="9" t="str">
        <f>HYPERLINK("http://jsmh.umin.jp/journal/56-2/56-2_269.pdf")</f>
        <v>http://jsmh.umin.jp/journal/56-2/56-2_269.pdf</v>
      </c>
      <c r="H5544" s="43"/>
    </row>
    <row r="5545" spans="1:8" ht="30" customHeight="1" x14ac:dyDescent="0.15">
      <c r="A5545" s="16" t="s">
        <v>17</v>
      </c>
      <c r="B5545" s="17" t="s">
        <v>10471</v>
      </c>
      <c r="C5545" s="17" t="s">
        <v>9264</v>
      </c>
      <c r="D5545" s="25" t="s">
        <v>9081</v>
      </c>
      <c r="E5545" s="19" t="s">
        <v>9265</v>
      </c>
      <c r="F5545" s="19" t="s">
        <v>9266</v>
      </c>
      <c r="G5545" s="9" t="str">
        <f>HYPERLINK("http://jsmh.umin.jp/journal/56-3/56-3_329.pdf")</f>
        <v>http://jsmh.umin.jp/journal/56-3/56-3_329.pdf</v>
      </c>
      <c r="H5545" s="43"/>
    </row>
    <row r="5546" spans="1:8" ht="30" customHeight="1" x14ac:dyDescent="0.15">
      <c r="A5546" s="16" t="s">
        <v>17</v>
      </c>
      <c r="B5546" s="17" t="s">
        <v>9267</v>
      </c>
      <c r="C5546" s="17" t="s">
        <v>10355</v>
      </c>
      <c r="D5546" s="25" t="s">
        <v>9081</v>
      </c>
      <c r="E5546" s="19" t="s">
        <v>9265</v>
      </c>
      <c r="F5546" s="19" t="s">
        <v>9268</v>
      </c>
      <c r="G5546" s="9" t="str">
        <f>HYPERLINK("http://jsmh.umin.jp/journal/56-3/56-3_351.pdf")</f>
        <v>http://jsmh.umin.jp/journal/56-3/56-3_351.pdf</v>
      </c>
      <c r="H5546" s="43"/>
    </row>
    <row r="5547" spans="1:8" ht="30" customHeight="1" x14ac:dyDescent="0.15">
      <c r="A5547" s="16" t="s">
        <v>17</v>
      </c>
      <c r="B5547" s="17" t="s">
        <v>9269</v>
      </c>
      <c r="C5547" s="17" t="s">
        <v>5080</v>
      </c>
      <c r="D5547" s="25" t="s">
        <v>9081</v>
      </c>
      <c r="E5547" s="19" t="s">
        <v>9265</v>
      </c>
      <c r="F5547" s="19" t="s">
        <v>9270</v>
      </c>
      <c r="G5547" s="9" t="str">
        <f>HYPERLINK("http://jsmh.umin.jp/journal/56-3/56-3_367.pdf")</f>
        <v>http://jsmh.umin.jp/journal/56-3/56-3_367.pdf</v>
      </c>
      <c r="H5547" s="43"/>
    </row>
    <row r="5548" spans="1:8" ht="30" customHeight="1" x14ac:dyDescent="0.15">
      <c r="A5548" s="16" t="s">
        <v>17</v>
      </c>
      <c r="B5548" s="17" t="s">
        <v>9271</v>
      </c>
      <c r="C5548" s="17" t="s">
        <v>9272</v>
      </c>
      <c r="D5548" s="25" t="s">
        <v>9081</v>
      </c>
      <c r="E5548" s="19" t="s">
        <v>9265</v>
      </c>
      <c r="F5548" s="19" t="s">
        <v>9273</v>
      </c>
      <c r="G5548" s="9" t="str">
        <f>HYPERLINK("http://jsmh.umin.jp/journal/56-3/56-3_387.pdf")</f>
        <v>http://jsmh.umin.jp/journal/56-3/56-3_387.pdf</v>
      </c>
      <c r="H5548" s="43"/>
    </row>
    <row r="5549" spans="1:8" ht="30" customHeight="1" x14ac:dyDescent="0.15">
      <c r="A5549" s="16" t="s">
        <v>3387</v>
      </c>
      <c r="B5549" s="17" t="s">
        <v>9274</v>
      </c>
      <c r="C5549" s="17" t="s">
        <v>2926</v>
      </c>
      <c r="D5549" s="25" t="s">
        <v>9081</v>
      </c>
      <c r="E5549" s="19" t="s">
        <v>9265</v>
      </c>
      <c r="F5549" s="19" t="s">
        <v>9275</v>
      </c>
      <c r="G5549" s="9" t="str">
        <f>HYPERLINK("http://jsmh.umin.jp/journal/56-3/56-3_415.pdf")</f>
        <v>http://jsmh.umin.jp/journal/56-3/56-3_415.pdf</v>
      </c>
      <c r="H5549" s="43"/>
    </row>
    <row r="5550" spans="1:8" ht="30" customHeight="1" x14ac:dyDescent="0.15">
      <c r="A5550" s="16" t="s">
        <v>3387</v>
      </c>
      <c r="B5550" s="17" t="s">
        <v>9276</v>
      </c>
      <c r="C5550" s="17" t="s">
        <v>790</v>
      </c>
      <c r="D5550" s="25" t="s">
        <v>9081</v>
      </c>
      <c r="E5550" s="19" t="s">
        <v>9265</v>
      </c>
      <c r="F5550" s="19" t="s">
        <v>9277</v>
      </c>
      <c r="G5550" s="9" t="str">
        <f>HYPERLINK("http://jsmh.umin.jp/journal/56-3/56-3_427.pdf")</f>
        <v>http://jsmh.umin.jp/journal/56-3/56-3_427.pdf</v>
      </c>
      <c r="H5550" s="43"/>
    </row>
    <row r="5551" spans="1:8" ht="30" customHeight="1" x14ac:dyDescent="0.15">
      <c r="A5551" s="16" t="s">
        <v>8453</v>
      </c>
      <c r="B5551" s="17" t="s">
        <v>9278</v>
      </c>
      <c r="C5551" s="17" t="s">
        <v>2948</v>
      </c>
      <c r="D5551" s="25" t="s">
        <v>9081</v>
      </c>
      <c r="E5551" s="19" t="s">
        <v>9265</v>
      </c>
      <c r="F5551" s="19" t="s">
        <v>9279</v>
      </c>
      <c r="G5551" s="9" t="str">
        <f>HYPERLINK("http://jsmh.umin.jp/journal/56-3/56-3_437.pdf")</f>
        <v>http://jsmh.umin.jp/journal/56-3/56-3_437.pdf</v>
      </c>
      <c r="H5551" s="43"/>
    </row>
    <row r="5552" spans="1:8" ht="30" customHeight="1" x14ac:dyDescent="0.15">
      <c r="A5552" s="16" t="s">
        <v>8453</v>
      </c>
      <c r="B5552" s="17" t="s">
        <v>9280</v>
      </c>
      <c r="C5552" s="17" t="s">
        <v>3655</v>
      </c>
      <c r="D5552" s="25" t="s">
        <v>9081</v>
      </c>
      <c r="E5552" s="19" t="s">
        <v>9265</v>
      </c>
      <c r="F5552" s="19" t="s">
        <v>9281</v>
      </c>
      <c r="G5552" s="9" t="str">
        <f>HYPERLINK("http://jsmh.umin.jp/journal/56-3/56-3_441.pdf")</f>
        <v>http://jsmh.umin.jp/journal/56-3/56-3_441.pdf</v>
      </c>
      <c r="H5552" s="43"/>
    </row>
    <row r="5553" spans="1:8" ht="30" customHeight="1" x14ac:dyDescent="0.15">
      <c r="A5553" s="16" t="s">
        <v>8453</v>
      </c>
      <c r="B5553" s="17" t="s">
        <v>9282</v>
      </c>
      <c r="C5553" s="17" t="s">
        <v>2937</v>
      </c>
      <c r="D5553" s="25" t="s">
        <v>9081</v>
      </c>
      <c r="E5553" s="19" t="s">
        <v>9265</v>
      </c>
      <c r="F5553" s="19" t="s">
        <v>9283</v>
      </c>
      <c r="G5553" s="9" t="str">
        <f>HYPERLINK("http://jsmh.umin.jp/journal/56-3/56-3_449.pdf")</f>
        <v>http://jsmh.umin.jp/journal/56-3/56-3_449.pdf</v>
      </c>
      <c r="H5553" s="43"/>
    </row>
    <row r="5554" spans="1:8" ht="30" customHeight="1" x14ac:dyDescent="0.15">
      <c r="A5554" s="16" t="s">
        <v>6088</v>
      </c>
      <c r="B5554" s="17" t="s">
        <v>9284</v>
      </c>
      <c r="C5554" s="17" t="s">
        <v>9094</v>
      </c>
      <c r="D5554" s="25" t="s">
        <v>9081</v>
      </c>
      <c r="E5554" s="19" t="s">
        <v>9265</v>
      </c>
      <c r="F5554" s="19" t="s">
        <v>8653</v>
      </c>
      <c r="G5554" s="9" t="str">
        <f>HYPERLINK("http://jsmh.umin.jp/journal/56-3/56-3_455.pdf")</f>
        <v>http://jsmh.umin.jp/journal/56-3/56-3_455.pdf</v>
      </c>
      <c r="H5554" s="43"/>
    </row>
    <row r="5555" spans="1:8" ht="30" customHeight="1" x14ac:dyDescent="0.15">
      <c r="A5555" s="16" t="s">
        <v>3720</v>
      </c>
      <c r="B5555" s="17" t="s">
        <v>9285</v>
      </c>
      <c r="C5555" s="17" t="s">
        <v>9015</v>
      </c>
      <c r="D5555" s="25" t="s">
        <v>9081</v>
      </c>
      <c r="E5555" s="19" t="s">
        <v>9265</v>
      </c>
      <c r="F5555" s="19" t="s">
        <v>4107</v>
      </c>
      <c r="G5555" s="9" t="str">
        <f>HYPERLINK("http://jsmh.umin.jp/journal/56-3/56-3_456-457.pdf")</f>
        <v>http://jsmh.umin.jp/journal/56-3/56-3_456-457.pdf</v>
      </c>
      <c r="H5555" s="43"/>
    </row>
    <row r="5556" spans="1:8" ht="30" customHeight="1" x14ac:dyDescent="0.15">
      <c r="A5556" s="16" t="s">
        <v>558</v>
      </c>
      <c r="B5556" s="17" t="s">
        <v>537</v>
      </c>
      <c r="C5556" s="17"/>
      <c r="D5556" s="25" t="s">
        <v>9081</v>
      </c>
      <c r="E5556" s="19" t="s">
        <v>9265</v>
      </c>
      <c r="F5556" s="19" t="s">
        <v>9286</v>
      </c>
      <c r="G5556" s="9" t="str">
        <f>HYPERLINK("http://jsmh.umin.jp/journal/56-3/56-3_456.pdf")</f>
        <v>http://jsmh.umin.jp/journal/56-3/56-3_456.pdf</v>
      </c>
      <c r="H5556" s="43"/>
    </row>
    <row r="5557" spans="1:8" ht="30" customHeight="1" x14ac:dyDescent="0.15">
      <c r="A5557" s="16" t="s">
        <v>3720</v>
      </c>
      <c r="B5557" s="17" t="s">
        <v>9287</v>
      </c>
      <c r="C5557" s="17" t="s">
        <v>9288</v>
      </c>
      <c r="D5557" s="25" t="s">
        <v>9081</v>
      </c>
      <c r="E5557" s="19" t="s">
        <v>9265</v>
      </c>
      <c r="F5557" s="19" t="s">
        <v>4940</v>
      </c>
      <c r="G5557" s="27" t="str">
        <f>HYPERLINK("http://jsmh.umin.jp/journal/56-3/56-3_458-459.pdf")</f>
        <v>http://jsmh.umin.jp/journal/56-3/56-3_458-459.pdf</v>
      </c>
      <c r="H5557" s="43"/>
    </row>
    <row r="5558" spans="1:8" ht="30" customHeight="1" x14ac:dyDescent="0.15">
      <c r="A5558" s="16" t="s">
        <v>3720</v>
      </c>
      <c r="B5558" s="17" t="s">
        <v>9289</v>
      </c>
      <c r="C5558" s="17" t="s">
        <v>2937</v>
      </c>
      <c r="D5558" s="25" t="s">
        <v>9081</v>
      </c>
      <c r="E5558" s="19" t="s">
        <v>9265</v>
      </c>
      <c r="F5558" s="19" t="s">
        <v>9290</v>
      </c>
      <c r="G5558" s="27" t="str">
        <f>HYPERLINK("http://jsmh.umin.jp/journal/56-3/56-3_459-461.pdf")</f>
        <v>http://jsmh.umin.jp/journal/56-3/56-3_459-461.pdf</v>
      </c>
      <c r="H5558" s="43"/>
    </row>
    <row r="5559" spans="1:8" ht="30" customHeight="1" x14ac:dyDescent="0.15">
      <c r="A5559" s="16" t="s">
        <v>9104</v>
      </c>
      <c r="B5559" s="17" t="s">
        <v>9291</v>
      </c>
      <c r="C5559" s="17" t="s">
        <v>1292</v>
      </c>
      <c r="D5559" s="25" t="s">
        <v>9081</v>
      </c>
      <c r="E5559" s="19" t="s">
        <v>9265</v>
      </c>
      <c r="F5559" s="19" t="s">
        <v>4947</v>
      </c>
      <c r="G5559" s="27" t="str">
        <f>HYPERLINK("http://jsmh.umin.jp/journal/56-3/56-3_461-462.pdf")</f>
        <v>http://jsmh.umin.jp/journal/56-3/56-3_461-462.pdf</v>
      </c>
      <c r="H5559" s="43"/>
    </row>
    <row r="5560" spans="1:8" ht="30" customHeight="1" x14ac:dyDescent="0.15">
      <c r="A5560" s="16" t="s">
        <v>9104</v>
      </c>
      <c r="B5560" s="17" t="s">
        <v>9292</v>
      </c>
      <c r="C5560" s="17" t="s">
        <v>10214</v>
      </c>
      <c r="D5560" s="25" t="s">
        <v>9081</v>
      </c>
      <c r="E5560" s="19" t="s">
        <v>9265</v>
      </c>
      <c r="F5560" s="19" t="s">
        <v>7308</v>
      </c>
      <c r="G5560" s="27" t="str">
        <f>HYPERLINK("http://jsmh.umin.jp/journal/56-3/56-3_462-463.pdf")</f>
        <v>http://jsmh.umin.jp/journal/56-3/56-3_462-463.pdf</v>
      </c>
      <c r="H5560" s="43"/>
    </row>
    <row r="5561" spans="1:8" ht="30" customHeight="1" x14ac:dyDescent="0.15">
      <c r="A5561" s="16" t="s">
        <v>9104</v>
      </c>
      <c r="B5561" s="17" t="s">
        <v>9293</v>
      </c>
      <c r="C5561" s="17" t="s">
        <v>10214</v>
      </c>
      <c r="D5561" s="25" t="s">
        <v>9081</v>
      </c>
      <c r="E5561" s="19" t="s">
        <v>9265</v>
      </c>
      <c r="F5561" s="19" t="s">
        <v>7310</v>
      </c>
      <c r="G5561" s="27" t="str">
        <f>HYPERLINK("http://jsmh.umin.jp/journal/56-3/56-3_464-465.pdf")</f>
        <v>http://jsmh.umin.jp/journal/56-3/56-3_464-465.pdf</v>
      </c>
      <c r="H5561" s="43"/>
    </row>
    <row r="5562" spans="1:8" ht="30" customHeight="1" x14ac:dyDescent="0.15">
      <c r="A5562" s="16" t="s">
        <v>9104</v>
      </c>
      <c r="B5562" s="17" t="s">
        <v>10472</v>
      </c>
      <c r="C5562" s="17" t="s">
        <v>7322</v>
      </c>
      <c r="D5562" s="25" t="s">
        <v>9081</v>
      </c>
      <c r="E5562" s="19" t="s">
        <v>9265</v>
      </c>
      <c r="F5562" s="19" t="s">
        <v>6949</v>
      </c>
      <c r="G5562" s="27" t="str">
        <f>HYPERLINK("http://jsmh.umin.jp/journal/56-3/56-3_465-466.pdf")</f>
        <v>http://jsmh.umin.jp/journal/56-3/56-3_465-466.pdf</v>
      </c>
      <c r="H5562" s="43"/>
    </row>
    <row r="5563" spans="1:8" ht="30" customHeight="1" x14ac:dyDescent="0.15">
      <c r="A5563" s="16" t="s">
        <v>17</v>
      </c>
      <c r="B5563" s="17" t="s">
        <v>9294</v>
      </c>
      <c r="C5563" s="17" t="s">
        <v>8984</v>
      </c>
      <c r="D5563" s="25" t="s">
        <v>9081</v>
      </c>
      <c r="E5563" s="19" t="s">
        <v>9295</v>
      </c>
      <c r="F5563" s="19" t="s">
        <v>4661</v>
      </c>
      <c r="G5563" s="9" t="str">
        <f>HYPERLINK("http://jsmh.umin.jp/journal/56-4/56-4_473.pdf")</f>
        <v>http://jsmh.umin.jp/journal/56-4/56-4_473.pdf</v>
      </c>
      <c r="H5563" s="43"/>
    </row>
    <row r="5564" spans="1:8" ht="30" customHeight="1" x14ac:dyDescent="0.15">
      <c r="A5564" s="16" t="s">
        <v>17</v>
      </c>
      <c r="B5564" s="17" t="s">
        <v>9296</v>
      </c>
      <c r="C5564" s="17" t="s">
        <v>8707</v>
      </c>
      <c r="D5564" s="25" t="s">
        <v>9081</v>
      </c>
      <c r="E5564" s="19" t="s">
        <v>9295</v>
      </c>
      <c r="F5564" s="19" t="s">
        <v>9297</v>
      </c>
      <c r="G5564" s="9" t="str">
        <f>HYPERLINK("http://jsmh.umin.jp/journal/56-4/56-4_485.pdf")</f>
        <v>http://jsmh.umin.jp/journal/56-4/56-4_485.pdf</v>
      </c>
      <c r="H5564" s="43"/>
    </row>
    <row r="5565" spans="1:8" ht="30" customHeight="1" x14ac:dyDescent="0.15">
      <c r="A5565" s="16" t="s">
        <v>17</v>
      </c>
      <c r="B5565" s="17" t="s">
        <v>9298</v>
      </c>
      <c r="C5565" s="17" t="s">
        <v>8733</v>
      </c>
      <c r="D5565" s="25" t="s">
        <v>9081</v>
      </c>
      <c r="E5565" s="19" t="s">
        <v>9295</v>
      </c>
      <c r="F5565" s="19" t="s">
        <v>9299</v>
      </c>
      <c r="G5565" s="9" t="str">
        <f>HYPERLINK("http://jsmh.umin.jp/journal/56-4/56-4_501.pdf")</f>
        <v>http://jsmh.umin.jp/journal/56-4/56-4_501.pdf</v>
      </c>
      <c r="H5565" s="43"/>
    </row>
    <row r="5566" spans="1:8" ht="30" customHeight="1" x14ac:dyDescent="0.15">
      <c r="A5566" s="16" t="s">
        <v>17</v>
      </c>
      <c r="B5566" s="17" t="s">
        <v>9300</v>
      </c>
      <c r="C5566" s="17" t="s">
        <v>9301</v>
      </c>
      <c r="D5566" s="25" t="s">
        <v>9081</v>
      </c>
      <c r="E5566" s="19" t="s">
        <v>9295</v>
      </c>
      <c r="F5566" s="19" t="s">
        <v>9302</v>
      </c>
      <c r="G5566" s="9" t="str">
        <f>HYPERLINK("http://jsmh.umin.jp/journal/56-4/56-4_513.pdf")</f>
        <v>http://jsmh.umin.jp/journal/56-4/56-4_513.pdf</v>
      </c>
      <c r="H5566" s="43"/>
    </row>
    <row r="5567" spans="1:8" ht="30" customHeight="1" x14ac:dyDescent="0.15">
      <c r="A5567" s="16" t="s">
        <v>3387</v>
      </c>
      <c r="B5567" s="17" t="s">
        <v>9303</v>
      </c>
      <c r="C5567" s="17" t="s">
        <v>8984</v>
      </c>
      <c r="D5567" s="25" t="s">
        <v>9081</v>
      </c>
      <c r="E5567" s="19" t="s">
        <v>9295</v>
      </c>
      <c r="F5567" s="19" t="s">
        <v>9304</v>
      </c>
      <c r="G5567" s="9" t="str">
        <f>HYPERLINK("http://jsmh.umin.jp/journal/56-4/56-4_527.pdf")</f>
        <v>http://jsmh.umin.jp/journal/56-4/56-4_527.pdf</v>
      </c>
      <c r="H5567" s="43"/>
    </row>
    <row r="5568" spans="1:8" ht="30" customHeight="1" x14ac:dyDescent="0.15">
      <c r="A5568" s="16" t="s">
        <v>692</v>
      </c>
      <c r="B5568" s="17" t="s">
        <v>9305</v>
      </c>
      <c r="C5568" s="17" t="s">
        <v>4870</v>
      </c>
      <c r="D5568" s="25" t="s">
        <v>9081</v>
      </c>
      <c r="E5568" s="19" t="s">
        <v>9295</v>
      </c>
      <c r="F5568" s="19" t="s">
        <v>9306</v>
      </c>
      <c r="G5568" s="9" t="str">
        <f>HYPERLINK("http://jsmh.umin.jp/journal/56-4/56-4_539.pdf")</f>
        <v>http://jsmh.umin.jp/journal/56-4/56-4_539.pdf</v>
      </c>
      <c r="H5568" s="43"/>
    </row>
    <row r="5569" spans="1:8" ht="30" customHeight="1" x14ac:dyDescent="0.15">
      <c r="A5569" s="16" t="s">
        <v>3720</v>
      </c>
      <c r="B5569" s="17" t="s">
        <v>9307</v>
      </c>
      <c r="C5569" s="17" t="s">
        <v>5837</v>
      </c>
      <c r="D5569" s="25" t="s">
        <v>9081</v>
      </c>
      <c r="E5569" s="19" t="s">
        <v>9295</v>
      </c>
      <c r="F5569" s="19" t="s">
        <v>9308</v>
      </c>
      <c r="G5569" s="9" t="str">
        <f>HYPERLINK("http://jsmh.umin.jp/journal/56-4/56-4_549-551.pdf")</f>
        <v>http://jsmh.umin.jp/journal/56-4/56-4_549-551.pdf</v>
      </c>
      <c r="H5569" s="43"/>
    </row>
    <row r="5570" spans="1:8" ht="30" customHeight="1" x14ac:dyDescent="0.15">
      <c r="A5570" s="16" t="s">
        <v>558</v>
      </c>
      <c r="B5570" s="17" t="s">
        <v>537</v>
      </c>
      <c r="C5570" s="17"/>
      <c r="D5570" s="25" t="s">
        <v>9081</v>
      </c>
      <c r="E5570" s="19" t="s">
        <v>9295</v>
      </c>
      <c r="F5570" s="19" t="s">
        <v>9309</v>
      </c>
      <c r="G5570" s="9" t="str">
        <f>HYPERLINK("http://jsmh.umin.jp/journal/56-4/56-4_549.pdf")</f>
        <v>http://jsmh.umin.jp/journal/56-4/56-4_549.pdf</v>
      </c>
      <c r="H5570" s="43"/>
    </row>
    <row r="5571" spans="1:8" ht="30" customHeight="1" x14ac:dyDescent="0.15">
      <c r="A5571" s="16" t="s">
        <v>9104</v>
      </c>
      <c r="B5571" s="17" t="s">
        <v>9310</v>
      </c>
      <c r="C5571" s="17" t="s">
        <v>9107</v>
      </c>
      <c r="D5571" s="25" t="s">
        <v>9081</v>
      </c>
      <c r="E5571" s="19" t="s">
        <v>9295</v>
      </c>
      <c r="F5571" s="19" t="s">
        <v>6589</v>
      </c>
      <c r="G5571" s="27" t="str">
        <f>HYPERLINK("http://jsmh.umin.jp/journal/56-4/56-4_551-552.pdf")</f>
        <v>http://jsmh.umin.jp/journal/56-4/56-4_551-552.pdf</v>
      </c>
      <c r="H5571" s="43"/>
    </row>
    <row r="5572" spans="1:8" ht="30" customHeight="1" x14ac:dyDescent="0.15">
      <c r="A5572" s="16" t="s">
        <v>9104</v>
      </c>
      <c r="B5572" s="17" t="s">
        <v>9311</v>
      </c>
      <c r="C5572" s="17" t="s">
        <v>1292</v>
      </c>
      <c r="D5572" s="25" t="s">
        <v>9081</v>
      </c>
      <c r="E5572" s="19" t="s">
        <v>9295</v>
      </c>
      <c r="F5572" s="19" t="s">
        <v>7382</v>
      </c>
      <c r="G5572" s="27" t="str">
        <f>HYPERLINK("http://jsmh.umin.jp/journal/56-4/56-4_552-553.pdf")</f>
        <v>http://jsmh.umin.jp/journal/56-4/56-4_552-553.pdf</v>
      </c>
      <c r="H5572" s="43"/>
    </row>
    <row r="5573" spans="1:8" ht="30" customHeight="1" x14ac:dyDescent="0.15">
      <c r="A5573" s="16" t="s">
        <v>9104</v>
      </c>
      <c r="B5573" s="17" t="s">
        <v>9312</v>
      </c>
      <c r="C5573" s="17" t="s">
        <v>7316</v>
      </c>
      <c r="D5573" s="25" t="s">
        <v>9081</v>
      </c>
      <c r="E5573" s="19" t="s">
        <v>9295</v>
      </c>
      <c r="F5573" s="19" t="s">
        <v>7384</v>
      </c>
      <c r="G5573" s="27" t="str">
        <f>HYPERLINK("http://jsmh.umin.jp/journal/56-4/56-4_554-555.pdf")</f>
        <v>http://jsmh.umin.jp/journal/56-4/56-4_554-555.pdf</v>
      </c>
      <c r="H5573" s="43"/>
    </row>
    <row r="5574" spans="1:8" ht="30" customHeight="1" x14ac:dyDescent="0.15">
      <c r="A5574" s="16" t="s">
        <v>9104</v>
      </c>
      <c r="B5574" s="17" t="s">
        <v>9313</v>
      </c>
      <c r="C5574" s="17" t="s">
        <v>8707</v>
      </c>
      <c r="D5574" s="25" t="s">
        <v>9081</v>
      </c>
      <c r="E5574" s="19" t="s">
        <v>9295</v>
      </c>
      <c r="F5574" s="19" t="s">
        <v>6593</v>
      </c>
      <c r="G5574" s="27" t="str">
        <f>HYPERLINK("http://jsmh.umin.jp/journal/56-4/56-4_555-556.pdf")</f>
        <v>http://jsmh.umin.jp/journal/56-4/56-4_555-556.pdf</v>
      </c>
      <c r="H5574" s="43"/>
    </row>
    <row r="5575" spans="1:8" ht="30" customHeight="1" x14ac:dyDescent="0.15">
      <c r="A5575" s="16" t="s">
        <v>9104</v>
      </c>
      <c r="B5575" s="17" t="s">
        <v>9314</v>
      </c>
      <c r="C5575" s="17" t="s">
        <v>6565</v>
      </c>
      <c r="D5575" s="25" t="s">
        <v>9081</v>
      </c>
      <c r="E5575" s="19" t="s">
        <v>9295</v>
      </c>
      <c r="F5575" s="19" t="s">
        <v>6595</v>
      </c>
      <c r="G5575" s="27" t="str">
        <f>HYPERLINK("http://jsmh.umin.jp/journal/56-4/56-4_556-557.pdf")</f>
        <v>http://jsmh.umin.jp/journal/56-4/56-4_556-557.pdf</v>
      </c>
      <c r="H5575" s="43"/>
    </row>
    <row r="5576" spans="1:8" ht="30" customHeight="1" x14ac:dyDescent="0.15">
      <c r="A5576" s="16" t="s">
        <v>9104</v>
      </c>
      <c r="B5576" s="17" t="s">
        <v>10473</v>
      </c>
      <c r="C5576" s="17" t="s">
        <v>7729</v>
      </c>
      <c r="D5576" s="25" t="s">
        <v>9081</v>
      </c>
      <c r="E5576" s="19" t="s">
        <v>9295</v>
      </c>
      <c r="F5576" s="19" t="s">
        <v>9315</v>
      </c>
      <c r="G5576" s="27" t="str">
        <f>HYPERLINK("http://jsmh.umin.jp/journal/56-4/56-4_557-558.pdf")</f>
        <v>http://jsmh.umin.jp/journal/56-4/56-4_557-558.pdf</v>
      </c>
      <c r="H5576" s="43"/>
    </row>
    <row r="5577" spans="1:8" ht="30" customHeight="1" x14ac:dyDescent="0.15">
      <c r="A5577" s="16" t="s">
        <v>9104</v>
      </c>
      <c r="B5577" s="17" t="s">
        <v>9316</v>
      </c>
      <c r="C5577" s="17" t="s">
        <v>6565</v>
      </c>
      <c r="D5577" s="25" t="s">
        <v>9081</v>
      </c>
      <c r="E5577" s="19" t="s">
        <v>9295</v>
      </c>
      <c r="F5577" s="19" t="s">
        <v>6599</v>
      </c>
      <c r="G5577" s="27" t="str">
        <f>HYPERLINK("http://jsmh.umin.jp/journal/56-4/56-4_559-560.pdf")</f>
        <v>http://jsmh.umin.jp/journal/56-4/56-4_559-560.pdf</v>
      </c>
      <c r="H5577" s="43"/>
    </row>
    <row r="5578" spans="1:8" ht="30" customHeight="1" x14ac:dyDescent="0.15">
      <c r="A5578" s="16" t="s">
        <v>558</v>
      </c>
      <c r="B5578" s="17" t="s">
        <v>9317</v>
      </c>
      <c r="C5578" s="17"/>
      <c r="D5578" s="25" t="s">
        <v>9081</v>
      </c>
      <c r="E5578" s="19" t="s">
        <v>9295</v>
      </c>
      <c r="F5578" s="19" t="s">
        <v>9318</v>
      </c>
      <c r="G5578" s="27" t="str">
        <f>HYPERLINK("http://jsmh.umin.jp/journal/56-4/56-4_kaiho.pdf")</f>
        <v>http://jsmh.umin.jp/journal/56-4/56-4_kaiho.pdf</v>
      </c>
      <c r="H5578" s="43"/>
    </row>
    <row r="5579" spans="1:8" ht="30" customHeight="1" x14ac:dyDescent="0.15">
      <c r="A5579" s="16" t="s">
        <v>17</v>
      </c>
      <c r="B5579" s="17" t="s">
        <v>9319</v>
      </c>
      <c r="C5579" s="17" t="s">
        <v>10355</v>
      </c>
      <c r="D5579" s="18" t="s">
        <v>9320</v>
      </c>
      <c r="E5579" s="19" t="s">
        <v>9321</v>
      </c>
      <c r="F5579" s="19" t="s">
        <v>9322</v>
      </c>
      <c r="G5579" s="9" t="str">
        <f>HYPERLINK("http://jsmh.umin.jp/journal/57-1/57-1_3.pdf")</f>
        <v>http://jsmh.umin.jp/journal/57-1/57-1_3.pdf</v>
      </c>
      <c r="H5579" s="43"/>
    </row>
    <row r="5580" spans="1:8" ht="30" customHeight="1" x14ac:dyDescent="0.15">
      <c r="A5580" s="16" t="s">
        <v>17</v>
      </c>
      <c r="B5580" s="17" t="s">
        <v>9323</v>
      </c>
      <c r="C5580" s="17" t="s">
        <v>6565</v>
      </c>
      <c r="D5580" s="25" t="s">
        <v>9320</v>
      </c>
      <c r="E5580" s="19" t="s">
        <v>9321</v>
      </c>
      <c r="F5580" s="19" t="s">
        <v>9324</v>
      </c>
      <c r="G5580" s="9" t="str">
        <f>HYPERLINK("http://jsmh.umin.jp/journal/57-1/57-1_19.pdf")</f>
        <v>http://jsmh.umin.jp/journal/57-1/57-1_19.pdf</v>
      </c>
      <c r="H5580" s="43"/>
    </row>
    <row r="5581" spans="1:8" ht="30" customHeight="1" x14ac:dyDescent="0.15">
      <c r="A5581" s="16" t="s">
        <v>17</v>
      </c>
      <c r="B5581" s="17" t="s">
        <v>9325</v>
      </c>
      <c r="C5581" s="17" t="s">
        <v>9326</v>
      </c>
      <c r="D5581" s="25" t="s">
        <v>9320</v>
      </c>
      <c r="E5581" s="19" t="s">
        <v>9321</v>
      </c>
      <c r="F5581" s="19" t="s">
        <v>1650</v>
      </c>
      <c r="G5581" s="9" t="str">
        <f>HYPERLINK("http://jsmh.umin.jp/journal/57-1/57-1_39.pdf")</f>
        <v>http://jsmh.umin.jp/journal/57-1/57-1_39.pdf</v>
      </c>
      <c r="H5581" s="43"/>
    </row>
    <row r="5582" spans="1:8" ht="30" customHeight="1" x14ac:dyDescent="0.15">
      <c r="A5582" s="16" t="s">
        <v>17</v>
      </c>
      <c r="B5582" s="17" t="s">
        <v>9327</v>
      </c>
      <c r="C5582" s="17" t="s">
        <v>9328</v>
      </c>
      <c r="D5582" s="25" t="s">
        <v>9320</v>
      </c>
      <c r="E5582" s="19" t="s">
        <v>9321</v>
      </c>
      <c r="F5582" s="19" t="s">
        <v>9329</v>
      </c>
      <c r="G5582" s="9" t="str">
        <f>HYPERLINK("http://jsmh.umin.jp/journal/57-1/57-1_51.pdf")</f>
        <v>http://jsmh.umin.jp/journal/57-1/57-1_51.pdf</v>
      </c>
      <c r="H5582" s="43"/>
    </row>
    <row r="5583" spans="1:8" ht="30" customHeight="1" x14ac:dyDescent="0.15">
      <c r="A5583" s="16" t="s">
        <v>3387</v>
      </c>
      <c r="B5583" s="17" t="s">
        <v>9330</v>
      </c>
      <c r="C5583" s="17" t="s">
        <v>9135</v>
      </c>
      <c r="D5583" s="25" t="s">
        <v>9320</v>
      </c>
      <c r="E5583" s="19" t="s">
        <v>9321</v>
      </c>
      <c r="F5583" s="19" t="s">
        <v>437</v>
      </c>
      <c r="G5583" s="9" t="str">
        <f>HYPERLINK("http://jsmh.umin.jp/journal/57-1/57-1_63.pdf")</f>
        <v>http://jsmh.umin.jp/journal/57-1/57-1_63.pdf</v>
      </c>
      <c r="H5583" s="43"/>
    </row>
    <row r="5584" spans="1:8" ht="30" customHeight="1" x14ac:dyDescent="0.15">
      <c r="A5584" s="16" t="s">
        <v>692</v>
      </c>
      <c r="B5584" s="17" t="s">
        <v>9331</v>
      </c>
      <c r="C5584" s="17" t="s">
        <v>4870</v>
      </c>
      <c r="D5584" s="25" t="s">
        <v>9320</v>
      </c>
      <c r="E5584" s="19" t="s">
        <v>9321</v>
      </c>
      <c r="F5584" s="19" t="s">
        <v>442</v>
      </c>
      <c r="G5584" s="9" t="str">
        <f>HYPERLINK("http://jsmh.umin.jp/journal/57-1/57-1_71.pdf")</f>
        <v>http://jsmh.umin.jp/journal/57-1/57-1_71.pdf</v>
      </c>
      <c r="H5584" s="43"/>
    </row>
    <row r="5585" spans="1:8" ht="30" customHeight="1" x14ac:dyDescent="0.15">
      <c r="A5585" s="16" t="s">
        <v>6088</v>
      </c>
      <c r="B5585" s="17" t="s">
        <v>9332</v>
      </c>
      <c r="C5585" s="17" t="s">
        <v>1994</v>
      </c>
      <c r="D5585" s="25" t="s">
        <v>9320</v>
      </c>
      <c r="E5585" s="19" t="s">
        <v>9321</v>
      </c>
      <c r="F5585" s="19" t="s">
        <v>445</v>
      </c>
      <c r="G5585" s="9" t="str">
        <f>HYPERLINK("http://jsmh.umin.jp/journal/57-1/57-1_81-82.pdf")</f>
        <v>http://jsmh.umin.jp/journal/57-1/57-1_81-82.pdf</v>
      </c>
      <c r="H5585" s="43"/>
    </row>
    <row r="5586" spans="1:8" ht="30" customHeight="1" x14ac:dyDescent="0.15">
      <c r="A5586" s="16"/>
      <c r="B5586" s="17" t="s">
        <v>10604</v>
      </c>
      <c r="C5586" s="17"/>
      <c r="D5586" s="25" t="s">
        <v>9320</v>
      </c>
      <c r="E5586" s="19" t="s">
        <v>9321</v>
      </c>
      <c r="F5586" s="19">
        <v>83</v>
      </c>
      <c r="G5586" s="27" t="str">
        <f>HYPERLINK("http://jsmh.umin.jp/journal/57-1/57-1_83.pdf")</f>
        <v>http://jsmh.umin.jp/journal/57-1/57-1_83.pdf</v>
      </c>
      <c r="H5586" s="43"/>
    </row>
    <row r="5587" spans="1:8" ht="30" customHeight="1" x14ac:dyDescent="0.15">
      <c r="A5587" s="16" t="s">
        <v>3720</v>
      </c>
      <c r="B5587" s="17" t="s">
        <v>9333</v>
      </c>
      <c r="C5587" s="17" t="s">
        <v>9334</v>
      </c>
      <c r="D5587" s="25" t="s">
        <v>9320</v>
      </c>
      <c r="E5587" s="19" t="s">
        <v>9321</v>
      </c>
      <c r="F5587" s="19" t="s">
        <v>851</v>
      </c>
      <c r="G5587" s="9" t="str">
        <f>HYPERLINK("http://jsmh.umin.jp/journal/57-1/57-1_83-84.pdf")</f>
        <v>http://jsmh.umin.jp/journal/57-1/57-1_83-84.pdf</v>
      </c>
      <c r="H5587" s="43"/>
    </row>
    <row r="5588" spans="1:8" ht="30" customHeight="1" x14ac:dyDescent="0.15">
      <c r="A5588" s="16" t="s">
        <v>3720</v>
      </c>
      <c r="B5588" s="17" t="s">
        <v>9335</v>
      </c>
      <c r="C5588" s="17" t="s">
        <v>5080</v>
      </c>
      <c r="D5588" s="25" t="s">
        <v>9320</v>
      </c>
      <c r="E5588" s="19" t="s">
        <v>9321</v>
      </c>
      <c r="F5588" s="19" t="s">
        <v>9336</v>
      </c>
      <c r="G5588" s="9" t="str">
        <f>HYPERLINK("http://jsmh.umin.jp/journal/57-1/57-1_85-86.pdf")</f>
        <v>http://jsmh.umin.jp/journal/57-1/57-1_85-86.pdf</v>
      </c>
      <c r="H5588" s="43"/>
    </row>
    <row r="5589" spans="1:8" ht="30" customHeight="1" x14ac:dyDescent="0.15">
      <c r="A5589" s="16" t="s">
        <v>3720</v>
      </c>
      <c r="B5589" s="17" t="s">
        <v>9337</v>
      </c>
      <c r="C5589" s="17" t="s">
        <v>9338</v>
      </c>
      <c r="D5589" s="25" t="s">
        <v>9320</v>
      </c>
      <c r="E5589" s="19" t="s">
        <v>9321</v>
      </c>
      <c r="F5589" s="19" t="s">
        <v>460</v>
      </c>
      <c r="G5589" s="9" t="str">
        <f>HYPERLINK("http://jsmh.umin.jp/journal/57-1/57-1_86-87.pdf")</f>
        <v>http://jsmh.umin.jp/journal/57-1/57-1_86-87.pdf</v>
      </c>
      <c r="H5589" s="43"/>
    </row>
    <row r="5590" spans="1:8" ht="30" customHeight="1" x14ac:dyDescent="0.15">
      <c r="A5590" s="16" t="s">
        <v>3720</v>
      </c>
      <c r="B5590" s="17" t="s">
        <v>9339</v>
      </c>
      <c r="C5590" s="17" t="s">
        <v>9340</v>
      </c>
      <c r="D5590" s="25" t="s">
        <v>9320</v>
      </c>
      <c r="E5590" s="19" t="s">
        <v>9321</v>
      </c>
      <c r="F5590" s="19" t="s">
        <v>859</v>
      </c>
      <c r="G5590" s="9" t="str">
        <f>HYPERLINK("http://jsmh.umin.jp/journal/57-1/57-1_87-88.pdf")</f>
        <v>http://jsmh.umin.jp/journal/57-1/57-1_87-88.pdf</v>
      </c>
      <c r="H5590" s="43"/>
    </row>
    <row r="5591" spans="1:8" ht="30" customHeight="1" x14ac:dyDescent="0.15">
      <c r="A5591" s="16" t="s">
        <v>3720</v>
      </c>
      <c r="B5591" s="17" t="s">
        <v>9341</v>
      </c>
      <c r="C5591" s="17" t="s">
        <v>9342</v>
      </c>
      <c r="D5591" s="25" t="s">
        <v>9320</v>
      </c>
      <c r="E5591" s="19" t="s">
        <v>9321</v>
      </c>
      <c r="F5591" s="19" t="s">
        <v>4572</v>
      </c>
      <c r="G5591" s="9" t="str">
        <f>HYPERLINK("http://jsmh.umin.jp/journal/57-1/57-1_89-90.pdf")</f>
        <v>http://jsmh.umin.jp/journal/57-1/57-1_89-90.pdf</v>
      </c>
      <c r="H5591" s="43"/>
    </row>
    <row r="5592" spans="1:8" ht="30" customHeight="1" x14ac:dyDescent="0.15">
      <c r="A5592" s="16" t="s">
        <v>3720</v>
      </c>
      <c r="B5592" s="17" t="s">
        <v>9343</v>
      </c>
      <c r="C5592" s="17" t="s">
        <v>7448</v>
      </c>
      <c r="D5592" s="25" t="s">
        <v>9320</v>
      </c>
      <c r="E5592" s="19" t="s">
        <v>9321</v>
      </c>
      <c r="F5592" s="19" t="s">
        <v>471</v>
      </c>
      <c r="G5592" s="9" t="str">
        <f>HYPERLINK("http://jsmh.umin.jp/journal/57-1/57-1_90-91.pdf")</f>
        <v>http://jsmh.umin.jp/journal/57-1/57-1_90-91.pdf</v>
      </c>
      <c r="H5592" s="43"/>
    </row>
    <row r="5593" spans="1:8" ht="30" customHeight="1" x14ac:dyDescent="0.15">
      <c r="A5593" s="16" t="s">
        <v>9104</v>
      </c>
      <c r="B5593" s="17" t="s">
        <v>9344</v>
      </c>
      <c r="C5593" s="17" t="s">
        <v>10454</v>
      </c>
      <c r="D5593" s="25" t="s">
        <v>9320</v>
      </c>
      <c r="E5593" s="19" t="s">
        <v>9321</v>
      </c>
      <c r="F5593" s="19" t="s">
        <v>4574</v>
      </c>
      <c r="G5593" s="9" t="str">
        <f>HYPERLINK("http://jsmh.umin.jp/journal/57-1/57-1_91-93.pdf")</f>
        <v>http://jsmh.umin.jp/journal/57-1/57-1_91-93.pdf</v>
      </c>
      <c r="H5593" s="43"/>
    </row>
    <row r="5594" spans="1:8" ht="30" customHeight="1" x14ac:dyDescent="0.15">
      <c r="A5594" s="16" t="s">
        <v>9104</v>
      </c>
      <c r="B5594" s="17" t="s">
        <v>9345</v>
      </c>
      <c r="C5594" s="17" t="s">
        <v>5471</v>
      </c>
      <c r="D5594" s="25" t="s">
        <v>9320</v>
      </c>
      <c r="E5594" s="19" t="s">
        <v>9321</v>
      </c>
      <c r="F5594" s="19" t="s">
        <v>2190</v>
      </c>
      <c r="G5594" s="9" t="str">
        <f>HYPERLINK("http://jsmh.umin.jp/journal/57-1/57-1_93-94.pdf")</f>
        <v>http://jsmh.umin.jp/journal/57-1/57-1_93-94.pdf</v>
      </c>
      <c r="H5594" s="43"/>
    </row>
    <row r="5595" spans="1:8" ht="30" customHeight="1" x14ac:dyDescent="0.15">
      <c r="A5595" s="16" t="s">
        <v>9104</v>
      </c>
      <c r="B5595" s="17" t="s">
        <v>9346</v>
      </c>
      <c r="C5595" s="17" t="s">
        <v>2937</v>
      </c>
      <c r="D5595" s="25" t="s">
        <v>9320</v>
      </c>
      <c r="E5595" s="19" t="s">
        <v>9321</v>
      </c>
      <c r="F5595" s="19" t="s">
        <v>5011</v>
      </c>
      <c r="G5595" s="9" t="str">
        <f>HYPERLINK("http://jsmh.umin.jp/journal/57-1/57-1_94-95.pdf")</f>
        <v>http://jsmh.umin.jp/journal/57-1/57-1_94-95.pdf</v>
      </c>
      <c r="H5595" s="43"/>
    </row>
    <row r="5596" spans="1:8" ht="30" customHeight="1" x14ac:dyDescent="0.15">
      <c r="A5596" s="16" t="s">
        <v>9104</v>
      </c>
      <c r="B5596" s="17" t="s">
        <v>9347</v>
      </c>
      <c r="C5596" s="17" t="s">
        <v>9348</v>
      </c>
      <c r="D5596" s="25" t="s">
        <v>9320</v>
      </c>
      <c r="E5596" s="19" t="s">
        <v>9321</v>
      </c>
      <c r="F5596" s="19" t="s">
        <v>9349</v>
      </c>
      <c r="G5596" s="9" t="str">
        <f>HYPERLINK("http://jsmh.umin.jp/journal/57-1/57-1_96.pdf")</f>
        <v>http://jsmh.umin.jp/journal/57-1/57-1_96.pdf</v>
      </c>
      <c r="H5596" s="43"/>
    </row>
    <row r="5597" spans="1:8" ht="30" customHeight="1" x14ac:dyDescent="0.15">
      <c r="A5597" s="16" t="s">
        <v>1855</v>
      </c>
      <c r="B5597" s="17" t="s">
        <v>9350</v>
      </c>
      <c r="C5597" s="17" t="s">
        <v>6565</v>
      </c>
      <c r="D5597" s="25" t="s">
        <v>9320</v>
      </c>
      <c r="E5597" s="19" t="s">
        <v>9351</v>
      </c>
      <c r="F5597" s="19" t="s">
        <v>9352</v>
      </c>
      <c r="G5597" s="9" t="str">
        <f>HYPERLINK("http://jsmh.umin.jp/journal/57-2/57-2_109.pdf")</f>
        <v>http://jsmh.umin.jp/journal/57-2/57-2_109.pdf</v>
      </c>
      <c r="H5597" s="43"/>
    </row>
    <row r="5598" spans="1:8" ht="30" customHeight="1" x14ac:dyDescent="0.15">
      <c r="A5598" s="16" t="s">
        <v>1855</v>
      </c>
      <c r="B5598" s="17" t="s">
        <v>9353</v>
      </c>
      <c r="C5598" s="17" t="s">
        <v>9354</v>
      </c>
      <c r="D5598" s="25" t="s">
        <v>9320</v>
      </c>
      <c r="E5598" s="19" t="s">
        <v>9351</v>
      </c>
      <c r="F5598" s="19" t="s">
        <v>9355</v>
      </c>
      <c r="G5598" s="9" t="str">
        <f>HYPERLINK("http://jsmh.umin.jp/journal/57-2/57-2_113.pdf")</f>
        <v>http://jsmh.umin.jp/journal/57-2/57-2_113.pdf</v>
      </c>
      <c r="H5598" s="43"/>
    </row>
    <row r="5599" spans="1:8" ht="30" customHeight="1" x14ac:dyDescent="0.15">
      <c r="A5599" s="16" t="s">
        <v>1855</v>
      </c>
      <c r="B5599" s="17" t="s">
        <v>9356</v>
      </c>
      <c r="C5599" s="17" t="s">
        <v>9357</v>
      </c>
      <c r="D5599" s="25" t="s">
        <v>9320</v>
      </c>
      <c r="E5599" s="19" t="s">
        <v>9351</v>
      </c>
      <c r="F5599" s="19" t="s">
        <v>2404</v>
      </c>
      <c r="G5599" s="9" t="str">
        <f>HYPERLINK("http://jsmh.umin.jp/journal/57-2/57-2_119.pdf")</f>
        <v>http://jsmh.umin.jp/journal/57-2/57-2_119.pdf</v>
      </c>
      <c r="H5599" s="43"/>
    </row>
    <row r="5600" spans="1:8" ht="30" customHeight="1" x14ac:dyDescent="0.15">
      <c r="A5600" s="16" t="s">
        <v>1855</v>
      </c>
      <c r="B5600" s="17" t="s">
        <v>10474</v>
      </c>
      <c r="C5600" s="17" t="s">
        <v>7871</v>
      </c>
      <c r="D5600" s="25" t="s">
        <v>9320</v>
      </c>
      <c r="E5600" s="19" t="s">
        <v>9351</v>
      </c>
      <c r="F5600" s="19" t="s">
        <v>8106</v>
      </c>
      <c r="G5600" s="9" t="str">
        <f>HYPERLINK("http://jsmh.umin.jp/journal/57-2/57-2_120.pdf")</f>
        <v>http://jsmh.umin.jp/journal/57-2/57-2_120.pdf</v>
      </c>
      <c r="H5600" s="43"/>
    </row>
    <row r="5601" spans="1:8" ht="30" customHeight="1" x14ac:dyDescent="0.15">
      <c r="A5601" s="16" t="s">
        <v>1855</v>
      </c>
      <c r="B5601" s="17" t="s">
        <v>9358</v>
      </c>
      <c r="C5601" s="17" t="s">
        <v>9359</v>
      </c>
      <c r="D5601" s="25" t="s">
        <v>9320</v>
      </c>
      <c r="E5601" s="19" t="s">
        <v>9351</v>
      </c>
      <c r="F5601" s="19" t="s">
        <v>4148</v>
      </c>
      <c r="G5601" s="9" t="str">
        <f>HYPERLINK("http://jsmh.umin.jp/journal/57-2/57-2_121.pdf")</f>
        <v>http://jsmh.umin.jp/journal/57-2/57-2_121.pdf</v>
      </c>
      <c r="H5601" s="43"/>
    </row>
    <row r="5602" spans="1:8" ht="30" customHeight="1" x14ac:dyDescent="0.15">
      <c r="A5602" s="16" t="s">
        <v>1855</v>
      </c>
      <c r="B5602" s="17" t="s">
        <v>9360</v>
      </c>
      <c r="C5602" s="17" t="s">
        <v>9361</v>
      </c>
      <c r="D5602" s="25" t="s">
        <v>9320</v>
      </c>
      <c r="E5602" s="19" t="s">
        <v>9351</v>
      </c>
      <c r="F5602" s="19" t="s">
        <v>4151</v>
      </c>
      <c r="G5602" s="9" t="str">
        <f>HYPERLINK("http://jsmh.umin.jp/journal/57-2/57-2_122.pdf")</f>
        <v>http://jsmh.umin.jp/journal/57-2/57-2_122.pdf</v>
      </c>
      <c r="H5602" s="43"/>
    </row>
    <row r="5603" spans="1:8" ht="30" customHeight="1" x14ac:dyDescent="0.15">
      <c r="A5603" s="16" t="s">
        <v>1855</v>
      </c>
      <c r="B5603" s="17" t="s">
        <v>9362</v>
      </c>
      <c r="C5603" s="17" t="s">
        <v>8137</v>
      </c>
      <c r="D5603" s="25" t="s">
        <v>9320</v>
      </c>
      <c r="E5603" s="19" t="s">
        <v>9351</v>
      </c>
      <c r="F5603" s="19" t="s">
        <v>2412</v>
      </c>
      <c r="G5603" s="9" t="str">
        <f>HYPERLINK("http://jsmh.umin.jp/journal/57-2/57-2_123.pdf")</f>
        <v>http://jsmh.umin.jp/journal/57-2/57-2_123.pdf</v>
      </c>
      <c r="H5603" s="43"/>
    </row>
    <row r="5604" spans="1:8" ht="30" customHeight="1" x14ac:dyDescent="0.15">
      <c r="A5604" s="16" t="s">
        <v>1855</v>
      </c>
      <c r="B5604" s="17" t="s">
        <v>9363</v>
      </c>
      <c r="C5604" s="17" t="s">
        <v>8146</v>
      </c>
      <c r="D5604" s="25" t="s">
        <v>9320</v>
      </c>
      <c r="E5604" s="19" t="s">
        <v>9351</v>
      </c>
      <c r="F5604" s="19" t="s">
        <v>3620</v>
      </c>
      <c r="G5604" s="9" t="str">
        <f>HYPERLINK("http://jsmh.umin.jp/journal/57-2/57-2_124.pdf")</f>
        <v>http://jsmh.umin.jp/journal/57-2/57-2_124.pdf</v>
      </c>
      <c r="H5604" s="43"/>
    </row>
    <row r="5605" spans="1:8" ht="30" customHeight="1" x14ac:dyDescent="0.15">
      <c r="A5605" s="16" t="s">
        <v>1855</v>
      </c>
      <c r="B5605" s="17" t="s">
        <v>9364</v>
      </c>
      <c r="C5605" s="17" t="s">
        <v>8406</v>
      </c>
      <c r="D5605" s="25" t="s">
        <v>9320</v>
      </c>
      <c r="E5605" s="19" t="s">
        <v>9351</v>
      </c>
      <c r="F5605" s="19" t="s">
        <v>2207</v>
      </c>
      <c r="G5605" s="9" t="str">
        <f>HYPERLINK("http://jsmh.umin.jp/journal/57-2/57-2_125.pdf")</f>
        <v>http://jsmh.umin.jp/journal/57-2/57-2_125.pdf</v>
      </c>
      <c r="H5605" s="43"/>
    </row>
    <row r="5606" spans="1:8" ht="30" customHeight="1" x14ac:dyDescent="0.15">
      <c r="A5606" s="16" t="s">
        <v>1855</v>
      </c>
      <c r="B5606" s="17" t="s">
        <v>9365</v>
      </c>
      <c r="C5606" s="17" t="s">
        <v>9152</v>
      </c>
      <c r="D5606" s="25" t="s">
        <v>9320</v>
      </c>
      <c r="E5606" s="19" t="s">
        <v>9351</v>
      </c>
      <c r="F5606" s="19" t="s">
        <v>8768</v>
      </c>
      <c r="G5606" s="9" t="str">
        <f>HYPERLINK("http://jsmh.umin.jp/journal/57-2/57-2_126.pdf")</f>
        <v>http://jsmh.umin.jp/journal/57-2/57-2_126.pdf</v>
      </c>
      <c r="H5606" s="43"/>
    </row>
    <row r="5607" spans="1:8" ht="30" customHeight="1" x14ac:dyDescent="0.15">
      <c r="A5607" s="16" t="s">
        <v>1855</v>
      </c>
      <c r="B5607" s="17" t="s">
        <v>10475</v>
      </c>
      <c r="C5607" s="17" t="s">
        <v>9366</v>
      </c>
      <c r="D5607" s="25" t="s">
        <v>9320</v>
      </c>
      <c r="E5607" s="19" t="s">
        <v>9351</v>
      </c>
      <c r="F5607" s="19" t="s">
        <v>8770</v>
      </c>
      <c r="G5607" s="9" t="str">
        <f>HYPERLINK("http://jsmh.umin.jp/journal/57-2/57-2_127.pdf")</f>
        <v>http://jsmh.umin.jp/journal/57-2/57-2_127.pdf</v>
      </c>
      <c r="H5607" s="43"/>
    </row>
    <row r="5608" spans="1:8" ht="30" customHeight="1" x14ac:dyDescent="0.15">
      <c r="A5608" s="16" t="s">
        <v>1855</v>
      </c>
      <c r="B5608" s="17" t="s">
        <v>9367</v>
      </c>
      <c r="C5608" s="17" t="s">
        <v>9182</v>
      </c>
      <c r="D5608" s="25" t="s">
        <v>9320</v>
      </c>
      <c r="E5608" s="19" t="s">
        <v>9351</v>
      </c>
      <c r="F5608" s="19" t="s">
        <v>8772</v>
      </c>
      <c r="G5608" s="9" t="str">
        <f>HYPERLINK("http://jsmh.umin.jp/journal/57-2/57-2_128.pdf")</f>
        <v>http://jsmh.umin.jp/journal/57-2/57-2_128.pdf</v>
      </c>
      <c r="H5608" s="43"/>
    </row>
    <row r="5609" spans="1:8" ht="30" customHeight="1" x14ac:dyDescent="0.15">
      <c r="A5609" s="16" t="s">
        <v>1855</v>
      </c>
      <c r="B5609" s="17" t="s">
        <v>9368</v>
      </c>
      <c r="C5609" s="17" t="s">
        <v>8464</v>
      </c>
      <c r="D5609" s="25" t="s">
        <v>9320</v>
      </c>
      <c r="E5609" s="19" t="s">
        <v>9351</v>
      </c>
      <c r="F5609" s="19" t="s">
        <v>2417</v>
      </c>
      <c r="G5609" s="9" t="str">
        <f>HYPERLINK("http://jsmh.umin.jp/journal/57-2/57-2_129.pdf")</f>
        <v>http://jsmh.umin.jp/journal/57-2/57-2_129.pdf</v>
      </c>
      <c r="H5609" s="43"/>
    </row>
    <row r="5610" spans="1:8" ht="30" customHeight="1" x14ac:dyDescent="0.15">
      <c r="A5610" s="16" t="s">
        <v>1855</v>
      </c>
      <c r="B5610" s="17" t="s">
        <v>9369</v>
      </c>
      <c r="C5610" s="17" t="s">
        <v>7316</v>
      </c>
      <c r="D5610" s="25" t="s">
        <v>9320</v>
      </c>
      <c r="E5610" s="19" t="s">
        <v>9351</v>
      </c>
      <c r="F5610" s="19" t="s">
        <v>58</v>
      </c>
      <c r="G5610" s="9" t="str">
        <f>HYPERLINK("http://jsmh.umin.jp/journal/57-2/57-2_130.pdf")</f>
        <v>http://jsmh.umin.jp/journal/57-2/57-2_130.pdf</v>
      </c>
      <c r="H5610" s="43"/>
    </row>
    <row r="5611" spans="1:8" ht="30" customHeight="1" x14ac:dyDescent="0.15">
      <c r="A5611" s="16" t="s">
        <v>1855</v>
      </c>
      <c r="B5611" s="17" t="s">
        <v>9370</v>
      </c>
      <c r="C5611" s="17" t="s">
        <v>9371</v>
      </c>
      <c r="D5611" s="25" t="s">
        <v>9320</v>
      </c>
      <c r="E5611" s="19" t="s">
        <v>9351</v>
      </c>
      <c r="F5611" s="19" t="s">
        <v>8775</v>
      </c>
      <c r="G5611" s="9" t="str">
        <f>HYPERLINK("http://jsmh.umin.jp/journal/57-2/57-2_131.pdf")</f>
        <v>http://jsmh.umin.jp/journal/57-2/57-2_131.pdf</v>
      </c>
      <c r="H5611" s="43"/>
    </row>
    <row r="5612" spans="1:8" ht="30" customHeight="1" x14ac:dyDescent="0.15">
      <c r="A5612" s="16" t="s">
        <v>1855</v>
      </c>
      <c r="B5612" s="17" t="s">
        <v>9372</v>
      </c>
      <c r="C5612" s="17" t="s">
        <v>8935</v>
      </c>
      <c r="D5612" s="25" t="s">
        <v>9320</v>
      </c>
      <c r="E5612" s="19" t="s">
        <v>9351</v>
      </c>
      <c r="F5612" s="19" t="s">
        <v>221</v>
      </c>
      <c r="G5612" s="9" t="str">
        <f>HYPERLINK("http://jsmh.umin.jp/journal/57-2/57-2_132.pdf")</f>
        <v>http://jsmh.umin.jp/journal/57-2/57-2_132.pdf</v>
      </c>
      <c r="H5612" s="43"/>
    </row>
    <row r="5613" spans="1:8" ht="30" customHeight="1" x14ac:dyDescent="0.15">
      <c r="A5613" s="16" t="s">
        <v>1855</v>
      </c>
      <c r="B5613" s="17" t="s">
        <v>10476</v>
      </c>
      <c r="C5613" s="17" t="s">
        <v>6676</v>
      </c>
      <c r="D5613" s="25" t="s">
        <v>9320</v>
      </c>
      <c r="E5613" s="19" t="s">
        <v>9351</v>
      </c>
      <c r="F5613" s="19" t="s">
        <v>2220</v>
      </c>
      <c r="G5613" s="9" t="str">
        <f>HYPERLINK("http://jsmh.umin.jp/journal/57-2/57-2_133.pdf")</f>
        <v>http://jsmh.umin.jp/journal/57-2/57-2_133.pdf</v>
      </c>
      <c r="H5613" s="43"/>
    </row>
    <row r="5614" spans="1:8" ht="30" customHeight="1" x14ac:dyDescent="0.15">
      <c r="A5614" s="16" t="s">
        <v>1855</v>
      </c>
      <c r="B5614" s="17" t="s">
        <v>9373</v>
      </c>
      <c r="C5614" s="17" t="s">
        <v>9374</v>
      </c>
      <c r="D5614" s="25" t="s">
        <v>9320</v>
      </c>
      <c r="E5614" s="19" t="s">
        <v>9351</v>
      </c>
      <c r="F5614" s="19" t="s">
        <v>1506</v>
      </c>
      <c r="G5614" s="9" t="str">
        <f>HYPERLINK("http://jsmh.umin.jp/journal/57-2/57-2_134.pdf")</f>
        <v>http://jsmh.umin.jp/journal/57-2/57-2_134.pdf</v>
      </c>
      <c r="H5614" s="43"/>
    </row>
    <row r="5615" spans="1:8" ht="30" customHeight="1" x14ac:dyDescent="0.15">
      <c r="A5615" s="16" t="s">
        <v>1855</v>
      </c>
      <c r="B5615" s="17" t="s">
        <v>9375</v>
      </c>
      <c r="C5615" s="17" t="s">
        <v>6903</v>
      </c>
      <c r="D5615" s="25" t="s">
        <v>9320</v>
      </c>
      <c r="E5615" s="19" t="s">
        <v>9351</v>
      </c>
      <c r="F5615" s="19" t="s">
        <v>8780</v>
      </c>
      <c r="G5615" s="9" t="str">
        <f>HYPERLINK("http://jsmh.umin.jp/journal/57-2/57-2_135.pdf")</f>
        <v>http://jsmh.umin.jp/journal/57-2/57-2_135.pdf</v>
      </c>
      <c r="H5615" s="43"/>
    </row>
    <row r="5616" spans="1:8" ht="30" customHeight="1" x14ac:dyDescent="0.15">
      <c r="A5616" s="16" t="s">
        <v>1855</v>
      </c>
      <c r="B5616" s="17" t="s">
        <v>9376</v>
      </c>
      <c r="C5616" s="17" t="s">
        <v>6078</v>
      </c>
      <c r="D5616" s="25" t="s">
        <v>9320</v>
      </c>
      <c r="E5616" s="19" t="s">
        <v>9351</v>
      </c>
      <c r="F5616" s="19" t="s">
        <v>1347</v>
      </c>
      <c r="G5616" s="9" t="str">
        <f>HYPERLINK("http://jsmh.umin.jp/journal/57-2/57-2_136.pdf")</f>
        <v>http://jsmh.umin.jp/journal/57-2/57-2_136.pdf</v>
      </c>
      <c r="H5616" s="43"/>
    </row>
    <row r="5617" spans="1:8" ht="30" customHeight="1" x14ac:dyDescent="0.15">
      <c r="A5617" s="16" t="s">
        <v>1855</v>
      </c>
      <c r="B5617" s="17" t="s">
        <v>9377</v>
      </c>
      <c r="C5617" s="17" t="s">
        <v>2937</v>
      </c>
      <c r="D5617" s="25" t="s">
        <v>9320</v>
      </c>
      <c r="E5617" s="19" t="s">
        <v>9351</v>
      </c>
      <c r="F5617" s="19" t="s">
        <v>1351</v>
      </c>
      <c r="G5617" s="9" t="str">
        <f>HYPERLINK("http://jsmh.umin.jp/journal/57-2/57-2_137.pdf")</f>
        <v>http://jsmh.umin.jp/journal/57-2/57-2_137.pdf</v>
      </c>
      <c r="H5617" s="43"/>
    </row>
    <row r="5618" spans="1:8" ht="30" customHeight="1" x14ac:dyDescent="0.15">
      <c r="A5618" s="16" t="s">
        <v>1855</v>
      </c>
      <c r="B5618" s="17" t="s">
        <v>9378</v>
      </c>
      <c r="C5618" s="17" t="s">
        <v>9176</v>
      </c>
      <c r="D5618" s="25" t="s">
        <v>9320</v>
      </c>
      <c r="E5618" s="19" t="s">
        <v>9351</v>
      </c>
      <c r="F5618" s="19" t="s">
        <v>1353</v>
      </c>
      <c r="G5618" s="9" t="str">
        <f>HYPERLINK("http://jsmh.umin.jp/journal/57-2/57-2_138.pdf")</f>
        <v>http://jsmh.umin.jp/journal/57-2/57-2_138.pdf</v>
      </c>
      <c r="H5618" s="43"/>
    </row>
    <row r="5619" spans="1:8" ht="30" customHeight="1" x14ac:dyDescent="0.15">
      <c r="A5619" s="16" t="s">
        <v>1855</v>
      </c>
      <c r="B5619" s="17" t="s">
        <v>9379</v>
      </c>
      <c r="C5619" s="17" t="s">
        <v>7320</v>
      </c>
      <c r="D5619" s="25" t="s">
        <v>9320</v>
      </c>
      <c r="E5619" s="19" t="s">
        <v>9351</v>
      </c>
      <c r="F5619" s="19" t="s">
        <v>1358</v>
      </c>
      <c r="G5619" s="9" t="str">
        <f>HYPERLINK("http://jsmh.umin.jp/journal/57-2/57-2_139.pdf")</f>
        <v>http://jsmh.umin.jp/journal/57-2/57-2_139.pdf</v>
      </c>
      <c r="H5619" s="43"/>
    </row>
    <row r="5620" spans="1:8" ht="30" customHeight="1" x14ac:dyDescent="0.15">
      <c r="A5620" s="16" t="s">
        <v>1855</v>
      </c>
      <c r="B5620" s="17" t="s">
        <v>9380</v>
      </c>
      <c r="C5620" s="17" t="s">
        <v>9381</v>
      </c>
      <c r="D5620" s="25" t="s">
        <v>9320</v>
      </c>
      <c r="E5620" s="19" t="s">
        <v>9351</v>
      </c>
      <c r="F5620" s="19" t="s">
        <v>1361</v>
      </c>
      <c r="G5620" s="9" t="str">
        <f>HYPERLINK("http://jsmh.umin.jp/journal/57-2/57-2_140.pdf")</f>
        <v>http://jsmh.umin.jp/journal/57-2/57-2_140.pdf</v>
      </c>
      <c r="H5620" s="43"/>
    </row>
    <row r="5621" spans="1:8" ht="30" customHeight="1" x14ac:dyDescent="0.15">
      <c r="A5621" s="16" t="s">
        <v>1855</v>
      </c>
      <c r="B5621" s="17" t="s">
        <v>9382</v>
      </c>
      <c r="C5621" s="17" t="s">
        <v>9383</v>
      </c>
      <c r="D5621" s="25" t="s">
        <v>9320</v>
      </c>
      <c r="E5621" s="19" t="s">
        <v>9351</v>
      </c>
      <c r="F5621" s="19" t="s">
        <v>1363</v>
      </c>
      <c r="G5621" s="9" t="str">
        <f>HYPERLINK("http://jsmh.umin.jp/journal/57-2/57-2_141.pdf")</f>
        <v>http://jsmh.umin.jp/journal/57-2/57-2_141.pdf</v>
      </c>
      <c r="H5621" s="43"/>
    </row>
    <row r="5622" spans="1:8" ht="30" customHeight="1" x14ac:dyDescent="0.15">
      <c r="A5622" s="16" t="s">
        <v>1855</v>
      </c>
      <c r="B5622" s="17" t="s">
        <v>9384</v>
      </c>
      <c r="C5622" s="17" t="s">
        <v>9385</v>
      </c>
      <c r="D5622" s="25" t="s">
        <v>9320</v>
      </c>
      <c r="E5622" s="19" t="s">
        <v>9351</v>
      </c>
      <c r="F5622" s="19" t="s">
        <v>1367</v>
      </c>
      <c r="G5622" s="9" t="str">
        <f>HYPERLINK("http://jsmh.umin.jp/journal/57-2/57-2_142.pdf")</f>
        <v>http://jsmh.umin.jp/journal/57-2/57-2_142.pdf</v>
      </c>
      <c r="H5622" s="43"/>
    </row>
    <row r="5623" spans="1:8" ht="30" customHeight="1" x14ac:dyDescent="0.15">
      <c r="A5623" s="16" t="s">
        <v>1855</v>
      </c>
      <c r="B5623" s="17" t="s">
        <v>9386</v>
      </c>
      <c r="C5623" s="17" t="s">
        <v>8947</v>
      </c>
      <c r="D5623" s="25" t="s">
        <v>9320</v>
      </c>
      <c r="E5623" s="19" t="s">
        <v>9351</v>
      </c>
      <c r="F5623" s="19" t="s">
        <v>1369</v>
      </c>
      <c r="G5623" s="9" t="str">
        <f>HYPERLINK("http://jsmh.umin.jp/journal/57-2/57-2_143.pdf")</f>
        <v>http://jsmh.umin.jp/journal/57-2/57-2_143.pdf</v>
      </c>
      <c r="H5623" s="43"/>
    </row>
    <row r="5624" spans="1:8" ht="30" customHeight="1" x14ac:dyDescent="0.15">
      <c r="A5624" s="16" t="s">
        <v>1855</v>
      </c>
      <c r="B5624" s="17" t="s">
        <v>9387</v>
      </c>
      <c r="C5624" s="17" t="s">
        <v>9388</v>
      </c>
      <c r="D5624" s="25" t="s">
        <v>9320</v>
      </c>
      <c r="E5624" s="19" t="s">
        <v>9351</v>
      </c>
      <c r="F5624" s="19" t="s">
        <v>8788</v>
      </c>
      <c r="G5624" s="9" t="str">
        <f>HYPERLINK("http://jsmh.umin.jp/journal/57-2/57-2_144.pdf")</f>
        <v>http://jsmh.umin.jp/journal/57-2/57-2_144.pdf</v>
      </c>
      <c r="H5624" s="43"/>
    </row>
    <row r="5625" spans="1:8" ht="30" customHeight="1" x14ac:dyDescent="0.15">
      <c r="A5625" s="16" t="s">
        <v>1855</v>
      </c>
      <c r="B5625" s="17" t="s">
        <v>9389</v>
      </c>
      <c r="C5625" s="17" t="s">
        <v>9390</v>
      </c>
      <c r="D5625" s="25" t="s">
        <v>9320</v>
      </c>
      <c r="E5625" s="19" t="s">
        <v>9351</v>
      </c>
      <c r="F5625" s="19" t="s">
        <v>1520</v>
      </c>
      <c r="G5625" s="9" t="str">
        <f>HYPERLINK("http://jsmh.umin.jp/journal/57-2/57-2_145.pdf")</f>
        <v>http://jsmh.umin.jp/journal/57-2/57-2_145.pdf</v>
      </c>
      <c r="H5625" s="43"/>
    </row>
    <row r="5626" spans="1:8" ht="30" customHeight="1" x14ac:dyDescent="0.15">
      <c r="A5626" s="16" t="s">
        <v>1855</v>
      </c>
      <c r="B5626" s="17" t="s">
        <v>9391</v>
      </c>
      <c r="C5626" s="17" t="s">
        <v>9392</v>
      </c>
      <c r="D5626" s="25" t="s">
        <v>9320</v>
      </c>
      <c r="E5626" s="19" t="s">
        <v>9351</v>
      </c>
      <c r="F5626" s="19" t="s">
        <v>1524</v>
      </c>
      <c r="G5626" s="9" t="str">
        <f>HYPERLINK("http://jsmh.umin.jp/journal/57-2/57-2_146.pdf")</f>
        <v>http://jsmh.umin.jp/journal/57-2/57-2_146.pdf</v>
      </c>
      <c r="H5626" s="43"/>
    </row>
    <row r="5627" spans="1:8" ht="30" customHeight="1" x14ac:dyDescent="0.15">
      <c r="A5627" s="16" t="s">
        <v>1855</v>
      </c>
      <c r="B5627" s="17" t="s">
        <v>9393</v>
      </c>
      <c r="C5627" s="17" t="s">
        <v>9394</v>
      </c>
      <c r="D5627" s="25" t="s">
        <v>9320</v>
      </c>
      <c r="E5627" s="19" t="s">
        <v>9351</v>
      </c>
      <c r="F5627" s="19" t="s">
        <v>1526</v>
      </c>
      <c r="G5627" s="9" t="str">
        <f>HYPERLINK("http://jsmh.umin.jp/journal/57-2/57-2_147.pdf")</f>
        <v>http://jsmh.umin.jp/journal/57-2/57-2_147.pdf</v>
      </c>
      <c r="H5627" s="43"/>
    </row>
    <row r="5628" spans="1:8" ht="30" customHeight="1" x14ac:dyDescent="0.15">
      <c r="A5628" s="16" t="s">
        <v>1855</v>
      </c>
      <c r="B5628" s="17" t="s">
        <v>9395</v>
      </c>
      <c r="C5628" s="17" t="s">
        <v>4039</v>
      </c>
      <c r="D5628" s="25" t="s">
        <v>9320</v>
      </c>
      <c r="E5628" s="19" t="s">
        <v>9351</v>
      </c>
      <c r="F5628" s="19" t="s">
        <v>1686</v>
      </c>
      <c r="G5628" s="9" t="str">
        <f>HYPERLINK("http://jsmh.umin.jp/journal/57-2/57-2_148.pdf")</f>
        <v>http://jsmh.umin.jp/journal/57-2/57-2_148.pdf</v>
      </c>
      <c r="H5628" s="43"/>
    </row>
    <row r="5629" spans="1:8" ht="30" customHeight="1" x14ac:dyDescent="0.15">
      <c r="A5629" s="16" t="s">
        <v>1855</v>
      </c>
      <c r="B5629" s="17" t="s">
        <v>9396</v>
      </c>
      <c r="C5629" s="17" t="s">
        <v>9397</v>
      </c>
      <c r="D5629" s="25" t="s">
        <v>9320</v>
      </c>
      <c r="E5629" s="19" t="s">
        <v>9351</v>
      </c>
      <c r="F5629" s="19" t="s">
        <v>6645</v>
      </c>
      <c r="G5629" s="9" t="str">
        <f>HYPERLINK("http://jsmh.umin.jp/journal/57-2/57-2_149.pdf")</f>
        <v>http://jsmh.umin.jp/journal/57-2/57-2_149.pdf</v>
      </c>
      <c r="H5629" s="43"/>
    </row>
    <row r="5630" spans="1:8" ht="30" customHeight="1" x14ac:dyDescent="0.15">
      <c r="A5630" s="16" t="s">
        <v>1855</v>
      </c>
      <c r="B5630" s="17" t="s">
        <v>9398</v>
      </c>
      <c r="C5630" s="17" t="s">
        <v>9207</v>
      </c>
      <c r="D5630" s="25" t="s">
        <v>9320</v>
      </c>
      <c r="E5630" s="19" t="s">
        <v>9351</v>
      </c>
      <c r="F5630" s="19" t="s">
        <v>2244</v>
      </c>
      <c r="G5630" s="9" t="str">
        <f>HYPERLINK("http://jsmh.umin.jp/journal/57-2/57-2_150.pdf")</f>
        <v>http://jsmh.umin.jp/journal/57-2/57-2_150.pdf</v>
      </c>
      <c r="H5630" s="43"/>
    </row>
    <row r="5631" spans="1:8" ht="30" customHeight="1" x14ac:dyDescent="0.15">
      <c r="A5631" s="16" t="s">
        <v>1855</v>
      </c>
      <c r="B5631" s="17" t="s">
        <v>9399</v>
      </c>
      <c r="C5631" s="17" t="s">
        <v>9301</v>
      </c>
      <c r="D5631" s="25" t="s">
        <v>9320</v>
      </c>
      <c r="E5631" s="19" t="s">
        <v>9351</v>
      </c>
      <c r="F5631" s="19" t="s">
        <v>2245</v>
      </c>
      <c r="G5631" s="9" t="str">
        <f>HYPERLINK("http://jsmh.umin.jp/journal/57-2/57-2_151.pdf")</f>
        <v>http://jsmh.umin.jp/journal/57-2/57-2_151.pdf</v>
      </c>
      <c r="H5631" s="43"/>
    </row>
    <row r="5632" spans="1:8" ht="30" customHeight="1" x14ac:dyDescent="0.15">
      <c r="A5632" s="16" t="s">
        <v>1855</v>
      </c>
      <c r="B5632" s="17" t="s">
        <v>9400</v>
      </c>
      <c r="C5632" s="17" t="s">
        <v>7180</v>
      </c>
      <c r="D5632" s="25" t="s">
        <v>9320</v>
      </c>
      <c r="E5632" s="19" t="s">
        <v>9351</v>
      </c>
      <c r="F5632" s="19" t="s">
        <v>61</v>
      </c>
      <c r="G5632" s="9" t="str">
        <f>HYPERLINK("http://jsmh.umin.jp/journal/57-2/57-2_152.pdf")</f>
        <v>http://jsmh.umin.jp/journal/57-2/57-2_152.pdf</v>
      </c>
      <c r="H5632" s="43"/>
    </row>
    <row r="5633" spans="1:8" ht="30" customHeight="1" x14ac:dyDescent="0.15">
      <c r="A5633" s="16" t="s">
        <v>1855</v>
      </c>
      <c r="B5633" s="17" t="s">
        <v>9401</v>
      </c>
      <c r="C5633" s="17" t="s">
        <v>7377</v>
      </c>
      <c r="D5633" s="25" t="s">
        <v>9320</v>
      </c>
      <c r="E5633" s="19" t="s">
        <v>9351</v>
      </c>
      <c r="F5633" s="19" t="s">
        <v>2248</v>
      </c>
      <c r="G5633" s="9" t="str">
        <f>HYPERLINK("http://jsmh.umin.jp/journal/57-2/57-2_153.pdf")</f>
        <v>http://jsmh.umin.jp/journal/57-2/57-2_153.pdf</v>
      </c>
      <c r="H5633" s="43"/>
    </row>
    <row r="5634" spans="1:8" ht="30" customHeight="1" x14ac:dyDescent="0.15">
      <c r="A5634" s="16" t="s">
        <v>1855</v>
      </c>
      <c r="B5634" s="17" t="s">
        <v>9402</v>
      </c>
      <c r="C5634" s="17" t="s">
        <v>9403</v>
      </c>
      <c r="D5634" s="25" t="s">
        <v>9320</v>
      </c>
      <c r="E5634" s="19" t="s">
        <v>9351</v>
      </c>
      <c r="F5634" s="19" t="s">
        <v>2250</v>
      </c>
      <c r="G5634" s="9" t="str">
        <f>HYPERLINK("http://jsmh.umin.jp/journal/57-2/57-2_154.pdf")</f>
        <v>http://jsmh.umin.jp/journal/57-2/57-2_154.pdf</v>
      </c>
      <c r="H5634" s="43"/>
    </row>
    <row r="5635" spans="1:8" ht="30" customHeight="1" x14ac:dyDescent="0.15">
      <c r="A5635" s="16" t="s">
        <v>1855</v>
      </c>
      <c r="B5635" s="17" t="s">
        <v>9404</v>
      </c>
      <c r="C5635" s="17" t="s">
        <v>6300</v>
      </c>
      <c r="D5635" s="25" t="s">
        <v>9320</v>
      </c>
      <c r="E5635" s="19" t="s">
        <v>9351</v>
      </c>
      <c r="F5635" s="19" t="s">
        <v>8804</v>
      </c>
      <c r="G5635" s="9" t="str">
        <f>HYPERLINK("http://jsmh.umin.jp/journal/57-2/57-2_155.pdf")</f>
        <v>http://jsmh.umin.jp/journal/57-2/57-2_155.pdf</v>
      </c>
      <c r="H5635" s="43"/>
    </row>
    <row r="5636" spans="1:8" ht="30" customHeight="1" x14ac:dyDescent="0.15">
      <c r="A5636" s="16" t="s">
        <v>1855</v>
      </c>
      <c r="B5636" s="17" t="s">
        <v>9405</v>
      </c>
      <c r="C5636" s="17" t="s">
        <v>7248</v>
      </c>
      <c r="D5636" s="25" t="s">
        <v>9320</v>
      </c>
      <c r="E5636" s="19" t="s">
        <v>9351</v>
      </c>
      <c r="F5636" s="19" t="s">
        <v>1692</v>
      </c>
      <c r="G5636" s="9" t="str">
        <f>HYPERLINK("http://jsmh.umin.jp/journal/57-2/57-2_156.pdf")</f>
        <v>http://jsmh.umin.jp/journal/57-2/57-2_156.pdf</v>
      </c>
      <c r="H5636" s="43"/>
    </row>
    <row r="5637" spans="1:8" ht="30" customHeight="1" x14ac:dyDescent="0.15">
      <c r="A5637" s="16" t="s">
        <v>1855</v>
      </c>
      <c r="B5637" s="17" t="s">
        <v>10477</v>
      </c>
      <c r="C5637" s="17" t="s">
        <v>9406</v>
      </c>
      <c r="D5637" s="25" t="s">
        <v>9320</v>
      </c>
      <c r="E5637" s="19" t="s">
        <v>9351</v>
      </c>
      <c r="F5637" s="19" t="s">
        <v>1696</v>
      </c>
      <c r="G5637" s="9" t="str">
        <f>HYPERLINK("http://jsmh.umin.jp/journal/57-2/57-2_157.pdf")</f>
        <v>http://jsmh.umin.jp/journal/57-2/57-2_157.pdf</v>
      </c>
      <c r="H5637" s="43"/>
    </row>
    <row r="5638" spans="1:8" ht="30" customHeight="1" x14ac:dyDescent="0.15">
      <c r="A5638" s="16" t="s">
        <v>1855</v>
      </c>
      <c r="B5638" s="17" t="s">
        <v>9407</v>
      </c>
      <c r="C5638" s="17" t="s">
        <v>9408</v>
      </c>
      <c r="D5638" s="25" t="s">
        <v>9320</v>
      </c>
      <c r="E5638" s="19" t="s">
        <v>9351</v>
      </c>
      <c r="F5638" s="19" t="s">
        <v>8808</v>
      </c>
      <c r="G5638" s="9" t="str">
        <f>HYPERLINK("http://jsmh.umin.jp/journal/57-2/57-2_158.pdf")</f>
        <v>http://jsmh.umin.jp/journal/57-2/57-2_158.pdf</v>
      </c>
      <c r="H5638" s="43"/>
    </row>
    <row r="5639" spans="1:8" ht="30" customHeight="1" x14ac:dyDescent="0.15">
      <c r="A5639" s="16" t="s">
        <v>1855</v>
      </c>
      <c r="B5639" s="17" t="s">
        <v>9409</v>
      </c>
      <c r="C5639" s="17" t="s">
        <v>9334</v>
      </c>
      <c r="D5639" s="25" t="s">
        <v>9320</v>
      </c>
      <c r="E5639" s="19" t="s">
        <v>9351</v>
      </c>
      <c r="F5639" s="19" t="s">
        <v>2259</v>
      </c>
      <c r="G5639" s="9" t="str">
        <f>HYPERLINK("http://jsmh.umin.jp/journal/57-2/57-2_159.pdf")</f>
        <v>http://jsmh.umin.jp/journal/57-2/57-2_159.pdf</v>
      </c>
      <c r="H5639" s="43"/>
    </row>
    <row r="5640" spans="1:8" ht="30" customHeight="1" x14ac:dyDescent="0.15">
      <c r="A5640" s="16" t="s">
        <v>1855</v>
      </c>
      <c r="B5640" s="17" t="s">
        <v>10478</v>
      </c>
      <c r="C5640" s="17" t="s">
        <v>8678</v>
      </c>
      <c r="D5640" s="25" t="s">
        <v>9320</v>
      </c>
      <c r="E5640" s="19" t="s">
        <v>9351</v>
      </c>
      <c r="F5640" s="19" t="s">
        <v>4816</v>
      </c>
      <c r="G5640" s="9" t="str">
        <f>HYPERLINK("http://jsmh.umin.jp/journal/57-2/57-2_160.pdf")</f>
        <v>http://jsmh.umin.jp/journal/57-2/57-2_160.pdf</v>
      </c>
      <c r="H5640" s="43"/>
    </row>
    <row r="5641" spans="1:8" ht="30" customHeight="1" x14ac:dyDescent="0.15">
      <c r="A5641" s="16" t="s">
        <v>1855</v>
      </c>
      <c r="B5641" s="17" t="s">
        <v>9410</v>
      </c>
      <c r="C5641" s="17" t="s">
        <v>9218</v>
      </c>
      <c r="D5641" s="25" t="s">
        <v>9320</v>
      </c>
      <c r="E5641" s="19" t="s">
        <v>9351</v>
      </c>
      <c r="F5641" s="19" t="s">
        <v>228</v>
      </c>
      <c r="G5641" s="9" t="str">
        <f>HYPERLINK("http://jsmh.umin.jp/journal/57-2/57-2_161.pdf")</f>
        <v>http://jsmh.umin.jp/journal/57-2/57-2_161.pdf</v>
      </c>
      <c r="H5641" s="43"/>
    </row>
    <row r="5642" spans="1:8" ht="30" customHeight="1" x14ac:dyDescent="0.15">
      <c r="A5642" s="16" t="s">
        <v>1855</v>
      </c>
      <c r="B5642" s="17" t="s">
        <v>9411</v>
      </c>
      <c r="C5642" s="17" t="s">
        <v>7965</v>
      </c>
      <c r="D5642" s="25" t="s">
        <v>9320</v>
      </c>
      <c r="E5642" s="19" t="s">
        <v>9351</v>
      </c>
      <c r="F5642" s="19" t="s">
        <v>8816</v>
      </c>
      <c r="G5642" s="9" t="str">
        <f>HYPERLINK("http://jsmh.umin.jp/journal/57-2/57-2_162.pdf")</f>
        <v>http://jsmh.umin.jp/journal/57-2/57-2_162.pdf</v>
      </c>
      <c r="H5642" s="43"/>
    </row>
    <row r="5643" spans="1:8" ht="30" customHeight="1" x14ac:dyDescent="0.15">
      <c r="A5643" s="16" t="s">
        <v>1855</v>
      </c>
      <c r="B5643" s="17" t="s">
        <v>9412</v>
      </c>
      <c r="C5643" s="17" t="s">
        <v>9195</v>
      </c>
      <c r="D5643" s="25" t="s">
        <v>9320</v>
      </c>
      <c r="E5643" s="19" t="s">
        <v>9351</v>
      </c>
      <c r="F5643" s="19" t="s">
        <v>3260</v>
      </c>
      <c r="G5643" s="9" t="str">
        <f>HYPERLINK("http://jsmh.umin.jp/journal/57-2/57-2_163.pdf")</f>
        <v>http://jsmh.umin.jp/journal/57-2/57-2_163.pdf</v>
      </c>
      <c r="H5643" s="43"/>
    </row>
    <row r="5644" spans="1:8" ht="30" customHeight="1" x14ac:dyDescent="0.15">
      <c r="A5644" s="16" t="s">
        <v>1855</v>
      </c>
      <c r="B5644" s="17" t="s">
        <v>9413</v>
      </c>
      <c r="C5644" s="17" t="s">
        <v>9132</v>
      </c>
      <c r="D5644" s="25" t="s">
        <v>9320</v>
      </c>
      <c r="E5644" s="19" t="s">
        <v>9351</v>
      </c>
      <c r="F5644" s="19" t="s">
        <v>68</v>
      </c>
      <c r="G5644" s="9" t="str">
        <f>HYPERLINK("http://jsmh.umin.jp/journal/57-2/57-2_164.pdf")</f>
        <v>http://jsmh.umin.jp/journal/57-2/57-2_164.pdf</v>
      </c>
      <c r="H5644" s="43"/>
    </row>
    <row r="5645" spans="1:8" ht="30" customHeight="1" x14ac:dyDescent="0.15">
      <c r="A5645" s="16" t="s">
        <v>1855</v>
      </c>
      <c r="B5645" s="17" t="s">
        <v>9414</v>
      </c>
      <c r="C5645" s="17" t="s">
        <v>5516</v>
      </c>
      <c r="D5645" s="25" t="s">
        <v>9320</v>
      </c>
      <c r="E5645" s="19" t="s">
        <v>9351</v>
      </c>
      <c r="F5645" s="19" t="s">
        <v>8939</v>
      </c>
      <c r="G5645" s="9" t="str">
        <f>HYPERLINK("http://jsmh.umin.jp/journal/57-2/57-2_165.pdf")</f>
        <v>http://jsmh.umin.jp/journal/57-2/57-2_165.pdf</v>
      </c>
      <c r="H5645" s="43"/>
    </row>
    <row r="5646" spans="1:8" ht="30" customHeight="1" x14ac:dyDescent="0.15">
      <c r="A5646" s="16" t="s">
        <v>1855</v>
      </c>
      <c r="B5646" s="17" t="s">
        <v>9415</v>
      </c>
      <c r="C5646" s="17" t="s">
        <v>10289</v>
      </c>
      <c r="D5646" s="25" t="s">
        <v>9320</v>
      </c>
      <c r="E5646" s="19" t="s">
        <v>9351</v>
      </c>
      <c r="F5646" s="19" t="s">
        <v>3813</v>
      </c>
      <c r="G5646" s="9" t="str">
        <f>HYPERLINK("http://jsmh.umin.jp/journal/57-2/57-2_166.pdf")</f>
        <v>http://jsmh.umin.jp/journal/57-2/57-2_166.pdf</v>
      </c>
      <c r="H5646" s="43"/>
    </row>
    <row r="5647" spans="1:8" ht="30" customHeight="1" x14ac:dyDescent="0.15">
      <c r="A5647" s="16" t="s">
        <v>1855</v>
      </c>
      <c r="B5647" s="17" t="s">
        <v>9416</v>
      </c>
      <c r="C5647" s="17" t="s">
        <v>9417</v>
      </c>
      <c r="D5647" s="25" t="s">
        <v>9320</v>
      </c>
      <c r="E5647" s="19" t="s">
        <v>9351</v>
      </c>
      <c r="F5647" s="19" t="s">
        <v>73</v>
      </c>
      <c r="G5647" s="9" t="str">
        <f>HYPERLINK("http://jsmh.umin.jp/journal/57-2/57-2_167.pdf")</f>
        <v>http://jsmh.umin.jp/journal/57-2/57-2_167.pdf</v>
      </c>
      <c r="H5647" s="43"/>
    </row>
    <row r="5648" spans="1:8" ht="30" customHeight="1" x14ac:dyDescent="0.15">
      <c r="A5648" s="16" t="s">
        <v>1855</v>
      </c>
      <c r="B5648" s="17" t="s">
        <v>9418</v>
      </c>
      <c r="C5648" s="17" t="s">
        <v>3644</v>
      </c>
      <c r="D5648" s="25" t="s">
        <v>9320</v>
      </c>
      <c r="E5648" s="19" t="s">
        <v>9351</v>
      </c>
      <c r="F5648" s="19" t="s">
        <v>8945</v>
      </c>
      <c r="G5648" s="9" t="str">
        <f>HYPERLINK("http://jsmh.umin.jp/journal/57-2/57-2_168.pdf")</f>
        <v>http://jsmh.umin.jp/journal/57-2/57-2_168.pdf</v>
      </c>
      <c r="H5648" s="43"/>
    </row>
    <row r="5649" spans="1:8" ht="30" customHeight="1" x14ac:dyDescent="0.15">
      <c r="A5649" s="16" t="s">
        <v>1855</v>
      </c>
      <c r="B5649" s="17" t="s">
        <v>9419</v>
      </c>
      <c r="C5649" s="17" t="s">
        <v>6267</v>
      </c>
      <c r="D5649" s="25" t="s">
        <v>9320</v>
      </c>
      <c r="E5649" s="19" t="s">
        <v>9351</v>
      </c>
      <c r="F5649" s="19" t="s">
        <v>8948</v>
      </c>
      <c r="G5649" s="9" t="str">
        <f>HYPERLINK("http://jsmh.umin.jp/journal/57-2/57-2_169.pdf")</f>
        <v>http://jsmh.umin.jp/journal/57-2/57-2_169.pdf</v>
      </c>
      <c r="H5649" s="43"/>
    </row>
    <row r="5650" spans="1:8" ht="30" customHeight="1" x14ac:dyDescent="0.15">
      <c r="A5650" s="16" t="s">
        <v>1855</v>
      </c>
      <c r="B5650" s="17" t="s">
        <v>9420</v>
      </c>
      <c r="C5650" s="17" t="s">
        <v>9209</v>
      </c>
      <c r="D5650" s="25" t="s">
        <v>9320</v>
      </c>
      <c r="E5650" s="19" t="s">
        <v>9351</v>
      </c>
      <c r="F5650" s="19" t="s">
        <v>2557</v>
      </c>
      <c r="G5650" s="9" t="str">
        <f>HYPERLINK("http://jsmh.umin.jp/journal/57-2/57-2_170.pdf")</f>
        <v>http://jsmh.umin.jp/journal/57-2/57-2_170.pdf</v>
      </c>
      <c r="H5650" s="43"/>
    </row>
    <row r="5651" spans="1:8" ht="30" customHeight="1" x14ac:dyDescent="0.15">
      <c r="A5651" s="16" t="s">
        <v>1855</v>
      </c>
      <c r="B5651" s="17" t="s">
        <v>9421</v>
      </c>
      <c r="C5651" s="17" t="s">
        <v>9422</v>
      </c>
      <c r="D5651" s="25" t="s">
        <v>9320</v>
      </c>
      <c r="E5651" s="19" t="s">
        <v>9351</v>
      </c>
      <c r="F5651" s="19" t="s">
        <v>5046</v>
      </c>
      <c r="G5651" s="9" t="str">
        <f>HYPERLINK("http://jsmh.umin.jp/journal/57-2/57-2_171.pdf")</f>
        <v>http://jsmh.umin.jp/journal/57-2/57-2_171.pdf</v>
      </c>
      <c r="H5651" s="43"/>
    </row>
    <row r="5652" spans="1:8" ht="30" customHeight="1" x14ac:dyDescent="0.15">
      <c r="A5652" s="16" t="s">
        <v>1855</v>
      </c>
      <c r="B5652" s="17" t="s">
        <v>9423</v>
      </c>
      <c r="C5652" s="17" t="s">
        <v>8743</v>
      </c>
      <c r="D5652" s="25" t="s">
        <v>9320</v>
      </c>
      <c r="E5652" s="19" t="s">
        <v>9351</v>
      </c>
      <c r="F5652" s="19" t="s">
        <v>5048</v>
      </c>
      <c r="G5652" s="9" t="str">
        <f>HYPERLINK("http://jsmh.umin.jp/journal/57-2/57-2_172.pdf")</f>
        <v>http://jsmh.umin.jp/journal/57-2/57-2_172.pdf</v>
      </c>
      <c r="H5652" s="43"/>
    </row>
    <row r="5653" spans="1:8" ht="30" customHeight="1" x14ac:dyDescent="0.15">
      <c r="A5653" s="16" t="s">
        <v>1855</v>
      </c>
      <c r="B5653" s="17" t="s">
        <v>9424</v>
      </c>
      <c r="C5653" s="17" t="s">
        <v>5084</v>
      </c>
      <c r="D5653" s="25" t="s">
        <v>9320</v>
      </c>
      <c r="E5653" s="19" t="s">
        <v>9351</v>
      </c>
      <c r="F5653" s="19" t="s">
        <v>5050</v>
      </c>
      <c r="G5653" s="9" t="str">
        <f>HYPERLINK("http://jsmh.umin.jp/journal/57-2/57-2_173.pdf")</f>
        <v>http://jsmh.umin.jp/journal/57-2/57-2_173.pdf</v>
      </c>
      <c r="H5653" s="43"/>
    </row>
    <row r="5654" spans="1:8" ht="30" customHeight="1" x14ac:dyDescent="0.15">
      <c r="A5654" s="16" t="s">
        <v>1855</v>
      </c>
      <c r="B5654" s="17" t="s">
        <v>9425</v>
      </c>
      <c r="C5654" s="17" t="s">
        <v>9426</v>
      </c>
      <c r="D5654" s="25" t="s">
        <v>9320</v>
      </c>
      <c r="E5654" s="19" t="s">
        <v>9351</v>
      </c>
      <c r="F5654" s="19" t="s">
        <v>5053</v>
      </c>
      <c r="G5654" s="9" t="str">
        <f>HYPERLINK("http://jsmh.umin.jp/journal/57-2/57-2_174.pdf")</f>
        <v>http://jsmh.umin.jp/journal/57-2/57-2_174.pdf</v>
      </c>
      <c r="H5654" s="43"/>
    </row>
    <row r="5655" spans="1:8" ht="30" customHeight="1" x14ac:dyDescent="0.15">
      <c r="A5655" s="16" t="s">
        <v>1855</v>
      </c>
      <c r="B5655" s="17" t="s">
        <v>9427</v>
      </c>
      <c r="C5655" s="17" t="s">
        <v>9428</v>
      </c>
      <c r="D5655" s="25" t="s">
        <v>9320</v>
      </c>
      <c r="E5655" s="19" t="s">
        <v>9351</v>
      </c>
      <c r="F5655" s="19" t="s">
        <v>8956</v>
      </c>
      <c r="G5655" s="9" t="str">
        <f>HYPERLINK("http://jsmh.umin.jp/journal/57-2/57-2_175.pdf")</f>
        <v>http://jsmh.umin.jp/journal/57-2/57-2_175.pdf</v>
      </c>
      <c r="H5655" s="43"/>
    </row>
    <row r="5656" spans="1:8" ht="30" customHeight="1" x14ac:dyDescent="0.15">
      <c r="A5656" s="16" t="s">
        <v>1855</v>
      </c>
      <c r="B5656" s="17" t="s">
        <v>9429</v>
      </c>
      <c r="C5656" s="17" t="s">
        <v>6705</v>
      </c>
      <c r="D5656" s="25" t="s">
        <v>9320</v>
      </c>
      <c r="E5656" s="19" t="s">
        <v>9351</v>
      </c>
      <c r="F5656" s="19" t="s">
        <v>8958</v>
      </c>
      <c r="G5656" s="9" t="str">
        <f>HYPERLINK("http://jsmh.umin.jp/journal/57-2/57-2_176.pdf")</f>
        <v>http://jsmh.umin.jp/journal/57-2/57-2_176.pdf</v>
      </c>
      <c r="H5656" s="43"/>
    </row>
    <row r="5657" spans="1:8" ht="30" customHeight="1" x14ac:dyDescent="0.15">
      <c r="A5657" s="16" t="s">
        <v>1855</v>
      </c>
      <c r="B5657" s="17" t="s">
        <v>9430</v>
      </c>
      <c r="C5657" s="17" t="s">
        <v>9431</v>
      </c>
      <c r="D5657" s="25" t="s">
        <v>9320</v>
      </c>
      <c r="E5657" s="19" t="s">
        <v>9351</v>
      </c>
      <c r="F5657" s="19" t="s">
        <v>1709</v>
      </c>
      <c r="G5657" s="9" t="str">
        <f>HYPERLINK("http://jsmh.umin.jp/journal/57-2/57-2_177.pdf")</f>
        <v>http://jsmh.umin.jp/journal/57-2/57-2_177.pdf</v>
      </c>
      <c r="H5657" s="43"/>
    </row>
    <row r="5658" spans="1:8" ht="30" customHeight="1" x14ac:dyDescent="0.15">
      <c r="A5658" s="16" t="s">
        <v>1855</v>
      </c>
      <c r="B5658" s="17" t="s">
        <v>9432</v>
      </c>
      <c r="C5658" s="17" t="s">
        <v>6640</v>
      </c>
      <c r="D5658" s="25" t="s">
        <v>9320</v>
      </c>
      <c r="E5658" s="19" t="s">
        <v>9351</v>
      </c>
      <c r="F5658" s="19" t="s">
        <v>8961</v>
      </c>
      <c r="G5658" s="9" t="str">
        <f>HYPERLINK("http://jsmh.umin.jp/journal/57-2/57-2_178.pdf")</f>
        <v>http://jsmh.umin.jp/journal/57-2/57-2_178.pdf</v>
      </c>
      <c r="H5658" s="43"/>
    </row>
    <row r="5659" spans="1:8" ht="30" customHeight="1" x14ac:dyDescent="0.15">
      <c r="A5659" s="16" t="s">
        <v>1855</v>
      </c>
      <c r="B5659" s="17" t="s">
        <v>9433</v>
      </c>
      <c r="C5659" s="17" t="s">
        <v>9434</v>
      </c>
      <c r="D5659" s="25" t="s">
        <v>9320</v>
      </c>
      <c r="E5659" s="19" t="s">
        <v>9351</v>
      </c>
      <c r="F5659" s="19" t="s">
        <v>4173</v>
      </c>
      <c r="G5659" s="9" t="str">
        <f>HYPERLINK("http://jsmh.umin.jp/journal/57-2/57-2_179.pdf")</f>
        <v>http://jsmh.umin.jp/journal/57-2/57-2_179.pdf</v>
      </c>
      <c r="H5659" s="43"/>
    </row>
    <row r="5660" spans="1:8" ht="30" customHeight="1" x14ac:dyDescent="0.15">
      <c r="A5660" s="16" t="s">
        <v>1855</v>
      </c>
      <c r="B5660" s="17" t="s">
        <v>9435</v>
      </c>
      <c r="C5660" s="17" t="s">
        <v>9436</v>
      </c>
      <c r="D5660" s="25" t="s">
        <v>9320</v>
      </c>
      <c r="E5660" s="19" t="s">
        <v>9351</v>
      </c>
      <c r="F5660" s="19" t="s">
        <v>8965</v>
      </c>
      <c r="G5660" s="9" t="str">
        <f>HYPERLINK("http://jsmh.umin.jp/journal/57-2/57-2_180.pdf")</f>
        <v>http://jsmh.umin.jp/journal/57-2/57-2_180.pdf</v>
      </c>
      <c r="H5660" s="43"/>
    </row>
    <row r="5661" spans="1:8" ht="30" customHeight="1" x14ac:dyDescent="0.15">
      <c r="A5661" s="16" t="s">
        <v>1855</v>
      </c>
      <c r="B5661" s="17" t="s">
        <v>9437</v>
      </c>
      <c r="C5661" s="17" t="s">
        <v>790</v>
      </c>
      <c r="D5661" s="25" t="s">
        <v>9320</v>
      </c>
      <c r="E5661" s="19" t="s">
        <v>9351</v>
      </c>
      <c r="F5661" s="19" t="s">
        <v>3424</v>
      </c>
      <c r="G5661" s="9" t="str">
        <f>HYPERLINK("http://jsmh.umin.jp/journal/57-2/57-2_181.pdf")</f>
        <v>http://jsmh.umin.jp/journal/57-2/57-2_181.pdf</v>
      </c>
      <c r="H5661" s="43"/>
    </row>
    <row r="5662" spans="1:8" ht="30" customHeight="1" x14ac:dyDescent="0.15">
      <c r="A5662" s="16" t="s">
        <v>1855</v>
      </c>
      <c r="B5662" s="17" t="s">
        <v>9438</v>
      </c>
      <c r="C5662" s="17" t="s">
        <v>9439</v>
      </c>
      <c r="D5662" s="25" t="s">
        <v>9320</v>
      </c>
      <c r="E5662" s="19" t="s">
        <v>9351</v>
      </c>
      <c r="F5662" s="19" t="s">
        <v>1717</v>
      </c>
      <c r="G5662" s="9" t="str">
        <f>HYPERLINK("http://jsmh.umin.jp/journal/57-2/57-2_182.pdf")</f>
        <v>http://jsmh.umin.jp/journal/57-2/57-2_182.pdf</v>
      </c>
      <c r="H5662" s="43"/>
    </row>
    <row r="5663" spans="1:8" ht="30" customHeight="1" x14ac:dyDescent="0.15">
      <c r="A5663" s="16" t="s">
        <v>1855</v>
      </c>
      <c r="B5663" s="17" t="s">
        <v>9440</v>
      </c>
      <c r="C5663" s="17" t="s">
        <v>9441</v>
      </c>
      <c r="D5663" s="25" t="s">
        <v>9320</v>
      </c>
      <c r="E5663" s="19" t="s">
        <v>9351</v>
      </c>
      <c r="F5663" s="19" t="s">
        <v>8969</v>
      </c>
      <c r="G5663" s="9" t="str">
        <f>HYPERLINK("http://jsmh.umin.jp/journal/57-2/57-2_183.pdf")</f>
        <v>http://jsmh.umin.jp/journal/57-2/57-2_183.pdf</v>
      </c>
      <c r="H5663" s="43"/>
    </row>
    <row r="5664" spans="1:8" ht="30" customHeight="1" x14ac:dyDescent="0.15">
      <c r="A5664" s="16" t="s">
        <v>1855</v>
      </c>
      <c r="B5664" s="17" t="s">
        <v>9442</v>
      </c>
      <c r="C5664" s="17" t="s">
        <v>2881</v>
      </c>
      <c r="D5664" s="25" t="s">
        <v>9320</v>
      </c>
      <c r="E5664" s="19" t="s">
        <v>9351</v>
      </c>
      <c r="F5664" s="19" t="s">
        <v>2047</v>
      </c>
      <c r="G5664" s="9" t="str">
        <f>HYPERLINK("http://jsmh.umin.jp/journal/57-2/57-2_184.pdf")</f>
        <v>http://jsmh.umin.jp/journal/57-2/57-2_184.pdf</v>
      </c>
      <c r="H5664" s="43"/>
    </row>
    <row r="5665" spans="1:8" ht="30" customHeight="1" x14ac:dyDescent="0.15">
      <c r="A5665" s="16" t="s">
        <v>1855</v>
      </c>
      <c r="B5665" s="17" t="s">
        <v>10479</v>
      </c>
      <c r="C5665" s="17" t="s">
        <v>5837</v>
      </c>
      <c r="D5665" s="25" t="s">
        <v>9320</v>
      </c>
      <c r="E5665" s="19" t="s">
        <v>9351</v>
      </c>
      <c r="F5665" s="19" t="s">
        <v>2055</v>
      </c>
      <c r="G5665" s="9" t="str">
        <f>HYPERLINK("http://jsmh.umin.jp/journal/57-2/57-2_185.pdf")</f>
        <v>http://jsmh.umin.jp/journal/57-2/57-2_185.pdf</v>
      </c>
      <c r="H5665" s="43"/>
    </row>
    <row r="5666" spans="1:8" ht="30" customHeight="1" x14ac:dyDescent="0.15">
      <c r="A5666" s="16" t="s">
        <v>1855</v>
      </c>
      <c r="B5666" s="17" t="s">
        <v>10480</v>
      </c>
      <c r="C5666" s="17" t="s">
        <v>9443</v>
      </c>
      <c r="D5666" s="25" t="s">
        <v>9320</v>
      </c>
      <c r="E5666" s="19" t="s">
        <v>9351</v>
      </c>
      <c r="F5666" s="19" t="s">
        <v>2057</v>
      </c>
      <c r="G5666" s="9" t="str">
        <f>HYPERLINK("http://jsmh.umin.jp/journal/57-2/57-2_186.pdf")</f>
        <v>http://jsmh.umin.jp/journal/57-2/57-2_186.pdf</v>
      </c>
      <c r="H5666" s="43"/>
    </row>
    <row r="5667" spans="1:8" ht="30" customHeight="1" x14ac:dyDescent="0.15">
      <c r="A5667" s="16" t="s">
        <v>1855</v>
      </c>
      <c r="B5667" s="17" t="s">
        <v>9444</v>
      </c>
      <c r="C5667" s="17" t="s">
        <v>9445</v>
      </c>
      <c r="D5667" s="25" t="s">
        <v>9320</v>
      </c>
      <c r="E5667" s="19" t="s">
        <v>9351</v>
      </c>
      <c r="F5667" s="19" t="s">
        <v>3674</v>
      </c>
      <c r="G5667" s="9" t="str">
        <f>HYPERLINK("http://jsmh.umin.jp/journal/57-2/57-2_187.pdf")</f>
        <v>http://jsmh.umin.jp/journal/57-2/57-2_187.pdf</v>
      </c>
      <c r="H5667" s="43"/>
    </row>
    <row r="5668" spans="1:8" ht="30" customHeight="1" x14ac:dyDescent="0.15">
      <c r="A5668" s="16" t="s">
        <v>1855</v>
      </c>
      <c r="B5668" s="17" t="s">
        <v>9446</v>
      </c>
      <c r="C5668" s="17" t="s">
        <v>9326</v>
      </c>
      <c r="D5668" s="25" t="s">
        <v>9320</v>
      </c>
      <c r="E5668" s="19" t="s">
        <v>9351</v>
      </c>
      <c r="F5668" s="19" t="s">
        <v>8977</v>
      </c>
      <c r="G5668" s="9" t="str">
        <f>HYPERLINK("http://jsmh.umin.jp/journal/57-2/57-2_188.pdf")</f>
        <v>http://jsmh.umin.jp/journal/57-2/57-2_188.pdf</v>
      </c>
      <c r="H5668" s="43"/>
    </row>
    <row r="5669" spans="1:8" ht="30" customHeight="1" x14ac:dyDescent="0.15">
      <c r="A5669" s="16" t="s">
        <v>1855</v>
      </c>
      <c r="B5669" s="17" t="s">
        <v>9447</v>
      </c>
      <c r="C5669" s="17" t="s">
        <v>7366</v>
      </c>
      <c r="D5669" s="25" t="s">
        <v>9320</v>
      </c>
      <c r="E5669" s="19" t="s">
        <v>9351</v>
      </c>
      <c r="F5669" s="19" t="s">
        <v>1725</v>
      </c>
      <c r="G5669" s="9" t="str">
        <f>HYPERLINK("http://jsmh.umin.jp/journal/57-2/57-2_189.pdf")</f>
        <v>http://jsmh.umin.jp/journal/57-2/57-2_189.pdf</v>
      </c>
      <c r="H5669" s="43"/>
    </row>
    <row r="5670" spans="1:8" ht="30" customHeight="1" x14ac:dyDescent="0.15">
      <c r="A5670" s="16" t="s">
        <v>1855</v>
      </c>
      <c r="B5670" s="17" t="s">
        <v>9448</v>
      </c>
      <c r="C5670" s="17" t="s">
        <v>7176</v>
      </c>
      <c r="D5670" s="25" t="s">
        <v>9320</v>
      </c>
      <c r="E5670" s="19" t="s">
        <v>9351</v>
      </c>
      <c r="F5670" s="19" t="s">
        <v>979</v>
      </c>
      <c r="G5670" s="9" t="str">
        <f>HYPERLINK("http://jsmh.umin.jp/journal/57-2/57-2_190.pdf")</f>
        <v>http://jsmh.umin.jp/journal/57-2/57-2_190.pdf</v>
      </c>
      <c r="H5670" s="43"/>
    </row>
    <row r="5671" spans="1:8" ht="30" customHeight="1" x14ac:dyDescent="0.15">
      <c r="A5671" s="16" t="s">
        <v>1855</v>
      </c>
      <c r="B5671" s="17" t="s">
        <v>9449</v>
      </c>
      <c r="C5671" s="17" t="s">
        <v>9202</v>
      </c>
      <c r="D5671" s="25" t="s">
        <v>9320</v>
      </c>
      <c r="E5671" s="19" t="s">
        <v>9351</v>
      </c>
      <c r="F5671" s="19" t="s">
        <v>983</v>
      </c>
      <c r="G5671" s="9" t="str">
        <f>HYPERLINK("http://jsmh.umin.jp/journal/57-2/57-2_191.pdf")</f>
        <v>http://jsmh.umin.jp/journal/57-2/57-2_191.pdf</v>
      </c>
      <c r="H5671" s="43"/>
    </row>
    <row r="5672" spans="1:8" ht="30" customHeight="1" x14ac:dyDescent="0.15">
      <c r="A5672" s="16" t="s">
        <v>1855</v>
      </c>
      <c r="B5672" s="17" t="s">
        <v>9450</v>
      </c>
      <c r="C5672" s="17" t="s">
        <v>7583</v>
      </c>
      <c r="D5672" s="25" t="s">
        <v>9320</v>
      </c>
      <c r="E5672" s="19" t="s">
        <v>9351</v>
      </c>
      <c r="F5672" s="19" t="s">
        <v>988</v>
      </c>
      <c r="G5672" s="9" t="str">
        <f>HYPERLINK("http://jsmh.umin.jp/journal/57-2/57-2_192.pdf")</f>
        <v>http://jsmh.umin.jp/journal/57-2/57-2_192.pdf</v>
      </c>
      <c r="H5672" s="43"/>
    </row>
    <row r="5673" spans="1:8" ht="30" customHeight="1" x14ac:dyDescent="0.15">
      <c r="A5673" s="16" t="s">
        <v>1855</v>
      </c>
      <c r="B5673" s="17" t="s">
        <v>9451</v>
      </c>
      <c r="C5673" s="17" t="s">
        <v>7136</v>
      </c>
      <c r="D5673" s="25" t="s">
        <v>9320</v>
      </c>
      <c r="E5673" s="19" t="s">
        <v>9351</v>
      </c>
      <c r="F5673" s="19" t="s">
        <v>5077</v>
      </c>
      <c r="G5673" s="9" t="str">
        <f>HYPERLINK("http://jsmh.umin.jp/journal/57-2/57-2_193.pdf")</f>
        <v>http://jsmh.umin.jp/journal/57-2/57-2_193.pdf</v>
      </c>
      <c r="H5673" s="43"/>
    </row>
    <row r="5674" spans="1:8" ht="30" customHeight="1" x14ac:dyDescent="0.15">
      <c r="A5674" s="16" t="s">
        <v>1855</v>
      </c>
      <c r="B5674" s="17" t="s">
        <v>9452</v>
      </c>
      <c r="C5674" s="17" t="s">
        <v>7420</v>
      </c>
      <c r="D5674" s="25" t="s">
        <v>9320</v>
      </c>
      <c r="E5674" s="19" t="s">
        <v>9351</v>
      </c>
      <c r="F5674" s="19" t="s">
        <v>1732</v>
      </c>
      <c r="G5674" s="9" t="str">
        <f>HYPERLINK("http://jsmh.umin.jp/journal/57-2/57-2_194.pdf")</f>
        <v>http://jsmh.umin.jp/journal/57-2/57-2_194.pdf</v>
      </c>
      <c r="H5674" s="43"/>
    </row>
    <row r="5675" spans="1:8" ht="30" customHeight="1" x14ac:dyDescent="0.15">
      <c r="A5675" s="16" t="s">
        <v>1855</v>
      </c>
      <c r="B5675" s="17" t="s">
        <v>9453</v>
      </c>
      <c r="C5675" s="17" t="s">
        <v>7542</v>
      </c>
      <c r="D5675" s="25" t="s">
        <v>9320</v>
      </c>
      <c r="E5675" s="19" t="s">
        <v>9351</v>
      </c>
      <c r="F5675" s="19" t="s">
        <v>995</v>
      </c>
      <c r="G5675" s="9" t="str">
        <f>HYPERLINK("http://jsmh.umin.jp/journal/57-2/57-2_195.pdf")</f>
        <v>http://jsmh.umin.jp/journal/57-2/57-2_195.pdf</v>
      </c>
      <c r="H5675" s="43"/>
    </row>
    <row r="5676" spans="1:8" ht="30" customHeight="1" x14ac:dyDescent="0.15">
      <c r="A5676" s="16" t="s">
        <v>1855</v>
      </c>
      <c r="B5676" s="17" t="s">
        <v>9454</v>
      </c>
      <c r="C5676" s="17" t="s">
        <v>9455</v>
      </c>
      <c r="D5676" s="25" t="s">
        <v>9320</v>
      </c>
      <c r="E5676" s="19" t="s">
        <v>9351</v>
      </c>
      <c r="F5676" s="19" t="s">
        <v>1001</v>
      </c>
      <c r="G5676" s="9" t="str">
        <f>HYPERLINK("http://jsmh.umin.jp/journal/57-2/57-2_196.pdf")</f>
        <v>http://jsmh.umin.jp/journal/57-2/57-2_196.pdf</v>
      </c>
      <c r="H5676" s="43"/>
    </row>
    <row r="5677" spans="1:8" ht="30" customHeight="1" x14ac:dyDescent="0.15">
      <c r="A5677" s="16" t="s">
        <v>1855</v>
      </c>
      <c r="B5677" s="17" t="s">
        <v>9456</v>
      </c>
      <c r="C5677" s="17" t="s">
        <v>10454</v>
      </c>
      <c r="D5677" s="25" t="s">
        <v>9320</v>
      </c>
      <c r="E5677" s="19" t="s">
        <v>9351</v>
      </c>
      <c r="F5677" s="19" t="s">
        <v>1004</v>
      </c>
      <c r="G5677" s="9" t="str">
        <f>HYPERLINK("http://jsmh.umin.jp/journal/57-2/57-2_197.pdf")</f>
        <v>http://jsmh.umin.jp/journal/57-2/57-2_197.pdf</v>
      </c>
      <c r="H5677" s="43"/>
    </row>
    <row r="5678" spans="1:8" ht="30" customHeight="1" x14ac:dyDescent="0.15">
      <c r="A5678" s="16" t="s">
        <v>1855</v>
      </c>
      <c r="B5678" s="17" t="s">
        <v>10481</v>
      </c>
      <c r="C5678" s="17" t="s">
        <v>9015</v>
      </c>
      <c r="D5678" s="25" t="s">
        <v>9320</v>
      </c>
      <c r="E5678" s="19" t="s">
        <v>9351</v>
      </c>
      <c r="F5678" s="19" t="s">
        <v>2440</v>
      </c>
      <c r="G5678" s="9" t="str">
        <f>HYPERLINK("http://jsmh.umin.jp/journal/57-2/57-2_198.pdf")</f>
        <v>http://jsmh.umin.jp/journal/57-2/57-2_198.pdf</v>
      </c>
      <c r="H5678" s="43"/>
    </row>
    <row r="5679" spans="1:8" ht="30" customHeight="1" x14ac:dyDescent="0.15">
      <c r="A5679" s="16" t="s">
        <v>1855</v>
      </c>
      <c r="B5679" s="17" t="s">
        <v>9457</v>
      </c>
      <c r="C5679" s="17" t="s">
        <v>8212</v>
      </c>
      <c r="D5679" s="25" t="s">
        <v>9320</v>
      </c>
      <c r="E5679" s="19" t="s">
        <v>9351</v>
      </c>
      <c r="F5679" s="19" t="s">
        <v>8990</v>
      </c>
      <c r="G5679" s="9" t="str">
        <f>HYPERLINK("http://jsmh.umin.jp/journal/57-2/57-2_199.pdf")</f>
        <v>http://jsmh.umin.jp/journal/57-2/57-2_199.pdf</v>
      </c>
      <c r="H5679" s="43"/>
    </row>
    <row r="5680" spans="1:8" ht="30" customHeight="1" x14ac:dyDescent="0.15">
      <c r="A5680" s="16" t="s">
        <v>1855</v>
      </c>
      <c r="B5680" s="17" t="s">
        <v>9458</v>
      </c>
      <c r="C5680" s="17" t="s">
        <v>9242</v>
      </c>
      <c r="D5680" s="25" t="s">
        <v>9320</v>
      </c>
      <c r="E5680" s="19" t="s">
        <v>9351</v>
      </c>
      <c r="F5680" s="19" t="s">
        <v>2942</v>
      </c>
      <c r="G5680" s="9" t="str">
        <f>HYPERLINK("http://jsmh.umin.jp/journal/57-2/57-2_200.pdf")</f>
        <v>http://jsmh.umin.jp/journal/57-2/57-2_200.pdf</v>
      </c>
      <c r="H5680" s="43"/>
    </row>
    <row r="5681" spans="1:8" ht="30" customHeight="1" x14ac:dyDescent="0.15">
      <c r="A5681" s="16" t="s">
        <v>1855</v>
      </c>
      <c r="B5681" s="17" t="s">
        <v>9459</v>
      </c>
      <c r="C5681" s="17" t="s">
        <v>9460</v>
      </c>
      <c r="D5681" s="25" t="s">
        <v>9320</v>
      </c>
      <c r="E5681" s="19" t="s">
        <v>9351</v>
      </c>
      <c r="F5681" s="19" t="s">
        <v>2944</v>
      </c>
      <c r="G5681" s="9" t="str">
        <f>HYPERLINK("http://jsmh.umin.jp/journal/57-2/57-2_201.pdf")</f>
        <v>http://jsmh.umin.jp/journal/57-2/57-2_201.pdf</v>
      </c>
      <c r="H5681" s="43"/>
    </row>
    <row r="5682" spans="1:8" ht="30" customHeight="1" x14ac:dyDescent="0.15">
      <c r="A5682" s="16" t="s">
        <v>1855</v>
      </c>
      <c r="B5682" s="17" t="s">
        <v>9461</v>
      </c>
      <c r="C5682" s="17" t="s">
        <v>9462</v>
      </c>
      <c r="D5682" s="25" t="s">
        <v>9320</v>
      </c>
      <c r="E5682" s="19" t="s">
        <v>9351</v>
      </c>
      <c r="F5682" s="19" t="s">
        <v>80</v>
      </c>
      <c r="G5682" s="9" t="str">
        <f>HYPERLINK("http://jsmh.umin.jp/journal/57-2/57-2_202.pdf")</f>
        <v>http://jsmh.umin.jp/journal/57-2/57-2_202.pdf</v>
      </c>
      <c r="H5682" s="43"/>
    </row>
    <row r="5683" spans="1:8" ht="30" customHeight="1" x14ac:dyDescent="0.15">
      <c r="A5683" s="16" t="s">
        <v>1855</v>
      </c>
      <c r="B5683" s="17" t="s">
        <v>10482</v>
      </c>
      <c r="C5683" s="17" t="s">
        <v>6851</v>
      </c>
      <c r="D5683" s="25" t="s">
        <v>9320</v>
      </c>
      <c r="E5683" s="19" t="s">
        <v>9351</v>
      </c>
      <c r="F5683" s="19" t="s">
        <v>2594</v>
      </c>
      <c r="G5683" s="9" t="str">
        <f>HYPERLINK("http://jsmh.umin.jp/journal/57-2/57-2_203.pdf")</f>
        <v>http://jsmh.umin.jp/journal/57-2/57-2_203.pdf</v>
      </c>
      <c r="H5683" s="43"/>
    </row>
    <row r="5684" spans="1:8" ht="30" customHeight="1" x14ac:dyDescent="0.15">
      <c r="A5684" s="16" t="s">
        <v>1855</v>
      </c>
      <c r="B5684" s="17" t="s">
        <v>9463</v>
      </c>
      <c r="C5684" s="17" t="s">
        <v>8837</v>
      </c>
      <c r="D5684" s="25" t="s">
        <v>9320</v>
      </c>
      <c r="E5684" s="19" t="s">
        <v>9351</v>
      </c>
      <c r="F5684" s="19" t="s">
        <v>8997</v>
      </c>
      <c r="G5684" s="9" t="str">
        <f>HYPERLINK("http://jsmh.umin.jp/journal/57-2/57-2_204.pdf")</f>
        <v>http://jsmh.umin.jp/journal/57-2/57-2_204.pdf</v>
      </c>
      <c r="H5684" s="43"/>
    </row>
    <row r="5685" spans="1:8" ht="30" customHeight="1" x14ac:dyDescent="0.15">
      <c r="A5685" s="16" t="s">
        <v>1855</v>
      </c>
      <c r="B5685" s="17" t="s">
        <v>9464</v>
      </c>
      <c r="C5685" s="17" t="s">
        <v>7352</v>
      </c>
      <c r="D5685" s="25" t="s">
        <v>9320</v>
      </c>
      <c r="E5685" s="19" t="s">
        <v>9351</v>
      </c>
      <c r="F5685" s="19" t="s">
        <v>8999</v>
      </c>
      <c r="G5685" s="9" t="str">
        <f>HYPERLINK("http://jsmh.umin.jp/journal/57-2/57-2_205.pdf")</f>
        <v>http://jsmh.umin.jp/journal/57-2/57-2_205.pdf</v>
      </c>
      <c r="H5685" s="43"/>
    </row>
    <row r="5686" spans="1:8" ht="30" customHeight="1" x14ac:dyDescent="0.15">
      <c r="A5686" s="16" t="s">
        <v>1855</v>
      </c>
      <c r="B5686" s="17" t="s">
        <v>9465</v>
      </c>
      <c r="C5686" s="17" t="s">
        <v>4892</v>
      </c>
      <c r="D5686" s="25" t="s">
        <v>9320</v>
      </c>
      <c r="E5686" s="19" t="s">
        <v>9351</v>
      </c>
      <c r="F5686" s="19" t="s">
        <v>9001</v>
      </c>
      <c r="G5686" s="9" t="str">
        <f>HYPERLINK("http://jsmh.umin.jp/journal/57-2/57-2_206.pdf")</f>
        <v>http://jsmh.umin.jp/journal/57-2/57-2_206.pdf</v>
      </c>
      <c r="H5686" s="43"/>
    </row>
    <row r="5687" spans="1:8" ht="30" customHeight="1" x14ac:dyDescent="0.15">
      <c r="A5687" s="16" t="s">
        <v>1855</v>
      </c>
      <c r="B5687" s="17" t="s">
        <v>9466</v>
      </c>
      <c r="C5687" s="17" t="s">
        <v>8984</v>
      </c>
      <c r="D5687" s="25" t="s">
        <v>9320</v>
      </c>
      <c r="E5687" s="19" t="s">
        <v>9351</v>
      </c>
      <c r="F5687" s="19" t="s">
        <v>261</v>
      </c>
      <c r="G5687" s="9" t="str">
        <f>HYPERLINK("http://jsmh.umin.jp/journal/57-2/57-2_207.pdf")</f>
        <v>http://jsmh.umin.jp/journal/57-2/57-2_207.pdf</v>
      </c>
      <c r="H5687" s="43"/>
    </row>
    <row r="5688" spans="1:8" ht="30" customHeight="1" x14ac:dyDescent="0.15">
      <c r="A5688" s="16" t="s">
        <v>1855</v>
      </c>
      <c r="B5688" s="17" t="s">
        <v>9467</v>
      </c>
      <c r="C5688" s="17" t="s">
        <v>9022</v>
      </c>
      <c r="D5688" s="25" t="s">
        <v>9320</v>
      </c>
      <c r="E5688" s="19" t="s">
        <v>9351</v>
      </c>
      <c r="F5688" s="19" t="s">
        <v>264</v>
      </c>
      <c r="G5688" s="9" t="str">
        <f>HYPERLINK("http://jsmh.umin.jp/journal/57-2/57-2_208.pdf")</f>
        <v>http://jsmh.umin.jp/journal/57-2/57-2_208.pdf</v>
      </c>
      <c r="H5688" s="43"/>
    </row>
    <row r="5689" spans="1:8" ht="30" customHeight="1" x14ac:dyDescent="0.15">
      <c r="A5689" s="16" t="s">
        <v>1855</v>
      </c>
      <c r="B5689" s="17" t="s">
        <v>9468</v>
      </c>
      <c r="C5689" s="17" t="s">
        <v>8813</v>
      </c>
      <c r="D5689" s="25" t="s">
        <v>9320</v>
      </c>
      <c r="E5689" s="19" t="s">
        <v>9351</v>
      </c>
      <c r="F5689" s="19" t="s">
        <v>269</v>
      </c>
      <c r="G5689" s="9" t="str">
        <f>HYPERLINK("http://jsmh.umin.jp/journal/57-2/57-2_209.pdf")</f>
        <v>http://jsmh.umin.jp/journal/57-2/57-2_209.pdf</v>
      </c>
      <c r="H5689" s="43"/>
    </row>
    <row r="5690" spans="1:8" ht="30" customHeight="1" x14ac:dyDescent="0.15">
      <c r="A5690" s="16" t="s">
        <v>1855</v>
      </c>
      <c r="B5690" s="17" t="s">
        <v>9469</v>
      </c>
      <c r="C5690" s="17" t="s">
        <v>9470</v>
      </c>
      <c r="D5690" s="25" t="s">
        <v>9320</v>
      </c>
      <c r="E5690" s="19" t="s">
        <v>9351</v>
      </c>
      <c r="F5690" s="19" t="s">
        <v>9006</v>
      </c>
      <c r="G5690" s="9" t="str">
        <f>HYPERLINK("http://jsmh.umin.jp/journal/57-2/57-2_210.pdf")</f>
        <v>http://jsmh.umin.jp/journal/57-2/57-2_210.pdf</v>
      </c>
      <c r="H5690" s="43"/>
    </row>
    <row r="5691" spans="1:8" ht="30" customHeight="1" x14ac:dyDescent="0.15">
      <c r="A5691" s="16" t="s">
        <v>1855</v>
      </c>
      <c r="B5691" s="17" t="s">
        <v>9471</v>
      </c>
      <c r="C5691" s="17" t="s">
        <v>9258</v>
      </c>
      <c r="D5691" s="25" t="s">
        <v>9320</v>
      </c>
      <c r="E5691" s="19" t="s">
        <v>9351</v>
      </c>
      <c r="F5691" s="19" t="s">
        <v>9008</v>
      </c>
      <c r="G5691" s="9" t="str">
        <f>HYPERLINK("http://jsmh.umin.jp/journal/57-2/57-2_211.pdf")</f>
        <v>http://jsmh.umin.jp/journal/57-2/57-2_211.pdf</v>
      </c>
      <c r="H5691" s="43"/>
    </row>
    <row r="5692" spans="1:8" ht="30" customHeight="1" x14ac:dyDescent="0.15">
      <c r="A5692" s="16" t="s">
        <v>1855</v>
      </c>
      <c r="B5692" s="17" t="s">
        <v>9472</v>
      </c>
      <c r="C5692" s="17" t="s">
        <v>7448</v>
      </c>
      <c r="D5692" s="25" t="s">
        <v>9320</v>
      </c>
      <c r="E5692" s="19" t="s">
        <v>9351</v>
      </c>
      <c r="F5692" s="19" t="s">
        <v>4196</v>
      </c>
      <c r="G5692" s="9" t="str">
        <f>HYPERLINK("http://jsmh.umin.jp/journal/57-2/57-2_212.pdf")</f>
        <v>http://jsmh.umin.jp/journal/57-2/57-2_212.pdf</v>
      </c>
      <c r="H5692" s="43"/>
    </row>
    <row r="5693" spans="1:8" ht="30" customHeight="1" x14ac:dyDescent="0.15">
      <c r="A5693" s="16" t="s">
        <v>1855</v>
      </c>
      <c r="B5693" s="17" t="s">
        <v>9473</v>
      </c>
      <c r="C5693" s="17" t="s">
        <v>10280</v>
      </c>
      <c r="D5693" s="25" t="s">
        <v>9320</v>
      </c>
      <c r="E5693" s="19" t="s">
        <v>9351</v>
      </c>
      <c r="F5693" s="19" t="s">
        <v>279</v>
      </c>
      <c r="G5693" s="9" t="str">
        <f>HYPERLINK("http://jsmh.umin.jp/journal/57-2/57-2_213.pdf")</f>
        <v>http://jsmh.umin.jp/journal/57-2/57-2_213.pdf</v>
      </c>
      <c r="H5693" s="43"/>
    </row>
    <row r="5694" spans="1:8" ht="30" customHeight="1" x14ac:dyDescent="0.15">
      <c r="A5694" s="16" t="s">
        <v>558</v>
      </c>
      <c r="B5694" s="17" t="s">
        <v>9474</v>
      </c>
      <c r="C5694" s="17" t="s">
        <v>9263</v>
      </c>
      <c r="D5694" s="25" t="s">
        <v>9320</v>
      </c>
      <c r="E5694" s="19" t="s">
        <v>9351</v>
      </c>
      <c r="F5694" s="19" t="s">
        <v>9475</v>
      </c>
      <c r="G5694" s="9" t="str">
        <f>HYPERLINK("http://jsmh.umin.jp/journal/57-2/57-2_219.pdf")</f>
        <v>http://jsmh.umin.jp/journal/57-2/57-2_219.pdf</v>
      </c>
      <c r="H5694" s="43"/>
    </row>
    <row r="5695" spans="1:8" ht="30" customHeight="1" x14ac:dyDescent="0.15">
      <c r="A5695" s="16" t="s">
        <v>17</v>
      </c>
      <c r="B5695" s="17" t="s">
        <v>9476</v>
      </c>
      <c r="C5695" s="17" t="s">
        <v>9477</v>
      </c>
      <c r="D5695" s="25" t="s">
        <v>9320</v>
      </c>
      <c r="E5695" s="19" t="s">
        <v>9478</v>
      </c>
      <c r="F5695" s="19" t="s">
        <v>9479</v>
      </c>
      <c r="G5695" s="9" t="str">
        <f>HYPERLINK("http://jsmh.umin.jp/journal/57-3/57-3_275.pdf")</f>
        <v>http://jsmh.umin.jp/journal/57-3/57-3_275.pdf</v>
      </c>
      <c r="H5695" s="43"/>
    </row>
    <row r="5696" spans="1:8" ht="30" customHeight="1" x14ac:dyDescent="0.15">
      <c r="A5696" s="16" t="s">
        <v>17</v>
      </c>
      <c r="B5696" s="17" t="s">
        <v>9480</v>
      </c>
      <c r="C5696" s="17" t="s">
        <v>9481</v>
      </c>
      <c r="D5696" s="25" t="s">
        <v>9320</v>
      </c>
      <c r="E5696" s="19" t="s">
        <v>9478</v>
      </c>
      <c r="F5696" s="19" t="s">
        <v>5895</v>
      </c>
      <c r="G5696" s="9" t="str">
        <f>HYPERLINK("http://jsmh.umin.jp/journal/57-3/57-3_293.pdf")</f>
        <v>http://jsmh.umin.jp/journal/57-3/57-3_293.pdf</v>
      </c>
      <c r="H5696" s="43"/>
    </row>
    <row r="5697" spans="1:8" ht="30" customHeight="1" x14ac:dyDescent="0.15">
      <c r="A5697" s="16" t="s">
        <v>17</v>
      </c>
      <c r="B5697" s="17" t="s">
        <v>9482</v>
      </c>
      <c r="C5697" s="17" t="s">
        <v>9483</v>
      </c>
      <c r="D5697" s="25" t="s">
        <v>9320</v>
      </c>
      <c r="E5697" s="19" t="s">
        <v>9478</v>
      </c>
      <c r="F5697" s="19" t="s">
        <v>9484</v>
      </c>
      <c r="G5697" s="9" t="str">
        <f>HYPERLINK("http://jsmh.umin.jp/journal/57-3/57-3_305.pdf")</f>
        <v>http://jsmh.umin.jp/journal/57-3/57-3_305.pdf</v>
      </c>
      <c r="H5697" s="43"/>
    </row>
    <row r="5698" spans="1:8" ht="30" customHeight="1" x14ac:dyDescent="0.15">
      <c r="A5698" s="16" t="s">
        <v>17</v>
      </c>
      <c r="B5698" s="17" t="s">
        <v>9485</v>
      </c>
      <c r="C5698" s="17" t="s">
        <v>9486</v>
      </c>
      <c r="D5698" s="25" t="s">
        <v>9320</v>
      </c>
      <c r="E5698" s="19" t="s">
        <v>9478</v>
      </c>
      <c r="F5698" s="19" t="s">
        <v>9487</v>
      </c>
      <c r="G5698" s="9" t="str">
        <f>HYPERLINK("http://jsmh.umin.jp/journal/57-3/57-3_325.pdf")</f>
        <v>http://jsmh.umin.jp/journal/57-3/57-3_325.pdf</v>
      </c>
      <c r="H5698" s="43"/>
    </row>
    <row r="5699" spans="1:8" ht="30" customHeight="1" x14ac:dyDescent="0.15">
      <c r="A5699" s="16" t="s">
        <v>3387</v>
      </c>
      <c r="B5699" s="17" t="s">
        <v>9488</v>
      </c>
      <c r="C5699" s="17" t="s">
        <v>2937</v>
      </c>
      <c r="D5699" s="25" t="s">
        <v>9320</v>
      </c>
      <c r="E5699" s="19" t="s">
        <v>9478</v>
      </c>
      <c r="F5699" s="19" t="s">
        <v>9489</v>
      </c>
      <c r="G5699" s="9" t="str">
        <f>HYPERLINK("http://jsmh.umin.jp/journal/57-3/57-3_343.pdf")</f>
        <v>http://jsmh.umin.jp/journal/57-3/57-3_343.pdf</v>
      </c>
      <c r="H5699" s="43"/>
    </row>
    <row r="5700" spans="1:8" ht="30" customHeight="1" x14ac:dyDescent="0.15">
      <c r="A5700" s="16" t="s">
        <v>7637</v>
      </c>
      <c r="B5700" s="17" t="s">
        <v>9490</v>
      </c>
      <c r="C5700" s="17" t="s">
        <v>2937</v>
      </c>
      <c r="D5700" s="25" t="s">
        <v>9320</v>
      </c>
      <c r="E5700" s="19" t="s">
        <v>9478</v>
      </c>
      <c r="F5700" s="19" t="s">
        <v>9491</v>
      </c>
      <c r="G5700" s="9" t="str">
        <f>HYPERLINK("http://jsmh.umin.jp/journal/57-3/57-3_351.pdf")</f>
        <v>http://jsmh.umin.jp/journal/57-3/57-3_351.pdf</v>
      </c>
      <c r="H5700" s="43"/>
    </row>
    <row r="5701" spans="1:8" ht="30" customHeight="1" x14ac:dyDescent="0.15">
      <c r="A5701" s="16" t="s">
        <v>7637</v>
      </c>
      <c r="B5701" s="17" t="s">
        <v>9492</v>
      </c>
      <c r="C5701" s="17" t="s">
        <v>5516</v>
      </c>
      <c r="D5701" s="25" t="s">
        <v>9320</v>
      </c>
      <c r="E5701" s="19" t="s">
        <v>9478</v>
      </c>
      <c r="F5701" s="19" t="s">
        <v>9493</v>
      </c>
      <c r="G5701" s="9" t="str">
        <f>HYPERLINK("http://jsmh.umin.jp/journal/57-3/57-3_353.pdf")</f>
        <v>http://jsmh.umin.jp/journal/57-3/57-3_353.pdf</v>
      </c>
      <c r="H5701" s="43"/>
    </row>
    <row r="5702" spans="1:8" ht="30" customHeight="1" x14ac:dyDescent="0.15">
      <c r="A5702" s="16" t="s">
        <v>692</v>
      </c>
      <c r="B5702" s="17" t="s">
        <v>9494</v>
      </c>
      <c r="C5702" s="17" t="s">
        <v>4870</v>
      </c>
      <c r="D5702" s="25" t="s">
        <v>9320</v>
      </c>
      <c r="E5702" s="19" t="s">
        <v>9478</v>
      </c>
      <c r="F5702" s="19" t="s">
        <v>9495</v>
      </c>
      <c r="G5702" s="9" t="str">
        <f>HYPERLINK("http://jsmh.umin.jp/journal/57-3/57-3_357.pdf")</f>
        <v>http://jsmh.umin.jp/journal/57-3/57-3_357.pdf</v>
      </c>
      <c r="H5702" s="43"/>
    </row>
    <row r="5703" spans="1:8" ht="30" customHeight="1" x14ac:dyDescent="0.15">
      <c r="A5703" s="16"/>
      <c r="B5703" s="17" t="s">
        <v>10604</v>
      </c>
      <c r="C5703" s="17"/>
      <c r="D5703" s="25" t="s">
        <v>9320</v>
      </c>
      <c r="E5703" s="19" t="s">
        <v>9478</v>
      </c>
      <c r="F5703" s="19" t="s">
        <v>10605</v>
      </c>
      <c r="G5703" s="9" t="str">
        <f>HYPERLINK("http://jsmh.umin.jp/journal/57-3/57-3_367.pdf")</f>
        <v>http://jsmh.umin.jp/journal/57-3/57-3_367.pdf</v>
      </c>
      <c r="H5703" s="43"/>
    </row>
    <row r="5704" spans="1:8" ht="30" customHeight="1" x14ac:dyDescent="0.15">
      <c r="A5704" s="16" t="s">
        <v>3720</v>
      </c>
      <c r="B5704" s="17" t="s">
        <v>9496</v>
      </c>
      <c r="C5704" s="17" t="s">
        <v>2937</v>
      </c>
      <c r="D5704" s="25" t="s">
        <v>9320</v>
      </c>
      <c r="E5704" s="19" t="s">
        <v>9478</v>
      </c>
      <c r="F5704" s="19" t="s">
        <v>9497</v>
      </c>
      <c r="G5704" s="9" t="str">
        <f>HYPERLINK("http://jsmh.umin.jp/journal/57-3/57-3_367.pdf")</f>
        <v>http://jsmh.umin.jp/journal/57-3/57-3_367.pdf</v>
      </c>
      <c r="H5704" s="43"/>
    </row>
    <row r="5705" spans="1:8" ht="30" customHeight="1" x14ac:dyDescent="0.15">
      <c r="A5705" s="16" t="s">
        <v>3720</v>
      </c>
      <c r="B5705" s="17" t="s">
        <v>9498</v>
      </c>
      <c r="C5705" s="17" t="s">
        <v>6267</v>
      </c>
      <c r="D5705" s="25" t="s">
        <v>9320</v>
      </c>
      <c r="E5705" s="19" t="s">
        <v>9478</v>
      </c>
      <c r="F5705" s="19" t="s">
        <v>4253</v>
      </c>
      <c r="G5705" s="27" t="str">
        <f>HYPERLINK("http://jsmh.umin.jp/journal/57-3/57-3_369-370.pdf")</f>
        <v>http://jsmh.umin.jp/journal/57-3/57-3_369-370.pdf</v>
      </c>
      <c r="H5705" s="43"/>
    </row>
    <row r="5706" spans="1:8" ht="30" customHeight="1" x14ac:dyDescent="0.15">
      <c r="A5706" s="16" t="s">
        <v>3720</v>
      </c>
      <c r="B5706" s="17" t="s">
        <v>9499</v>
      </c>
      <c r="C5706" s="17" t="s">
        <v>7316</v>
      </c>
      <c r="D5706" s="25" t="s">
        <v>9320</v>
      </c>
      <c r="E5706" s="19" t="s">
        <v>9478</v>
      </c>
      <c r="F5706" s="19" t="s">
        <v>6529</v>
      </c>
      <c r="G5706" s="27" t="str">
        <f>HYPERLINK("http://jsmh.umin.jp/journal/57-3/57-3_370-371.pdf")</f>
        <v>http://jsmh.umin.jp/journal/57-3/57-3_370-371.pdf</v>
      </c>
      <c r="H5706" s="43"/>
    </row>
    <row r="5707" spans="1:8" ht="30" customHeight="1" x14ac:dyDescent="0.15">
      <c r="A5707" s="16" t="s">
        <v>3720</v>
      </c>
      <c r="B5707" s="17" t="s">
        <v>9500</v>
      </c>
      <c r="C5707" s="17" t="s">
        <v>5084</v>
      </c>
      <c r="D5707" s="25" t="s">
        <v>9320</v>
      </c>
      <c r="E5707" s="19" t="s">
        <v>9478</v>
      </c>
      <c r="F5707" s="19" t="s">
        <v>9501</v>
      </c>
      <c r="G5707" s="27" t="str">
        <f>HYPERLINK("http://jsmh.umin.jp/journal/57-3/57-3_371-372.pdf")</f>
        <v>http://jsmh.umin.jp/journal/57-3/57-3_371-372.pdf</v>
      </c>
      <c r="H5707" s="43"/>
    </row>
    <row r="5708" spans="1:8" ht="30" customHeight="1" x14ac:dyDescent="0.15">
      <c r="A5708" s="16" t="s">
        <v>1102</v>
      </c>
      <c r="B5708" s="17" t="s">
        <v>9502</v>
      </c>
      <c r="C5708" s="17" t="s">
        <v>5837</v>
      </c>
      <c r="D5708" s="25" t="s">
        <v>9320</v>
      </c>
      <c r="E5708" s="19" t="s">
        <v>9478</v>
      </c>
      <c r="F5708" s="19" t="s">
        <v>9503</v>
      </c>
      <c r="G5708" s="27" t="str">
        <f>HYPERLINK("http://jsmh.umin.jp/journal/57-3/57-3_373-374.pdf")</f>
        <v>http://jsmh.umin.jp/journal/57-3/57-3_373-374.pdf</v>
      </c>
      <c r="H5708" s="43"/>
    </row>
    <row r="5709" spans="1:8" ht="30" customHeight="1" x14ac:dyDescent="0.15">
      <c r="A5709" s="16" t="s">
        <v>1102</v>
      </c>
      <c r="B5709" s="17" t="s">
        <v>9504</v>
      </c>
      <c r="C5709" s="17" t="s">
        <v>9505</v>
      </c>
      <c r="D5709" s="25" t="s">
        <v>9320</v>
      </c>
      <c r="E5709" s="19" t="s">
        <v>9478</v>
      </c>
      <c r="F5709" s="19" t="s">
        <v>6533</v>
      </c>
      <c r="G5709" s="27" t="str">
        <f>HYPERLINK("http://jsmh.umin.jp/journal/57-3/57-3_374-375.pdf")</f>
        <v>http://jsmh.umin.jp/journal/57-3/57-3_374-375.pdf</v>
      </c>
      <c r="H5709" s="43"/>
    </row>
    <row r="5710" spans="1:8" ht="30" customHeight="1" x14ac:dyDescent="0.15">
      <c r="A5710" s="16" t="s">
        <v>1102</v>
      </c>
      <c r="B5710" s="17" t="s">
        <v>9506</v>
      </c>
      <c r="C5710" s="17" t="s">
        <v>1292</v>
      </c>
      <c r="D5710" s="25" t="s">
        <v>9320</v>
      </c>
      <c r="E5710" s="19" t="s">
        <v>9478</v>
      </c>
      <c r="F5710" s="19" t="s">
        <v>7790</v>
      </c>
      <c r="G5710" s="27" t="str">
        <f>HYPERLINK("http://jsmh.umin.jp/journal/57-3/57-3_375-376.pdf")</f>
        <v>http://jsmh.umin.jp/journal/57-3/57-3_375-376.pdf</v>
      </c>
      <c r="H5710" s="43"/>
    </row>
    <row r="5711" spans="1:8" ht="30" customHeight="1" x14ac:dyDescent="0.15">
      <c r="A5711" s="16" t="s">
        <v>1102</v>
      </c>
      <c r="B5711" s="17" t="s">
        <v>9507</v>
      </c>
      <c r="C5711" s="17" t="s">
        <v>10214</v>
      </c>
      <c r="D5711" s="25" t="s">
        <v>9320</v>
      </c>
      <c r="E5711" s="19" t="s">
        <v>9478</v>
      </c>
      <c r="F5711" s="19" t="s">
        <v>7792</v>
      </c>
      <c r="G5711" s="27" t="str">
        <f>HYPERLINK("http://jsmh.umin.jp/journal/57-3/57-3_377-378.pdf")</f>
        <v>http://jsmh.umin.jp/journal/57-3/57-3_377-378.pdf</v>
      </c>
      <c r="H5711" s="43"/>
    </row>
    <row r="5712" spans="1:8" ht="30" customHeight="1" x14ac:dyDescent="0.15">
      <c r="A5712" s="16" t="s">
        <v>1102</v>
      </c>
      <c r="B5712" s="17" t="s">
        <v>9508</v>
      </c>
      <c r="C5712" s="17" t="s">
        <v>8944</v>
      </c>
      <c r="D5712" s="25" t="s">
        <v>9320</v>
      </c>
      <c r="E5712" s="19" t="s">
        <v>9478</v>
      </c>
      <c r="F5712" s="19" t="s">
        <v>6537</v>
      </c>
      <c r="G5712" s="27" t="str">
        <f>HYPERLINK("http://jsmh.umin.jp/journal/57-3/57-3_378-379.pdf")</f>
        <v>http://jsmh.umin.jp/journal/57-3/57-3_378-379.pdf</v>
      </c>
      <c r="H5712" s="43"/>
    </row>
    <row r="5713" spans="1:8" ht="30" customHeight="1" x14ac:dyDescent="0.15">
      <c r="A5713" s="16" t="s">
        <v>1102</v>
      </c>
      <c r="B5713" s="17" t="s">
        <v>9509</v>
      </c>
      <c r="C5713" s="17" t="s">
        <v>9510</v>
      </c>
      <c r="D5713" s="25" t="s">
        <v>9320</v>
      </c>
      <c r="E5713" s="19" t="s">
        <v>9478</v>
      </c>
      <c r="F5713" s="19" t="s">
        <v>6540</v>
      </c>
      <c r="G5713" s="27" t="str">
        <f>HYPERLINK("http://jsmh.umin.jp/journal/57-3/57-3_380-381.pdf")</f>
        <v>http://jsmh.umin.jp/journal/57-3/57-3_380-381.pdf</v>
      </c>
      <c r="H5713" s="43"/>
    </row>
    <row r="5714" spans="1:8" ht="30" customHeight="1" x14ac:dyDescent="0.15">
      <c r="A5714" s="16" t="s">
        <v>1102</v>
      </c>
      <c r="B5714" s="17" t="s">
        <v>9511</v>
      </c>
      <c r="C5714" s="17" t="s">
        <v>9334</v>
      </c>
      <c r="D5714" s="25" t="s">
        <v>9320</v>
      </c>
      <c r="E5714" s="19" t="s">
        <v>9478</v>
      </c>
      <c r="F5714" s="19" t="s">
        <v>9512</v>
      </c>
      <c r="G5714" s="27" t="str">
        <f>HYPERLINK("http://jsmh.umin.jp/journal/57-3/57-3_381-382.pdf")</f>
        <v>http://jsmh.umin.jp/journal/57-3/57-3_381-382.pdf</v>
      </c>
      <c r="H5714" s="43"/>
    </row>
    <row r="5715" spans="1:8" ht="30" customHeight="1" x14ac:dyDescent="0.15">
      <c r="A5715" s="16" t="s">
        <v>1102</v>
      </c>
      <c r="B5715" s="17" t="s">
        <v>9513</v>
      </c>
      <c r="C5715" s="17" t="s">
        <v>4770</v>
      </c>
      <c r="D5715" s="25" t="s">
        <v>9320</v>
      </c>
      <c r="E5715" s="19" t="s">
        <v>9478</v>
      </c>
      <c r="F5715" s="19" t="s">
        <v>9514</v>
      </c>
      <c r="G5715" s="27" t="str">
        <f>HYPERLINK("http://jsmh.umin.jp/journal/57-3/57-3_382-384.pdf")</f>
        <v>http://jsmh.umin.jp/journal/57-3/57-3_382-384.pdf</v>
      </c>
      <c r="H5715" s="43"/>
    </row>
    <row r="5716" spans="1:8" ht="30" customHeight="1" x14ac:dyDescent="0.15">
      <c r="A5716" s="16" t="s">
        <v>1102</v>
      </c>
      <c r="B5716" s="17" t="s">
        <v>9515</v>
      </c>
      <c r="C5716" s="17" t="s">
        <v>4848</v>
      </c>
      <c r="D5716" s="25" t="s">
        <v>9320</v>
      </c>
      <c r="E5716" s="19" t="s">
        <v>9478</v>
      </c>
      <c r="F5716" s="19" t="s">
        <v>3376</v>
      </c>
      <c r="G5716" s="9" t="str">
        <f>HYPERLINK("http://jsmh.umin.jp/journal/57-3/57-3_384.pdf")</f>
        <v>http://jsmh.umin.jp/journal/57-3/57-3_384.pdf</v>
      </c>
      <c r="H5716" s="43"/>
    </row>
    <row r="5717" spans="1:8" ht="30" customHeight="1" x14ac:dyDescent="0.15">
      <c r="A5717" s="16" t="s">
        <v>9104</v>
      </c>
      <c r="B5717" s="17" t="s">
        <v>9516</v>
      </c>
      <c r="C5717" s="17" t="s">
        <v>10299</v>
      </c>
      <c r="D5717" s="25" t="s">
        <v>9320</v>
      </c>
      <c r="E5717" s="19" t="s">
        <v>9478</v>
      </c>
      <c r="F5717" s="19" t="s">
        <v>9517</v>
      </c>
      <c r="G5717" s="9" t="str">
        <f>HYPERLINK("http://jsmh.umin.jp/journal/57-3/57-3_385.pdf")</f>
        <v>http://jsmh.umin.jp/journal/57-3/57-3_385.pdf</v>
      </c>
      <c r="H5717" s="43"/>
    </row>
    <row r="5718" spans="1:8" ht="30" customHeight="1" x14ac:dyDescent="0.15">
      <c r="A5718" s="16" t="s">
        <v>9104</v>
      </c>
      <c r="B5718" s="17" t="s">
        <v>9518</v>
      </c>
      <c r="C5718" s="17" t="s">
        <v>10299</v>
      </c>
      <c r="D5718" s="25" t="s">
        <v>9320</v>
      </c>
      <c r="E5718" s="19" t="s">
        <v>9478</v>
      </c>
      <c r="F5718" s="19" t="s">
        <v>9517</v>
      </c>
      <c r="G5718" s="9" t="str">
        <f>HYPERLINK("http://jsmh.umin.jp/journal/57-3/57-3_385.pdf")</f>
        <v>http://jsmh.umin.jp/journal/57-3/57-3_385.pdf</v>
      </c>
      <c r="H5718" s="43"/>
    </row>
    <row r="5719" spans="1:8" ht="30" customHeight="1" x14ac:dyDescent="0.15">
      <c r="A5719" s="16" t="s">
        <v>558</v>
      </c>
      <c r="B5719" s="17" t="s">
        <v>9519</v>
      </c>
      <c r="C5719" s="17" t="s">
        <v>1070</v>
      </c>
      <c r="D5719" s="25" t="s">
        <v>9320</v>
      </c>
      <c r="E5719" s="19" t="s">
        <v>9478</v>
      </c>
      <c r="F5719" s="19" t="s">
        <v>6546</v>
      </c>
      <c r="G5719" s="27" t="str">
        <f>HYPERLINK("http://jsmh.umin.jp/journal/57-3/57-3_shinsai.pdf")</f>
        <v>http://jsmh.umin.jp/journal/57-3/57-3_shinsai.pdf</v>
      </c>
      <c r="H5719" s="43"/>
    </row>
    <row r="5720" spans="1:8" ht="30" customHeight="1" x14ac:dyDescent="0.15">
      <c r="A5720" s="16" t="s">
        <v>713</v>
      </c>
      <c r="B5720" s="17" t="s">
        <v>9520</v>
      </c>
      <c r="C5720" s="17"/>
      <c r="D5720" s="25" t="s">
        <v>9320</v>
      </c>
      <c r="E5720" s="19" t="s">
        <v>9478</v>
      </c>
      <c r="F5720" s="19" t="s">
        <v>2143</v>
      </c>
      <c r="G5720" s="9" t="str">
        <f>HYPERLINK("http://jsmh.umin.jp/journal/57-3/57-3_kaikoku.pdf")</f>
        <v>http://jsmh.umin.jp/journal/57-3/57-3_kaikoku.pdf</v>
      </c>
      <c r="H5720" s="43"/>
    </row>
    <row r="5721" spans="1:8" ht="30" customHeight="1" x14ac:dyDescent="0.15">
      <c r="A5721" s="16" t="s">
        <v>713</v>
      </c>
      <c r="B5721" s="17" t="s">
        <v>9521</v>
      </c>
      <c r="C5721" s="17"/>
      <c r="D5721" s="25" t="s">
        <v>9320</v>
      </c>
      <c r="E5721" s="19" t="s">
        <v>9478</v>
      </c>
      <c r="F5721" s="19" t="s">
        <v>9522</v>
      </c>
      <c r="G5721" s="9" t="str">
        <f>HYPERLINK("http://jsmh.umin.jp/journal/57-3/57-3_teikan.pdf")</f>
        <v>http://jsmh.umin.jp/journal/57-3/57-3_teikan.pdf</v>
      </c>
      <c r="H5721" s="43"/>
    </row>
    <row r="5722" spans="1:8" ht="30" customHeight="1" x14ac:dyDescent="0.15">
      <c r="A5722" s="16" t="s">
        <v>17</v>
      </c>
      <c r="B5722" s="17" t="s">
        <v>9523</v>
      </c>
      <c r="C5722" s="17" t="s">
        <v>10355</v>
      </c>
      <c r="D5722" s="25" t="s">
        <v>9320</v>
      </c>
      <c r="E5722" s="19" t="s">
        <v>9524</v>
      </c>
      <c r="F5722" s="19" t="s">
        <v>9525</v>
      </c>
      <c r="G5722" s="9" t="str">
        <f>HYPERLINK("http://jsmh.umin.jp/journal/57-4/57-4_403.pdf")</f>
        <v>http://jsmh.umin.jp/journal/57-4/57-4_403.pdf</v>
      </c>
      <c r="H5722" s="43"/>
    </row>
    <row r="5723" spans="1:8" ht="30" customHeight="1" x14ac:dyDescent="0.15">
      <c r="A5723" s="16" t="s">
        <v>17</v>
      </c>
      <c r="B5723" s="17" t="s">
        <v>9526</v>
      </c>
      <c r="C5723" s="17" t="s">
        <v>10280</v>
      </c>
      <c r="D5723" s="25" t="s">
        <v>9320</v>
      </c>
      <c r="E5723" s="19" t="s">
        <v>9524</v>
      </c>
      <c r="F5723" s="19" t="s">
        <v>9527</v>
      </c>
      <c r="G5723" s="9" t="str">
        <f>HYPERLINK("http://jsmh.umin.jp/journal/57-4/57-4_419.pdf")</f>
        <v>http://jsmh.umin.jp/journal/57-4/57-4_419.pdf</v>
      </c>
      <c r="H5723" s="43"/>
    </row>
    <row r="5724" spans="1:8" ht="30" customHeight="1" x14ac:dyDescent="0.15">
      <c r="A5724" s="16" t="s">
        <v>17</v>
      </c>
      <c r="B5724" s="17" t="s">
        <v>9528</v>
      </c>
      <c r="C5724" s="17" t="s">
        <v>6601</v>
      </c>
      <c r="D5724" s="25" t="s">
        <v>9320</v>
      </c>
      <c r="E5724" s="19" t="s">
        <v>9524</v>
      </c>
      <c r="F5724" s="19" t="s">
        <v>9529</v>
      </c>
      <c r="G5724" s="9" t="str">
        <f>HYPERLINK("http://jsmh.umin.jp/journal/57-4/57-4_433.pdf")</f>
        <v>http://jsmh.umin.jp/journal/57-4/57-4_433.pdf</v>
      </c>
      <c r="H5724" s="43"/>
    </row>
    <row r="5725" spans="1:8" ht="30" customHeight="1" x14ac:dyDescent="0.15">
      <c r="A5725" s="16" t="s">
        <v>7637</v>
      </c>
      <c r="B5725" s="17" t="s">
        <v>9530</v>
      </c>
      <c r="C5725" s="17" t="s">
        <v>9091</v>
      </c>
      <c r="D5725" s="25" t="s">
        <v>9320</v>
      </c>
      <c r="E5725" s="19" t="s">
        <v>9524</v>
      </c>
      <c r="F5725" s="19" t="s">
        <v>9531</v>
      </c>
      <c r="G5725" s="9" t="str">
        <f>HYPERLINK("http://jsmh.umin.jp/journal/57-4/57-4_451.pdf")</f>
        <v>http://jsmh.umin.jp/journal/57-4/57-4_451.pdf</v>
      </c>
      <c r="H5725" s="43"/>
    </row>
    <row r="5726" spans="1:8" ht="30" customHeight="1" x14ac:dyDescent="0.15">
      <c r="A5726" s="16" t="s">
        <v>692</v>
      </c>
      <c r="B5726" s="17" t="s">
        <v>9532</v>
      </c>
      <c r="C5726" s="17" t="s">
        <v>10483</v>
      </c>
      <c r="D5726" s="25" t="s">
        <v>9320</v>
      </c>
      <c r="E5726" s="19" t="s">
        <v>9524</v>
      </c>
      <c r="F5726" s="19" t="s">
        <v>9533</v>
      </c>
      <c r="G5726" s="9" t="str">
        <f>HYPERLINK("http://jsmh.umin.jp/journal/57-4/57-4_455.pdf")</f>
        <v>http://jsmh.umin.jp/journal/57-4/57-4_455.pdf</v>
      </c>
      <c r="H5726" s="43"/>
    </row>
    <row r="5727" spans="1:8" ht="30" customHeight="1" x14ac:dyDescent="0.15">
      <c r="A5727" s="16" t="s">
        <v>692</v>
      </c>
      <c r="B5727" s="17" t="s">
        <v>9534</v>
      </c>
      <c r="C5727" s="17" t="s">
        <v>4870</v>
      </c>
      <c r="D5727" s="25" t="s">
        <v>9320</v>
      </c>
      <c r="E5727" s="19" t="s">
        <v>9524</v>
      </c>
      <c r="F5727" s="19" t="s">
        <v>9535</v>
      </c>
      <c r="G5727" s="9" t="str">
        <f>HYPERLINK("http://jsmh.umin.jp/journal/57-4/57-4_483.pdf")</f>
        <v>http://jsmh.umin.jp/journal/57-4/57-4_483.pdf</v>
      </c>
      <c r="H5727" s="43"/>
    </row>
    <row r="5728" spans="1:8" ht="30" customHeight="1" x14ac:dyDescent="0.15">
      <c r="A5728" s="16"/>
      <c r="B5728" s="17" t="s">
        <v>10604</v>
      </c>
      <c r="C5728" s="17"/>
      <c r="D5728" s="25" t="s">
        <v>9320</v>
      </c>
      <c r="E5728" s="19" t="s">
        <v>9524</v>
      </c>
      <c r="F5728" s="19">
        <v>493</v>
      </c>
      <c r="G5728" s="27" t="str">
        <f>HYPERLINK("http://jsmh.umin.jp/journal/57-4/57-4_493.pdf")</f>
        <v>http://jsmh.umin.jp/journal/57-4/57-4_493.pdf</v>
      </c>
      <c r="H5728" s="43"/>
    </row>
    <row r="5729" spans="1:8" ht="30" customHeight="1" x14ac:dyDescent="0.15">
      <c r="A5729" s="16" t="s">
        <v>3720</v>
      </c>
      <c r="B5729" s="17" t="s">
        <v>9536</v>
      </c>
      <c r="C5729" s="17" t="s">
        <v>7320</v>
      </c>
      <c r="D5729" s="25" t="s">
        <v>9320</v>
      </c>
      <c r="E5729" s="19" t="s">
        <v>9524</v>
      </c>
      <c r="F5729" s="19" t="s">
        <v>3927</v>
      </c>
      <c r="G5729" s="9" t="str">
        <f>HYPERLINK("http://jsmh.umin.jp/journal/57-4/57-4_493-494.pdf")</f>
        <v>http://jsmh.umin.jp/journal/57-4/57-4_493-494.pdf</v>
      </c>
      <c r="H5729" s="43"/>
    </row>
    <row r="5730" spans="1:8" ht="30" customHeight="1" x14ac:dyDescent="0.15">
      <c r="A5730" s="16" t="s">
        <v>1102</v>
      </c>
      <c r="B5730" s="17" t="s">
        <v>9537</v>
      </c>
      <c r="C5730" s="17" t="s">
        <v>8556</v>
      </c>
      <c r="D5730" s="25" t="s">
        <v>9320</v>
      </c>
      <c r="E5730" s="19" t="s">
        <v>9524</v>
      </c>
      <c r="F5730" s="19" t="s">
        <v>9538</v>
      </c>
      <c r="G5730" s="9" t="str">
        <f>HYPERLINK("http://jsmh.umin.jp/journal/57-4/57-4_495-496.pdf")</f>
        <v>http://jsmh.umin.jp/journal/57-4/57-4_495-496.pdf</v>
      </c>
      <c r="H5730" s="43"/>
    </row>
    <row r="5731" spans="1:8" ht="30" customHeight="1" x14ac:dyDescent="0.15">
      <c r="A5731" s="16" t="s">
        <v>1102</v>
      </c>
      <c r="B5731" s="17" t="s">
        <v>9539</v>
      </c>
      <c r="C5731" s="17" t="s">
        <v>6565</v>
      </c>
      <c r="D5731" s="25" t="s">
        <v>9320</v>
      </c>
      <c r="E5731" s="19" t="s">
        <v>9524</v>
      </c>
      <c r="F5731" s="19" t="s">
        <v>7341</v>
      </c>
      <c r="G5731" s="9" t="str">
        <f>HYPERLINK("http://jsmh.umin.jp/journal/57-4/57-4_496-497.pdf")</f>
        <v>http://jsmh.umin.jp/journal/57-4/57-4_496-497.pdf</v>
      </c>
      <c r="H5731" s="43"/>
    </row>
    <row r="5732" spans="1:8" ht="30" customHeight="1" x14ac:dyDescent="0.15">
      <c r="A5732" s="16" t="s">
        <v>1102</v>
      </c>
      <c r="B5732" s="17" t="s">
        <v>10484</v>
      </c>
      <c r="C5732" s="17" t="s">
        <v>7944</v>
      </c>
      <c r="D5732" s="25" t="s">
        <v>9320</v>
      </c>
      <c r="E5732" s="19" t="s">
        <v>9524</v>
      </c>
      <c r="F5732" s="19" t="s">
        <v>9540</v>
      </c>
      <c r="G5732" s="9" t="str">
        <f>HYPERLINK("http://jsmh.umin.jp/journal/57-4/57-4_497-499.pdf")</f>
        <v>http://jsmh.umin.jp/journal/57-4/57-4_497-499.pdf</v>
      </c>
      <c r="H5732" s="43"/>
    </row>
    <row r="5733" spans="1:8" ht="30" customHeight="1" x14ac:dyDescent="0.15">
      <c r="A5733" s="16" t="s">
        <v>1102</v>
      </c>
      <c r="B5733" s="17" t="s">
        <v>9541</v>
      </c>
      <c r="C5733" s="17" t="s">
        <v>5625</v>
      </c>
      <c r="D5733" s="25" t="s">
        <v>9320</v>
      </c>
      <c r="E5733" s="19" t="s">
        <v>9524</v>
      </c>
      <c r="F5733" s="19" t="s">
        <v>5158</v>
      </c>
      <c r="G5733" s="9" t="str">
        <f>HYPERLINK("http://jsmh.umin.jp/journal/57-4/57-4_499-500.pdf")</f>
        <v>http://jsmh.umin.jp/journal/57-4/57-4_499-500.pdf</v>
      </c>
      <c r="H5733" s="43"/>
    </row>
    <row r="5734" spans="1:8" ht="30" customHeight="1" x14ac:dyDescent="0.15">
      <c r="A5734" s="16" t="s">
        <v>1102</v>
      </c>
      <c r="B5734" s="17" t="s">
        <v>9542</v>
      </c>
      <c r="C5734" s="17" t="s">
        <v>6565</v>
      </c>
      <c r="D5734" s="25" t="s">
        <v>9320</v>
      </c>
      <c r="E5734" s="19" t="s">
        <v>9524</v>
      </c>
      <c r="F5734" s="19" t="s">
        <v>2718</v>
      </c>
      <c r="G5734" s="9" t="str">
        <f>HYPERLINK("http://jsmh.umin.jp/journal/57-4/57-4_500-501.pdf")</f>
        <v>http://jsmh.umin.jp/journal/57-4/57-4_500-501.pdf</v>
      </c>
      <c r="H5734" s="43"/>
    </row>
    <row r="5735" spans="1:8" ht="30" customHeight="1" x14ac:dyDescent="0.15">
      <c r="A5735" s="16" t="s">
        <v>17</v>
      </c>
      <c r="B5735" s="17" t="s">
        <v>10485</v>
      </c>
      <c r="C5735" s="17" t="s">
        <v>9543</v>
      </c>
      <c r="D5735" s="18" t="s">
        <v>9544</v>
      </c>
      <c r="E5735" s="19" t="s">
        <v>9545</v>
      </c>
      <c r="F5735" s="19" t="s">
        <v>9546</v>
      </c>
      <c r="G5735" s="9" t="str">
        <f>HYPERLINK("http://jsmh.umin.jp/journal/58-1/58-1_3.pdf")</f>
        <v>http://jsmh.umin.jp/journal/58-1/58-1_3.pdf</v>
      </c>
      <c r="H5735" s="43"/>
    </row>
    <row r="5736" spans="1:8" ht="30" customHeight="1" x14ac:dyDescent="0.15">
      <c r="A5736" s="16" t="s">
        <v>17</v>
      </c>
      <c r="B5736" s="17" t="s">
        <v>10486</v>
      </c>
      <c r="C5736" s="17" t="s">
        <v>9328</v>
      </c>
      <c r="D5736" s="25" t="s">
        <v>9544</v>
      </c>
      <c r="E5736" s="19" t="s">
        <v>9545</v>
      </c>
      <c r="F5736" s="19" t="s">
        <v>9547</v>
      </c>
      <c r="G5736" s="9" t="str">
        <f>HYPERLINK("http://jsmh.umin.jp/journal/58-1/58-1_15.pdf")</f>
        <v>http://jsmh.umin.jp/journal/58-1/58-1_15.pdf</v>
      </c>
      <c r="H5736" s="43"/>
    </row>
    <row r="5737" spans="1:8" ht="30" customHeight="1" x14ac:dyDescent="0.15">
      <c r="A5737" s="16" t="s">
        <v>17</v>
      </c>
      <c r="B5737" s="17" t="s">
        <v>10487</v>
      </c>
      <c r="C5737" s="17" t="s">
        <v>9548</v>
      </c>
      <c r="D5737" s="25" t="s">
        <v>9544</v>
      </c>
      <c r="E5737" s="19" t="s">
        <v>9545</v>
      </c>
      <c r="F5737" s="19" t="s">
        <v>1648</v>
      </c>
      <c r="G5737" s="9" t="str">
        <f>HYPERLINK("http://jsmh.umin.jp/journal/58-1/58-1_29.pdf")</f>
        <v>http://jsmh.umin.jp/journal/58-1/58-1_29.pdf</v>
      </c>
      <c r="H5737" s="43"/>
    </row>
    <row r="5738" spans="1:8" ht="30" customHeight="1" x14ac:dyDescent="0.15">
      <c r="A5738" s="16" t="s">
        <v>17</v>
      </c>
      <c r="B5738" s="17" t="s">
        <v>9549</v>
      </c>
      <c r="C5738" s="17" t="s">
        <v>9481</v>
      </c>
      <c r="D5738" s="25" t="s">
        <v>9544</v>
      </c>
      <c r="E5738" s="19" t="s">
        <v>9545</v>
      </c>
      <c r="F5738" s="19" t="s">
        <v>9550</v>
      </c>
      <c r="G5738" s="9" t="str">
        <f>HYPERLINK("http://jsmh.umin.jp/journal/58-1/58-1_39.pdf")</f>
        <v>http://jsmh.umin.jp/journal/58-1/58-1_39.pdf</v>
      </c>
      <c r="H5738" s="43"/>
    </row>
    <row r="5739" spans="1:8" ht="30" customHeight="1" x14ac:dyDescent="0.15">
      <c r="A5739" s="16" t="s">
        <v>7637</v>
      </c>
      <c r="B5739" s="17" t="s">
        <v>10488</v>
      </c>
      <c r="C5739" s="17" t="s">
        <v>8834</v>
      </c>
      <c r="D5739" s="25" t="s">
        <v>9544</v>
      </c>
      <c r="E5739" s="19" t="s">
        <v>9545</v>
      </c>
      <c r="F5739" s="19" t="s">
        <v>2013</v>
      </c>
      <c r="G5739" s="9" t="str">
        <f>HYPERLINK("http://jsmh.umin.jp/journal/58-1/58-1_53.pdf")</f>
        <v>http://jsmh.umin.jp/journal/58-1/58-1_53.pdf</v>
      </c>
      <c r="H5739" s="43"/>
    </row>
    <row r="5740" spans="1:8" ht="30" customHeight="1" x14ac:dyDescent="0.15">
      <c r="A5740" s="16" t="s">
        <v>7637</v>
      </c>
      <c r="B5740" s="17" t="s">
        <v>10489</v>
      </c>
      <c r="C5740" s="17" t="s">
        <v>9551</v>
      </c>
      <c r="D5740" s="25" t="s">
        <v>9544</v>
      </c>
      <c r="E5740" s="19" t="s">
        <v>9545</v>
      </c>
      <c r="F5740" s="19" t="s">
        <v>9552</v>
      </c>
      <c r="G5740" s="9" t="str">
        <f>HYPERLINK("http://jsmh.umin.jp/journal/58-1/58-1_59.pdf")</f>
        <v>http://jsmh.umin.jp/journal/58-1/58-1_59.pdf</v>
      </c>
      <c r="H5740" s="43"/>
    </row>
    <row r="5741" spans="1:8" ht="30" customHeight="1" x14ac:dyDescent="0.15">
      <c r="A5741" s="16" t="s">
        <v>7637</v>
      </c>
      <c r="B5741" s="17" t="s">
        <v>9553</v>
      </c>
      <c r="C5741" s="17" t="s">
        <v>9554</v>
      </c>
      <c r="D5741" s="25" t="s">
        <v>9544</v>
      </c>
      <c r="E5741" s="19" t="s">
        <v>9545</v>
      </c>
      <c r="F5741" s="19" t="s">
        <v>9555</v>
      </c>
      <c r="G5741" s="9" t="str">
        <f>HYPERLINK("http://jsmh.umin.jp/journal/58-1/58-1_67.pdf")</f>
        <v>http://jsmh.umin.jp/journal/58-1/58-1_67.pdf</v>
      </c>
      <c r="H5741" s="43"/>
    </row>
    <row r="5742" spans="1:8" ht="30" customHeight="1" x14ac:dyDescent="0.15">
      <c r="A5742" s="16" t="s">
        <v>692</v>
      </c>
      <c r="B5742" s="17" t="s">
        <v>9556</v>
      </c>
      <c r="C5742" s="17" t="s">
        <v>7522</v>
      </c>
      <c r="D5742" s="25" t="s">
        <v>9544</v>
      </c>
      <c r="E5742" s="19" t="s">
        <v>9545</v>
      </c>
      <c r="F5742" s="19" t="s">
        <v>9557</v>
      </c>
      <c r="G5742" s="9" t="str">
        <f>HYPERLINK("http://jsmh.umin.jp/journal/58-1/58-1_75.pdf")</f>
        <v>http://jsmh.umin.jp/journal/58-1/58-1_75.pdf</v>
      </c>
      <c r="H5742" s="43"/>
    </row>
    <row r="5743" spans="1:8" ht="30" customHeight="1" x14ac:dyDescent="0.15">
      <c r="A5743" s="16" t="s">
        <v>692</v>
      </c>
      <c r="B5743" s="17" t="s">
        <v>9558</v>
      </c>
      <c r="C5743" s="17" t="s">
        <v>7818</v>
      </c>
      <c r="D5743" s="25" t="s">
        <v>9544</v>
      </c>
      <c r="E5743" s="19" t="s">
        <v>9545</v>
      </c>
      <c r="F5743" s="19" t="s">
        <v>1669</v>
      </c>
      <c r="G5743" s="9" t="str">
        <f>HYPERLINK("http://jsmh.umin.jp/journal/58-1/58-1_85.pdf")</f>
        <v>http://jsmh.umin.jp/journal/58-1/58-1_85.pdf</v>
      </c>
      <c r="H5743" s="43"/>
    </row>
    <row r="5744" spans="1:8" ht="30" customHeight="1" x14ac:dyDescent="0.15">
      <c r="A5744" s="16" t="s">
        <v>692</v>
      </c>
      <c r="B5744" s="17" t="s">
        <v>9559</v>
      </c>
      <c r="C5744" s="17" t="s">
        <v>4870</v>
      </c>
      <c r="D5744" s="25" t="s">
        <v>9544</v>
      </c>
      <c r="E5744" s="19" t="s">
        <v>9545</v>
      </c>
      <c r="F5744" s="19" t="s">
        <v>9560</v>
      </c>
      <c r="G5744" s="9" t="str">
        <f>HYPERLINK("http://jsmh.umin.jp/journal/58-1/58-1_93.pdf")</f>
        <v>http://jsmh.umin.jp/journal/58-1/58-1_93.pdf</v>
      </c>
      <c r="H5744" s="43"/>
    </row>
    <row r="5745" spans="1:8" ht="30" customHeight="1" x14ac:dyDescent="0.15">
      <c r="A5745" s="16" t="s">
        <v>3720</v>
      </c>
      <c r="B5745" s="17" t="s">
        <v>9561</v>
      </c>
      <c r="C5745" s="17" t="s">
        <v>2465</v>
      </c>
      <c r="D5745" s="25" t="s">
        <v>9544</v>
      </c>
      <c r="E5745" s="19" t="s">
        <v>9545</v>
      </c>
      <c r="F5745" s="19" t="s">
        <v>949</v>
      </c>
      <c r="G5745" s="9" t="str">
        <f>HYPERLINK("http://jsmh.umin.jp/journal/58-1/58-1_103-104.pdf")</f>
        <v>http://jsmh.umin.jp/journal/58-1/58-1_103-104.pdf</v>
      </c>
      <c r="H5745" s="43"/>
    </row>
    <row r="5746" spans="1:8" ht="30" customHeight="1" x14ac:dyDescent="0.15">
      <c r="A5746" s="16" t="s">
        <v>558</v>
      </c>
      <c r="B5746" s="17" t="s">
        <v>537</v>
      </c>
      <c r="C5746" s="17"/>
      <c r="D5746" s="25" t="s">
        <v>9544</v>
      </c>
      <c r="E5746" s="19" t="s">
        <v>9545</v>
      </c>
      <c r="F5746" s="19" t="s">
        <v>9562</v>
      </c>
      <c r="G5746" s="9" t="str">
        <f>HYPERLINK("http://jsmh.umin.jp/journal/58-1/58-1_103.pdf")</f>
        <v>http://jsmh.umin.jp/journal/58-1/58-1_103.pdf</v>
      </c>
      <c r="H5746" s="43"/>
    </row>
    <row r="5747" spans="1:8" ht="30" customHeight="1" x14ac:dyDescent="0.15">
      <c r="A5747" s="16" t="s">
        <v>3720</v>
      </c>
      <c r="B5747" s="17" t="s">
        <v>9563</v>
      </c>
      <c r="C5747" s="17" t="s">
        <v>9564</v>
      </c>
      <c r="D5747" s="25" t="s">
        <v>9544</v>
      </c>
      <c r="E5747" s="19" t="s">
        <v>9545</v>
      </c>
      <c r="F5747" s="19" t="s">
        <v>186</v>
      </c>
      <c r="G5747" s="9" t="str">
        <f>HYPERLINK("http://jsmh.umin.jp/journal/58-1/58-1_104-105.pdf")</f>
        <v>http://jsmh.umin.jp/journal/58-1/58-1_104-105.pdf</v>
      </c>
      <c r="H5747" s="43"/>
    </row>
    <row r="5748" spans="1:8" ht="30" customHeight="1" x14ac:dyDescent="0.15">
      <c r="A5748" s="16" t="s">
        <v>3720</v>
      </c>
      <c r="B5748" s="17" t="s">
        <v>10490</v>
      </c>
      <c r="C5748" s="17" t="s">
        <v>9565</v>
      </c>
      <c r="D5748" s="25" t="s">
        <v>9544</v>
      </c>
      <c r="E5748" s="19" t="s">
        <v>9545</v>
      </c>
      <c r="F5748" s="19" t="s">
        <v>189</v>
      </c>
      <c r="G5748" s="9" t="str">
        <f>HYPERLINK("http://jsmh.umin.jp/journal/58-1/58-1_106-107.pdf")</f>
        <v>http://jsmh.umin.jp/journal/58-1/58-1_106-107.pdf</v>
      </c>
      <c r="H5748" s="43"/>
    </row>
    <row r="5749" spans="1:8" ht="30" customHeight="1" x14ac:dyDescent="0.15">
      <c r="A5749" s="16" t="s">
        <v>3720</v>
      </c>
      <c r="B5749" s="17" t="s">
        <v>9566</v>
      </c>
      <c r="C5749" s="17" t="s">
        <v>5837</v>
      </c>
      <c r="D5749" s="25" t="s">
        <v>9544</v>
      </c>
      <c r="E5749" s="19" t="s">
        <v>9545</v>
      </c>
      <c r="F5749" s="19" t="s">
        <v>194</v>
      </c>
      <c r="G5749" s="9" t="str">
        <f>HYPERLINK("http://jsmh.umin.jp/journal/58-1/58-1_107-108.pdf")</f>
        <v>http://jsmh.umin.jp/journal/58-1/58-1_107-108.pdf</v>
      </c>
      <c r="H5749" s="43"/>
    </row>
    <row r="5750" spans="1:8" ht="30" customHeight="1" x14ac:dyDescent="0.15">
      <c r="A5750" s="16" t="s">
        <v>3720</v>
      </c>
      <c r="B5750" s="17" t="s">
        <v>9567</v>
      </c>
      <c r="C5750" s="17" t="s">
        <v>9568</v>
      </c>
      <c r="D5750" s="25" t="s">
        <v>9544</v>
      </c>
      <c r="E5750" s="19" t="s">
        <v>9545</v>
      </c>
      <c r="F5750" s="19" t="s">
        <v>5025</v>
      </c>
      <c r="G5750" s="9" t="str">
        <f>HYPERLINK("http://jsmh.umin.jp/journal/58-1/58-1_108.pdf")</f>
        <v>http://jsmh.umin.jp/journal/58-1/58-1_108.pdf</v>
      </c>
      <c r="H5750" s="43"/>
    </row>
    <row r="5751" spans="1:8" ht="30" customHeight="1" x14ac:dyDescent="0.15">
      <c r="A5751" s="16" t="s">
        <v>1102</v>
      </c>
      <c r="B5751" s="17" t="s">
        <v>9569</v>
      </c>
      <c r="C5751" s="17" t="s">
        <v>7316</v>
      </c>
      <c r="D5751" s="25" t="s">
        <v>9544</v>
      </c>
      <c r="E5751" s="19" t="s">
        <v>9545</v>
      </c>
      <c r="F5751" s="19" t="s">
        <v>196</v>
      </c>
      <c r="G5751" s="9" t="str">
        <f>HYPERLINK("http://jsmh.umin.jp/journal/58-1/58-1_109-110.pdf")</f>
        <v>http://jsmh.umin.jp/journal/58-1/58-1_109-110.pdf</v>
      </c>
      <c r="H5751" s="43"/>
    </row>
    <row r="5752" spans="1:8" ht="30" customHeight="1" x14ac:dyDescent="0.15">
      <c r="A5752" s="16" t="s">
        <v>1102</v>
      </c>
      <c r="B5752" s="17" t="s">
        <v>9570</v>
      </c>
      <c r="C5752" s="17" t="s">
        <v>2465</v>
      </c>
      <c r="D5752" s="25" t="s">
        <v>9544</v>
      </c>
      <c r="E5752" s="19" t="s">
        <v>9545</v>
      </c>
      <c r="F5752" s="19" t="s">
        <v>3606</v>
      </c>
      <c r="G5752" s="9" t="str">
        <f>HYPERLINK("http://jsmh.umin.jp/journal/58-1/58-1_110-112.pdf")</f>
        <v>http://jsmh.umin.jp/journal/58-1/58-1_110-112.pdf</v>
      </c>
      <c r="H5752" s="43"/>
    </row>
    <row r="5753" spans="1:8" ht="30" customHeight="1" x14ac:dyDescent="0.15">
      <c r="A5753" s="16" t="s">
        <v>1102</v>
      </c>
      <c r="B5753" s="17" t="s">
        <v>9571</v>
      </c>
      <c r="C5753" s="17" t="s">
        <v>10214</v>
      </c>
      <c r="D5753" s="25" t="s">
        <v>9544</v>
      </c>
      <c r="E5753" s="19" t="s">
        <v>9545</v>
      </c>
      <c r="F5753" s="19" t="s">
        <v>4349</v>
      </c>
      <c r="G5753" s="9" t="str">
        <f>HYPERLINK("http://jsmh.umin.jp/journal/58-1/58-1_112-113.pdf")</f>
        <v>http://jsmh.umin.jp/journal/58-1/58-1_112-113.pdf</v>
      </c>
      <c r="H5753" s="43"/>
    </row>
    <row r="5754" spans="1:8" ht="30" customHeight="1" x14ac:dyDescent="0.15">
      <c r="A5754" s="16" t="s">
        <v>1102</v>
      </c>
      <c r="B5754" s="17" t="s">
        <v>9572</v>
      </c>
      <c r="C5754" s="17" t="s">
        <v>10214</v>
      </c>
      <c r="D5754" s="25" t="s">
        <v>9544</v>
      </c>
      <c r="E5754" s="19" t="s">
        <v>9545</v>
      </c>
      <c r="F5754" s="19" t="s">
        <v>2394</v>
      </c>
      <c r="G5754" s="9" t="str">
        <f>HYPERLINK("http://jsmh.umin.jp/journal/58-1/58-1_113-114.pdf")</f>
        <v>http://jsmh.umin.jp/journal/58-1/58-1_113-114.pdf</v>
      </c>
      <c r="H5754" s="43"/>
    </row>
    <row r="5755" spans="1:8" ht="30" customHeight="1" x14ac:dyDescent="0.15">
      <c r="A5755" s="16" t="s">
        <v>9104</v>
      </c>
      <c r="B5755" s="17" t="s">
        <v>10491</v>
      </c>
      <c r="C5755" s="17" t="s">
        <v>10299</v>
      </c>
      <c r="D5755" s="25" t="s">
        <v>9544</v>
      </c>
      <c r="E5755" s="19" t="s">
        <v>9545</v>
      </c>
      <c r="F5755" s="19" t="s">
        <v>8753</v>
      </c>
      <c r="G5755" s="9" t="str">
        <f>HYPERLINK("http://jsmh.umin.jp/journal/58-1/58-1_115.pdf")</f>
        <v>http://jsmh.umin.jp/journal/58-1/58-1_115.pdf</v>
      </c>
      <c r="H5755" s="43"/>
    </row>
    <row r="5756" spans="1:8" ht="30" customHeight="1" x14ac:dyDescent="0.15">
      <c r="A5756" s="16" t="s">
        <v>9104</v>
      </c>
      <c r="B5756" s="17" t="s">
        <v>10492</v>
      </c>
      <c r="C5756" s="17" t="s">
        <v>10299</v>
      </c>
      <c r="D5756" s="25" t="s">
        <v>9544</v>
      </c>
      <c r="E5756" s="19" t="s">
        <v>9545</v>
      </c>
      <c r="F5756" s="19" t="s">
        <v>2400</v>
      </c>
      <c r="G5756" s="9" t="str">
        <f>HYPERLINK("http://jsmh.umin.jp/journal/58-1/58-1_116-117.pdf")</f>
        <v>http://jsmh.umin.jp/journal/58-1/58-1_116-117.pdf</v>
      </c>
      <c r="H5756" s="43"/>
    </row>
    <row r="5757" spans="1:8" ht="30" customHeight="1" x14ac:dyDescent="0.15">
      <c r="A5757" s="16" t="s">
        <v>9104</v>
      </c>
      <c r="B5757" s="17" t="s">
        <v>9573</v>
      </c>
      <c r="C5757" s="17" t="s">
        <v>10299</v>
      </c>
      <c r="D5757" s="25" t="s">
        <v>9544</v>
      </c>
      <c r="E5757" s="19" t="s">
        <v>9545</v>
      </c>
      <c r="F5757" s="19" t="s">
        <v>8755</v>
      </c>
      <c r="G5757" s="9" t="str">
        <f>HYPERLINK("http://jsmh.umin.jp/journal/58-1/58-1_116.pdf")</f>
        <v>http://jsmh.umin.jp/journal/58-1/58-1_116.pdf</v>
      </c>
      <c r="H5757" s="43"/>
    </row>
    <row r="5758" spans="1:8" ht="30" customHeight="1" x14ac:dyDescent="0.15">
      <c r="A5758" s="16" t="s">
        <v>1855</v>
      </c>
      <c r="B5758" s="17" t="s">
        <v>10493</v>
      </c>
      <c r="C5758" s="17" t="s">
        <v>9574</v>
      </c>
      <c r="D5758" s="25" t="s">
        <v>9544</v>
      </c>
      <c r="E5758" s="19" t="s">
        <v>9575</v>
      </c>
      <c r="F5758" s="19" t="s">
        <v>2215</v>
      </c>
      <c r="G5758" s="9" t="str">
        <f>HYPERLINK("http://jsmh.umin.jp/journal/58-2/58-2_131.pdf")</f>
        <v>http://jsmh.umin.jp/journal/58-2/58-2_131.pdf</v>
      </c>
      <c r="H5758" s="43"/>
    </row>
    <row r="5759" spans="1:8" ht="30" customHeight="1" x14ac:dyDescent="0.15">
      <c r="A5759" s="16" t="s">
        <v>1855</v>
      </c>
      <c r="B5759" s="17" t="s">
        <v>10494</v>
      </c>
      <c r="C5759" s="17" t="s">
        <v>10495</v>
      </c>
      <c r="D5759" s="25" t="s">
        <v>9544</v>
      </c>
      <c r="E5759" s="19" t="s">
        <v>9575</v>
      </c>
      <c r="F5759" s="19" t="s">
        <v>8117</v>
      </c>
      <c r="G5759" s="9" t="str">
        <f>HYPERLINK("http://jsmh.umin.jp/journal/58-2/58-2_133.pdf")</f>
        <v>http://jsmh.umin.jp/journal/58-2/58-2_133.pdf</v>
      </c>
      <c r="H5759" s="43"/>
    </row>
    <row r="5760" spans="1:8" ht="30" customHeight="1" x14ac:dyDescent="0.15">
      <c r="A5760" s="16" t="s">
        <v>1855</v>
      </c>
      <c r="B5760" s="17" t="s">
        <v>9576</v>
      </c>
      <c r="C5760" s="17" t="s">
        <v>9577</v>
      </c>
      <c r="D5760" s="25" t="s">
        <v>9544</v>
      </c>
      <c r="E5760" s="19" t="s">
        <v>9575</v>
      </c>
      <c r="F5760" s="19" t="s">
        <v>1345</v>
      </c>
      <c r="G5760" s="9" t="str">
        <f>HYPERLINK("http://jsmh.umin.jp/journal/58-2/58-2_135.pdf")</f>
        <v>http://jsmh.umin.jp/journal/58-2/58-2_135.pdf</v>
      </c>
      <c r="H5760" s="43"/>
    </row>
    <row r="5761" spans="1:8" ht="30" customHeight="1" x14ac:dyDescent="0.15">
      <c r="A5761" s="16" t="s">
        <v>1855</v>
      </c>
      <c r="B5761" s="17" t="s">
        <v>9578</v>
      </c>
      <c r="C5761" s="17" t="s">
        <v>10496</v>
      </c>
      <c r="D5761" s="25" t="s">
        <v>9544</v>
      </c>
      <c r="E5761" s="19" t="s">
        <v>9575</v>
      </c>
      <c r="F5761" s="19" t="s">
        <v>1349</v>
      </c>
      <c r="G5761" s="9" t="str">
        <f>HYPERLINK("http://jsmh.umin.jp/journal/58-2/58-2_137.pdf")</f>
        <v>http://jsmh.umin.jp/journal/58-2/58-2_137.pdf</v>
      </c>
      <c r="H5761" s="43"/>
    </row>
    <row r="5762" spans="1:8" ht="30" customHeight="1" x14ac:dyDescent="0.15">
      <c r="A5762" s="16" t="s">
        <v>1855</v>
      </c>
      <c r="B5762" s="17" t="s">
        <v>9579</v>
      </c>
      <c r="C5762" s="17" t="s">
        <v>9580</v>
      </c>
      <c r="D5762" s="25" t="s">
        <v>9544</v>
      </c>
      <c r="E5762" s="19" t="s">
        <v>9575</v>
      </c>
      <c r="F5762" s="19" t="s">
        <v>1358</v>
      </c>
      <c r="G5762" s="9" t="str">
        <f>HYPERLINK("http://jsmh.umin.jp/journal/58-2/58-2_139.pdf")</f>
        <v>http://jsmh.umin.jp/journal/58-2/58-2_139.pdf</v>
      </c>
      <c r="H5762" s="43"/>
    </row>
    <row r="5763" spans="1:8" ht="30" customHeight="1" x14ac:dyDescent="0.15">
      <c r="A5763" s="16" t="s">
        <v>1855</v>
      </c>
      <c r="B5763" s="17" t="s">
        <v>10497</v>
      </c>
      <c r="C5763" s="17" t="s">
        <v>9581</v>
      </c>
      <c r="D5763" s="25" t="s">
        <v>9544</v>
      </c>
      <c r="E5763" s="19" t="s">
        <v>9575</v>
      </c>
      <c r="F5763" s="19" t="s">
        <v>1361</v>
      </c>
      <c r="G5763" s="9" t="str">
        <f>HYPERLINK("http://jsmh.umin.jp/journal/58-2/58-2_140.pdf")</f>
        <v>http://jsmh.umin.jp/journal/58-2/58-2_140.pdf</v>
      </c>
      <c r="H5763" s="43"/>
    </row>
    <row r="5764" spans="1:8" ht="30" customHeight="1" x14ac:dyDescent="0.15">
      <c r="A5764" s="16" t="s">
        <v>1855</v>
      </c>
      <c r="B5764" s="17" t="s">
        <v>9582</v>
      </c>
      <c r="C5764" s="17" t="s">
        <v>9583</v>
      </c>
      <c r="D5764" s="25" t="s">
        <v>9544</v>
      </c>
      <c r="E5764" s="19" t="s">
        <v>9575</v>
      </c>
      <c r="F5764" s="19" t="s">
        <v>2758</v>
      </c>
      <c r="G5764" s="9" t="str">
        <f>HYPERLINK("http://jsmh.umin.jp/journal/58-2/58-2_141.pdf")</f>
        <v>http://jsmh.umin.jp/journal/58-2/58-2_141.pdf</v>
      </c>
      <c r="H5764" s="43"/>
    </row>
    <row r="5765" spans="1:8" ht="30" customHeight="1" x14ac:dyDescent="0.15">
      <c r="A5765" s="16" t="s">
        <v>1855</v>
      </c>
      <c r="B5765" s="17" t="s">
        <v>10498</v>
      </c>
      <c r="C5765" s="17" t="s">
        <v>6641</v>
      </c>
      <c r="D5765" s="25" t="s">
        <v>9544</v>
      </c>
      <c r="E5765" s="19" t="s">
        <v>9575</v>
      </c>
      <c r="F5765" s="19" t="s">
        <v>1369</v>
      </c>
      <c r="G5765" s="9" t="str">
        <f>HYPERLINK("http://jsmh.umin.jp/journal/58-2/58-2_143.pdf")</f>
        <v>http://jsmh.umin.jp/journal/58-2/58-2_143.pdf</v>
      </c>
      <c r="H5765" s="43"/>
    </row>
    <row r="5766" spans="1:8" ht="30" customHeight="1" x14ac:dyDescent="0.15">
      <c r="A5766" s="16" t="s">
        <v>1855</v>
      </c>
      <c r="B5766" s="17" t="s">
        <v>9584</v>
      </c>
      <c r="C5766" s="17" t="s">
        <v>10496</v>
      </c>
      <c r="D5766" s="25" t="s">
        <v>9544</v>
      </c>
      <c r="E5766" s="19" t="s">
        <v>9575</v>
      </c>
      <c r="F5766" s="19" t="s">
        <v>8788</v>
      </c>
      <c r="G5766" s="9" t="str">
        <f>HYPERLINK("http://jsmh.umin.jp/journal/58-2/58-2_144.pdf")</f>
        <v>http://jsmh.umin.jp/journal/58-2/58-2_144.pdf</v>
      </c>
      <c r="H5766" s="43"/>
    </row>
    <row r="5767" spans="1:8" ht="30" customHeight="1" x14ac:dyDescent="0.15">
      <c r="A5767" s="16" t="s">
        <v>1855</v>
      </c>
      <c r="B5767" s="17" t="s">
        <v>9585</v>
      </c>
      <c r="C5767" s="17" t="s">
        <v>9586</v>
      </c>
      <c r="D5767" s="25" t="s">
        <v>9544</v>
      </c>
      <c r="E5767" s="19" t="s">
        <v>9575</v>
      </c>
      <c r="F5767" s="19" t="s">
        <v>9587</v>
      </c>
      <c r="G5767" s="9" t="str">
        <f>HYPERLINK("http://jsmh.umin.jp/journal/58-2/58-2_145.pdf")</f>
        <v>http://jsmh.umin.jp/journal/58-2/58-2_145.pdf</v>
      </c>
      <c r="H5767" s="43"/>
    </row>
    <row r="5768" spans="1:8" ht="30" customHeight="1" x14ac:dyDescent="0.15">
      <c r="A5768" s="16" t="s">
        <v>1855</v>
      </c>
      <c r="B5768" s="17" t="s">
        <v>9588</v>
      </c>
      <c r="C5768" s="17" t="s">
        <v>10499</v>
      </c>
      <c r="D5768" s="25" t="s">
        <v>9544</v>
      </c>
      <c r="E5768" s="19" t="s">
        <v>9575</v>
      </c>
      <c r="F5768" s="19" t="s">
        <v>1526</v>
      </c>
      <c r="G5768" s="9" t="str">
        <f>HYPERLINK("http://jsmh.umin.jp/journal/58-2/58-2_147.pdf")</f>
        <v>http://jsmh.umin.jp/journal/58-2/58-2_147.pdf</v>
      </c>
      <c r="H5768" s="43"/>
    </row>
    <row r="5769" spans="1:8" ht="30" customHeight="1" x14ac:dyDescent="0.15">
      <c r="A5769" s="16" t="s">
        <v>1855</v>
      </c>
      <c r="B5769" s="17" t="s">
        <v>9589</v>
      </c>
      <c r="C5769" s="17" t="s">
        <v>9590</v>
      </c>
      <c r="D5769" s="25" t="s">
        <v>9544</v>
      </c>
      <c r="E5769" s="19" t="s">
        <v>9575</v>
      </c>
      <c r="F5769" s="19" t="s">
        <v>1686</v>
      </c>
      <c r="G5769" s="9" t="str">
        <f>HYPERLINK("http://jsmh.umin.jp/journal/58-2/58-2_148.pdf")</f>
        <v>http://jsmh.umin.jp/journal/58-2/58-2_148.pdf</v>
      </c>
      <c r="H5769" s="43"/>
    </row>
    <row r="5770" spans="1:8" ht="30" customHeight="1" x14ac:dyDescent="0.15">
      <c r="A5770" s="16" t="s">
        <v>1855</v>
      </c>
      <c r="B5770" s="17" t="s">
        <v>9591</v>
      </c>
      <c r="C5770" s="17" t="s">
        <v>9184</v>
      </c>
      <c r="D5770" s="25" t="s">
        <v>9544</v>
      </c>
      <c r="E5770" s="19" t="s">
        <v>9575</v>
      </c>
      <c r="F5770" s="19" t="s">
        <v>6645</v>
      </c>
      <c r="G5770" s="9" t="str">
        <f>HYPERLINK("http://jsmh.umin.jp/journal/58-2/58-2_149.pdf")</f>
        <v>http://jsmh.umin.jp/journal/58-2/58-2_149.pdf</v>
      </c>
      <c r="H5770" s="43"/>
    </row>
    <row r="5771" spans="1:8" ht="30" customHeight="1" x14ac:dyDescent="0.15">
      <c r="A5771" s="16" t="s">
        <v>1855</v>
      </c>
      <c r="B5771" s="17" t="s">
        <v>9592</v>
      </c>
      <c r="C5771" s="17" t="s">
        <v>9593</v>
      </c>
      <c r="D5771" s="25" t="s">
        <v>9544</v>
      </c>
      <c r="E5771" s="19" t="s">
        <v>9575</v>
      </c>
      <c r="F5771" s="19" t="s">
        <v>2244</v>
      </c>
      <c r="G5771" s="9" t="str">
        <f>HYPERLINK("http://jsmh.umin.jp/journal/58-2/58-2_150.pdf")</f>
        <v>http://jsmh.umin.jp/journal/58-2/58-2_150.pdf</v>
      </c>
      <c r="H5771" s="43"/>
    </row>
    <row r="5772" spans="1:8" ht="30" customHeight="1" x14ac:dyDescent="0.15">
      <c r="A5772" s="16" t="s">
        <v>1855</v>
      </c>
      <c r="B5772" s="17" t="s">
        <v>9594</v>
      </c>
      <c r="C5772" s="17" t="s">
        <v>9088</v>
      </c>
      <c r="D5772" s="25" t="s">
        <v>9544</v>
      </c>
      <c r="E5772" s="19" t="s">
        <v>9575</v>
      </c>
      <c r="F5772" s="19" t="s">
        <v>2245</v>
      </c>
      <c r="G5772" s="9" t="str">
        <f>HYPERLINK("http://jsmh.umin.jp/journal/58-2/58-2_151.pdf")</f>
        <v>http://jsmh.umin.jp/journal/58-2/58-2_151.pdf</v>
      </c>
      <c r="H5772" s="43"/>
    </row>
    <row r="5773" spans="1:8" ht="30" customHeight="1" x14ac:dyDescent="0.15">
      <c r="A5773" s="16" t="s">
        <v>1855</v>
      </c>
      <c r="B5773" s="17" t="s">
        <v>9595</v>
      </c>
      <c r="C5773" s="17" t="s">
        <v>5516</v>
      </c>
      <c r="D5773" s="25" t="s">
        <v>9544</v>
      </c>
      <c r="E5773" s="19" t="s">
        <v>9575</v>
      </c>
      <c r="F5773" s="19" t="s">
        <v>61</v>
      </c>
      <c r="G5773" s="9" t="str">
        <f>HYPERLINK("http://jsmh.umin.jp/journal/58-2/58-2_152.pdf")</f>
        <v>http://jsmh.umin.jp/journal/58-2/58-2_152.pdf</v>
      </c>
      <c r="H5773" s="43"/>
    </row>
    <row r="5774" spans="1:8" ht="30" customHeight="1" x14ac:dyDescent="0.15">
      <c r="A5774" s="16" t="s">
        <v>1855</v>
      </c>
      <c r="B5774" s="17" t="s">
        <v>9596</v>
      </c>
      <c r="C5774" s="17" t="s">
        <v>10299</v>
      </c>
      <c r="D5774" s="25" t="s">
        <v>9544</v>
      </c>
      <c r="E5774" s="19" t="s">
        <v>9575</v>
      </c>
      <c r="F5774" s="19" t="s">
        <v>2248</v>
      </c>
      <c r="G5774" s="9" t="str">
        <f>HYPERLINK("http://jsmh.umin.jp/journal/58-2/58-2_153.pdf")</f>
        <v>http://jsmh.umin.jp/journal/58-2/58-2_153.pdf</v>
      </c>
      <c r="H5774" s="43"/>
    </row>
    <row r="5775" spans="1:8" ht="30" customHeight="1" x14ac:dyDescent="0.15">
      <c r="A5775" s="16" t="s">
        <v>1855</v>
      </c>
      <c r="B5775" s="17" t="s">
        <v>9597</v>
      </c>
      <c r="C5775" s="17" t="s">
        <v>10500</v>
      </c>
      <c r="D5775" s="25" t="s">
        <v>9544</v>
      </c>
      <c r="E5775" s="19" t="s">
        <v>9575</v>
      </c>
      <c r="F5775" s="19" t="s">
        <v>2250</v>
      </c>
      <c r="G5775" s="9" t="str">
        <f>HYPERLINK("http://jsmh.umin.jp/journal/58-2/58-2_154.pdf")</f>
        <v>http://jsmh.umin.jp/journal/58-2/58-2_154.pdf</v>
      </c>
      <c r="H5775" s="43"/>
    </row>
    <row r="5776" spans="1:8" ht="30" customHeight="1" x14ac:dyDescent="0.15">
      <c r="A5776" s="16" t="s">
        <v>1855</v>
      </c>
      <c r="B5776" s="17" t="s">
        <v>9598</v>
      </c>
      <c r="C5776" s="17" t="s">
        <v>6565</v>
      </c>
      <c r="D5776" s="25" t="s">
        <v>9544</v>
      </c>
      <c r="E5776" s="19" t="s">
        <v>9575</v>
      </c>
      <c r="F5776" s="19" t="s">
        <v>8804</v>
      </c>
      <c r="G5776" s="9" t="str">
        <f>HYPERLINK("http://jsmh.umin.jp/journal/58-2/58-2_155.pdf")</f>
        <v>http://jsmh.umin.jp/journal/58-2/58-2_155.pdf</v>
      </c>
      <c r="H5776" s="43"/>
    </row>
    <row r="5777" spans="1:8" ht="30" customHeight="1" x14ac:dyDescent="0.15">
      <c r="A5777" s="16" t="s">
        <v>1855</v>
      </c>
      <c r="B5777" s="17" t="s">
        <v>9599</v>
      </c>
      <c r="C5777" s="17" t="s">
        <v>9132</v>
      </c>
      <c r="D5777" s="25" t="s">
        <v>9544</v>
      </c>
      <c r="E5777" s="19" t="s">
        <v>9575</v>
      </c>
      <c r="F5777" s="19" t="s">
        <v>1692</v>
      </c>
      <c r="G5777" s="9" t="str">
        <f>HYPERLINK("http://jsmh.umin.jp/journal/58-2/58-2_156.pdf")</f>
        <v>http://jsmh.umin.jp/journal/58-2/58-2_156.pdf</v>
      </c>
      <c r="H5777" s="43"/>
    </row>
    <row r="5778" spans="1:8" ht="30" customHeight="1" x14ac:dyDescent="0.15">
      <c r="A5778" s="16" t="s">
        <v>1855</v>
      </c>
      <c r="B5778" s="17" t="s">
        <v>9600</v>
      </c>
      <c r="C5778" s="17" t="s">
        <v>10289</v>
      </c>
      <c r="D5778" s="25" t="s">
        <v>9544</v>
      </c>
      <c r="E5778" s="19" t="s">
        <v>9575</v>
      </c>
      <c r="F5778" s="19" t="s">
        <v>1696</v>
      </c>
      <c r="G5778" s="9" t="str">
        <f>HYPERLINK("http://jsmh.umin.jp/journal/58-2/58-2_157.pdf")</f>
        <v>http://jsmh.umin.jp/journal/58-2/58-2_157.pdf</v>
      </c>
      <c r="H5778" s="43"/>
    </row>
    <row r="5779" spans="1:8" ht="30" customHeight="1" x14ac:dyDescent="0.15">
      <c r="A5779" s="16" t="s">
        <v>1855</v>
      </c>
      <c r="B5779" s="17" t="s">
        <v>9601</v>
      </c>
      <c r="C5779" s="17" t="s">
        <v>10501</v>
      </c>
      <c r="D5779" s="25" t="s">
        <v>9544</v>
      </c>
      <c r="E5779" s="19" t="s">
        <v>9575</v>
      </c>
      <c r="F5779" s="19" t="s">
        <v>8808</v>
      </c>
      <c r="G5779" s="9" t="str">
        <f>HYPERLINK("http://jsmh.umin.jp/journal/58-2/58-2_158.pdf")</f>
        <v>http://jsmh.umin.jp/journal/58-2/58-2_158.pdf</v>
      </c>
      <c r="H5779" s="43"/>
    </row>
    <row r="5780" spans="1:8" ht="30" customHeight="1" x14ac:dyDescent="0.15">
      <c r="A5780" s="16" t="s">
        <v>1855</v>
      </c>
      <c r="B5780" s="17" t="s">
        <v>9602</v>
      </c>
      <c r="C5780" s="17" t="s">
        <v>9366</v>
      </c>
      <c r="D5780" s="25" t="s">
        <v>9544</v>
      </c>
      <c r="E5780" s="19" t="s">
        <v>9575</v>
      </c>
      <c r="F5780" s="19" t="s">
        <v>2259</v>
      </c>
      <c r="G5780" s="9" t="str">
        <f>HYPERLINK("http://jsmh.umin.jp/journal/58-2/58-2_159.pdf")</f>
        <v>http://jsmh.umin.jp/journal/58-2/58-2_159.pdf</v>
      </c>
      <c r="H5780" s="43"/>
    </row>
    <row r="5781" spans="1:8" ht="30" customHeight="1" x14ac:dyDescent="0.15">
      <c r="A5781" s="16" t="s">
        <v>1855</v>
      </c>
      <c r="B5781" s="17" t="s">
        <v>9603</v>
      </c>
      <c r="C5781" s="17" t="s">
        <v>9417</v>
      </c>
      <c r="D5781" s="25" t="s">
        <v>9544</v>
      </c>
      <c r="E5781" s="19" t="s">
        <v>9575</v>
      </c>
      <c r="F5781" s="19" t="s">
        <v>4816</v>
      </c>
      <c r="G5781" s="9" t="str">
        <f>HYPERLINK("http://jsmh.umin.jp/journal/58-2/58-2_160.pdf")</f>
        <v>http://jsmh.umin.jp/journal/58-2/58-2_160.pdf</v>
      </c>
      <c r="H5781" s="43"/>
    </row>
    <row r="5782" spans="1:8" ht="30" customHeight="1" x14ac:dyDescent="0.15">
      <c r="A5782" s="16" t="s">
        <v>1855</v>
      </c>
      <c r="B5782" s="17" t="s">
        <v>9604</v>
      </c>
      <c r="C5782" s="17" t="s">
        <v>9605</v>
      </c>
      <c r="D5782" s="25" t="s">
        <v>9544</v>
      </c>
      <c r="E5782" s="19" t="s">
        <v>9575</v>
      </c>
      <c r="F5782" s="19" t="s">
        <v>228</v>
      </c>
      <c r="G5782" s="9" t="str">
        <f>HYPERLINK("http://jsmh.umin.jp/journal/58-2/58-2_161.pdf")</f>
        <v>http://jsmh.umin.jp/journal/58-2/58-2_161.pdf</v>
      </c>
      <c r="H5782" s="43"/>
    </row>
    <row r="5783" spans="1:8" ht="30" customHeight="1" x14ac:dyDescent="0.15">
      <c r="A5783" s="16" t="s">
        <v>1855</v>
      </c>
      <c r="B5783" s="17" t="s">
        <v>9606</v>
      </c>
      <c r="C5783" s="17" t="s">
        <v>9607</v>
      </c>
      <c r="D5783" s="25" t="s">
        <v>9544</v>
      </c>
      <c r="E5783" s="19" t="s">
        <v>9575</v>
      </c>
      <c r="F5783" s="19" t="s">
        <v>8816</v>
      </c>
      <c r="G5783" s="9" t="str">
        <f>HYPERLINK("http://jsmh.umin.jp/journal/58-2/58-2_162.pdf")</f>
        <v>http://jsmh.umin.jp/journal/58-2/58-2_162.pdf</v>
      </c>
      <c r="H5783" s="43"/>
    </row>
    <row r="5784" spans="1:8" ht="30" customHeight="1" x14ac:dyDescent="0.15">
      <c r="A5784" s="16" t="s">
        <v>1855</v>
      </c>
      <c r="B5784" s="17" t="s">
        <v>9608</v>
      </c>
      <c r="C5784" s="17" t="s">
        <v>8406</v>
      </c>
      <c r="D5784" s="25" t="s">
        <v>9544</v>
      </c>
      <c r="E5784" s="19" t="s">
        <v>9575</v>
      </c>
      <c r="F5784" s="19" t="s">
        <v>3260</v>
      </c>
      <c r="G5784" s="9" t="str">
        <f>HYPERLINK("http://jsmh.umin.jp/journal/58-2/58-2_163.pdf")</f>
        <v>http://jsmh.umin.jp/journal/58-2/58-2_163.pdf</v>
      </c>
      <c r="H5784" s="43"/>
    </row>
    <row r="5785" spans="1:8" ht="30" customHeight="1" x14ac:dyDescent="0.15">
      <c r="A5785" s="16" t="s">
        <v>1855</v>
      </c>
      <c r="B5785" s="17" t="s">
        <v>9609</v>
      </c>
      <c r="C5785" s="17" t="s">
        <v>9383</v>
      </c>
      <c r="D5785" s="25" t="s">
        <v>9544</v>
      </c>
      <c r="E5785" s="19" t="s">
        <v>9575</v>
      </c>
      <c r="F5785" s="19" t="s">
        <v>68</v>
      </c>
      <c r="G5785" s="9" t="str">
        <f>HYPERLINK("http://jsmh.umin.jp/journal/58-2/58-2_164.pdf")</f>
        <v>http://jsmh.umin.jp/journal/58-2/58-2_164.pdf</v>
      </c>
      <c r="H5785" s="43"/>
    </row>
    <row r="5786" spans="1:8" ht="30" customHeight="1" x14ac:dyDescent="0.15">
      <c r="A5786" s="16" t="s">
        <v>1855</v>
      </c>
      <c r="B5786" s="17" t="s">
        <v>9610</v>
      </c>
      <c r="C5786" s="17" t="s">
        <v>9611</v>
      </c>
      <c r="D5786" s="25" t="s">
        <v>9544</v>
      </c>
      <c r="E5786" s="19" t="s">
        <v>9575</v>
      </c>
      <c r="F5786" s="19" t="s">
        <v>8939</v>
      </c>
      <c r="G5786" s="9" t="str">
        <f>HYPERLINK("http://jsmh.umin.jp/journal/58-2/58-2_165.pdf")</f>
        <v>http://jsmh.umin.jp/journal/58-2/58-2_165.pdf</v>
      </c>
      <c r="H5786" s="43"/>
    </row>
    <row r="5787" spans="1:8" ht="30" customHeight="1" x14ac:dyDescent="0.15">
      <c r="A5787" s="16" t="s">
        <v>1855</v>
      </c>
      <c r="B5787" s="17" t="s">
        <v>9612</v>
      </c>
      <c r="C5787" s="17" t="s">
        <v>9613</v>
      </c>
      <c r="D5787" s="25" t="s">
        <v>9544</v>
      </c>
      <c r="E5787" s="19" t="s">
        <v>9575</v>
      </c>
      <c r="F5787" s="19" t="s">
        <v>3813</v>
      </c>
      <c r="G5787" s="9" t="str">
        <f>HYPERLINK("http://jsmh.umin.jp/journal/58-2/58-2_166.pdf")</f>
        <v>http://jsmh.umin.jp/journal/58-2/58-2_166.pdf</v>
      </c>
      <c r="H5787" s="43"/>
    </row>
    <row r="5788" spans="1:8" ht="30" customHeight="1" x14ac:dyDescent="0.15">
      <c r="A5788" s="16" t="s">
        <v>1855</v>
      </c>
      <c r="B5788" s="17" t="s">
        <v>9614</v>
      </c>
      <c r="C5788" s="17" t="s">
        <v>10502</v>
      </c>
      <c r="D5788" s="25" t="s">
        <v>9544</v>
      </c>
      <c r="E5788" s="19" t="s">
        <v>9575</v>
      </c>
      <c r="F5788" s="19" t="s">
        <v>73</v>
      </c>
      <c r="G5788" s="9" t="str">
        <f>HYPERLINK("http://jsmh.umin.jp/journal/58-2/58-2_167.pdf")</f>
        <v>http://jsmh.umin.jp/journal/58-2/58-2_167.pdf</v>
      </c>
      <c r="H5788" s="43"/>
    </row>
    <row r="5789" spans="1:8" ht="30" customHeight="1" x14ac:dyDescent="0.15">
      <c r="A5789" s="16" t="s">
        <v>1855</v>
      </c>
      <c r="B5789" s="17" t="s">
        <v>9615</v>
      </c>
      <c r="C5789" s="17" t="s">
        <v>6267</v>
      </c>
      <c r="D5789" s="25" t="s">
        <v>9544</v>
      </c>
      <c r="E5789" s="19" t="s">
        <v>9575</v>
      </c>
      <c r="F5789" s="19" t="s">
        <v>8945</v>
      </c>
      <c r="G5789" s="9" t="str">
        <f>HYPERLINK("http://jsmh.umin.jp/journal/58-2/58-2_168.pdf")</f>
        <v>http://jsmh.umin.jp/journal/58-2/58-2_168.pdf</v>
      </c>
      <c r="H5789" s="43"/>
    </row>
    <row r="5790" spans="1:8" ht="30" customHeight="1" x14ac:dyDescent="0.15">
      <c r="A5790" s="16" t="s">
        <v>1855</v>
      </c>
      <c r="B5790" s="17" t="s">
        <v>9616</v>
      </c>
      <c r="C5790" s="17" t="s">
        <v>9218</v>
      </c>
      <c r="D5790" s="25" t="s">
        <v>9544</v>
      </c>
      <c r="E5790" s="19" t="s">
        <v>9575</v>
      </c>
      <c r="F5790" s="19" t="s">
        <v>8948</v>
      </c>
      <c r="G5790" s="9" t="str">
        <f>HYPERLINK("http://jsmh.umin.jp/journal/58-2/58-2_169.pdf")</f>
        <v>http://jsmh.umin.jp/journal/58-2/58-2_169.pdf</v>
      </c>
      <c r="H5790" s="43"/>
    </row>
    <row r="5791" spans="1:8" ht="30" customHeight="1" x14ac:dyDescent="0.15">
      <c r="A5791" s="16" t="s">
        <v>1855</v>
      </c>
      <c r="B5791" s="17" t="s">
        <v>9617</v>
      </c>
      <c r="C5791" s="17" t="s">
        <v>9392</v>
      </c>
      <c r="D5791" s="25" t="s">
        <v>9544</v>
      </c>
      <c r="E5791" s="19" t="s">
        <v>9575</v>
      </c>
      <c r="F5791" s="19" t="s">
        <v>2557</v>
      </c>
      <c r="G5791" s="9" t="str">
        <f>HYPERLINK("http://jsmh.umin.jp/journal/58-2/58-2_170.pdf")</f>
        <v>http://jsmh.umin.jp/journal/58-2/58-2_170.pdf</v>
      </c>
      <c r="H5791" s="43"/>
    </row>
    <row r="5792" spans="1:8" ht="30" customHeight="1" x14ac:dyDescent="0.15">
      <c r="A5792" s="16" t="s">
        <v>1855</v>
      </c>
      <c r="B5792" s="17" t="s">
        <v>9618</v>
      </c>
      <c r="C5792" s="17" t="s">
        <v>9455</v>
      </c>
      <c r="D5792" s="25" t="s">
        <v>9544</v>
      </c>
      <c r="E5792" s="19" t="s">
        <v>9575</v>
      </c>
      <c r="F5792" s="19" t="s">
        <v>5046</v>
      </c>
      <c r="G5792" s="9" t="str">
        <f>HYPERLINK("http://jsmh.umin.jp/journal/58-2/58-2_171.pdf")</f>
        <v>http://jsmh.umin.jp/journal/58-2/58-2_171.pdf</v>
      </c>
      <c r="H5792" s="43"/>
    </row>
    <row r="5793" spans="1:8" ht="30" customHeight="1" x14ac:dyDescent="0.15">
      <c r="A5793" s="16" t="s">
        <v>1855</v>
      </c>
      <c r="B5793" s="17" t="s">
        <v>9619</v>
      </c>
      <c r="C5793" s="17" t="s">
        <v>7542</v>
      </c>
      <c r="D5793" s="25" t="s">
        <v>9544</v>
      </c>
      <c r="E5793" s="19" t="s">
        <v>9575</v>
      </c>
      <c r="F5793" s="19" t="s">
        <v>5048</v>
      </c>
      <c r="G5793" s="9" t="str">
        <f>HYPERLINK("http://jsmh.umin.jp/journal/58-2/58-2_172.pdf")</f>
        <v>http://jsmh.umin.jp/journal/58-2/58-2_172.pdf</v>
      </c>
      <c r="H5793" s="43"/>
    </row>
    <row r="5794" spans="1:8" ht="30" customHeight="1" x14ac:dyDescent="0.15">
      <c r="A5794" s="16" t="s">
        <v>1855</v>
      </c>
      <c r="B5794" s="17" t="s">
        <v>9620</v>
      </c>
      <c r="C5794" s="17" t="s">
        <v>6300</v>
      </c>
      <c r="D5794" s="25" t="s">
        <v>9544</v>
      </c>
      <c r="E5794" s="19" t="s">
        <v>9575</v>
      </c>
      <c r="F5794" s="19" t="s">
        <v>5050</v>
      </c>
      <c r="G5794" s="9" t="str">
        <f>HYPERLINK("http://jsmh.umin.jp/journal/58-2/58-2_173.pdf")</f>
        <v>http://jsmh.umin.jp/journal/58-2/58-2_173.pdf</v>
      </c>
      <c r="H5794" s="43"/>
    </row>
    <row r="5795" spans="1:8" ht="30" customHeight="1" x14ac:dyDescent="0.15">
      <c r="A5795" s="16" t="s">
        <v>1855</v>
      </c>
      <c r="B5795" s="17" t="s">
        <v>9621</v>
      </c>
      <c r="C5795" s="17" t="s">
        <v>10457</v>
      </c>
      <c r="D5795" s="25" t="s">
        <v>9544</v>
      </c>
      <c r="E5795" s="19" t="s">
        <v>9575</v>
      </c>
      <c r="F5795" s="19" t="s">
        <v>5053</v>
      </c>
      <c r="G5795" s="9" t="str">
        <f>HYPERLINK("http://jsmh.umin.jp/journal/58-2/58-2_174.pdf")</f>
        <v>http://jsmh.umin.jp/journal/58-2/58-2_174.pdf</v>
      </c>
      <c r="H5795" s="43"/>
    </row>
    <row r="5796" spans="1:8" ht="30" customHeight="1" x14ac:dyDescent="0.15">
      <c r="A5796" s="16" t="s">
        <v>1855</v>
      </c>
      <c r="B5796" s="17" t="s">
        <v>9622</v>
      </c>
      <c r="C5796" s="17" t="s">
        <v>9623</v>
      </c>
      <c r="D5796" s="25" t="s">
        <v>9544</v>
      </c>
      <c r="E5796" s="19" t="s">
        <v>9575</v>
      </c>
      <c r="F5796" s="19" t="s">
        <v>8956</v>
      </c>
      <c r="G5796" s="9" t="str">
        <f>HYPERLINK("http://jsmh.umin.jp/journal/58-2/58-2_175.pdf")</f>
        <v>http://jsmh.umin.jp/journal/58-2/58-2_175.pdf</v>
      </c>
      <c r="H5796" s="43"/>
    </row>
    <row r="5797" spans="1:8" ht="30" customHeight="1" x14ac:dyDescent="0.15">
      <c r="A5797" s="16" t="s">
        <v>1855</v>
      </c>
      <c r="B5797" s="17" t="s">
        <v>9624</v>
      </c>
      <c r="C5797" s="17" t="s">
        <v>7176</v>
      </c>
      <c r="D5797" s="25" t="s">
        <v>9544</v>
      </c>
      <c r="E5797" s="19" t="s">
        <v>9575</v>
      </c>
      <c r="F5797" s="19" t="s">
        <v>8958</v>
      </c>
      <c r="G5797" s="9" t="str">
        <f>HYPERLINK("http://jsmh.umin.jp/journal/58-2/58-2_176.pdf")</f>
        <v>http://jsmh.umin.jp/journal/58-2/58-2_176.pdf</v>
      </c>
      <c r="H5797" s="43"/>
    </row>
    <row r="5798" spans="1:8" ht="30" customHeight="1" x14ac:dyDescent="0.15">
      <c r="A5798" s="16" t="s">
        <v>1855</v>
      </c>
      <c r="B5798" s="17" t="s">
        <v>9625</v>
      </c>
      <c r="C5798" s="17" t="s">
        <v>2881</v>
      </c>
      <c r="D5798" s="25" t="s">
        <v>9544</v>
      </c>
      <c r="E5798" s="19" t="s">
        <v>9575</v>
      </c>
      <c r="F5798" s="19" t="s">
        <v>1709</v>
      </c>
      <c r="G5798" s="9" t="str">
        <f>HYPERLINK("http://jsmh.umin.jp/journal/58-2/58-2_177.pdf")</f>
        <v>http://jsmh.umin.jp/journal/58-2/58-2_177.pdf</v>
      </c>
      <c r="H5798" s="43"/>
    </row>
    <row r="5799" spans="1:8" ht="30" customHeight="1" x14ac:dyDescent="0.15">
      <c r="A5799" s="16" t="s">
        <v>1855</v>
      </c>
      <c r="B5799" s="17" t="s">
        <v>10503</v>
      </c>
      <c r="C5799" s="17" t="s">
        <v>9207</v>
      </c>
      <c r="D5799" s="25" t="s">
        <v>9544</v>
      </c>
      <c r="E5799" s="19" t="s">
        <v>9575</v>
      </c>
      <c r="F5799" s="19" t="s">
        <v>8961</v>
      </c>
      <c r="G5799" s="9" t="str">
        <f>HYPERLINK("http://jsmh.umin.jp/journal/58-2/58-2_178.pdf")</f>
        <v>http://jsmh.umin.jp/journal/58-2/58-2_178.pdf</v>
      </c>
      <c r="H5799" s="43"/>
    </row>
    <row r="5800" spans="1:8" ht="30" customHeight="1" x14ac:dyDescent="0.15">
      <c r="A5800" s="16" t="s">
        <v>1855</v>
      </c>
      <c r="B5800" s="17" t="s">
        <v>9626</v>
      </c>
      <c r="C5800" s="17" t="s">
        <v>8601</v>
      </c>
      <c r="D5800" s="25" t="s">
        <v>9544</v>
      </c>
      <c r="E5800" s="19" t="s">
        <v>9575</v>
      </c>
      <c r="F5800" s="19" t="s">
        <v>4173</v>
      </c>
      <c r="G5800" s="9" t="str">
        <f>HYPERLINK("http://jsmh.umin.jp/journal/58-2/58-2_179.pdf")</f>
        <v>http://jsmh.umin.jp/journal/58-2/58-2_179.pdf</v>
      </c>
      <c r="H5800" s="43"/>
    </row>
    <row r="5801" spans="1:8" ht="30" customHeight="1" x14ac:dyDescent="0.15">
      <c r="A5801" s="16" t="s">
        <v>1855</v>
      </c>
      <c r="B5801" s="17" t="s">
        <v>9627</v>
      </c>
      <c r="C5801" s="17" t="s">
        <v>7377</v>
      </c>
      <c r="D5801" s="25" t="s">
        <v>9544</v>
      </c>
      <c r="E5801" s="19" t="s">
        <v>9575</v>
      </c>
      <c r="F5801" s="19" t="s">
        <v>8965</v>
      </c>
      <c r="G5801" s="9" t="str">
        <f>HYPERLINK("http://jsmh.umin.jp/journal/58-2/58-2_180.pdf")</f>
        <v>http://jsmh.umin.jp/journal/58-2/58-2_180.pdf</v>
      </c>
      <c r="H5801" s="43"/>
    </row>
    <row r="5802" spans="1:8" ht="30" customHeight="1" x14ac:dyDescent="0.15">
      <c r="A5802" s="16" t="s">
        <v>1855</v>
      </c>
      <c r="B5802" s="17" t="s">
        <v>9628</v>
      </c>
      <c r="C5802" s="17" t="s">
        <v>9445</v>
      </c>
      <c r="D5802" s="25" t="s">
        <v>9544</v>
      </c>
      <c r="E5802" s="19" t="s">
        <v>9575</v>
      </c>
      <c r="F5802" s="19" t="s">
        <v>3424</v>
      </c>
      <c r="G5802" s="9" t="str">
        <f>HYPERLINK("http://jsmh.umin.jp/journal/58-2/58-2_181.pdf")</f>
        <v>http://jsmh.umin.jp/journal/58-2/58-2_181.pdf</v>
      </c>
      <c r="H5802" s="43"/>
    </row>
    <row r="5803" spans="1:8" ht="30" customHeight="1" x14ac:dyDescent="0.15">
      <c r="A5803" s="16" t="s">
        <v>1855</v>
      </c>
      <c r="B5803" s="17" t="s">
        <v>9629</v>
      </c>
      <c r="C5803" s="17" t="s">
        <v>7965</v>
      </c>
      <c r="D5803" s="25" t="s">
        <v>9544</v>
      </c>
      <c r="E5803" s="19" t="s">
        <v>9575</v>
      </c>
      <c r="F5803" s="19" t="s">
        <v>1717</v>
      </c>
      <c r="G5803" s="9" t="str">
        <f>HYPERLINK("http://jsmh.umin.jp/journal/58-2/58-2_182.pdf")</f>
        <v>http://jsmh.umin.jp/journal/58-2/58-2_182.pdf</v>
      </c>
      <c r="H5803" s="43"/>
    </row>
    <row r="5804" spans="1:8" ht="30" customHeight="1" x14ac:dyDescent="0.15">
      <c r="A5804" s="16" t="s">
        <v>1855</v>
      </c>
      <c r="B5804" s="17" t="s">
        <v>9630</v>
      </c>
      <c r="C5804" s="17" t="s">
        <v>9631</v>
      </c>
      <c r="D5804" s="25" t="s">
        <v>9544</v>
      </c>
      <c r="E5804" s="19" t="s">
        <v>9575</v>
      </c>
      <c r="F5804" s="19" t="s">
        <v>8969</v>
      </c>
      <c r="G5804" s="9" t="str">
        <f>HYPERLINK("http://jsmh.umin.jp/journal/58-2/58-2_183.pdf")</f>
        <v>http://jsmh.umin.jp/journal/58-2/58-2_183.pdf</v>
      </c>
      <c r="H5804" s="43"/>
    </row>
    <row r="5805" spans="1:8" ht="30" customHeight="1" x14ac:dyDescent="0.15">
      <c r="A5805" s="16" t="s">
        <v>1855</v>
      </c>
      <c r="B5805" s="17" t="s">
        <v>9632</v>
      </c>
      <c r="C5805" s="17" t="s">
        <v>9633</v>
      </c>
      <c r="D5805" s="25" t="s">
        <v>9544</v>
      </c>
      <c r="E5805" s="19" t="s">
        <v>9575</v>
      </c>
      <c r="F5805" s="19" t="s">
        <v>2047</v>
      </c>
      <c r="G5805" s="9" t="str">
        <f>HYPERLINK("http://jsmh.umin.jp/journal/58-2/58-2_184.pdf")</f>
        <v>http://jsmh.umin.jp/journal/58-2/58-2_184.pdf</v>
      </c>
      <c r="H5805" s="43"/>
    </row>
    <row r="5806" spans="1:8" ht="30" customHeight="1" x14ac:dyDescent="0.15">
      <c r="A5806" s="16" t="s">
        <v>1855</v>
      </c>
      <c r="B5806" s="17" t="s">
        <v>9634</v>
      </c>
      <c r="C5806" s="17" t="s">
        <v>10504</v>
      </c>
      <c r="D5806" s="25" t="s">
        <v>9544</v>
      </c>
      <c r="E5806" s="19" t="s">
        <v>9575</v>
      </c>
      <c r="F5806" s="19" t="s">
        <v>2055</v>
      </c>
      <c r="G5806" s="9" t="str">
        <f>HYPERLINK("http://jsmh.umin.jp/journal/58-2/58-2_185.pdf")</f>
        <v>http://jsmh.umin.jp/journal/58-2/58-2_185.pdf</v>
      </c>
      <c r="H5806" s="43"/>
    </row>
    <row r="5807" spans="1:8" ht="30" customHeight="1" x14ac:dyDescent="0.15">
      <c r="A5807" s="16" t="s">
        <v>1855</v>
      </c>
      <c r="B5807" s="17" t="s">
        <v>9635</v>
      </c>
      <c r="C5807" s="17" t="s">
        <v>9636</v>
      </c>
      <c r="D5807" s="25" t="s">
        <v>9544</v>
      </c>
      <c r="E5807" s="19" t="s">
        <v>9575</v>
      </c>
      <c r="F5807" s="19" t="s">
        <v>2057</v>
      </c>
      <c r="G5807" s="9" t="str">
        <f>HYPERLINK("http://jsmh.umin.jp/journal/58-2/58-2_186.pdf")</f>
        <v>http://jsmh.umin.jp/journal/58-2/58-2_186.pdf</v>
      </c>
      <c r="H5807" s="43"/>
    </row>
    <row r="5808" spans="1:8" ht="30" customHeight="1" x14ac:dyDescent="0.15">
      <c r="A5808" s="16" t="s">
        <v>1855</v>
      </c>
      <c r="B5808" s="17" t="s">
        <v>9637</v>
      </c>
      <c r="C5808" s="17" t="s">
        <v>9638</v>
      </c>
      <c r="D5808" s="25" t="s">
        <v>9544</v>
      </c>
      <c r="E5808" s="19" t="s">
        <v>9575</v>
      </c>
      <c r="F5808" s="19" t="s">
        <v>3674</v>
      </c>
      <c r="G5808" s="9" t="str">
        <f>HYPERLINK("http://jsmh.umin.jp/journal/58-2/58-2_187.pdf")</f>
        <v>http://jsmh.umin.jp/journal/58-2/58-2_187.pdf</v>
      </c>
      <c r="H5808" s="43"/>
    </row>
    <row r="5809" spans="1:8" ht="30" customHeight="1" x14ac:dyDescent="0.15">
      <c r="A5809" s="16" t="s">
        <v>1855</v>
      </c>
      <c r="B5809" s="17" t="s">
        <v>9639</v>
      </c>
      <c r="C5809" s="17" t="s">
        <v>8743</v>
      </c>
      <c r="D5809" s="25" t="s">
        <v>9544</v>
      </c>
      <c r="E5809" s="19" t="s">
        <v>9575</v>
      </c>
      <c r="F5809" s="19" t="s">
        <v>8977</v>
      </c>
      <c r="G5809" s="9" t="str">
        <f>HYPERLINK("http://jsmh.umin.jp/journal/58-2/58-2_188.pdf")</f>
        <v>http://jsmh.umin.jp/journal/58-2/58-2_188.pdf</v>
      </c>
      <c r="H5809" s="43"/>
    </row>
    <row r="5810" spans="1:8" ht="30" customHeight="1" x14ac:dyDescent="0.15">
      <c r="A5810" s="16" t="s">
        <v>1855</v>
      </c>
      <c r="B5810" s="17" t="s">
        <v>9640</v>
      </c>
      <c r="C5810" s="17" t="s">
        <v>9641</v>
      </c>
      <c r="D5810" s="25" t="s">
        <v>9544</v>
      </c>
      <c r="E5810" s="19" t="s">
        <v>9575</v>
      </c>
      <c r="F5810" s="19" t="s">
        <v>1725</v>
      </c>
      <c r="G5810" s="9" t="str">
        <f>HYPERLINK("http://jsmh.umin.jp/journal/58-2/58-2_189.pdf")</f>
        <v>http://jsmh.umin.jp/journal/58-2/58-2_189.pdf</v>
      </c>
      <c r="H5810" s="43"/>
    </row>
    <row r="5811" spans="1:8" ht="30" customHeight="1" x14ac:dyDescent="0.15">
      <c r="A5811" s="16" t="s">
        <v>1855</v>
      </c>
      <c r="B5811" s="17" t="s">
        <v>9642</v>
      </c>
      <c r="C5811" s="17" t="s">
        <v>9643</v>
      </c>
      <c r="D5811" s="25" t="s">
        <v>9544</v>
      </c>
      <c r="E5811" s="19" t="s">
        <v>9575</v>
      </c>
      <c r="F5811" s="19" t="s">
        <v>979</v>
      </c>
      <c r="G5811" s="9" t="str">
        <f>HYPERLINK("http://jsmh.umin.jp/journal/58-2/58-2_190.pdf")</f>
        <v>http://jsmh.umin.jp/journal/58-2/58-2_190.pdf</v>
      </c>
      <c r="H5811" s="43"/>
    </row>
    <row r="5812" spans="1:8" ht="30" customHeight="1" x14ac:dyDescent="0.15">
      <c r="A5812" s="16" t="s">
        <v>1855</v>
      </c>
      <c r="B5812" s="17" t="s">
        <v>9644</v>
      </c>
      <c r="C5812" s="17" t="s">
        <v>7316</v>
      </c>
      <c r="D5812" s="25" t="s">
        <v>9544</v>
      </c>
      <c r="E5812" s="19" t="s">
        <v>9575</v>
      </c>
      <c r="F5812" s="19" t="s">
        <v>983</v>
      </c>
      <c r="G5812" s="9" t="str">
        <f>HYPERLINK("http://jsmh.umin.jp/journal/58-2/58-2_191.pdf")</f>
        <v>http://jsmh.umin.jp/journal/58-2/58-2_191.pdf</v>
      </c>
      <c r="H5812" s="43"/>
    </row>
    <row r="5813" spans="1:8" ht="30" customHeight="1" x14ac:dyDescent="0.15">
      <c r="A5813" s="16" t="s">
        <v>1855</v>
      </c>
      <c r="B5813" s="17" t="s">
        <v>9645</v>
      </c>
      <c r="C5813" s="17" t="s">
        <v>9646</v>
      </c>
      <c r="D5813" s="25" t="s">
        <v>9544</v>
      </c>
      <c r="E5813" s="19" t="s">
        <v>9575</v>
      </c>
      <c r="F5813" s="19" t="s">
        <v>988</v>
      </c>
      <c r="G5813" s="9" t="str">
        <f>HYPERLINK("http://jsmh.umin.jp/journal/58-2/58-2_192.pdf")</f>
        <v>http://jsmh.umin.jp/journal/58-2/58-2_192.pdf</v>
      </c>
      <c r="H5813" s="43"/>
    </row>
    <row r="5814" spans="1:8" ht="30" customHeight="1" x14ac:dyDescent="0.15">
      <c r="A5814" s="16" t="s">
        <v>1855</v>
      </c>
      <c r="B5814" s="17" t="s">
        <v>9647</v>
      </c>
      <c r="C5814" s="17" t="s">
        <v>7320</v>
      </c>
      <c r="D5814" s="25" t="s">
        <v>9544</v>
      </c>
      <c r="E5814" s="19" t="s">
        <v>9575</v>
      </c>
      <c r="F5814" s="19" t="s">
        <v>5077</v>
      </c>
      <c r="G5814" s="9" t="str">
        <f>HYPERLINK("http://jsmh.umin.jp/journal/58-2/58-2_193.pdf")</f>
        <v>http://jsmh.umin.jp/journal/58-2/58-2_193.pdf</v>
      </c>
      <c r="H5814" s="43"/>
    </row>
    <row r="5815" spans="1:8" ht="30" customHeight="1" x14ac:dyDescent="0.15">
      <c r="A5815" s="16" t="s">
        <v>1855</v>
      </c>
      <c r="B5815" s="17" t="s">
        <v>9648</v>
      </c>
      <c r="C5815" s="17" t="s">
        <v>9649</v>
      </c>
      <c r="D5815" s="25" t="s">
        <v>9544</v>
      </c>
      <c r="E5815" s="19" t="s">
        <v>9575</v>
      </c>
      <c r="F5815" s="19" t="s">
        <v>1732</v>
      </c>
      <c r="G5815" s="9" t="str">
        <f>HYPERLINK("http://jsmh.umin.jp/journal/58-2/58-2_194.pdf")</f>
        <v>http://jsmh.umin.jp/journal/58-2/58-2_194.pdf</v>
      </c>
      <c r="H5815" s="43"/>
    </row>
    <row r="5816" spans="1:8" ht="30" customHeight="1" x14ac:dyDescent="0.15">
      <c r="A5816" s="16" t="s">
        <v>1855</v>
      </c>
      <c r="B5816" s="17" t="s">
        <v>9650</v>
      </c>
      <c r="C5816" s="17" t="s">
        <v>8944</v>
      </c>
      <c r="D5816" s="25" t="s">
        <v>9544</v>
      </c>
      <c r="E5816" s="19" t="s">
        <v>9575</v>
      </c>
      <c r="F5816" s="19" t="s">
        <v>995</v>
      </c>
      <c r="G5816" s="9" t="str">
        <f>HYPERLINK("http://jsmh.umin.jp/journal/58-2/58-2_195.pdf")</f>
        <v>http://jsmh.umin.jp/journal/58-2/58-2_195.pdf</v>
      </c>
      <c r="H5816" s="43"/>
    </row>
    <row r="5817" spans="1:8" ht="30" customHeight="1" x14ac:dyDescent="0.15">
      <c r="A5817" s="16" t="s">
        <v>1855</v>
      </c>
      <c r="B5817" s="17" t="s">
        <v>9651</v>
      </c>
      <c r="C5817" s="17" t="s">
        <v>9652</v>
      </c>
      <c r="D5817" s="25" t="s">
        <v>9544</v>
      </c>
      <c r="E5817" s="19" t="s">
        <v>9575</v>
      </c>
      <c r="F5817" s="19" t="s">
        <v>1001</v>
      </c>
      <c r="G5817" s="9" t="str">
        <f>HYPERLINK("http://jsmh.umin.jp/journal/58-2/58-2_196.pdf")</f>
        <v>http://jsmh.umin.jp/journal/58-2/58-2_196.pdf</v>
      </c>
      <c r="H5817" s="43"/>
    </row>
    <row r="5818" spans="1:8" ht="30" customHeight="1" x14ac:dyDescent="0.15">
      <c r="A5818" s="16" t="s">
        <v>1855</v>
      </c>
      <c r="B5818" s="17" t="s">
        <v>9653</v>
      </c>
      <c r="C5818" s="17" t="s">
        <v>9654</v>
      </c>
      <c r="D5818" s="25" t="s">
        <v>9544</v>
      </c>
      <c r="E5818" s="19" t="s">
        <v>9575</v>
      </c>
      <c r="F5818" s="19" t="s">
        <v>1004</v>
      </c>
      <c r="G5818" s="9" t="str">
        <f>HYPERLINK("http://jsmh.umin.jp/journal/58-2/58-2_197.pdf")</f>
        <v>http://jsmh.umin.jp/journal/58-2/58-2_197.pdf</v>
      </c>
      <c r="H5818" s="43"/>
    </row>
    <row r="5819" spans="1:8" ht="30" customHeight="1" x14ac:dyDescent="0.15">
      <c r="A5819" s="16" t="s">
        <v>1855</v>
      </c>
      <c r="B5819" s="17" t="s">
        <v>9655</v>
      </c>
      <c r="C5819" s="17" t="s">
        <v>9656</v>
      </c>
      <c r="D5819" s="25" t="s">
        <v>9544</v>
      </c>
      <c r="E5819" s="19" t="s">
        <v>9575</v>
      </c>
      <c r="F5819" s="19" t="s">
        <v>2440</v>
      </c>
      <c r="G5819" s="9" t="str">
        <f>HYPERLINK("http://jsmh.umin.jp/journal/58-2/58-2_198.pdf")</f>
        <v>http://jsmh.umin.jp/journal/58-2/58-2_198.pdf</v>
      </c>
      <c r="H5819" s="43"/>
    </row>
    <row r="5820" spans="1:8" ht="30" customHeight="1" x14ac:dyDescent="0.15">
      <c r="A5820" s="16" t="s">
        <v>1855</v>
      </c>
      <c r="B5820" s="17" t="s">
        <v>9657</v>
      </c>
      <c r="C5820" s="17" t="s">
        <v>790</v>
      </c>
      <c r="D5820" s="25" t="s">
        <v>9544</v>
      </c>
      <c r="E5820" s="19" t="s">
        <v>9575</v>
      </c>
      <c r="F5820" s="19" t="s">
        <v>8990</v>
      </c>
      <c r="G5820" s="9" t="str">
        <f>HYPERLINK("http://jsmh.umin.jp/journal/58-2/58-2_199.pdf")</f>
        <v>http://jsmh.umin.jp/journal/58-2/58-2_199.pdf</v>
      </c>
      <c r="H5820" s="43"/>
    </row>
    <row r="5821" spans="1:8" ht="30" customHeight="1" x14ac:dyDescent="0.15">
      <c r="A5821" s="16" t="s">
        <v>1855</v>
      </c>
      <c r="B5821" s="17" t="s">
        <v>9658</v>
      </c>
      <c r="C5821" s="17" t="s">
        <v>7248</v>
      </c>
      <c r="D5821" s="25" t="s">
        <v>9544</v>
      </c>
      <c r="E5821" s="19" t="s">
        <v>9575</v>
      </c>
      <c r="F5821" s="19" t="s">
        <v>2942</v>
      </c>
      <c r="G5821" s="9" t="str">
        <f>HYPERLINK("http://jsmh.umin.jp/journal/58-2/58-2_200.pdf")</f>
        <v>http://jsmh.umin.jp/journal/58-2/58-2_200.pdf</v>
      </c>
      <c r="H5821" s="43"/>
    </row>
    <row r="5822" spans="1:8" ht="30" customHeight="1" x14ac:dyDescent="0.15">
      <c r="A5822" s="16" t="s">
        <v>1855</v>
      </c>
      <c r="B5822" s="17" t="s">
        <v>9659</v>
      </c>
      <c r="C5822" s="17" t="s">
        <v>8947</v>
      </c>
      <c r="D5822" s="25" t="s">
        <v>9544</v>
      </c>
      <c r="E5822" s="19" t="s">
        <v>9575</v>
      </c>
      <c r="F5822" s="19" t="s">
        <v>2944</v>
      </c>
      <c r="G5822" s="9" t="str">
        <f>HYPERLINK("http://jsmh.umin.jp/journal/58-2/58-2_201.pdf")</f>
        <v>http://jsmh.umin.jp/journal/58-2/58-2_201.pdf</v>
      </c>
      <c r="H5822" s="43"/>
    </row>
    <row r="5823" spans="1:8" ht="30" customHeight="1" x14ac:dyDescent="0.15">
      <c r="A5823" s="16" t="s">
        <v>1855</v>
      </c>
      <c r="B5823" s="17" t="s">
        <v>9660</v>
      </c>
      <c r="C5823" s="17" t="s">
        <v>10280</v>
      </c>
      <c r="D5823" s="25" t="s">
        <v>9544</v>
      </c>
      <c r="E5823" s="19" t="s">
        <v>9575</v>
      </c>
      <c r="F5823" s="19" t="s">
        <v>80</v>
      </c>
      <c r="G5823" s="9" t="str">
        <f>HYPERLINK("http://jsmh.umin.jp/journal/58-2/58-2_202.pdf")</f>
        <v>http://jsmh.umin.jp/journal/58-2/58-2_202.pdf</v>
      </c>
      <c r="H5823" s="43"/>
    </row>
    <row r="5824" spans="1:8" ht="30" customHeight="1" x14ac:dyDescent="0.15">
      <c r="A5824" s="16" t="s">
        <v>1855</v>
      </c>
      <c r="B5824" s="17" t="s">
        <v>9661</v>
      </c>
      <c r="C5824" s="17" t="s">
        <v>6705</v>
      </c>
      <c r="D5824" s="25" t="s">
        <v>9544</v>
      </c>
      <c r="E5824" s="19" t="s">
        <v>9575</v>
      </c>
      <c r="F5824" s="19" t="s">
        <v>2594</v>
      </c>
      <c r="G5824" s="9" t="str">
        <f>HYPERLINK("http://jsmh.umin.jp/journal/58-2/58-2_203.pdf")</f>
        <v>http://jsmh.umin.jp/journal/58-2/58-2_203.pdf</v>
      </c>
      <c r="H5824" s="43"/>
    </row>
    <row r="5825" spans="1:8" ht="30" customHeight="1" x14ac:dyDescent="0.15">
      <c r="A5825" s="16" t="s">
        <v>1855</v>
      </c>
      <c r="B5825" s="17" t="s">
        <v>9662</v>
      </c>
      <c r="C5825" s="17" t="s">
        <v>9663</v>
      </c>
      <c r="D5825" s="25" t="s">
        <v>9544</v>
      </c>
      <c r="E5825" s="19" t="s">
        <v>9575</v>
      </c>
      <c r="F5825" s="19" t="s">
        <v>8997</v>
      </c>
      <c r="G5825" s="9" t="str">
        <f>HYPERLINK("http://jsmh.umin.jp/journal/58-2/58-2_204.pdf")</f>
        <v>http://jsmh.umin.jp/journal/58-2/58-2_204.pdf</v>
      </c>
      <c r="H5825" s="43"/>
    </row>
    <row r="5826" spans="1:8" ht="30" customHeight="1" x14ac:dyDescent="0.15">
      <c r="A5826" s="16" t="s">
        <v>1855</v>
      </c>
      <c r="B5826" s="17" t="s">
        <v>9664</v>
      </c>
      <c r="C5826" s="17" t="s">
        <v>2937</v>
      </c>
      <c r="D5826" s="25" t="s">
        <v>9544</v>
      </c>
      <c r="E5826" s="19" t="s">
        <v>9575</v>
      </c>
      <c r="F5826" s="19" t="s">
        <v>8999</v>
      </c>
      <c r="G5826" s="9" t="str">
        <f>HYPERLINK("http://jsmh.umin.jp/journal/58-2/58-2_205.pdf")</f>
        <v>http://jsmh.umin.jp/journal/58-2/58-2_205.pdf</v>
      </c>
      <c r="H5826" s="43"/>
    </row>
    <row r="5827" spans="1:8" ht="30" customHeight="1" x14ac:dyDescent="0.15">
      <c r="A5827" s="16" t="s">
        <v>1855</v>
      </c>
      <c r="B5827" s="17" t="s">
        <v>9665</v>
      </c>
      <c r="C5827" s="17" t="s">
        <v>8545</v>
      </c>
      <c r="D5827" s="25" t="s">
        <v>9544</v>
      </c>
      <c r="E5827" s="19" t="s">
        <v>9575</v>
      </c>
      <c r="F5827" s="19" t="s">
        <v>9001</v>
      </c>
      <c r="G5827" s="9" t="str">
        <f>HYPERLINK("http://jsmh.umin.jp/journal/58-2/58-2_206.pdf")</f>
        <v>http://jsmh.umin.jp/journal/58-2/58-2_206.pdf</v>
      </c>
      <c r="H5827" s="43"/>
    </row>
    <row r="5828" spans="1:8" ht="30" customHeight="1" x14ac:dyDescent="0.15">
      <c r="A5828" s="16" t="s">
        <v>1855</v>
      </c>
      <c r="B5828" s="17" t="s">
        <v>9666</v>
      </c>
      <c r="C5828" s="17" t="s">
        <v>4892</v>
      </c>
      <c r="D5828" s="25" t="s">
        <v>9544</v>
      </c>
      <c r="E5828" s="19" t="s">
        <v>9575</v>
      </c>
      <c r="F5828" s="19" t="s">
        <v>261</v>
      </c>
      <c r="G5828" s="9" t="str">
        <f>HYPERLINK("http://jsmh.umin.jp/journal/58-2/58-2_207.pdf")</f>
        <v>http://jsmh.umin.jp/journal/58-2/58-2_207.pdf</v>
      </c>
      <c r="H5828" s="43"/>
    </row>
    <row r="5829" spans="1:8" ht="30" customHeight="1" x14ac:dyDescent="0.15">
      <c r="A5829" s="16" t="s">
        <v>1855</v>
      </c>
      <c r="B5829" s="17" t="s">
        <v>9667</v>
      </c>
      <c r="C5829" s="17" t="s">
        <v>6640</v>
      </c>
      <c r="D5829" s="25" t="s">
        <v>9544</v>
      </c>
      <c r="E5829" s="19" t="s">
        <v>9575</v>
      </c>
      <c r="F5829" s="19" t="s">
        <v>264</v>
      </c>
      <c r="G5829" s="9" t="str">
        <f>HYPERLINK("http://jsmh.umin.jp/journal/58-2/58-2_208.pdf")</f>
        <v>http://jsmh.umin.jp/journal/58-2/58-2_208.pdf</v>
      </c>
      <c r="H5829" s="43"/>
    </row>
    <row r="5830" spans="1:8" ht="30" customHeight="1" x14ac:dyDescent="0.15">
      <c r="A5830" s="16" t="s">
        <v>1855</v>
      </c>
      <c r="B5830" s="17" t="s">
        <v>10505</v>
      </c>
      <c r="C5830" s="17" t="s">
        <v>10506</v>
      </c>
      <c r="D5830" s="25" t="s">
        <v>9544</v>
      </c>
      <c r="E5830" s="19" t="s">
        <v>9575</v>
      </c>
      <c r="F5830" s="19" t="s">
        <v>269</v>
      </c>
      <c r="G5830" s="9" t="str">
        <f>HYPERLINK("http://jsmh.umin.jp/journal/58-2/58-2_209.pdf")</f>
        <v>http://jsmh.umin.jp/journal/58-2/58-2_209.pdf</v>
      </c>
      <c r="H5830" s="43"/>
    </row>
    <row r="5831" spans="1:8" ht="30" customHeight="1" x14ac:dyDescent="0.15">
      <c r="A5831" s="16" t="s">
        <v>1855</v>
      </c>
      <c r="B5831" s="17" t="s">
        <v>10507</v>
      </c>
      <c r="C5831" s="17" t="s">
        <v>10508</v>
      </c>
      <c r="D5831" s="25" t="s">
        <v>9544</v>
      </c>
      <c r="E5831" s="19" t="s">
        <v>9575</v>
      </c>
      <c r="F5831" s="19" t="s">
        <v>9006</v>
      </c>
      <c r="G5831" s="9" t="str">
        <f>HYPERLINK("http://jsmh.umin.jp/journal/58-2/58-2_210.pdf")</f>
        <v>http://jsmh.umin.jp/journal/58-2/58-2_210.pdf</v>
      </c>
      <c r="H5831" s="43"/>
    </row>
    <row r="5832" spans="1:8" ht="30" customHeight="1" x14ac:dyDescent="0.15">
      <c r="A5832" s="16" t="s">
        <v>1855</v>
      </c>
      <c r="B5832" s="17" t="s">
        <v>9668</v>
      </c>
      <c r="C5832" s="17" t="s">
        <v>9242</v>
      </c>
      <c r="D5832" s="25" t="s">
        <v>9544</v>
      </c>
      <c r="E5832" s="19" t="s">
        <v>9575</v>
      </c>
      <c r="F5832" s="19" t="s">
        <v>9008</v>
      </c>
      <c r="G5832" s="9" t="str">
        <f>HYPERLINK("http://jsmh.umin.jp/journal/58-2/58-2_211.pdf")</f>
        <v>http://jsmh.umin.jp/journal/58-2/58-2_211.pdf</v>
      </c>
      <c r="H5832" s="43"/>
    </row>
    <row r="5833" spans="1:8" ht="30" customHeight="1" x14ac:dyDescent="0.15">
      <c r="A5833" s="16" t="s">
        <v>1855</v>
      </c>
      <c r="B5833" s="17" t="s">
        <v>9669</v>
      </c>
      <c r="C5833" s="17" t="s">
        <v>9406</v>
      </c>
      <c r="D5833" s="25" t="s">
        <v>9544</v>
      </c>
      <c r="E5833" s="19" t="s">
        <v>9575</v>
      </c>
      <c r="F5833" s="19" t="s">
        <v>4196</v>
      </c>
      <c r="G5833" s="9" t="str">
        <f>HYPERLINK("http://jsmh.umin.jp/journal/58-2/58-2_212.pdf")</f>
        <v>http://jsmh.umin.jp/journal/58-2/58-2_212.pdf</v>
      </c>
      <c r="H5833" s="43"/>
    </row>
    <row r="5834" spans="1:8" ht="30" customHeight="1" x14ac:dyDescent="0.15">
      <c r="A5834" s="16" t="s">
        <v>1855</v>
      </c>
      <c r="B5834" s="17" t="s">
        <v>9670</v>
      </c>
      <c r="C5834" s="17" t="s">
        <v>7527</v>
      </c>
      <c r="D5834" s="25" t="s">
        <v>9544</v>
      </c>
      <c r="E5834" s="19" t="s">
        <v>9575</v>
      </c>
      <c r="F5834" s="19" t="s">
        <v>279</v>
      </c>
      <c r="G5834" s="9" t="str">
        <f>HYPERLINK("http://jsmh.umin.jp/journal/58-2/58-2_213.pdf")</f>
        <v>http://jsmh.umin.jp/journal/58-2/58-2_213.pdf</v>
      </c>
      <c r="H5834" s="43"/>
    </row>
    <row r="5835" spans="1:8" ht="30" customHeight="1" x14ac:dyDescent="0.15">
      <c r="A5835" s="16" t="s">
        <v>1855</v>
      </c>
      <c r="B5835" s="17" t="s">
        <v>9671</v>
      </c>
      <c r="C5835" s="17" t="s">
        <v>9672</v>
      </c>
      <c r="D5835" s="25" t="s">
        <v>9544</v>
      </c>
      <c r="E5835" s="19" t="s">
        <v>9575</v>
      </c>
      <c r="F5835" s="19" t="s">
        <v>283</v>
      </c>
      <c r="G5835" s="9" t="str">
        <f>HYPERLINK("http://jsmh.umin.jp/journal/58-2/58-2_214.pdf")</f>
        <v>http://jsmh.umin.jp/journal/58-2/58-2_214.pdf</v>
      </c>
      <c r="H5835" s="43"/>
    </row>
    <row r="5836" spans="1:8" ht="30" customHeight="1" x14ac:dyDescent="0.15">
      <c r="A5836" s="16" t="s">
        <v>1855</v>
      </c>
      <c r="B5836" s="17" t="s">
        <v>10509</v>
      </c>
      <c r="C5836" s="17" t="s">
        <v>6851</v>
      </c>
      <c r="D5836" s="25" t="s">
        <v>9544</v>
      </c>
      <c r="E5836" s="19" t="s">
        <v>9575</v>
      </c>
      <c r="F5836" s="19" t="s">
        <v>288</v>
      </c>
      <c r="G5836" s="9" t="str">
        <f>HYPERLINK("http://jsmh.umin.jp/journal/58-2/58-2_215.pdf")</f>
        <v>http://jsmh.umin.jp/journal/58-2/58-2_215.pdf</v>
      </c>
      <c r="H5836" s="43"/>
    </row>
    <row r="5837" spans="1:8" ht="30" customHeight="1" x14ac:dyDescent="0.15">
      <c r="A5837" s="16" t="s">
        <v>1855</v>
      </c>
      <c r="B5837" s="17" t="s">
        <v>9673</v>
      </c>
      <c r="C5837" s="17" t="s">
        <v>9674</v>
      </c>
      <c r="D5837" s="25" t="s">
        <v>9544</v>
      </c>
      <c r="E5837" s="19" t="s">
        <v>9575</v>
      </c>
      <c r="F5837" s="19" t="s">
        <v>9016</v>
      </c>
      <c r="G5837" s="9" t="str">
        <f>HYPERLINK("http://jsmh.umin.jp/journal/58-2/58-2_216.pdf")</f>
        <v>http://jsmh.umin.jp/journal/58-2/58-2_216.pdf</v>
      </c>
      <c r="H5837" s="43"/>
    </row>
    <row r="5838" spans="1:8" ht="30" customHeight="1" x14ac:dyDescent="0.15">
      <c r="A5838" s="16" t="s">
        <v>1855</v>
      </c>
      <c r="B5838" s="17" t="s">
        <v>9675</v>
      </c>
      <c r="C5838" s="17" t="s">
        <v>9676</v>
      </c>
      <c r="D5838" s="25" t="s">
        <v>9544</v>
      </c>
      <c r="E5838" s="19" t="s">
        <v>9575</v>
      </c>
      <c r="F5838" s="19" t="s">
        <v>9018</v>
      </c>
      <c r="G5838" s="9" t="str">
        <f>HYPERLINK("http://jsmh.umin.jp/journal/58-2/58-2_217.pdf")</f>
        <v>http://jsmh.umin.jp/journal/58-2/58-2_217.pdf</v>
      </c>
      <c r="H5838" s="43"/>
    </row>
    <row r="5839" spans="1:8" ht="30" customHeight="1" x14ac:dyDescent="0.15">
      <c r="A5839" s="16" t="s">
        <v>1855</v>
      </c>
      <c r="B5839" s="17" t="s">
        <v>9677</v>
      </c>
      <c r="C5839" s="17" t="s">
        <v>9678</v>
      </c>
      <c r="D5839" s="25" t="s">
        <v>9544</v>
      </c>
      <c r="E5839" s="19" t="s">
        <v>9575</v>
      </c>
      <c r="F5839" s="19" t="s">
        <v>2957</v>
      </c>
      <c r="G5839" s="9" t="str">
        <f>HYPERLINK("http://jsmh.umin.jp/journal/58-2/58-2_218.pdf")</f>
        <v>http://jsmh.umin.jp/journal/58-2/58-2_218.pdf</v>
      </c>
      <c r="H5839" s="43"/>
    </row>
    <row r="5840" spans="1:8" ht="30" customHeight="1" x14ac:dyDescent="0.15">
      <c r="A5840" s="16" t="s">
        <v>1855</v>
      </c>
      <c r="B5840" s="17" t="s">
        <v>9679</v>
      </c>
      <c r="C5840" s="17" t="s">
        <v>9680</v>
      </c>
      <c r="D5840" s="25" t="s">
        <v>9544</v>
      </c>
      <c r="E5840" s="19" t="s">
        <v>9575</v>
      </c>
      <c r="F5840" s="19" t="s">
        <v>1857</v>
      </c>
      <c r="G5840" s="9" t="str">
        <f>HYPERLINK("http://jsmh.umin.jp/journal/58-2/58-2_219.pdf")</f>
        <v>http://jsmh.umin.jp/journal/58-2/58-2_219.pdf</v>
      </c>
      <c r="H5840" s="43"/>
    </row>
    <row r="5841" spans="1:8" ht="30" customHeight="1" x14ac:dyDescent="0.15">
      <c r="A5841" s="16" t="s">
        <v>1855</v>
      </c>
      <c r="B5841" s="17" t="s">
        <v>9681</v>
      </c>
      <c r="C5841" s="17" t="s">
        <v>5837</v>
      </c>
      <c r="D5841" s="25" t="s">
        <v>9544</v>
      </c>
      <c r="E5841" s="19" t="s">
        <v>9575</v>
      </c>
      <c r="F5841" s="19" t="s">
        <v>2084</v>
      </c>
      <c r="G5841" s="9" t="str">
        <f>HYPERLINK("http://jsmh.umin.jp/journal/58-2/58-2_220.pdf")</f>
        <v>http://jsmh.umin.jp/journal/58-2/58-2_220.pdf</v>
      </c>
      <c r="H5841" s="43"/>
    </row>
    <row r="5842" spans="1:8" ht="30" customHeight="1" x14ac:dyDescent="0.15">
      <c r="A5842" s="16" t="s">
        <v>1855</v>
      </c>
      <c r="B5842" s="17" t="s">
        <v>10510</v>
      </c>
      <c r="C5842" s="17" t="s">
        <v>9195</v>
      </c>
      <c r="D5842" s="25" t="s">
        <v>9544</v>
      </c>
      <c r="E5842" s="19" t="s">
        <v>9575</v>
      </c>
      <c r="F5842" s="19" t="s">
        <v>2960</v>
      </c>
      <c r="G5842" s="9" t="str">
        <f>HYPERLINK("http://jsmh.umin.jp/journal/58-2/58-2_221.pdf")</f>
        <v>http://jsmh.umin.jp/journal/58-2/58-2_221.pdf</v>
      </c>
      <c r="H5842" s="43"/>
    </row>
    <row r="5843" spans="1:8" ht="30" customHeight="1" x14ac:dyDescent="0.15">
      <c r="A5843" s="16" t="s">
        <v>1855</v>
      </c>
      <c r="B5843" s="17" t="s">
        <v>9682</v>
      </c>
      <c r="C5843" s="17" t="s">
        <v>7420</v>
      </c>
      <c r="D5843" s="25" t="s">
        <v>9544</v>
      </c>
      <c r="E5843" s="19" t="s">
        <v>9575</v>
      </c>
      <c r="F5843" s="19" t="s">
        <v>1254</v>
      </c>
      <c r="G5843" s="9" t="str">
        <f>HYPERLINK("http://jsmh.umin.jp/journal/58-2/58-2_222.pdf")</f>
        <v>http://jsmh.umin.jp/journal/58-2/58-2_222.pdf</v>
      </c>
      <c r="H5843" s="43"/>
    </row>
    <row r="5844" spans="1:8" ht="30" customHeight="1" x14ac:dyDescent="0.15">
      <c r="A5844" s="16" t="s">
        <v>1855</v>
      </c>
      <c r="B5844" s="17" t="s">
        <v>9683</v>
      </c>
      <c r="C5844" s="17" t="s">
        <v>4039</v>
      </c>
      <c r="D5844" s="25" t="s">
        <v>9544</v>
      </c>
      <c r="E5844" s="19" t="s">
        <v>9575</v>
      </c>
      <c r="F5844" s="19" t="s">
        <v>1263</v>
      </c>
      <c r="G5844" s="9" t="str">
        <f>HYPERLINK("http://jsmh.umin.jp/journal/58-2/58-2_223.pdf")</f>
        <v>http://jsmh.umin.jp/journal/58-2/58-2_223.pdf</v>
      </c>
      <c r="H5844" s="43"/>
    </row>
    <row r="5845" spans="1:8" ht="30" customHeight="1" x14ac:dyDescent="0.15">
      <c r="A5845" s="16" t="s">
        <v>1855</v>
      </c>
      <c r="B5845" s="17" t="s">
        <v>9684</v>
      </c>
      <c r="C5845" s="17" t="s">
        <v>9403</v>
      </c>
      <c r="D5845" s="25" t="s">
        <v>9544</v>
      </c>
      <c r="E5845" s="19" t="s">
        <v>9575</v>
      </c>
      <c r="F5845" s="19" t="s">
        <v>1265</v>
      </c>
      <c r="G5845" s="9" t="str">
        <f>HYPERLINK("http://jsmh.umin.jp/journal/58-2/58-2_224.pdf")</f>
        <v>http://jsmh.umin.jp/journal/58-2/58-2_224.pdf</v>
      </c>
      <c r="H5845" s="43"/>
    </row>
    <row r="5846" spans="1:8" ht="30" customHeight="1" x14ac:dyDescent="0.15">
      <c r="A5846" s="16" t="s">
        <v>1855</v>
      </c>
      <c r="B5846" s="17" t="s">
        <v>9685</v>
      </c>
      <c r="C5846" s="17" t="s">
        <v>9686</v>
      </c>
      <c r="D5846" s="25" t="s">
        <v>9544</v>
      </c>
      <c r="E5846" s="19" t="s">
        <v>9575</v>
      </c>
      <c r="F5846" s="19" t="s">
        <v>97</v>
      </c>
      <c r="G5846" s="9" t="str">
        <f>HYPERLINK("http://jsmh.umin.jp/journal/58-2/58-2_225.pdf")</f>
        <v>http://jsmh.umin.jp/journal/58-2/58-2_225.pdf</v>
      </c>
      <c r="H5846" s="43"/>
    </row>
    <row r="5847" spans="1:8" ht="30" customHeight="1" x14ac:dyDescent="0.15">
      <c r="A5847" s="16" t="s">
        <v>1855</v>
      </c>
      <c r="B5847" s="17" t="s">
        <v>9687</v>
      </c>
      <c r="C5847" s="17" t="s">
        <v>7180</v>
      </c>
      <c r="D5847" s="25" t="s">
        <v>9544</v>
      </c>
      <c r="E5847" s="19" t="s">
        <v>9575</v>
      </c>
      <c r="F5847" s="19" t="s">
        <v>99</v>
      </c>
      <c r="G5847" s="9" t="str">
        <f>HYPERLINK("http://jsmh.umin.jp/journal/58-2/58-2_226.pdf")</f>
        <v>http://jsmh.umin.jp/journal/58-2/58-2_226.pdf</v>
      </c>
      <c r="H5847" s="43"/>
    </row>
    <row r="5848" spans="1:8" ht="30" customHeight="1" x14ac:dyDescent="0.15">
      <c r="A5848" s="16" t="s">
        <v>1855</v>
      </c>
      <c r="B5848" s="17" t="s">
        <v>9688</v>
      </c>
      <c r="C5848" s="17" t="s">
        <v>9326</v>
      </c>
      <c r="D5848" s="25" t="s">
        <v>9544</v>
      </c>
      <c r="E5848" s="19" t="s">
        <v>9575</v>
      </c>
      <c r="F5848" s="19" t="s">
        <v>105</v>
      </c>
      <c r="G5848" s="9" t="str">
        <f>HYPERLINK("http://jsmh.umin.jp/journal/58-2/58-2_227.pdf")</f>
        <v>http://jsmh.umin.jp/journal/58-2/58-2_227.pdf</v>
      </c>
      <c r="H5848" s="43"/>
    </row>
    <row r="5849" spans="1:8" ht="30" customHeight="1" x14ac:dyDescent="0.15">
      <c r="A5849" s="16" t="s">
        <v>1855</v>
      </c>
      <c r="B5849" s="17" t="s">
        <v>9689</v>
      </c>
      <c r="C5849" s="17" t="s">
        <v>7366</v>
      </c>
      <c r="D5849" s="25" t="s">
        <v>9544</v>
      </c>
      <c r="E5849" s="19" t="s">
        <v>9575</v>
      </c>
      <c r="F5849" s="19" t="s">
        <v>1874</v>
      </c>
      <c r="G5849" s="9" t="str">
        <f>HYPERLINK("http://jsmh.umin.jp/journal/58-2/58-2_228.pdf")</f>
        <v>http://jsmh.umin.jp/journal/58-2/58-2_228.pdf</v>
      </c>
      <c r="H5849" s="43"/>
    </row>
    <row r="5850" spans="1:8" ht="30" customHeight="1" x14ac:dyDescent="0.15">
      <c r="A5850" s="16" t="s">
        <v>1855</v>
      </c>
      <c r="B5850" s="17" t="s">
        <v>9690</v>
      </c>
      <c r="C5850" s="17" t="s">
        <v>9202</v>
      </c>
      <c r="D5850" s="25" t="s">
        <v>9544</v>
      </c>
      <c r="E5850" s="19" t="s">
        <v>9575</v>
      </c>
      <c r="F5850" s="19" t="s">
        <v>114</v>
      </c>
      <c r="G5850" s="9" t="str">
        <f>HYPERLINK("http://jsmh.umin.jp/journal/58-2/58-2_229.pdf")</f>
        <v>http://jsmh.umin.jp/journal/58-2/58-2_229.pdf</v>
      </c>
      <c r="H5850" s="43"/>
    </row>
    <row r="5851" spans="1:8" ht="30" customHeight="1" x14ac:dyDescent="0.15">
      <c r="A5851" s="16" t="s">
        <v>1855</v>
      </c>
      <c r="B5851" s="17" t="s">
        <v>9691</v>
      </c>
      <c r="C5851" s="17" t="s">
        <v>9692</v>
      </c>
      <c r="D5851" s="25" t="s">
        <v>9544</v>
      </c>
      <c r="E5851" s="19" t="s">
        <v>9575</v>
      </c>
      <c r="F5851" s="19" t="s">
        <v>2615</v>
      </c>
      <c r="G5851" s="9" t="str">
        <f>HYPERLINK("http://jsmh.umin.jp/journal/58-2/58-2_230.pdf")</f>
        <v>http://jsmh.umin.jp/journal/58-2/58-2_230.pdf</v>
      </c>
      <c r="H5851" s="43"/>
    </row>
    <row r="5852" spans="1:8" ht="30" customHeight="1" x14ac:dyDescent="0.15">
      <c r="A5852" s="16" t="s">
        <v>1855</v>
      </c>
      <c r="B5852" s="17" t="s">
        <v>9693</v>
      </c>
      <c r="C5852" s="17" t="s">
        <v>7583</v>
      </c>
      <c r="D5852" s="25" t="s">
        <v>9544</v>
      </c>
      <c r="E5852" s="19" t="s">
        <v>9575</v>
      </c>
      <c r="F5852" s="19" t="s">
        <v>9213</v>
      </c>
      <c r="G5852" s="9" t="str">
        <f>HYPERLINK("http://jsmh.umin.jp/journal/58-2/58-2_231.pdf")</f>
        <v>http://jsmh.umin.jp/journal/58-2/58-2_231.pdf</v>
      </c>
      <c r="H5852" s="43"/>
    </row>
    <row r="5853" spans="1:8" ht="30" customHeight="1" x14ac:dyDescent="0.15">
      <c r="A5853" s="16" t="s">
        <v>1855</v>
      </c>
      <c r="B5853" s="17" t="s">
        <v>9694</v>
      </c>
      <c r="C5853" s="17" t="s">
        <v>7352</v>
      </c>
      <c r="D5853" s="25" t="s">
        <v>9544</v>
      </c>
      <c r="E5853" s="19" t="s">
        <v>9575</v>
      </c>
      <c r="F5853" s="19" t="s">
        <v>127</v>
      </c>
      <c r="G5853" s="9" t="str">
        <f>HYPERLINK("http://jsmh.umin.jp/journal/58-2/58-2_232.pdf")</f>
        <v>http://jsmh.umin.jp/journal/58-2/58-2_232.pdf</v>
      </c>
      <c r="H5853" s="43"/>
    </row>
    <row r="5854" spans="1:8" ht="30" customHeight="1" x14ac:dyDescent="0.15">
      <c r="A5854" s="16" t="s">
        <v>1855</v>
      </c>
      <c r="B5854" s="17" t="s">
        <v>9695</v>
      </c>
      <c r="C5854" s="17" t="s">
        <v>10454</v>
      </c>
      <c r="D5854" s="25" t="s">
        <v>9544</v>
      </c>
      <c r="E5854" s="19" t="s">
        <v>9575</v>
      </c>
      <c r="F5854" s="19" t="s">
        <v>1882</v>
      </c>
      <c r="G5854" s="9" t="str">
        <f>HYPERLINK("http://jsmh.umin.jp/journal/58-2/58-2_233.pdf")</f>
        <v>http://jsmh.umin.jp/journal/58-2/58-2_233.pdf</v>
      </c>
      <c r="H5854" s="43"/>
    </row>
    <row r="5855" spans="1:8" ht="30" customHeight="1" x14ac:dyDescent="0.15">
      <c r="A5855" s="16" t="s">
        <v>1855</v>
      </c>
      <c r="B5855" s="17" t="s">
        <v>9696</v>
      </c>
      <c r="C5855" s="17" t="s">
        <v>9470</v>
      </c>
      <c r="D5855" s="25" t="s">
        <v>9544</v>
      </c>
      <c r="E5855" s="19" t="s">
        <v>9575</v>
      </c>
      <c r="F5855" s="19" t="s">
        <v>135</v>
      </c>
      <c r="G5855" s="9" t="str">
        <f>HYPERLINK("http://jsmh.umin.jp/journal/58-2/58-2_234.pdf")</f>
        <v>http://jsmh.umin.jp/journal/58-2/58-2_234.pdf</v>
      </c>
      <c r="H5855" s="43"/>
    </row>
    <row r="5856" spans="1:8" ht="30" customHeight="1" x14ac:dyDescent="0.15">
      <c r="A5856" s="16" t="s">
        <v>1855</v>
      </c>
      <c r="B5856" s="17" t="s">
        <v>9697</v>
      </c>
      <c r="C5856" s="17" t="s">
        <v>9258</v>
      </c>
      <c r="D5856" s="25" t="s">
        <v>9544</v>
      </c>
      <c r="E5856" s="19" t="s">
        <v>9575</v>
      </c>
      <c r="F5856" s="19" t="s">
        <v>3295</v>
      </c>
      <c r="G5856" s="9" t="str">
        <f>HYPERLINK("http://jsmh.umin.jp/journal/58-2/58-2_235.pdf")</f>
        <v>http://jsmh.umin.jp/journal/58-2/58-2_235.pdf</v>
      </c>
      <c r="H5856" s="43"/>
    </row>
    <row r="5857" spans="1:8" ht="30" customHeight="1" x14ac:dyDescent="0.15">
      <c r="A5857" s="16" t="s">
        <v>1855</v>
      </c>
      <c r="B5857" s="17" t="s">
        <v>9698</v>
      </c>
      <c r="C5857" s="17" t="s">
        <v>9022</v>
      </c>
      <c r="D5857" s="25" t="s">
        <v>9544</v>
      </c>
      <c r="E5857" s="19" t="s">
        <v>9575</v>
      </c>
      <c r="F5857" s="19" t="s">
        <v>9222</v>
      </c>
      <c r="G5857" s="9" t="str">
        <f>HYPERLINK("http://jsmh.umin.jp/journal/58-2/58-2_236.pdf")</f>
        <v>http://jsmh.umin.jp/journal/58-2/58-2_236.pdf</v>
      </c>
      <c r="H5857" s="43"/>
    </row>
    <row r="5858" spans="1:8" ht="30" customHeight="1" x14ac:dyDescent="0.15">
      <c r="A5858" s="16" t="s">
        <v>1855</v>
      </c>
      <c r="B5858" s="17" t="s">
        <v>9699</v>
      </c>
      <c r="C5858" s="17" t="s">
        <v>8813</v>
      </c>
      <c r="D5858" s="25" t="s">
        <v>9544</v>
      </c>
      <c r="E5858" s="19" t="s">
        <v>9575</v>
      </c>
      <c r="F5858" s="19" t="s">
        <v>4019</v>
      </c>
      <c r="G5858" s="9" t="str">
        <f>HYPERLINK("http://jsmh.umin.jp/journal/58-2/58-2_237.pdf")</f>
        <v>http://jsmh.umin.jp/journal/58-2/58-2_237.pdf</v>
      </c>
      <c r="H5858" s="43"/>
    </row>
    <row r="5859" spans="1:8" ht="30" customHeight="1" x14ac:dyDescent="0.15">
      <c r="A5859" s="16" t="s">
        <v>1855</v>
      </c>
      <c r="B5859" s="17" t="s">
        <v>9700</v>
      </c>
      <c r="C5859" s="17" t="s">
        <v>7136</v>
      </c>
      <c r="D5859" s="25" t="s">
        <v>9544</v>
      </c>
      <c r="E5859" s="19" t="s">
        <v>9575</v>
      </c>
      <c r="F5859" s="19" t="s">
        <v>3064</v>
      </c>
      <c r="G5859" s="9" t="str">
        <f>HYPERLINK("http://jsmh.umin.jp/journal/58-2/58-2_238.pdf")</f>
        <v>http://jsmh.umin.jp/journal/58-2/58-2_238.pdf</v>
      </c>
      <c r="H5859" s="43"/>
    </row>
    <row r="5860" spans="1:8" ht="30" customHeight="1" x14ac:dyDescent="0.15">
      <c r="A5860" s="16"/>
      <c r="B5860" s="17" t="s">
        <v>9701</v>
      </c>
      <c r="C5860" s="17" t="s">
        <v>9263</v>
      </c>
      <c r="D5860" s="25" t="s">
        <v>9544</v>
      </c>
      <c r="E5860" s="19" t="s">
        <v>9575</v>
      </c>
      <c r="F5860" s="19" t="s">
        <v>9702</v>
      </c>
      <c r="G5860" s="9" t="str">
        <f>HYPERLINK("http://jsmh.umin.jp/journal/58-2/58-2_245.pdf")</f>
        <v>http://jsmh.umin.jp/journal/58-2/58-2_245.pdf</v>
      </c>
      <c r="H5860" s="43"/>
    </row>
    <row r="5861" spans="1:8" ht="30" customHeight="1" x14ac:dyDescent="0.15">
      <c r="A5861" s="16" t="s">
        <v>17</v>
      </c>
      <c r="B5861" s="17" t="s">
        <v>9703</v>
      </c>
      <c r="C5861" s="17" t="s">
        <v>2465</v>
      </c>
      <c r="D5861" s="25" t="s">
        <v>9544</v>
      </c>
      <c r="E5861" s="19" t="s">
        <v>9704</v>
      </c>
      <c r="F5861" s="19" t="s">
        <v>9705</v>
      </c>
      <c r="G5861" s="9" t="str">
        <f>HYPERLINK("http://jsmh.umin.jp/journal/58-3/58-3_301-308.pdf")</f>
        <v>http://jsmh.umin.jp/journal/58-3/58-3_301-308.pdf</v>
      </c>
      <c r="H5861" s="43"/>
    </row>
    <row r="5862" spans="1:8" ht="30" customHeight="1" x14ac:dyDescent="0.15">
      <c r="A5862" s="16" t="s">
        <v>17</v>
      </c>
      <c r="B5862" s="17" t="s">
        <v>9706</v>
      </c>
      <c r="C5862" s="17" t="s">
        <v>9088</v>
      </c>
      <c r="D5862" s="25" t="s">
        <v>9544</v>
      </c>
      <c r="E5862" s="19" t="s">
        <v>9704</v>
      </c>
      <c r="F5862" s="19" t="s">
        <v>2454</v>
      </c>
      <c r="G5862" s="9" t="str">
        <f>HYPERLINK("http://jsmh.umin.jp/journal/58-3/58-3_309-319.pdf")</f>
        <v>http://jsmh.umin.jp/journal/58-3/58-3_309-319.pdf</v>
      </c>
      <c r="H5862" s="43"/>
    </row>
    <row r="5863" spans="1:8" ht="30" customHeight="1" x14ac:dyDescent="0.15">
      <c r="A5863" s="16" t="s">
        <v>17</v>
      </c>
      <c r="B5863" s="17" t="s">
        <v>9707</v>
      </c>
      <c r="C5863" s="17" t="s">
        <v>10511</v>
      </c>
      <c r="D5863" s="25" t="s">
        <v>9544</v>
      </c>
      <c r="E5863" s="19" t="s">
        <v>9704</v>
      </c>
      <c r="F5863" s="19" t="s">
        <v>9708</v>
      </c>
      <c r="G5863" s="9" t="str">
        <f>HYPERLINK("http://jsmh.umin.jp/journal/58-3/58-3_321-329.pdf")</f>
        <v>http://jsmh.umin.jp/journal/58-3/58-3_321-329.pdf</v>
      </c>
      <c r="H5863" s="43"/>
    </row>
    <row r="5864" spans="1:8" ht="30" customHeight="1" x14ac:dyDescent="0.15">
      <c r="A5864" s="16" t="s">
        <v>17</v>
      </c>
      <c r="B5864" s="17" t="s">
        <v>9709</v>
      </c>
      <c r="C5864" s="17" t="s">
        <v>9710</v>
      </c>
      <c r="D5864" s="25" t="s">
        <v>9544</v>
      </c>
      <c r="E5864" s="19" t="s">
        <v>9704</v>
      </c>
      <c r="F5864" s="19" t="s">
        <v>3893</v>
      </c>
      <c r="G5864" s="9" t="str">
        <f>HYPERLINK("http://jsmh.umin.jp/journal/58-3/58-3_331-344.pdf")</f>
        <v>http://jsmh.umin.jp/journal/58-3/58-3_331-344.pdf</v>
      </c>
      <c r="H5864" s="43"/>
    </row>
    <row r="5865" spans="1:8" ht="30" customHeight="1" x14ac:dyDescent="0.15">
      <c r="A5865" s="16" t="s">
        <v>17</v>
      </c>
      <c r="B5865" s="17" t="s">
        <v>9711</v>
      </c>
      <c r="C5865" s="17" t="s">
        <v>10512</v>
      </c>
      <c r="D5865" s="25" t="s">
        <v>9544</v>
      </c>
      <c r="E5865" s="19" t="s">
        <v>9704</v>
      </c>
      <c r="F5865" s="19" t="s">
        <v>9712</v>
      </c>
      <c r="G5865" s="9" t="str">
        <f>HYPERLINK("http://jsmh.umin.jp/journal/58-3/58-3_345-356.pdf")</f>
        <v>http://jsmh.umin.jp/journal/58-3/58-3_345-356.pdf</v>
      </c>
      <c r="H5865" s="43"/>
    </row>
    <row r="5866" spans="1:8" ht="30" customHeight="1" x14ac:dyDescent="0.15">
      <c r="A5866" s="16" t="s">
        <v>17</v>
      </c>
      <c r="B5866" s="17" t="s">
        <v>9713</v>
      </c>
      <c r="C5866" s="17" t="s">
        <v>10513</v>
      </c>
      <c r="D5866" s="25" t="s">
        <v>9544</v>
      </c>
      <c r="E5866" s="19" t="s">
        <v>9704</v>
      </c>
      <c r="F5866" s="19" t="s">
        <v>9714</v>
      </c>
      <c r="G5866" s="9" t="str">
        <f>HYPERLINK("http://jsmh.umin.jp/journal/58-3/58-3_357-372.pdf")</f>
        <v>http://jsmh.umin.jp/journal/58-3/58-3_357-372.pdf</v>
      </c>
      <c r="H5866" s="43"/>
    </row>
    <row r="5867" spans="1:8" ht="30" customHeight="1" x14ac:dyDescent="0.15">
      <c r="A5867" s="16" t="s">
        <v>17</v>
      </c>
      <c r="B5867" s="17" t="s">
        <v>9715</v>
      </c>
      <c r="C5867" s="17" t="s">
        <v>8257</v>
      </c>
      <c r="D5867" s="25" t="s">
        <v>9544</v>
      </c>
      <c r="E5867" s="19" t="s">
        <v>9704</v>
      </c>
      <c r="F5867" s="19" t="s">
        <v>9716</v>
      </c>
      <c r="G5867" s="9" t="str">
        <f>HYPERLINK("http://jsmh.umin.jp/journal/58-3/58-3_373-383.pdf")</f>
        <v>http://jsmh.umin.jp/journal/58-3/58-3_373-383.pdf</v>
      </c>
      <c r="H5867" s="43"/>
    </row>
    <row r="5868" spans="1:8" ht="30" customHeight="1" x14ac:dyDescent="0.15">
      <c r="A5868" s="16" t="s">
        <v>7637</v>
      </c>
      <c r="B5868" s="17" t="s">
        <v>9717</v>
      </c>
      <c r="C5868" s="17" t="s">
        <v>4839</v>
      </c>
      <c r="D5868" s="25" t="s">
        <v>9544</v>
      </c>
      <c r="E5868" s="19" t="s">
        <v>9704</v>
      </c>
      <c r="F5868" s="19" t="s">
        <v>9718</v>
      </c>
      <c r="G5868" s="9" t="str">
        <f>HYPERLINK("http://jsmh.umin.jp/journal/58-3/58-3_385-388.pdf")</f>
        <v>http://jsmh.umin.jp/journal/58-3/58-3_385-388.pdf</v>
      </c>
      <c r="H5868" s="43"/>
    </row>
    <row r="5869" spans="1:8" ht="30" customHeight="1" x14ac:dyDescent="0.15">
      <c r="A5869" s="16" t="s">
        <v>7637</v>
      </c>
      <c r="B5869" s="17" t="s">
        <v>9719</v>
      </c>
      <c r="C5869" s="17" t="s">
        <v>8512</v>
      </c>
      <c r="D5869" s="25" t="s">
        <v>9544</v>
      </c>
      <c r="E5869" s="19" t="s">
        <v>9704</v>
      </c>
      <c r="F5869" s="19" t="s">
        <v>9720</v>
      </c>
      <c r="G5869" s="9" t="str">
        <f>HYPERLINK("http://jsmh.umin.jp/journal/58-3/58-3_389-392.pdf")</f>
        <v>http://jsmh.umin.jp/journal/58-3/58-3_389-392.pdf</v>
      </c>
      <c r="H5869" s="43"/>
    </row>
    <row r="5870" spans="1:8" ht="30" customHeight="1" x14ac:dyDescent="0.15">
      <c r="A5870" s="16" t="s">
        <v>7637</v>
      </c>
      <c r="B5870" s="17" t="s">
        <v>9721</v>
      </c>
      <c r="C5870" s="17" t="s">
        <v>10355</v>
      </c>
      <c r="D5870" s="25" t="s">
        <v>9544</v>
      </c>
      <c r="E5870" s="19" t="s">
        <v>9704</v>
      </c>
      <c r="F5870" s="19" t="s">
        <v>9722</v>
      </c>
      <c r="G5870" s="9" t="str">
        <f>HYPERLINK("http://jsmh.umin.jp/journal/58-3/58-3_393-400.pdf")</f>
        <v>http://jsmh.umin.jp/journal/58-3/58-3_393-400.pdf</v>
      </c>
      <c r="H5870" s="43"/>
    </row>
    <row r="5871" spans="1:8" ht="30" customHeight="1" x14ac:dyDescent="0.15">
      <c r="A5871" s="16" t="s">
        <v>692</v>
      </c>
      <c r="B5871" s="17" t="s">
        <v>9723</v>
      </c>
      <c r="C5871" s="17" t="s">
        <v>7522</v>
      </c>
      <c r="D5871" s="25" t="s">
        <v>9544</v>
      </c>
      <c r="E5871" s="19" t="s">
        <v>9704</v>
      </c>
      <c r="F5871" s="19" t="s">
        <v>9724</v>
      </c>
      <c r="G5871" s="9" t="str">
        <f>HYPERLINK("http://jsmh.umin.jp/journal/58-3/58-3_401-409.pdf")</f>
        <v>http://jsmh.umin.jp/journal/58-3/58-3_401-409.pdf</v>
      </c>
      <c r="H5871" s="43"/>
    </row>
    <row r="5872" spans="1:8" ht="30" customHeight="1" x14ac:dyDescent="0.15">
      <c r="A5872" s="16" t="s">
        <v>692</v>
      </c>
      <c r="B5872" s="17" t="s">
        <v>9725</v>
      </c>
      <c r="C5872" s="17" t="s">
        <v>4870</v>
      </c>
      <c r="D5872" s="25" t="s">
        <v>9544</v>
      </c>
      <c r="E5872" s="19" t="s">
        <v>9704</v>
      </c>
      <c r="F5872" s="19" t="s">
        <v>9726</v>
      </c>
      <c r="G5872" s="9" t="str">
        <f>HYPERLINK("http://jsmh.umin.jp/journal/58-3/58-3_411-420.pdf")</f>
        <v>http://jsmh.umin.jp/journal/58-3/58-3_411-420.pdf</v>
      </c>
      <c r="H5872" s="43"/>
    </row>
    <row r="5873" spans="1:8" ht="30" customHeight="1" x14ac:dyDescent="0.15">
      <c r="A5873" s="16" t="s">
        <v>3720</v>
      </c>
      <c r="B5873" s="17" t="s">
        <v>9727</v>
      </c>
      <c r="C5873" s="17" t="s">
        <v>6267</v>
      </c>
      <c r="D5873" s="25" t="s">
        <v>9544</v>
      </c>
      <c r="E5873" s="19" t="s">
        <v>9704</v>
      </c>
      <c r="F5873" s="19" t="s">
        <v>4451</v>
      </c>
      <c r="G5873" s="9" t="str">
        <f>HYPERLINK("http://jsmh.umin.jp/journal/58-3/58-3_421-422.pdf")</f>
        <v>http://jsmh.umin.jp/journal/58-3/58-3_421-422.pdf</v>
      </c>
      <c r="H5873" s="43"/>
    </row>
    <row r="5874" spans="1:8" ht="30" customHeight="1" x14ac:dyDescent="0.15">
      <c r="A5874" s="16" t="s">
        <v>558</v>
      </c>
      <c r="B5874" s="17" t="s">
        <v>537</v>
      </c>
      <c r="C5874" s="17"/>
      <c r="D5874" s="25" t="s">
        <v>9544</v>
      </c>
      <c r="E5874" s="19" t="s">
        <v>9704</v>
      </c>
      <c r="F5874" s="19" t="s">
        <v>9728</v>
      </c>
      <c r="G5874" s="9" t="str">
        <f>HYPERLINK("http://jsmh.umin.jp/journal/58-3/58-3_421.pdf")</f>
        <v>http://jsmh.umin.jp/journal/58-3/58-3_421.pdf</v>
      </c>
      <c r="H5874" s="43"/>
    </row>
    <row r="5875" spans="1:8" ht="30" customHeight="1" x14ac:dyDescent="0.15">
      <c r="A5875" s="16" t="s">
        <v>3720</v>
      </c>
      <c r="B5875" s="17" t="s">
        <v>9729</v>
      </c>
      <c r="C5875" s="17" t="s">
        <v>2937</v>
      </c>
      <c r="D5875" s="25" t="s">
        <v>9544</v>
      </c>
      <c r="E5875" s="19" t="s">
        <v>9704</v>
      </c>
      <c r="F5875" s="19" t="s">
        <v>1990</v>
      </c>
      <c r="G5875" s="9" t="str">
        <f>HYPERLINK("http://jsmh.umin.jp/journal/58-3/58-3_423-424.pdf")</f>
        <v>http://jsmh.umin.jp/journal/58-3/58-3_423-424.pdf</v>
      </c>
      <c r="H5875" s="43"/>
    </row>
    <row r="5876" spans="1:8" ht="30" customHeight="1" x14ac:dyDescent="0.15">
      <c r="A5876" s="16" t="s">
        <v>1102</v>
      </c>
      <c r="B5876" s="17" t="s">
        <v>9730</v>
      </c>
      <c r="C5876" s="17" t="s">
        <v>9107</v>
      </c>
      <c r="D5876" s="25" t="s">
        <v>9544</v>
      </c>
      <c r="E5876" s="19" t="s">
        <v>9704</v>
      </c>
      <c r="F5876" s="19" t="s">
        <v>1995</v>
      </c>
      <c r="G5876" s="9" t="str">
        <f>HYPERLINK("http://jsmh.umin.jp/journal/58-3/58-3_425-426.pdf")</f>
        <v>http://jsmh.umin.jp/journal/58-3/58-3_425-426.pdf</v>
      </c>
      <c r="H5876" s="43"/>
    </row>
    <row r="5877" spans="1:8" ht="30" customHeight="1" x14ac:dyDescent="0.15">
      <c r="A5877" s="16" t="s">
        <v>1102</v>
      </c>
      <c r="B5877" s="17" t="s">
        <v>9731</v>
      </c>
      <c r="C5877" s="17" t="s">
        <v>5084</v>
      </c>
      <c r="D5877" s="25" t="s">
        <v>9544</v>
      </c>
      <c r="E5877" s="19" t="s">
        <v>9704</v>
      </c>
      <c r="F5877" s="19" t="s">
        <v>4460</v>
      </c>
      <c r="G5877" s="9" t="str">
        <f>HYPERLINK("http://jsmh.umin.jp/journal/58-3/58-3_426-427.pdf")</f>
        <v>http://jsmh.umin.jp/journal/58-3/58-3_426-427.pdf</v>
      </c>
      <c r="H5877" s="43"/>
    </row>
    <row r="5878" spans="1:8" ht="30" customHeight="1" x14ac:dyDescent="0.15">
      <c r="A5878" s="16" t="s">
        <v>1102</v>
      </c>
      <c r="B5878" s="17" t="s">
        <v>9732</v>
      </c>
      <c r="C5878" s="17" t="s">
        <v>9733</v>
      </c>
      <c r="D5878" s="25" t="s">
        <v>9544</v>
      </c>
      <c r="E5878" s="19" t="s">
        <v>9704</v>
      </c>
      <c r="F5878" s="19" t="s">
        <v>1999</v>
      </c>
      <c r="G5878" s="9" t="str">
        <f>HYPERLINK("http://jsmh.umin.jp/journal/58-3/58-3_427-429.pdf")</f>
        <v>http://jsmh.umin.jp/journal/58-3/58-3_427-429.pdf</v>
      </c>
      <c r="H5878" s="43"/>
    </row>
    <row r="5879" spans="1:8" ht="30" customHeight="1" x14ac:dyDescent="0.15">
      <c r="A5879" s="16" t="s">
        <v>3720</v>
      </c>
      <c r="B5879" s="17" t="s">
        <v>9729</v>
      </c>
      <c r="C5879" s="17" t="s">
        <v>2937</v>
      </c>
      <c r="D5879" s="25" t="s">
        <v>9544</v>
      </c>
      <c r="E5879" s="19" t="s">
        <v>9704</v>
      </c>
      <c r="F5879" s="19" t="s">
        <v>1990</v>
      </c>
      <c r="G5879" s="27" t="str">
        <f>HYPERLINK("http://jsmh.umin.jp/journal/58-3/58-3_423-424.pdf")</f>
        <v>http://jsmh.umin.jp/journal/58-3/58-3_423-424.pdf</v>
      </c>
      <c r="H5879" s="43"/>
    </row>
    <row r="5880" spans="1:8" ht="30" customHeight="1" x14ac:dyDescent="0.15">
      <c r="A5880" s="16" t="s">
        <v>17</v>
      </c>
      <c r="B5880" s="17" t="s">
        <v>9737</v>
      </c>
      <c r="C5880" s="17" t="s">
        <v>9434</v>
      </c>
      <c r="D5880" s="25" t="s">
        <v>9544</v>
      </c>
      <c r="E5880" s="19" t="s">
        <v>9736</v>
      </c>
      <c r="F5880" s="19" t="s">
        <v>9738</v>
      </c>
      <c r="G5880" s="9" t="str">
        <f>HYPERLINK("http://jsmh.umin.jp/journal/58-4/58-4_437-455.pdf")</f>
        <v>http://jsmh.umin.jp/journal/58-4/58-4_437-455.pdf</v>
      </c>
      <c r="H5880" s="9"/>
    </row>
    <row r="5881" spans="1:8" ht="30" customHeight="1" x14ac:dyDescent="0.15">
      <c r="A5881" s="16" t="s">
        <v>17</v>
      </c>
      <c r="B5881" s="17" t="s">
        <v>9739</v>
      </c>
      <c r="C5881" s="17" t="s">
        <v>10280</v>
      </c>
      <c r="D5881" s="25" t="s">
        <v>9544</v>
      </c>
      <c r="E5881" s="19" t="s">
        <v>9736</v>
      </c>
      <c r="F5881" s="19" t="s">
        <v>3545</v>
      </c>
      <c r="G5881" s="9" t="str">
        <f>HYPERLINK("http://jsmh.umin.jp/journal/58-4/58-4_457-470.pdf")</f>
        <v>http://jsmh.umin.jp/journal/58-4/58-4_457-470.pdf</v>
      </c>
      <c r="H5881" s="9"/>
    </row>
    <row r="5882" spans="1:8" ht="30" customHeight="1" x14ac:dyDescent="0.15">
      <c r="A5882" s="16" t="s">
        <v>17</v>
      </c>
      <c r="B5882" s="17" t="s">
        <v>9740</v>
      </c>
      <c r="C5882" s="17" t="s">
        <v>2465</v>
      </c>
      <c r="D5882" s="25" t="s">
        <v>9544</v>
      </c>
      <c r="E5882" s="19" t="s">
        <v>9736</v>
      </c>
      <c r="F5882" s="19" t="s">
        <v>9741</v>
      </c>
      <c r="G5882" s="9" t="str">
        <f>HYPERLINK("http://jsmh.umin.jp/journal/58-4/58-4_471-484.pdf")</f>
        <v>http://jsmh.umin.jp/journal/58-4/58-4_471-484.pdf</v>
      </c>
      <c r="H5882" s="9"/>
    </row>
    <row r="5883" spans="1:8" ht="30" customHeight="1" x14ac:dyDescent="0.15">
      <c r="A5883" s="16" t="s">
        <v>1855</v>
      </c>
      <c r="B5883" s="17" t="s">
        <v>9742</v>
      </c>
      <c r="C5883" s="17" t="s">
        <v>2937</v>
      </c>
      <c r="D5883" s="25" t="s">
        <v>9544</v>
      </c>
      <c r="E5883" s="19" t="s">
        <v>9736</v>
      </c>
      <c r="F5883" s="19" t="s">
        <v>9743</v>
      </c>
      <c r="G5883" s="9" t="str">
        <f>HYPERLINK("http://jsmh.umin.jp/journal/58-4/58-4_485-486.pdf")</f>
        <v>http://jsmh.umin.jp/journal/58-4/58-4_485-486.pdf</v>
      </c>
      <c r="H5883" s="9"/>
    </row>
    <row r="5884" spans="1:8" ht="30" customHeight="1" x14ac:dyDescent="0.15">
      <c r="A5884" s="16" t="s">
        <v>1855</v>
      </c>
      <c r="B5884" s="17" t="s">
        <v>9744</v>
      </c>
      <c r="C5884" s="17" t="s">
        <v>9745</v>
      </c>
      <c r="D5884" s="25" t="s">
        <v>9544</v>
      </c>
      <c r="E5884" s="19" t="s">
        <v>9736</v>
      </c>
      <c r="F5884" s="19" t="s">
        <v>9746</v>
      </c>
      <c r="G5884" s="9" t="str">
        <f>HYPERLINK("http://jsmh.umin.jp/journal/58-4/58-4_487-488.pdf")</f>
        <v>http://jsmh.umin.jp/journal/58-4/58-4_487-488.pdf</v>
      </c>
      <c r="H5884" s="9"/>
    </row>
    <row r="5885" spans="1:8" ht="30" customHeight="1" x14ac:dyDescent="0.15">
      <c r="A5885" s="16" t="s">
        <v>1855</v>
      </c>
      <c r="B5885" s="17" t="s">
        <v>10514</v>
      </c>
      <c r="C5885" s="17" t="s">
        <v>9734</v>
      </c>
      <c r="D5885" s="25" t="s">
        <v>9544</v>
      </c>
      <c r="E5885" s="19" t="s">
        <v>9736</v>
      </c>
      <c r="F5885" s="19" t="s">
        <v>9735</v>
      </c>
      <c r="G5885" s="9" t="str">
        <f>HYPERLINK("http://jsmh.umin.jp/journal/58-4/58-4_489-490.pdf")</f>
        <v>http://jsmh.umin.jp/journal/58-4/58-4_489-490.pdf</v>
      </c>
      <c r="H5885" s="9"/>
    </row>
    <row r="5886" spans="1:8" ht="30" customHeight="1" x14ac:dyDescent="0.15">
      <c r="A5886" s="16" t="s">
        <v>1855</v>
      </c>
      <c r="B5886" s="17" t="s">
        <v>9747</v>
      </c>
      <c r="C5886" s="17" t="s">
        <v>9748</v>
      </c>
      <c r="D5886" s="25" t="s">
        <v>9544</v>
      </c>
      <c r="E5886" s="19" t="s">
        <v>9736</v>
      </c>
      <c r="F5886" s="19" t="s">
        <v>5930</v>
      </c>
      <c r="G5886" s="9" t="str">
        <f>HYPERLINK("http://jsmh.umin.jp/journal/58-4/58-4_491-492.pdf")</f>
        <v>http://jsmh.umin.jp/journal/58-4/58-4_491-492.pdf</v>
      </c>
      <c r="H5886" s="9"/>
    </row>
    <row r="5887" spans="1:8" ht="30" customHeight="1" x14ac:dyDescent="0.15">
      <c r="A5887" s="16" t="s">
        <v>692</v>
      </c>
      <c r="B5887" s="17" t="s">
        <v>9749</v>
      </c>
      <c r="C5887" s="17" t="s">
        <v>7522</v>
      </c>
      <c r="D5887" s="25" t="s">
        <v>9544</v>
      </c>
      <c r="E5887" s="19" t="s">
        <v>9736</v>
      </c>
      <c r="F5887" s="19" t="s">
        <v>9750</v>
      </c>
      <c r="G5887" s="9" t="str">
        <f>HYPERLINK("http://jsmh.umin.jp/journal/58-4/58-4_493-501.pdf")</f>
        <v>http://jsmh.umin.jp/journal/58-4/58-4_493-501.pdf</v>
      </c>
      <c r="H5887" s="43"/>
    </row>
    <row r="5888" spans="1:8" ht="30" customHeight="1" x14ac:dyDescent="0.15">
      <c r="A5888" s="16" t="s">
        <v>692</v>
      </c>
      <c r="B5888" s="17" t="s">
        <v>9751</v>
      </c>
      <c r="C5888" s="17" t="s">
        <v>4870</v>
      </c>
      <c r="D5888" s="25" t="s">
        <v>9544</v>
      </c>
      <c r="E5888" s="19" t="s">
        <v>9736</v>
      </c>
      <c r="F5888" s="19" t="s">
        <v>9752</v>
      </c>
      <c r="G5888" s="9" t="str">
        <f>HYPERLINK("http://jsmh.umin.jp/journal/58-4/58-4_503-512.pdf")</f>
        <v>http://jsmh.umin.jp/journal/58-4/58-4_503-512.pdf</v>
      </c>
      <c r="H5888" s="43"/>
    </row>
    <row r="5889" spans="1:8" ht="30" customHeight="1" x14ac:dyDescent="0.15">
      <c r="A5889" s="16" t="s">
        <v>6088</v>
      </c>
      <c r="B5889" s="17" t="s">
        <v>9753</v>
      </c>
      <c r="C5889" s="17" t="s">
        <v>9754</v>
      </c>
      <c r="D5889" s="25" t="s">
        <v>9544</v>
      </c>
      <c r="E5889" s="19" t="s">
        <v>9736</v>
      </c>
      <c r="F5889" s="19" t="s">
        <v>3754</v>
      </c>
      <c r="G5889" s="9" t="str">
        <f>HYPERLINK("http://jsmh.umin.jp/journal/58-4/58-4_513-514.pdf")</f>
        <v>http://jsmh.umin.jp/journal/58-4/58-4_513-514.pdf</v>
      </c>
      <c r="H5889" s="43"/>
    </row>
    <row r="5890" spans="1:8" ht="30" customHeight="1" x14ac:dyDescent="0.15">
      <c r="A5890" s="16" t="s">
        <v>558</v>
      </c>
      <c r="B5890" s="17" t="s">
        <v>537</v>
      </c>
      <c r="C5890" s="17"/>
      <c r="D5890" s="25" t="s">
        <v>9544</v>
      </c>
      <c r="E5890" s="19" t="s">
        <v>9736</v>
      </c>
      <c r="F5890" s="19" t="s">
        <v>3017</v>
      </c>
      <c r="G5890" s="9" t="str">
        <f>HYPERLINK("http://jsmh.umin.jp/journal/58-4/58-4_515.pdf")</f>
        <v>http://jsmh.umin.jp/journal/58-4/58-4_515.pdf</v>
      </c>
      <c r="H5890" s="43"/>
    </row>
    <row r="5891" spans="1:8" ht="30" customHeight="1" x14ac:dyDescent="0.15">
      <c r="A5891" s="16" t="s">
        <v>1102</v>
      </c>
      <c r="B5891" s="17" t="s">
        <v>10515</v>
      </c>
      <c r="C5891" s="17" t="s">
        <v>10140</v>
      </c>
      <c r="D5891" s="25" t="s">
        <v>9544</v>
      </c>
      <c r="E5891" s="19" t="s">
        <v>9736</v>
      </c>
      <c r="F5891" s="19" t="s">
        <v>3017</v>
      </c>
      <c r="G5891" s="9" t="str">
        <f>HYPERLINK("http://jsmh.umin.jp/journal/58-4/58-4_515-516.pdf")</f>
        <v>http://jsmh.umin.jp/journal/58-4/58-4_515-516.pdf</v>
      </c>
      <c r="H5891" s="43"/>
    </row>
    <row r="5892" spans="1:8" ht="30" customHeight="1" x14ac:dyDescent="0.15">
      <c r="A5892" s="16" t="s">
        <v>1102</v>
      </c>
      <c r="B5892" s="17" t="s">
        <v>9755</v>
      </c>
      <c r="C5892" s="17" t="s">
        <v>10454</v>
      </c>
      <c r="D5892" s="25" t="s">
        <v>9544</v>
      </c>
      <c r="E5892" s="19" t="s">
        <v>9736</v>
      </c>
      <c r="F5892" s="19" t="s">
        <v>9756</v>
      </c>
      <c r="G5892" s="9" t="str">
        <f>HYPERLINK("http://jsmh.umin.jp/journal/58-4/58-4_517-518.pdf")</f>
        <v>http://jsmh.umin.jp/journal/58-4/58-4_517-518.pdf</v>
      </c>
      <c r="H5892" s="43"/>
    </row>
    <row r="5893" spans="1:8" ht="30" customHeight="1" x14ac:dyDescent="0.15">
      <c r="A5893" s="16" t="s">
        <v>1102</v>
      </c>
      <c r="B5893" s="17" t="s">
        <v>9757</v>
      </c>
      <c r="C5893" s="17" t="s">
        <v>2937</v>
      </c>
      <c r="D5893" s="25" t="s">
        <v>9544</v>
      </c>
      <c r="E5893" s="19" t="s">
        <v>9736</v>
      </c>
      <c r="F5893" s="19" t="s">
        <v>9758</v>
      </c>
      <c r="G5893" s="9" t="str">
        <f>HYPERLINK("http://jsmh.umin.jp/journal/58-4/58-4_518-521.pdf")</f>
        <v>http://jsmh.umin.jp/journal/58-4/58-4_518-521.pdf</v>
      </c>
      <c r="H5893" s="43"/>
    </row>
    <row r="5894" spans="1:8" ht="30" customHeight="1" x14ac:dyDescent="0.15">
      <c r="A5894" s="16" t="s">
        <v>1102</v>
      </c>
      <c r="B5894" s="17" t="s">
        <v>10516</v>
      </c>
      <c r="C5894" s="17" t="s">
        <v>9361</v>
      </c>
      <c r="D5894" s="25" t="s">
        <v>9544</v>
      </c>
      <c r="E5894" s="19" t="s">
        <v>9736</v>
      </c>
      <c r="F5894" s="19" t="s">
        <v>9759</v>
      </c>
      <c r="G5894" s="9" t="str">
        <f>HYPERLINK("http://jsmh.umin.jp/journal/58-4/58-4_521-522.pdf")</f>
        <v>http://jsmh.umin.jp/journal/58-4/58-4_521-522.pdf</v>
      </c>
      <c r="H5894" s="43"/>
    </row>
    <row r="5895" spans="1:8" ht="30" customHeight="1" x14ac:dyDescent="0.15">
      <c r="A5895" s="16" t="s">
        <v>17</v>
      </c>
      <c r="B5895" s="17" t="s">
        <v>9760</v>
      </c>
      <c r="C5895" s="17" t="s">
        <v>9761</v>
      </c>
      <c r="D5895" s="18" t="s">
        <v>9762</v>
      </c>
      <c r="E5895" s="19" t="s">
        <v>9763</v>
      </c>
      <c r="F5895" s="19" t="s">
        <v>9764</v>
      </c>
      <c r="G5895" s="9" t="str">
        <f>HYPERLINK("http://jsmh.umin.jp/journal/59-1/59-1_3-15.pdf")</f>
        <v>http://jsmh.umin.jp/journal/59-1/59-1_3-15.pdf</v>
      </c>
      <c r="H5895" s="43"/>
    </row>
    <row r="5896" spans="1:8" ht="30" customHeight="1" x14ac:dyDescent="0.15">
      <c r="A5896" s="16" t="s">
        <v>17</v>
      </c>
      <c r="B5896" s="17" t="s">
        <v>9765</v>
      </c>
      <c r="C5896" s="17" t="s">
        <v>6300</v>
      </c>
      <c r="D5896" s="25" t="s">
        <v>9762</v>
      </c>
      <c r="E5896" s="19" t="s">
        <v>9763</v>
      </c>
      <c r="F5896" s="19" t="s">
        <v>9766</v>
      </c>
      <c r="G5896" s="9" t="str">
        <f>HYPERLINK("http://jsmh.umin.jp/journal/59-1/59-1_17-33.pdf")</f>
        <v>http://jsmh.umin.jp/journal/59-1/59-1_17-33.pdf</v>
      </c>
      <c r="H5896" s="43"/>
    </row>
    <row r="5897" spans="1:8" ht="30" customHeight="1" x14ac:dyDescent="0.15">
      <c r="A5897" s="16" t="s">
        <v>17</v>
      </c>
      <c r="B5897" s="17" t="s">
        <v>9767</v>
      </c>
      <c r="C5897" s="17" t="s">
        <v>10214</v>
      </c>
      <c r="D5897" s="25" t="s">
        <v>9762</v>
      </c>
      <c r="E5897" s="19" t="s">
        <v>9763</v>
      </c>
      <c r="F5897" s="19" t="s">
        <v>9768</v>
      </c>
      <c r="G5897" s="9" t="str">
        <f>HYPERLINK("http://jsmh.umin.jp/journal/59-1/59-1_35-55.pdf")</f>
        <v>http://jsmh.umin.jp/journal/59-1/59-1_35-55.pdf</v>
      </c>
      <c r="H5897" s="43"/>
    </row>
    <row r="5898" spans="1:8" ht="30" customHeight="1" x14ac:dyDescent="0.15">
      <c r="A5898" s="16" t="s">
        <v>3387</v>
      </c>
      <c r="B5898" s="17" t="s">
        <v>9769</v>
      </c>
      <c r="C5898" s="17" t="s">
        <v>8834</v>
      </c>
      <c r="D5898" s="25" t="s">
        <v>9762</v>
      </c>
      <c r="E5898" s="19" t="s">
        <v>9763</v>
      </c>
      <c r="F5898" s="19" t="s">
        <v>7052</v>
      </c>
      <c r="G5898" s="9" t="str">
        <f>HYPERLINK("http://jsmh.umin.jp/journal/59-1/59-1_57-73.pdf")</f>
        <v>http://jsmh.umin.jp/journal/59-1/59-1_57-73.pdf</v>
      </c>
      <c r="H5898" s="43"/>
    </row>
    <row r="5899" spans="1:8" ht="30" customHeight="1" x14ac:dyDescent="0.15">
      <c r="A5899" s="16" t="s">
        <v>7637</v>
      </c>
      <c r="B5899" s="17" t="s">
        <v>9770</v>
      </c>
      <c r="C5899" s="17" t="s">
        <v>8834</v>
      </c>
      <c r="D5899" s="25" t="s">
        <v>9762</v>
      </c>
      <c r="E5899" s="19" t="s">
        <v>9763</v>
      </c>
      <c r="F5899" s="19" t="s">
        <v>9771</v>
      </c>
      <c r="G5899" s="9" t="str">
        <f>HYPERLINK("http://jsmh.umin.jp/journal/59-1/59-1_75-82.pdf")</f>
        <v>http://jsmh.umin.jp/journal/59-1/59-1_75-82.pdf</v>
      </c>
      <c r="H5899" s="43"/>
    </row>
    <row r="5900" spans="1:8" ht="30" customHeight="1" x14ac:dyDescent="0.15">
      <c r="A5900" s="16" t="s">
        <v>7637</v>
      </c>
      <c r="B5900" s="17" t="s">
        <v>9772</v>
      </c>
      <c r="C5900" s="17" t="s">
        <v>5516</v>
      </c>
      <c r="D5900" s="25" t="s">
        <v>9762</v>
      </c>
      <c r="E5900" s="19" t="s">
        <v>9763</v>
      </c>
      <c r="F5900" s="19" t="s">
        <v>9773</v>
      </c>
      <c r="G5900" s="9" t="str">
        <f>HYPERLINK("http://jsmh.umin.jp/journal/59-1/59-1_83-86.pdf")</f>
        <v>http://jsmh.umin.jp/journal/59-1/59-1_83-86.pdf</v>
      </c>
      <c r="H5900" s="43"/>
    </row>
    <row r="5901" spans="1:8" ht="30" customHeight="1" x14ac:dyDescent="0.15">
      <c r="A5901" s="16" t="s">
        <v>7637</v>
      </c>
      <c r="B5901" s="17" t="s">
        <v>9774</v>
      </c>
      <c r="C5901" s="17" t="s">
        <v>10355</v>
      </c>
      <c r="D5901" s="25" t="s">
        <v>9762</v>
      </c>
      <c r="E5901" s="19" t="s">
        <v>9763</v>
      </c>
      <c r="F5901" s="19" t="s">
        <v>9775</v>
      </c>
      <c r="G5901" s="9" t="str">
        <f>HYPERLINK("http://jsmh.umin.jp/journal/59-1/59-1_87-95.pdf")</f>
        <v>http://jsmh.umin.jp/journal/59-1/59-1_87-95.pdf</v>
      </c>
      <c r="H5901" s="43"/>
    </row>
    <row r="5902" spans="1:8" ht="30" customHeight="1" x14ac:dyDescent="0.15">
      <c r="A5902" s="16" t="s">
        <v>692</v>
      </c>
      <c r="B5902" s="17" t="s">
        <v>9776</v>
      </c>
      <c r="C5902" s="17" t="s">
        <v>7522</v>
      </c>
      <c r="D5902" s="25" t="s">
        <v>9762</v>
      </c>
      <c r="E5902" s="19" t="s">
        <v>9763</v>
      </c>
      <c r="F5902" s="19" t="s">
        <v>9777</v>
      </c>
      <c r="G5902" s="9" t="str">
        <f>HYPERLINK("http://jsmh.umin.jp/journal/59-1/59-1_97-104.pdf")</f>
        <v>http://jsmh.umin.jp/journal/59-1/59-1_97-104.pdf</v>
      </c>
      <c r="H5902" s="43"/>
    </row>
    <row r="5903" spans="1:8" ht="30" customHeight="1" x14ac:dyDescent="0.15">
      <c r="A5903" s="16" t="s">
        <v>692</v>
      </c>
      <c r="B5903" s="17" t="s">
        <v>9778</v>
      </c>
      <c r="C5903" s="17" t="s">
        <v>4870</v>
      </c>
      <c r="D5903" s="29" t="s">
        <v>9762</v>
      </c>
      <c r="E5903" s="19" t="s">
        <v>9763</v>
      </c>
      <c r="F5903" s="19" t="s">
        <v>9779</v>
      </c>
      <c r="G5903" s="9" t="str">
        <f>HYPERLINK("http://jsmh.umin.jp/journal/59-1/59-1_105-114.pdf")</f>
        <v>http://jsmh.umin.jp/journal/59-1/59-1_105-114.pdf</v>
      </c>
      <c r="H5903" s="43"/>
    </row>
    <row r="5904" spans="1:8" ht="30" customHeight="1" x14ac:dyDescent="0.15">
      <c r="A5904" s="16" t="s">
        <v>692</v>
      </c>
      <c r="B5904" s="17" t="s">
        <v>9780</v>
      </c>
      <c r="C5904" s="17" t="s">
        <v>10517</v>
      </c>
      <c r="D5904" s="25" t="s">
        <v>9762</v>
      </c>
      <c r="E5904" s="19" t="s">
        <v>9763</v>
      </c>
      <c r="F5904" s="19" t="s">
        <v>9781</v>
      </c>
      <c r="G5904" s="9" t="str">
        <f>HYPERLINK("http://jsmh.umin.jp/journal/59-1/59-1_115-136.pdf")</f>
        <v>http://jsmh.umin.jp/journal/59-1/59-1_115-136.pdf</v>
      </c>
      <c r="H5904" s="43"/>
    </row>
    <row r="5905" spans="1:8" ht="30" customHeight="1" x14ac:dyDescent="0.15">
      <c r="A5905" s="16" t="s">
        <v>3720</v>
      </c>
      <c r="B5905" s="17" t="s">
        <v>10518</v>
      </c>
      <c r="C5905" s="17" t="s">
        <v>9184</v>
      </c>
      <c r="D5905" s="25" t="s">
        <v>9762</v>
      </c>
      <c r="E5905" s="19" t="s">
        <v>9763</v>
      </c>
      <c r="F5905" s="19" t="s">
        <v>6634</v>
      </c>
      <c r="G5905" s="9" t="str">
        <f>HYPERLINK("http://jsmh.umin.jp/journal/59-1/59-1_137-139.pdf")</f>
        <v>http://jsmh.umin.jp/journal/59-1/59-1_137-139.pdf</v>
      </c>
      <c r="H5905" s="43"/>
    </row>
    <row r="5906" spans="1:8" ht="30" customHeight="1" x14ac:dyDescent="0.15">
      <c r="A5906" s="16" t="s">
        <v>558</v>
      </c>
      <c r="B5906" s="17" t="s">
        <v>537</v>
      </c>
      <c r="C5906" s="17"/>
      <c r="D5906" s="25" t="s">
        <v>9762</v>
      </c>
      <c r="E5906" s="19" t="s">
        <v>9763</v>
      </c>
      <c r="F5906" s="19" t="s">
        <v>1351</v>
      </c>
      <c r="G5906" s="9" t="str">
        <f>HYPERLINK("http://jsmh.umin.jp/journal/59-1/59-1_kiroku.pdf")</f>
        <v>http://jsmh.umin.jp/journal/59-1/59-1_kiroku.pdf</v>
      </c>
      <c r="H5906" s="43"/>
    </row>
    <row r="5907" spans="1:8" ht="30" customHeight="1" x14ac:dyDescent="0.15">
      <c r="A5907" s="16" t="s">
        <v>3720</v>
      </c>
      <c r="B5907" s="17" t="s">
        <v>9782</v>
      </c>
      <c r="C5907" s="17" t="s">
        <v>9783</v>
      </c>
      <c r="D5907" s="25" t="s">
        <v>9762</v>
      </c>
      <c r="E5907" s="19" t="s">
        <v>9763</v>
      </c>
      <c r="F5907" s="19" t="s">
        <v>1356</v>
      </c>
      <c r="G5907" s="9" t="str">
        <f>HYPERLINK("http://jsmh.umin.jp/journal/59-1/59-1_139-140.pdf")</f>
        <v>http://jsmh.umin.jp/journal/59-1/59-1_139-140.pdf</v>
      </c>
      <c r="H5907" s="43"/>
    </row>
    <row r="5908" spans="1:8" ht="30" customHeight="1" x14ac:dyDescent="0.15">
      <c r="A5908" s="16" t="s">
        <v>3720</v>
      </c>
      <c r="B5908" s="17" t="s">
        <v>9784</v>
      </c>
      <c r="C5908" s="17" t="s">
        <v>9785</v>
      </c>
      <c r="D5908" s="25" t="s">
        <v>9762</v>
      </c>
      <c r="E5908" s="19" t="s">
        <v>9763</v>
      </c>
      <c r="F5908" s="19" t="s">
        <v>2231</v>
      </c>
      <c r="G5908" s="9" t="str">
        <f>HYPERLINK("http://jsmh.umin.jp/journal/59-1/59-1_140-141.pdf")</f>
        <v>http://jsmh.umin.jp/journal/59-1/59-1_140-141.pdf</v>
      </c>
      <c r="H5908" s="43"/>
    </row>
    <row r="5909" spans="1:8" ht="30" customHeight="1" x14ac:dyDescent="0.15">
      <c r="A5909" s="16" t="s">
        <v>3720</v>
      </c>
      <c r="B5909" s="17" t="s">
        <v>10519</v>
      </c>
      <c r="C5909" s="17" t="s">
        <v>6267</v>
      </c>
      <c r="D5909" s="25" t="s">
        <v>9762</v>
      </c>
      <c r="E5909" s="19" t="s">
        <v>9763</v>
      </c>
      <c r="F5909" s="19" t="s">
        <v>2758</v>
      </c>
      <c r="G5909" s="9" t="str">
        <f>HYPERLINK("http://jsmh.umin.jp/journal/59-1/59-1_141-142.pdf")</f>
        <v>http://jsmh.umin.jp/journal/59-1/59-1_141-142.pdf</v>
      </c>
      <c r="H5909" s="43"/>
    </row>
    <row r="5910" spans="1:8" ht="30" customHeight="1" x14ac:dyDescent="0.15">
      <c r="A5910" s="16" t="s">
        <v>3720</v>
      </c>
      <c r="B5910" s="17" t="s">
        <v>9786</v>
      </c>
      <c r="C5910" s="17" t="s">
        <v>9641</v>
      </c>
      <c r="D5910" s="25" t="s">
        <v>9762</v>
      </c>
      <c r="E5910" s="19" t="s">
        <v>9763</v>
      </c>
      <c r="F5910" s="19" t="s">
        <v>1516</v>
      </c>
      <c r="G5910" s="9" t="str">
        <f>HYPERLINK("http://jsmh.umin.jp/journal/59-1/59-1_143-144.pdf")</f>
        <v>http://jsmh.umin.jp/journal/59-1/59-1_143-144.pdf</v>
      </c>
      <c r="H5910" s="43"/>
    </row>
    <row r="5911" spans="1:8" ht="30" customHeight="1" x14ac:dyDescent="0.15">
      <c r="A5911" s="16" t="s">
        <v>3720</v>
      </c>
      <c r="B5911" s="17" t="s">
        <v>10520</v>
      </c>
      <c r="C5911" s="17" t="s">
        <v>6078</v>
      </c>
      <c r="D5911" s="25" t="s">
        <v>9762</v>
      </c>
      <c r="E5911" s="19" t="s">
        <v>9763</v>
      </c>
      <c r="F5911" s="19" t="s">
        <v>2761</v>
      </c>
      <c r="G5911" s="9" t="str">
        <f>HYPERLINK("http://jsmh.umin.jp/journal/59-1/59-1_144-145.pdf")</f>
        <v>http://jsmh.umin.jp/journal/59-1/59-1_144-145.pdf</v>
      </c>
      <c r="H5911" s="43"/>
    </row>
    <row r="5912" spans="1:8" ht="30" customHeight="1" x14ac:dyDescent="0.15">
      <c r="A5912" s="16" t="s">
        <v>9104</v>
      </c>
      <c r="B5912" s="17" t="s">
        <v>9787</v>
      </c>
      <c r="C5912" s="17" t="s">
        <v>10299</v>
      </c>
      <c r="D5912" s="25" t="s">
        <v>9762</v>
      </c>
      <c r="E5912" s="19" t="s">
        <v>9763</v>
      </c>
      <c r="F5912" s="19" t="s">
        <v>9587</v>
      </c>
      <c r="G5912" s="9" t="str">
        <f>HYPERLINK("http://jsmh.umin.jp/journal/59-1/59-1_145-146.pdf")</f>
        <v>http://jsmh.umin.jp/journal/59-1/59-1_145-146.pdf</v>
      </c>
      <c r="H5912" s="43"/>
    </row>
    <row r="5913" spans="1:8" ht="30" customHeight="1" x14ac:dyDescent="0.15">
      <c r="A5913" s="16" t="s">
        <v>9104</v>
      </c>
      <c r="B5913" s="17" t="s">
        <v>9788</v>
      </c>
      <c r="C5913" s="17" t="s">
        <v>10299</v>
      </c>
      <c r="D5913" s="25" t="s">
        <v>9762</v>
      </c>
      <c r="E5913" s="19" t="s">
        <v>9763</v>
      </c>
      <c r="F5913" s="19" t="s">
        <v>1524</v>
      </c>
      <c r="G5913" s="9" t="str">
        <f>HYPERLINK("http://jsmh.umin.jp/journal/59-1/59-1_146.pdf")</f>
        <v>http://jsmh.umin.jp/journal/59-1/59-1_146.pdf</v>
      </c>
      <c r="H5913" s="43"/>
    </row>
    <row r="5914" spans="1:8" ht="30" customHeight="1" x14ac:dyDescent="0.15">
      <c r="A5914" s="16" t="s">
        <v>9104</v>
      </c>
      <c r="B5914" s="17" t="s">
        <v>10521</v>
      </c>
      <c r="C5914" s="17" t="s">
        <v>10299</v>
      </c>
      <c r="D5914" s="25" t="s">
        <v>9762</v>
      </c>
      <c r="E5914" s="19" t="s">
        <v>9763</v>
      </c>
      <c r="F5914" s="19" t="s">
        <v>1524</v>
      </c>
      <c r="G5914" s="9" t="str">
        <f>HYPERLINK("http://jsmh.umin.jp/journal/59-1/59-1_146.pdf")</f>
        <v>http://jsmh.umin.jp/journal/59-1/59-1_146.pdf</v>
      </c>
      <c r="H5914" s="43"/>
    </row>
    <row r="5915" spans="1:8" ht="30" customHeight="1" x14ac:dyDescent="0.15">
      <c r="A5915" s="16" t="s">
        <v>9104</v>
      </c>
      <c r="B5915" s="17" t="s">
        <v>9789</v>
      </c>
      <c r="C5915" s="17" t="s">
        <v>10299</v>
      </c>
      <c r="D5915" s="25" t="s">
        <v>9762</v>
      </c>
      <c r="E5915" s="19" t="s">
        <v>9763</v>
      </c>
      <c r="F5915" s="19" t="s">
        <v>1526</v>
      </c>
      <c r="G5915" s="9" t="str">
        <f>HYPERLINK("http://jsmh.umin.jp/journal/59-1/59-1_147.pdf")</f>
        <v>http://jsmh.umin.jp/journal/59-1/59-1_147.pdf</v>
      </c>
      <c r="H5915" s="43"/>
    </row>
    <row r="5916" spans="1:8" ht="30" customHeight="1" x14ac:dyDescent="0.15">
      <c r="A5916" s="16" t="s">
        <v>1855</v>
      </c>
      <c r="B5916" s="17" t="s">
        <v>9790</v>
      </c>
      <c r="C5916" s="17" t="s">
        <v>5837</v>
      </c>
      <c r="D5916" s="25" t="s">
        <v>9762</v>
      </c>
      <c r="E5916" s="19" t="s">
        <v>9791</v>
      </c>
      <c r="F5916" s="19" t="s">
        <v>2911</v>
      </c>
      <c r="G5916" s="9" t="str">
        <f>HYPERLINK("http://jsmh.umin.jp/journal/59-2/59-2_161.pdf")</f>
        <v>http://jsmh.umin.jp/journal/59-2/59-2_161.pdf</v>
      </c>
      <c r="H5916" s="43"/>
    </row>
    <row r="5917" spans="1:8" ht="30" customHeight="1" x14ac:dyDescent="0.15">
      <c r="A5917" s="16" t="s">
        <v>1855</v>
      </c>
      <c r="B5917" s="17" t="s">
        <v>9792</v>
      </c>
      <c r="C5917" s="17" t="s">
        <v>9793</v>
      </c>
      <c r="D5917" s="25" t="s">
        <v>9762</v>
      </c>
      <c r="E5917" s="19" t="s">
        <v>9791</v>
      </c>
      <c r="F5917" s="19" t="s">
        <v>9794</v>
      </c>
      <c r="G5917" s="9" t="str">
        <f>HYPERLINK("http://jsmh.umin.jp/journal/59-2/59-2_164.pdf")</f>
        <v>http://jsmh.umin.jp/journal/59-2/59-2_164.pdf</v>
      </c>
      <c r="H5917" s="43"/>
    </row>
    <row r="5918" spans="1:8" ht="30" customHeight="1" x14ac:dyDescent="0.15">
      <c r="A5918" s="16" t="s">
        <v>1855</v>
      </c>
      <c r="B5918" s="17" t="s">
        <v>9795</v>
      </c>
      <c r="C5918" s="17" t="s">
        <v>4785</v>
      </c>
      <c r="D5918" s="25" t="s">
        <v>9762</v>
      </c>
      <c r="E5918" s="19" t="s">
        <v>9791</v>
      </c>
      <c r="F5918" s="19" t="s">
        <v>9796</v>
      </c>
      <c r="G5918" s="9" t="str">
        <f>HYPERLINK("http://jsmh.umin.jp/journal/59-2/59-2_171.pdf")</f>
        <v>http://jsmh.umin.jp/journal/59-2/59-2_171.pdf</v>
      </c>
      <c r="H5918" s="43"/>
    </row>
    <row r="5919" spans="1:8" ht="30" customHeight="1" x14ac:dyDescent="0.15">
      <c r="A5919" s="16" t="s">
        <v>1855</v>
      </c>
      <c r="B5919" s="17" t="s">
        <v>9797</v>
      </c>
      <c r="C5919" s="17" t="s">
        <v>9798</v>
      </c>
      <c r="D5919" s="25" t="s">
        <v>9762</v>
      </c>
      <c r="E5919" s="19" t="s">
        <v>9791</v>
      </c>
      <c r="F5919" s="19" t="s">
        <v>2924</v>
      </c>
      <c r="G5919" s="9" t="str">
        <f>HYPERLINK("http://jsmh.umin.jp/journal/59-2/59-2_175.pdf")</f>
        <v>http://jsmh.umin.jp/journal/59-2/59-2_175.pdf</v>
      </c>
      <c r="H5919" s="43"/>
    </row>
    <row r="5920" spans="1:8" ht="30" customHeight="1" x14ac:dyDescent="0.15">
      <c r="A5920" s="16" t="s">
        <v>1855</v>
      </c>
      <c r="B5920" s="17" t="s">
        <v>9799</v>
      </c>
      <c r="C5920" s="17" t="s">
        <v>1070</v>
      </c>
      <c r="D5920" s="25" t="s">
        <v>9762</v>
      </c>
      <c r="E5920" s="19" t="s">
        <v>9791</v>
      </c>
      <c r="F5920" s="19" t="s">
        <v>1711</v>
      </c>
      <c r="G5920" s="9" t="str">
        <f>HYPERLINK("http://jsmh.umin.jp/journal/59-2/59-2_178.pdf")</f>
        <v>http://jsmh.umin.jp/journal/59-2/59-2_178.pdf</v>
      </c>
      <c r="H5920" s="43"/>
    </row>
    <row r="5921" spans="1:8" ht="30" customHeight="1" x14ac:dyDescent="0.15">
      <c r="A5921" s="16" t="s">
        <v>1855</v>
      </c>
      <c r="B5921" s="17" t="s">
        <v>9800</v>
      </c>
      <c r="C5921" s="17" t="s">
        <v>9801</v>
      </c>
      <c r="D5921" s="25" t="s">
        <v>9762</v>
      </c>
      <c r="E5921" s="19" t="s">
        <v>9791</v>
      </c>
      <c r="F5921" s="19" t="s">
        <v>3424</v>
      </c>
      <c r="G5921" s="9" t="str">
        <f>HYPERLINK("http://jsmh.umin.jp/journal/59-2/59-2_181.pdf")</f>
        <v>http://jsmh.umin.jp/journal/59-2/59-2_181.pdf</v>
      </c>
      <c r="H5921" s="43"/>
    </row>
    <row r="5922" spans="1:8" ht="30" customHeight="1" x14ac:dyDescent="0.15">
      <c r="A5922" s="16" t="s">
        <v>1855</v>
      </c>
      <c r="B5922" s="17" t="s">
        <v>9802</v>
      </c>
      <c r="C5922" s="17" t="s">
        <v>8350</v>
      </c>
      <c r="D5922" s="25" t="s">
        <v>9762</v>
      </c>
      <c r="E5922" s="19" t="s">
        <v>9791</v>
      </c>
      <c r="F5922" s="19" t="s">
        <v>1717</v>
      </c>
      <c r="G5922" s="9" t="str">
        <f>HYPERLINK("http://jsmh.umin.jp/journal/59-2/59-2_182.pdf")</f>
        <v>http://jsmh.umin.jp/journal/59-2/59-2_182.pdf</v>
      </c>
      <c r="H5922" s="43"/>
    </row>
    <row r="5923" spans="1:8" ht="30" customHeight="1" x14ac:dyDescent="0.15">
      <c r="A5923" s="16" t="s">
        <v>1855</v>
      </c>
      <c r="B5923" s="17" t="s">
        <v>9803</v>
      </c>
      <c r="C5923" s="17" t="s">
        <v>9162</v>
      </c>
      <c r="D5923" s="25" t="s">
        <v>9762</v>
      </c>
      <c r="E5923" s="19" t="s">
        <v>9791</v>
      </c>
      <c r="F5923" s="19" t="s">
        <v>8969</v>
      </c>
      <c r="G5923" s="9" t="str">
        <f>HYPERLINK("http://jsmh.umin.jp/journal/59-2/59-2_183.pdf")</f>
        <v>http://jsmh.umin.jp/journal/59-2/59-2_183.pdf</v>
      </c>
      <c r="H5923" s="43"/>
    </row>
    <row r="5924" spans="1:8" ht="30" customHeight="1" x14ac:dyDescent="0.15">
      <c r="A5924" s="16" t="s">
        <v>1855</v>
      </c>
      <c r="B5924" s="17" t="s">
        <v>9804</v>
      </c>
      <c r="C5924" s="17" t="s">
        <v>6078</v>
      </c>
      <c r="D5924" s="25" t="s">
        <v>9762</v>
      </c>
      <c r="E5924" s="19" t="s">
        <v>9791</v>
      </c>
      <c r="F5924" s="19" t="s">
        <v>2047</v>
      </c>
      <c r="G5924" s="9" t="str">
        <f>HYPERLINK("http://jsmh.umin.jp/journal/59-2/59-2_184.pdf")</f>
        <v>http://jsmh.umin.jp/journal/59-2/59-2_184.pdf</v>
      </c>
      <c r="H5924" s="43"/>
    </row>
    <row r="5925" spans="1:8" ht="30" customHeight="1" x14ac:dyDescent="0.15">
      <c r="A5925" s="16" t="s">
        <v>1855</v>
      </c>
      <c r="B5925" s="17" t="s">
        <v>9805</v>
      </c>
      <c r="C5925" s="17" t="s">
        <v>10522</v>
      </c>
      <c r="D5925" s="25" t="s">
        <v>9762</v>
      </c>
      <c r="E5925" s="19" t="s">
        <v>9791</v>
      </c>
      <c r="F5925" s="19" t="s">
        <v>2055</v>
      </c>
      <c r="G5925" s="9" t="str">
        <f>HYPERLINK("http://jsmh.umin.jp/journal/59-2/59-2_185.pdf")</f>
        <v>http://jsmh.umin.jp/journal/59-2/59-2_185.pdf</v>
      </c>
      <c r="H5925" s="43"/>
    </row>
    <row r="5926" spans="1:8" ht="30" customHeight="1" x14ac:dyDescent="0.15">
      <c r="A5926" s="16" t="s">
        <v>1855</v>
      </c>
      <c r="B5926" s="17" t="s">
        <v>9806</v>
      </c>
      <c r="C5926" s="17" t="s">
        <v>790</v>
      </c>
      <c r="D5926" s="25" t="s">
        <v>9762</v>
      </c>
      <c r="E5926" s="19" t="s">
        <v>9791</v>
      </c>
      <c r="F5926" s="19" t="s">
        <v>2057</v>
      </c>
      <c r="G5926" s="9" t="str">
        <f>HYPERLINK("http://jsmh.umin.jp/journal/59-2/59-2_186.pdf")</f>
        <v>http://jsmh.umin.jp/journal/59-2/59-2_186.pdf</v>
      </c>
      <c r="H5926" s="43"/>
    </row>
    <row r="5927" spans="1:8" ht="30" customHeight="1" x14ac:dyDescent="0.15">
      <c r="A5927" s="16" t="s">
        <v>1855</v>
      </c>
      <c r="B5927" s="17" t="s">
        <v>9807</v>
      </c>
      <c r="C5927" s="17" t="s">
        <v>10523</v>
      </c>
      <c r="D5927" s="25" t="s">
        <v>9762</v>
      </c>
      <c r="E5927" s="19" t="s">
        <v>9791</v>
      </c>
      <c r="F5927" s="19" t="s">
        <v>3674</v>
      </c>
      <c r="G5927" s="9" t="str">
        <f>HYPERLINK("http://jsmh.umin.jp/journal/59-2/59-2_187.pdf")</f>
        <v>http://jsmh.umin.jp/journal/59-2/59-2_187.pdf</v>
      </c>
      <c r="H5927" s="43"/>
    </row>
    <row r="5928" spans="1:8" ht="30" customHeight="1" x14ac:dyDescent="0.15">
      <c r="A5928" s="16" t="s">
        <v>1855</v>
      </c>
      <c r="B5928" s="17" t="s">
        <v>9808</v>
      </c>
      <c r="C5928" s="17" t="s">
        <v>1147</v>
      </c>
      <c r="D5928" s="25" t="s">
        <v>9762</v>
      </c>
      <c r="E5928" s="19" t="s">
        <v>9791</v>
      </c>
      <c r="F5928" s="19" t="s">
        <v>8977</v>
      </c>
      <c r="G5928" s="9" t="str">
        <f>HYPERLINK("http://jsmh.umin.jp/journal/59-2/59-2_188.pdf")</f>
        <v>http://jsmh.umin.jp/journal/59-2/59-2_188.pdf</v>
      </c>
      <c r="H5928" s="43"/>
    </row>
    <row r="5929" spans="1:8" ht="30" customHeight="1" x14ac:dyDescent="0.15">
      <c r="A5929" s="16" t="s">
        <v>1855</v>
      </c>
      <c r="B5929" s="17" t="s">
        <v>9809</v>
      </c>
      <c r="C5929" s="17" t="s">
        <v>9810</v>
      </c>
      <c r="D5929" s="25" t="s">
        <v>9762</v>
      </c>
      <c r="E5929" s="19" t="s">
        <v>9791</v>
      </c>
      <c r="F5929" s="19" t="s">
        <v>1725</v>
      </c>
      <c r="G5929" s="9" t="str">
        <f>HYPERLINK("http://jsmh.umin.jp/journal/59-2/59-2_189.pdf")</f>
        <v>http://jsmh.umin.jp/journal/59-2/59-2_189.pdf</v>
      </c>
      <c r="H5929" s="43"/>
    </row>
    <row r="5930" spans="1:8" ht="30" customHeight="1" x14ac:dyDescent="0.15">
      <c r="A5930" s="16" t="s">
        <v>1855</v>
      </c>
      <c r="B5930" s="17" t="s">
        <v>9811</v>
      </c>
      <c r="C5930" s="17" t="s">
        <v>9165</v>
      </c>
      <c r="D5930" s="25" t="s">
        <v>9762</v>
      </c>
      <c r="E5930" s="19" t="s">
        <v>9791</v>
      </c>
      <c r="F5930" s="19" t="s">
        <v>979</v>
      </c>
      <c r="G5930" s="9" t="str">
        <f>HYPERLINK("http://jsmh.umin.jp/journal/59-2/59-2_190.pdf")</f>
        <v>http://jsmh.umin.jp/journal/59-2/59-2_190.pdf</v>
      </c>
      <c r="H5930" s="43"/>
    </row>
    <row r="5931" spans="1:8" ht="30" customHeight="1" x14ac:dyDescent="0.15">
      <c r="A5931" s="16" t="s">
        <v>1855</v>
      </c>
      <c r="B5931" s="17" t="s">
        <v>9812</v>
      </c>
      <c r="C5931" s="17" t="s">
        <v>8545</v>
      </c>
      <c r="D5931" s="25" t="s">
        <v>9762</v>
      </c>
      <c r="E5931" s="19" t="s">
        <v>9791</v>
      </c>
      <c r="F5931" s="19" t="s">
        <v>983</v>
      </c>
      <c r="G5931" s="9" t="str">
        <f>HYPERLINK("http://jsmh.umin.jp/journal/59-2/59-2_191.pdf")</f>
        <v>http://jsmh.umin.jp/journal/59-2/59-2_191.pdf</v>
      </c>
      <c r="H5931" s="43"/>
    </row>
    <row r="5932" spans="1:8" ht="30" customHeight="1" x14ac:dyDescent="0.15">
      <c r="A5932" s="16" t="s">
        <v>1855</v>
      </c>
      <c r="B5932" s="17" t="s">
        <v>9813</v>
      </c>
      <c r="C5932" s="17" t="s">
        <v>7320</v>
      </c>
      <c r="D5932" s="25" t="s">
        <v>9762</v>
      </c>
      <c r="E5932" s="19" t="s">
        <v>9791</v>
      </c>
      <c r="F5932" s="19" t="s">
        <v>988</v>
      </c>
      <c r="G5932" s="9" t="str">
        <f>HYPERLINK("http://jsmh.umin.jp/journal/59-2/59-2_192.pdf")</f>
        <v>http://jsmh.umin.jp/journal/59-2/59-2_192.pdf</v>
      </c>
      <c r="H5932" s="43"/>
    </row>
    <row r="5933" spans="1:8" ht="30" customHeight="1" x14ac:dyDescent="0.15">
      <c r="A5933" s="16" t="s">
        <v>1855</v>
      </c>
      <c r="B5933" s="17" t="s">
        <v>9814</v>
      </c>
      <c r="C5933" s="17" t="s">
        <v>10289</v>
      </c>
      <c r="D5933" s="25" t="s">
        <v>9762</v>
      </c>
      <c r="E5933" s="19" t="s">
        <v>9791</v>
      </c>
      <c r="F5933" s="19" t="s">
        <v>5077</v>
      </c>
      <c r="G5933" s="9" t="str">
        <f>HYPERLINK("http://jsmh.umin.jp/journal/59-2/59-2_193.pdf")</f>
        <v>http://jsmh.umin.jp/journal/59-2/59-2_193.pdf</v>
      </c>
      <c r="H5933" s="43"/>
    </row>
    <row r="5934" spans="1:8" ht="30" customHeight="1" x14ac:dyDescent="0.15">
      <c r="A5934" s="16" t="s">
        <v>1855</v>
      </c>
      <c r="B5934" s="17" t="s">
        <v>9815</v>
      </c>
      <c r="C5934" s="17" t="s">
        <v>9816</v>
      </c>
      <c r="D5934" s="25" t="s">
        <v>9762</v>
      </c>
      <c r="E5934" s="19" t="s">
        <v>9791</v>
      </c>
      <c r="F5934" s="19" t="s">
        <v>1732</v>
      </c>
      <c r="G5934" s="9" t="str">
        <f>HYPERLINK("http://jsmh.umin.jp/journal/59-2/59-2_194.pdf")</f>
        <v>http://jsmh.umin.jp/journal/59-2/59-2_194.pdf</v>
      </c>
      <c r="H5934" s="43"/>
    </row>
    <row r="5935" spans="1:8" ht="30" customHeight="1" x14ac:dyDescent="0.15">
      <c r="A5935" s="16" t="s">
        <v>1855</v>
      </c>
      <c r="B5935" s="17" t="s">
        <v>9817</v>
      </c>
      <c r="C5935" s="17" t="s">
        <v>9593</v>
      </c>
      <c r="D5935" s="25" t="s">
        <v>9762</v>
      </c>
      <c r="E5935" s="19" t="s">
        <v>9791</v>
      </c>
      <c r="F5935" s="19" t="s">
        <v>995</v>
      </c>
      <c r="G5935" s="9" t="str">
        <f>HYPERLINK("http://jsmh.umin.jp/journal/59-2/59-2_195.pdf")</f>
        <v>http://jsmh.umin.jp/journal/59-2/59-2_195.pdf</v>
      </c>
      <c r="H5935" s="43"/>
    </row>
    <row r="5936" spans="1:8" ht="30" customHeight="1" x14ac:dyDescent="0.15">
      <c r="A5936" s="16" t="s">
        <v>1855</v>
      </c>
      <c r="B5936" s="17" t="s">
        <v>9818</v>
      </c>
      <c r="C5936" s="17" t="s">
        <v>9819</v>
      </c>
      <c r="D5936" s="25" t="s">
        <v>9762</v>
      </c>
      <c r="E5936" s="19" t="s">
        <v>9791</v>
      </c>
      <c r="F5936" s="19" t="s">
        <v>1001</v>
      </c>
      <c r="G5936" s="9" t="str">
        <f>HYPERLINK("http://jsmh.umin.jp/journal/59-2/59-2_196.pdf")</f>
        <v>http://jsmh.umin.jp/journal/59-2/59-2_196.pdf</v>
      </c>
      <c r="H5936" s="43"/>
    </row>
    <row r="5937" spans="1:8" ht="30" customHeight="1" x14ac:dyDescent="0.15">
      <c r="A5937" s="16" t="s">
        <v>1855</v>
      </c>
      <c r="B5937" s="17" t="s">
        <v>9820</v>
      </c>
      <c r="C5937" s="17" t="s">
        <v>2937</v>
      </c>
      <c r="D5937" s="25" t="s">
        <v>9762</v>
      </c>
      <c r="E5937" s="19" t="s">
        <v>9791</v>
      </c>
      <c r="F5937" s="19" t="s">
        <v>1004</v>
      </c>
      <c r="G5937" s="9" t="str">
        <f>HYPERLINK("http://jsmh.umin.jp/journal/59-2/59-2_197.pdf")</f>
        <v>http://jsmh.umin.jp/journal/59-2/59-2_197.pdf</v>
      </c>
      <c r="H5937" s="43"/>
    </row>
    <row r="5938" spans="1:8" ht="30" customHeight="1" x14ac:dyDescent="0.15">
      <c r="A5938" s="16" t="s">
        <v>1855</v>
      </c>
      <c r="B5938" s="17" t="s">
        <v>9821</v>
      </c>
      <c r="C5938" s="17" t="s">
        <v>6705</v>
      </c>
      <c r="D5938" s="25" t="s">
        <v>9762</v>
      </c>
      <c r="E5938" s="19" t="s">
        <v>9791</v>
      </c>
      <c r="F5938" s="19" t="s">
        <v>2440</v>
      </c>
      <c r="G5938" s="9" t="str">
        <f>HYPERLINK("http://jsmh.umin.jp/journal/59-2/59-2_198.pdf")</f>
        <v>http://jsmh.umin.jp/journal/59-2/59-2_198.pdf</v>
      </c>
      <c r="H5938" s="43"/>
    </row>
    <row r="5939" spans="1:8" ht="30" customHeight="1" x14ac:dyDescent="0.15">
      <c r="A5939" s="16" t="s">
        <v>1855</v>
      </c>
      <c r="B5939" s="17" t="s">
        <v>9822</v>
      </c>
      <c r="C5939" s="17" t="s">
        <v>6640</v>
      </c>
      <c r="D5939" s="25" t="s">
        <v>9762</v>
      </c>
      <c r="E5939" s="19" t="s">
        <v>9791</v>
      </c>
      <c r="F5939" s="19" t="s">
        <v>8990</v>
      </c>
      <c r="G5939" s="9" t="str">
        <f>HYPERLINK("http://jsmh.umin.jp/journal/59-2/59-2_199.pdf")</f>
        <v>http://jsmh.umin.jp/journal/59-2/59-2_199.pdf</v>
      </c>
      <c r="H5939" s="43"/>
    </row>
    <row r="5940" spans="1:8" ht="30" customHeight="1" x14ac:dyDescent="0.15">
      <c r="A5940" s="16" t="s">
        <v>1855</v>
      </c>
      <c r="B5940" s="17" t="s">
        <v>9823</v>
      </c>
      <c r="C5940" s="17" t="s">
        <v>9824</v>
      </c>
      <c r="D5940" s="25" t="s">
        <v>9762</v>
      </c>
      <c r="E5940" s="19" t="s">
        <v>9791</v>
      </c>
      <c r="F5940" s="19" t="s">
        <v>2942</v>
      </c>
      <c r="G5940" s="9" t="str">
        <f>HYPERLINK("http://jsmh.umin.jp/journal/59-2/59-2_200.pdf")</f>
        <v>http://jsmh.umin.jp/journal/59-2/59-2_200.pdf</v>
      </c>
      <c r="H5940" s="43"/>
    </row>
    <row r="5941" spans="1:8" ht="30" customHeight="1" x14ac:dyDescent="0.15">
      <c r="A5941" s="16" t="s">
        <v>1855</v>
      </c>
      <c r="B5941" s="17" t="s">
        <v>9825</v>
      </c>
      <c r="C5941" s="17" t="s">
        <v>8947</v>
      </c>
      <c r="D5941" s="25" t="s">
        <v>9762</v>
      </c>
      <c r="E5941" s="19" t="s">
        <v>9791</v>
      </c>
      <c r="F5941" s="19" t="s">
        <v>2944</v>
      </c>
      <c r="G5941" s="9" t="str">
        <f>HYPERLINK("http://jsmh.umin.jp/journal/59-2/59-2_201.pdf")</f>
        <v>http://jsmh.umin.jp/journal/59-2/59-2_201.pdf</v>
      </c>
      <c r="H5941" s="43"/>
    </row>
    <row r="5942" spans="1:8" ht="30" customHeight="1" x14ac:dyDescent="0.15">
      <c r="A5942" s="16" t="s">
        <v>1855</v>
      </c>
      <c r="B5942" s="17" t="s">
        <v>9826</v>
      </c>
      <c r="C5942" s="17" t="s">
        <v>6565</v>
      </c>
      <c r="D5942" s="25" t="s">
        <v>9762</v>
      </c>
      <c r="E5942" s="19" t="s">
        <v>9791</v>
      </c>
      <c r="F5942" s="19" t="s">
        <v>80</v>
      </c>
      <c r="G5942" s="9" t="str">
        <f>HYPERLINK("http://jsmh.umin.jp/journal/59-2/59-2_202.pdf")</f>
        <v>http://jsmh.umin.jp/journal/59-2/59-2_202.pdf</v>
      </c>
      <c r="H5942" s="43"/>
    </row>
    <row r="5943" spans="1:8" ht="30" customHeight="1" x14ac:dyDescent="0.15">
      <c r="A5943" s="16" t="s">
        <v>1855</v>
      </c>
      <c r="B5943" s="17" t="s">
        <v>9827</v>
      </c>
      <c r="C5943" s="17" t="s">
        <v>3167</v>
      </c>
      <c r="D5943" s="25" t="s">
        <v>9762</v>
      </c>
      <c r="E5943" s="19" t="s">
        <v>9791</v>
      </c>
      <c r="F5943" s="19" t="s">
        <v>2594</v>
      </c>
      <c r="G5943" s="9" t="str">
        <f>HYPERLINK("http://jsmh.umin.jp/journal/59-2/59-2_203.pdf")</f>
        <v>http://jsmh.umin.jp/journal/59-2/59-2_203.pdf</v>
      </c>
      <c r="H5943" s="43"/>
    </row>
    <row r="5944" spans="1:8" ht="30" customHeight="1" x14ac:dyDescent="0.15">
      <c r="A5944" s="16" t="s">
        <v>1855</v>
      </c>
      <c r="B5944" s="17" t="s">
        <v>9828</v>
      </c>
      <c r="C5944" s="17" t="s">
        <v>10299</v>
      </c>
      <c r="D5944" s="25" t="s">
        <v>9762</v>
      </c>
      <c r="E5944" s="19" t="s">
        <v>9791</v>
      </c>
      <c r="F5944" s="19" t="s">
        <v>8997</v>
      </c>
      <c r="G5944" s="9" t="str">
        <f>HYPERLINK("http://jsmh.umin.jp/journal/59-2/59-2_204.pdf")</f>
        <v>http://jsmh.umin.jp/journal/59-2/59-2_204.pdf</v>
      </c>
      <c r="H5944" s="43"/>
    </row>
    <row r="5945" spans="1:8" ht="30" customHeight="1" x14ac:dyDescent="0.15">
      <c r="A5945" s="16" t="s">
        <v>1855</v>
      </c>
      <c r="B5945" s="17" t="s">
        <v>9829</v>
      </c>
      <c r="C5945" s="17" t="s">
        <v>7316</v>
      </c>
      <c r="D5945" s="25" t="s">
        <v>9762</v>
      </c>
      <c r="E5945" s="19" t="s">
        <v>9791</v>
      </c>
      <c r="F5945" s="19" t="s">
        <v>8999</v>
      </c>
      <c r="G5945" s="9" t="str">
        <f>HYPERLINK("http://jsmh.umin.jp/journal/59-2/59-2_205.pdf")</f>
        <v>http://jsmh.umin.jp/journal/59-2/59-2_205.pdf</v>
      </c>
      <c r="H5945" s="43"/>
    </row>
    <row r="5946" spans="1:8" ht="30" customHeight="1" x14ac:dyDescent="0.15">
      <c r="A5946" s="16" t="s">
        <v>1855</v>
      </c>
      <c r="B5946" s="17" t="s">
        <v>9830</v>
      </c>
      <c r="C5946" s="17" t="s">
        <v>7527</v>
      </c>
      <c r="D5946" s="25" t="s">
        <v>9762</v>
      </c>
      <c r="E5946" s="19" t="s">
        <v>9791</v>
      </c>
      <c r="F5946" s="19" t="s">
        <v>9001</v>
      </c>
      <c r="G5946" s="9" t="str">
        <f>HYPERLINK("http://jsmh.umin.jp/journal/59-2/59-2_206.pdf")</f>
        <v>http://jsmh.umin.jp/journal/59-2/59-2_206.pdf</v>
      </c>
      <c r="H5946" s="43"/>
    </row>
    <row r="5947" spans="1:8" ht="30" customHeight="1" x14ac:dyDescent="0.15">
      <c r="A5947" s="16" t="s">
        <v>1855</v>
      </c>
      <c r="B5947" s="17" t="s">
        <v>10524</v>
      </c>
      <c r="C5947" s="17" t="s">
        <v>8406</v>
      </c>
      <c r="D5947" s="25" t="s">
        <v>9762</v>
      </c>
      <c r="E5947" s="19" t="s">
        <v>9791</v>
      </c>
      <c r="F5947" s="19" t="s">
        <v>261</v>
      </c>
      <c r="G5947" s="9" t="str">
        <f>HYPERLINK("http://jsmh.umin.jp/journal/59-2/59-2_207.pdf")</f>
        <v>http://jsmh.umin.jp/journal/59-2/59-2_207.pdf</v>
      </c>
      <c r="H5947" s="43"/>
    </row>
    <row r="5948" spans="1:8" ht="30" customHeight="1" x14ac:dyDescent="0.15">
      <c r="A5948" s="16" t="s">
        <v>1855</v>
      </c>
      <c r="B5948" s="17" t="s">
        <v>9831</v>
      </c>
      <c r="C5948" s="17" t="s">
        <v>9066</v>
      </c>
      <c r="D5948" s="25" t="s">
        <v>9762</v>
      </c>
      <c r="E5948" s="19" t="s">
        <v>9791</v>
      </c>
      <c r="F5948" s="19" t="s">
        <v>264</v>
      </c>
      <c r="G5948" s="9" t="str">
        <f>HYPERLINK("http://jsmh.umin.jp/journal/59-2/59-2_208.pdf")</f>
        <v>http://jsmh.umin.jp/journal/59-2/59-2_208.pdf</v>
      </c>
      <c r="H5948" s="43"/>
    </row>
    <row r="5949" spans="1:8" ht="30" customHeight="1" x14ac:dyDescent="0.15">
      <c r="A5949" s="16" t="s">
        <v>1855</v>
      </c>
      <c r="B5949" s="17" t="s">
        <v>10525</v>
      </c>
      <c r="C5949" s="17" t="s">
        <v>10280</v>
      </c>
      <c r="D5949" s="25" t="s">
        <v>9762</v>
      </c>
      <c r="E5949" s="19" t="s">
        <v>9791</v>
      </c>
      <c r="F5949" s="19" t="s">
        <v>269</v>
      </c>
      <c r="G5949" s="9" t="str">
        <f>HYPERLINK("http://jsmh.umin.jp/journal/59-2/59-2_209.pdf")</f>
        <v>http://jsmh.umin.jp/journal/59-2/59-2_209.pdf</v>
      </c>
      <c r="H5949" s="43"/>
    </row>
    <row r="5950" spans="1:8" ht="30" customHeight="1" x14ac:dyDescent="0.15">
      <c r="A5950" s="16" t="s">
        <v>1855</v>
      </c>
      <c r="B5950" s="17" t="s">
        <v>9832</v>
      </c>
      <c r="C5950" s="17" t="s">
        <v>9205</v>
      </c>
      <c r="D5950" s="25" t="s">
        <v>9762</v>
      </c>
      <c r="E5950" s="19" t="s">
        <v>9791</v>
      </c>
      <c r="F5950" s="19" t="s">
        <v>9006</v>
      </c>
      <c r="G5950" s="9" t="str">
        <f>HYPERLINK("http://jsmh.umin.jp/journal/59-2/59-2_210.pdf")</f>
        <v>http://jsmh.umin.jp/journal/59-2/59-2_210.pdf</v>
      </c>
      <c r="H5950" s="43"/>
    </row>
    <row r="5951" spans="1:8" ht="30" customHeight="1" x14ac:dyDescent="0.15">
      <c r="A5951" s="16" t="s">
        <v>1855</v>
      </c>
      <c r="B5951" s="17" t="s">
        <v>9833</v>
      </c>
      <c r="C5951" s="17" t="s">
        <v>7366</v>
      </c>
      <c r="D5951" s="25" t="s">
        <v>9762</v>
      </c>
      <c r="E5951" s="19" t="s">
        <v>9791</v>
      </c>
      <c r="F5951" s="19" t="s">
        <v>9008</v>
      </c>
      <c r="G5951" s="9" t="str">
        <f>HYPERLINK("http://jsmh.umin.jp/journal/59-2/59-2_211.pdf")</f>
        <v>http://jsmh.umin.jp/journal/59-2/59-2_211.pdf</v>
      </c>
      <c r="H5951" s="43"/>
    </row>
    <row r="5952" spans="1:8" ht="30" customHeight="1" x14ac:dyDescent="0.15">
      <c r="A5952" s="16" t="s">
        <v>1855</v>
      </c>
      <c r="B5952" s="17" t="s">
        <v>9834</v>
      </c>
      <c r="C5952" s="17" t="s">
        <v>9326</v>
      </c>
      <c r="D5952" s="25" t="s">
        <v>9762</v>
      </c>
      <c r="E5952" s="19" t="s">
        <v>9791</v>
      </c>
      <c r="F5952" s="19" t="s">
        <v>4196</v>
      </c>
      <c r="G5952" s="9" t="str">
        <f>HYPERLINK("http://jsmh.umin.jp/journal/59-2/59-2_212.pdf")</f>
        <v>http://jsmh.umin.jp/journal/59-2/59-2_212.pdf</v>
      </c>
      <c r="H5952" s="43"/>
    </row>
    <row r="5953" spans="1:8" ht="30" customHeight="1" x14ac:dyDescent="0.15">
      <c r="A5953" s="16" t="s">
        <v>1855</v>
      </c>
      <c r="B5953" s="17" t="s">
        <v>9835</v>
      </c>
      <c r="C5953" s="17" t="s">
        <v>9631</v>
      </c>
      <c r="D5953" s="25" t="s">
        <v>9762</v>
      </c>
      <c r="E5953" s="19" t="s">
        <v>9791</v>
      </c>
      <c r="F5953" s="19" t="s">
        <v>279</v>
      </c>
      <c r="G5953" s="9" t="str">
        <f>HYPERLINK("http://jsmh.umin.jp/journal/59-2/59-2_213.pdf")</f>
        <v>http://jsmh.umin.jp/journal/59-2/59-2_213.pdf</v>
      </c>
      <c r="H5953" s="43"/>
    </row>
    <row r="5954" spans="1:8" ht="30" customHeight="1" x14ac:dyDescent="0.15">
      <c r="A5954" s="16" t="s">
        <v>1855</v>
      </c>
      <c r="B5954" s="17" t="s">
        <v>9836</v>
      </c>
      <c r="C5954" s="17" t="s">
        <v>9195</v>
      </c>
      <c r="D5954" s="25" t="s">
        <v>9762</v>
      </c>
      <c r="E5954" s="19" t="s">
        <v>9791</v>
      </c>
      <c r="F5954" s="19" t="s">
        <v>283</v>
      </c>
      <c r="G5954" s="9" t="str">
        <f>HYPERLINK("http://jsmh.umin.jp/journal/59-2/59-2_214.pdf")</f>
        <v>http://jsmh.umin.jp/journal/59-2/59-2_214.pdf</v>
      </c>
      <c r="H5954" s="43"/>
    </row>
    <row r="5955" spans="1:8" ht="30" customHeight="1" x14ac:dyDescent="0.15">
      <c r="A5955" s="16" t="s">
        <v>1855</v>
      </c>
      <c r="B5955" s="17" t="s">
        <v>9837</v>
      </c>
      <c r="C5955" s="17" t="s">
        <v>5471</v>
      </c>
      <c r="D5955" s="25" t="s">
        <v>9762</v>
      </c>
      <c r="E5955" s="19" t="s">
        <v>9791</v>
      </c>
      <c r="F5955" s="19" t="s">
        <v>288</v>
      </c>
      <c r="G5955" s="9" t="str">
        <f>HYPERLINK("http://jsmh.umin.jp/journal/59-2/59-2_215.pdf")</f>
        <v>http://jsmh.umin.jp/journal/59-2/59-2_215.pdf</v>
      </c>
      <c r="H5955" s="43"/>
    </row>
    <row r="5956" spans="1:8" ht="30" customHeight="1" x14ac:dyDescent="0.15">
      <c r="A5956" s="16" t="s">
        <v>1855</v>
      </c>
      <c r="B5956" s="17" t="s">
        <v>9838</v>
      </c>
      <c r="C5956" s="17" t="s">
        <v>7542</v>
      </c>
      <c r="D5956" s="25" t="s">
        <v>9762</v>
      </c>
      <c r="E5956" s="19" t="s">
        <v>9791</v>
      </c>
      <c r="F5956" s="19" t="s">
        <v>9016</v>
      </c>
      <c r="G5956" s="9" t="str">
        <f>HYPERLINK("http://jsmh.umin.jp/journal/59-2/59-2_216.pdf")</f>
        <v>http://jsmh.umin.jp/journal/59-2/59-2_216.pdf</v>
      </c>
      <c r="H5956" s="43"/>
    </row>
    <row r="5957" spans="1:8" ht="30" customHeight="1" x14ac:dyDescent="0.15">
      <c r="A5957" s="16" t="s">
        <v>1855</v>
      </c>
      <c r="B5957" s="17" t="s">
        <v>9839</v>
      </c>
      <c r="C5957" s="17" t="s">
        <v>8810</v>
      </c>
      <c r="D5957" s="25" t="s">
        <v>9762</v>
      </c>
      <c r="E5957" s="19" t="s">
        <v>9791</v>
      </c>
      <c r="F5957" s="19" t="s">
        <v>9018</v>
      </c>
      <c r="G5957" s="9" t="str">
        <f>HYPERLINK("http://jsmh.umin.jp/journal/59-2/59-2_217.pdf")</f>
        <v>http://jsmh.umin.jp/journal/59-2/59-2_217.pdf</v>
      </c>
      <c r="H5957" s="43"/>
    </row>
    <row r="5958" spans="1:8" ht="30" customHeight="1" x14ac:dyDescent="0.15">
      <c r="A5958" s="16" t="s">
        <v>1855</v>
      </c>
      <c r="B5958" s="17" t="s">
        <v>9840</v>
      </c>
      <c r="C5958" s="17" t="s">
        <v>7180</v>
      </c>
      <c r="D5958" s="25" t="s">
        <v>9762</v>
      </c>
      <c r="E5958" s="19" t="s">
        <v>9791</v>
      </c>
      <c r="F5958" s="19" t="s">
        <v>2957</v>
      </c>
      <c r="G5958" s="9" t="str">
        <f>HYPERLINK("http://jsmh.umin.jp/journal/59-2/59-2_218.pdf")</f>
        <v>http://jsmh.umin.jp/journal/59-2/59-2_218.pdf</v>
      </c>
      <c r="H5958" s="43"/>
    </row>
    <row r="5959" spans="1:8" ht="30" customHeight="1" x14ac:dyDescent="0.15">
      <c r="A5959" s="16" t="s">
        <v>1855</v>
      </c>
      <c r="B5959" s="17" t="s">
        <v>9841</v>
      </c>
      <c r="C5959" s="17" t="s">
        <v>5464</v>
      </c>
      <c r="D5959" s="25" t="s">
        <v>9762</v>
      </c>
      <c r="E5959" s="19" t="s">
        <v>9791</v>
      </c>
      <c r="F5959" s="19" t="s">
        <v>1857</v>
      </c>
      <c r="G5959" s="9" t="str">
        <f>HYPERLINK("http://jsmh.umin.jp/journal/59-2/59-2_219.pdf")</f>
        <v>http://jsmh.umin.jp/journal/59-2/59-2_219.pdf</v>
      </c>
      <c r="H5959" s="43"/>
    </row>
    <row r="5960" spans="1:8" ht="30" customHeight="1" x14ac:dyDescent="0.15">
      <c r="A5960" s="16" t="s">
        <v>1855</v>
      </c>
      <c r="B5960" s="17" t="s">
        <v>9842</v>
      </c>
      <c r="C5960" s="17" t="s">
        <v>9843</v>
      </c>
      <c r="D5960" s="25" t="s">
        <v>9762</v>
      </c>
      <c r="E5960" s="19" t="s">
        <v>9791</v>
      </c>
      <c r="F5960" s="19" t="s">
        <v>2084</v>
      </c>
      <c r="G5960" s="9" t="str">
        <f>HYPERLINK("http://jsmh.umin.jp/journal/59-2/59-2_220.pdf")</f>
        <v>http://jsmh.umin.jp/journal/59-2/59-2_220.pdf</v>
      </c>
      <c r="H5960" s="43"/>
    </row>
    <row r="5961" spans="1:8" ht="30" customHeight="1" x14ac:dyDescent="0.15">
      <c r="A5961" s="16" t="s">
        <v>1855</v>
      </c>
      <c r="B5961" s="17" t="s">
        <v>9844</v>
      </c>
      <c r="C5961" s="17" t="s">
        <v>10526</v>
      </c>
      <c r="D5961" s="25" t="s">
        <v>9762</v>
      </c>
      <c r="E5961" s="19" t="s">
        <v>9791</v>
      </c>
      <c r="F5961" s="19" t="s">
        <v>2960</v>
      </c>
      <c r="G5961" s="9" t="str">
        <f>HYPERLINK("http://jsmh.umin.jp/journal/59-2/59-2_221.pdf")</f>
        <v>http://jsmh.umin.jp/journal/59-2/59-2_221.pdf</v>
      </c>
      <c r="H5961" s="43"/>
    </row>
    <row r="5962" spans="1:8" ht="30" customHeight="1" x14ac:dyDescent="0.15">
      <c r="A5962" s="16" t="s">
        <v>1855</v>
      </c>
      <c r="B5962" s="17" t="s">
        <v>9845</v>
      </c>
      <c r="C5962" s="17" t="s">
        <v>4039</v>
      </c>
      <c r="D5962" s="25" t="s">
        <v>9762</v>
      </c>
      <c r="E5962" s="19" t="s">
        <v>9791</v>
      </c>
      <c r="F5962" s="19" t="s">
        <v>1254</v>
      </c>
      <c r="G5962" s="9" t="str">
        <f>HYPERLINK("http://jsmh.umin.jp/journal/59-2/59-2_222.pdf")</f>
        <v>http://jsmh.umin.jp/journal/59-2/59-2_222.pdf</v>
      </c>
      <c r="H5962" s="43"/>
    </row>
    <row r="5963" spans="1:8" ht="30" customHeight="1" x14ac:dyDescent="0.15">
      <c r="A5963" s="16" t="s">
        <v>1855</v>
      </c>
      <c r="B5963" s="17" t="s">
        <v>9846</v>
      </c>
      <c r="C5963" s="17" t="s">
        <v>9847</v>
      </c>
      <c r="D5963" s="25" t="s">
        <v>9762</v>
      </c>
      <c r="E5963" s="19" t="s">
        <v>9791</v>
      </c>
      <c r="F5963" s="19" t="s">
        <v>1263</v>
      </c>
      <c r="G5963" s="9" t="str">
        <f>HYPERLINK("http://jsmh.umin.jp/journal/59-2/59-2_223.pdf")</f>
        <v>http://jsmh.umin.jp/journal/59-2/59-2_223.pdf</v>
      </c>
      <c r="H5963" s="43"/>
    </row>
    <row r="5964" spans="1:8" ht="30" customHeight="1" x14ac:dyDescent="0.15">
      <c r="A5964" s="16" t="s">
        <v>1855</v>
      </c>
      <c r="B5964" s="17" t="s">
        <v>9848</v>
      </c>
      <c r="C5964" s="17" t="s">
        <v>9849</v>
      </c>
      <c r="D5964" s="25" t="s">
        <v>9762</v>
      </c>
      <c r="E5964" s="19" t="s">
        <v>9791</v>
      </c>
      <c r="F5964" s="19" t="s">
        <v>1265</v>
      </c>
      <c r="G5964" s="9" t="str">
        <f>HYPERLINK("http://jsmh.umin.jp/journal/59-2/59-2_224.pdf")</f>
        <v>http://jsmh.umin.jp/journal/59-2/59-2_224.pdf</v>
      </c>
      <c r="H5964" s="43"/>
    </row>
    <row r="5965" spans="1:8" ht="30" customHeight="1" x14ac:dyDescent="0.15">
      <c r="A5965" s="16" t="s">
        <v>1855</v>
      </c>
      <c r="B5965" s="17" t="s">
        <v>9850</v>
      </c>
      <c r="C5965" s="17" t="s">
        <v>8733</v>
      </c>
      <c r="D5965" s="25" t="s">
        <v>9762</v>
      </c>
      <c r="E5965" s="19" t="s">
        <v>9791</v>
      </c>
      <c r="F5965" s="19" t="s">
        <v>97</v>
      </c>
      <c r="G5965" s="9" t="str">
        <f>HYPERLINK("http://jsmh.umin.jp/journal/59-2/59-2_225.pdf")</f>
        <v>http://jsmh.umin.jp/journal/59-2/59-2_225.pdf</v>
      </c>
      <c r="H5965" s="43"/>
    </row>
    <row r="5966" spans="1:8" ht="30" customHeight="1" x14ac:dyDescent="0.15">
      <c r="A5966" s="16" t="s">
        <v>1855</v>
      </c>
      <c r="B5966" s="17" t="s">
        <v>9851</v>
      </c>
      <c r="C5966" s="17" t="s">
        <v>9852</v>
      </c>
      <c r="D5966" s="25" t="s">
        <v>9762</v>
      </c>
      <c r="E5966" s="19" t="s">
        <v>9791</v>
      </c>
      <c r="F5966" s="19" t="s">
        <v>99</v>
      </c>
      <c r="G5966" s="9" t="str">
        <f>HYPERLINK("http://jsmh.umin.jp/journal/59-2/59-2_226.pdf")</f>
        <v>http://jsmh.umin.jp/journal/59-2/59-2_226.pdf</v>
      </c>
      <c r="H5966" s="43"/>
    </row>
    <row r="5967" spans="1:8" ht="30" customHeight="1" x14ac:dyDescent="0.15">
      <c r="A5967" s="16" t="s">
        <v>1855</v>
      </c>
      <c r="B5967" s="17" t="s">
        <v>9853</v>
      </c>
      <c r="C5967" s="17" t="s">
        <v>7248</v>
      </c>
      <c r="D5967" s="25" t="s">
        <v>9762</v>
      </c>
      <c r="E5967" s="19" t="s">
        <v>9791</v>
      </c>
      <c r="F5967" s="19" t="s">
        <v>105</v>
      </c>
      <c r="G5967" s="9" t="str">
        <f>HYPERLINK("http://jsmh.umin.jp/journal/59-2/59-2_227.pdf")</f>
        <v>http://jsmh.umin.jp/journal/59-2/59-2_227.pdf</v>
      </c>
      <c r="H5967" s="43"/>
    </row>
    <row r="5968" spans="1:8" ht="30" customHeight="1" x14ac:dyDescent="0.15">
      <c r="A5968" s="16" t="s">
        <v>1855</v>
      </c>
      <c r="B5968" s="17" t="s">
        <v>9854</v>
      </c>
      <c r="C5968" s="17" t="s">
        <v>9445</v>
      </c>
      <c r="D5968" s="25" t="s">
        <v>9762</v>
      </c>
      <c r="E5968" s="19" t="s">
        <v>9791</v>
      </c>
      <c r="F5968" s="19" t="s">
        <v>1874</v>
      </c>
      <c r="G5968" s="9" t="str">
        <f>HYPERLINK("http://jsmh.umin.jp/journal/59-2/59-2_228.pdf")</f>
        <v>http://jsmh.umin.jp/journal/59-2/59-2_228.pdf</v>
      </c>
      <c r="H5968" s="43"/>
    </row>
    <row r="5969" spans="1:8" ht="30" customHeight="1" x14ac:dyDescent="0.15">
      <c r="A5969" s="16" t="s">
        <v>1855</v>
      </c>
      <c r="B5969" s="17" t="s">
        <v>9855</v>
      </c>
      <c r="C5969" s="17" t="s">
        <v>7377</v>
      </c>
      <c r="D5969" s="25" t="s">
        <v>9762</v>
      </c>
      <c r="E5969" s="19" t="s">
        <v>9791</v>
      </c>
      <c r="F5969" s="19" t="s">
        <v>114</v>
      </c>
      <c r="G5969" s="9" t="str">
        <f>HYPERLINK("http://jsmh.umin.jp/journal/59-2/59-2_229.pdf")</f>
        <v>http://jsmh.umin.jp/journal/59-2/59-2_229.pdf</v>
      </c>
      <c r="H5969" s="43"/>
    </row>
    <row r="5970" spans="1:8" ht="30" customHeight="1" x14ac:dyDescent="0.15">
      <c r="A5970" s="16" t="s">
        <v>1855</v>
      </c>
      <c r="B5970" s="17" t="s">
        <v>9856</v>
      </c>
      <c r="C5970" s="17" t="s">
        <v>7965</v>
      </c>
      <c r="D5970" s="25" t="s">
        <v>9762</v>
      </c>
      <c r="E5970" s="19" t="s">
        <v>9791</v>
      </c>
      <c r="F5970" s="19" t="s">
        <v>2615</v>
      </c>
      <c r="G5970" s="9" t="str">
        <f>HYPERLINK("http://jsmh.umin.jp/journal/59-2/59-2_230.pdf")</f>
        <v>http://jsmh.umin.jp/journal/59-2/59-2_230.pdf</v>
      </c>
      <c r="H5970" s="43"/>
    </row>
    <row r="5971" spans="1:8" ht="30" customHeight="1" x14ac:dyDescent="0.15">
      <c r="A5971" s="16" t="s">
        <v>1855</v>
      </c>
      <c r="B5971" s="17" t="s">
        <v>9857</v>
      </c>
      <c r="C5971" s="17" t="s">
        <v>9403</v>
      </c>
      <c r="D5971" s="25" t="s">
        <v>9762</v>
      </c>
      <c r="E5971" s="19" t="s">
        <v>9791</v>
      </c>
      <c r="F5971" s="19" t="s">
        <v>9213</v>
      </c>
      <c r="G5971" s="9" t="str">
        <f>HYPERLINK("http://jsmh.umin.jp/journal/59-2/59-2_231.pdf")</f>
        <v>http://jsmh.umin.jp/journal/59-2/59-2_231.pdf</v>
      </c>
      <c r="H5971" s="43"/>
    </row>
    <row r="5972" spans="1:8" ht="30" customHeight="1" x14ac:dyDescent="0.15">
      <c r="A5972" s="16" t="s">
        <v>1855</v>
      </c>
      <c r="B5972" s="17" t="s">
        <v>9858</v>
      </c>
      <c r="C5972" s="17" t="s">
        <v>10454</v>
      </c>
      <c r="D5972" s="25" t="s">
        <v>9762</v>
      </c>
      <c r="E5972" s="19" t="s">
        <v>9791</v>
      </c>
      <c r="F5972" s="19" t="s">
        <v>127</v>
      </c>
      <c r="G5972" s="9" t="str">
        <f>HYPERLINK("http://jsmh.umin.jp/journal/59-2/59-2_232.pdf")</f>
        <v>http://jsmh.umin.jp/journal/59-2/59-2_232.pdf</v>
      </c>
      <c r="H5972" s="43"/>
    </row>
    <row r="5973" spans="1:8" ht="30" customHeight="1" x14ac:dyDescent="0.15">
      <c r="A5973" s="16" t="s">
        <v>1855</v>
      </c>
      <c r="B5973" s="17" t="s">
        <v>9859</v>
      </c>
      <c r="C5973" s="17" t="s">
        <v>8704</v>
      </c>
      <c r="D5973" s="25" t="s">
        <v>9762</v>
      </c>
      <c r="E5973" s="19" t="s">
        <v>9791</v>
      </c>
      <c r="F5973" s="19" t="s">
        <v>1882</v>
      </c>
      <c r="G5973" s="9" t="str">
        <f>HYPERLINK("http://jsmh.umin.jp/journal/59-2/59-2_233.pdf")</f>
        <v>http://jsmh.umin.jp/journal/59-2/59-2_233.pdf</v>
      </c>
      <c r="H5973" s="43"/>
    </row>
    <row r="5974" spans="1:8" ht="30" customHeight="1" x14ac:dyDescent="0.15">
      <c r="A5974" s="16" t="s">
        <v>1855</v>
      </c>
      <c r="B5974" s="17" t="s">
        <v>9860</v>
      </c>
      <c r="C5974" s="17" t="s">
        <v>9607</v>
      </c>
      <c r="D5974" s="25" t="s">
        <v>9762</v>
      </c>
      <c r="E5974" s="19" t="s">
        <v>9791</v>
      </c>
      <c r="F5974" s="19" t="s">
        <v>135</v>
      </c>
      <c r="G5974" s="9" t="str">
        <f>HYPERLINK("http://jsmh.umin.jp/journal/59-2/59-2_234.pdf")</f>
        <v>http://jsmh.umin.jp/journal/59-2/59-2_234.pdf</v>
      </c>
      <c r="H5974" s="43"/>
    </row>
    <row r="5975" spans="1:8" ht="30" customHeight="1" x14ac:dyDescent="0.15">
      <c r="A5975" s="16" t="s">
        <v>1855</v>
      </c>
      <c r="B5975" s="17" t="s">
        <v>9861</v>
      </c>
      <c r="C5975" s="17" t="s">
        <v>7420</v>
      </c>
      <c r="D5975" s="25" t="s">
        <v>9762</v>
      </c>
      <c r="E5975" s="19" t="s">
        <v>9791</v>
      </c>
      <c r="F5975" s="19" t="s">
        <v>3295</v>
      </c>
      <c r="G5975" s="9" t="str">
        <f>HYPERLINK("http://jsmh.umin.jp/journal/59-2/59-2_235.pdf")</f>
        <v>http://jsmh.umin.jp/journal/59-2/59-2_235.pdf</v>
      </c>
      <c r="H5975" s="43"/>
    </row>
    <row r="5976" spans="1:8" ht="30" customHeight="1" x14ac:dyDescent="0.15">
      <c r="A5976" s="16" t="s">
        <v>1855</v>
      </c>
      <c r="B5976" s="17" t="s">
        <v>9862</v>
      </c>
      <c r="C5976" s="17" t="s">
        <v>7422</v>
      </c>
      <c r="D5976" s="25" t="s">
        <v>9762</v>
      </c>
      <c r="E5976" s="19" t="s">
        <v>9791</v>
      </c>
      <c r="F5976" s="19" t="s">
        <v>9222</v>
      </c>
      <c r="G5976" s="9" t="str">
        <f>HYPERLINK("http://jsmh.umin.jp/journal/59-2/59-2_236.pdf")</f>
        <v>http://jsmh.umin.jp/journal/59-2/59-2_236.pdf</v>
      </c>
      <c r="H5976" s="43"/>
    </row>
    <row r="5977" spans="1:8" ht="30" customHeight="1" x14ac:dyDescent="0.15">
      <c r="A5977" s="16" t="s">
        <v>1855</v>
      </c>
      <c r="B5977" s="17" t="s">
        <v>9863</v>
      </c>
      <c r="C5977" s="17" t="s">
        <v>9455</v>
      </c>
      <c r="D5977" s="25" t="s">
        <v>9762</v>
      </c>
      <c r="E5977" s="19" t="s">
        <v>9791</v>
      </c>
      <c r="F5977" s="19" t="s">
        <v>4019</v>
      </c>
      <c r="G5977" s="9" t="str">
        <f>HYPERLINK("http://jsmh.umin.jp/journal/59-2/59-2_237.pdf")</f>
        <v>http://jsmh.umin.jp/journal/59-2/59-2_237.pdf</v>
      </c>
      <c r="H5977" s="43"/>
    </row>
    <row r="5978" spans="1:8" ht="30" customHeight="1" x14ac:dyDescent="0.15">
      <c r="A5978" s="16" t="s">
        <v>1855</v>
      </c>
      <c r="B5978" s="17" t="s">
        <v>9864</v>
      </c>
      <c r="C5978" s="17" t="s">
        <v>9865</v>
      </c>
      <c r="D5978" s="25" t="s">
        <v>9762</v>
      </c>
      <c r="E5978" s="19" t="s">
        <v>9791</v>
      </c>
      <c r="F5978" s="19" t="s">
        <v>3064</v>
      </c>
      <c r="G5978" s="9" t="str">
        <f>HYPERLINK("http://jsmh.umin.jp/journal/59-2/59-2_238.pdf")</f>
        <v>http://jsmh.umin.jp/journal/59-2/59-2_238.pdf</v>
      </c>
      <c r="H5978" s="43"/>
    </row>
    <row r="5979" spans="1:8" ht="30" customHeight="1" x14ac:dyDescent="0.15">
      <c r="A5979" s="16" t="s">
        <v>1855</v>
      </c>
      <c r="B5979" s="17" t="s">
        <v>9866</v>
      </c>
      <c r="C5979" s="17" t="s">
        <v>10527</v>
      </c>
      <c r="D5979" s="25" t="s">
        <v>9762</v>
      </c>
      <c r="E5979" s="19" t="s">
        <v>9791</v>
      </c>
      <c r="F5979" s="19" t="s">
        <v>3299</v>
      </c>
      <c r="G5979" s="9" t="str">
        <f>HYPERLINK("http://jsmh.umin.jp/journal/59-2/59-2_239.pdf")</f>
        <v>http://jsmh.umin.jp/journal/59-2/59-2_239.pdf</v>
      </c>
      <c r="H5979" s="43"/>
    </row>
    <row r="5980" spans="1:8" ht="30" customHeight="1" x14ac:dyDescent="0.15">
      <c r="A5980" s="16" t="s">
        <v>1855</v>
      </c>
      <c r="B5980" s="17" t="s">
        <v>9867</v>
      </c>
      <c r="C5980" s="17" t="s">
        <v>9868</v>
      </c>
      <c r="D5980" s="25" t="s">
        <v>9762</v>
      </c>
      <c r="E5980" s="19" t="s">
        <v>9791</v>
      </c>
      <c r="F5980" s="19" t="s">
        <v>9226</v>
      </c>
      <c r="G5980" s="9" t="str">
        <f>HYPERLINK("http://jsmh.umin.jp/journal/59-2/59-2_240.pdf")</f>
        <v>http://jsmh.umin.jp/journal/59-2/59-2_240.pdf</v>
      </c>
      <c r="H5980" s="43"/>
    </row>
    <row r="5981" spans="1:8" ht="30" customHeight="1" x14ac:dyDescent="0.15">
      <c r="A5981" s="16" t="s">
        <v>1855</v>
      </c>
      <c r="B5981" s="17" t="s">
        <v>10528</v>
      </c>
      <c r="C5981" s="17" t="s">
        <v>9207</v>
      </c>
      <c r="D5981" s="25" t="s">
        <v>9762</v>
      </c>
      <c r="E5981" s="19" t="s">
        <v>9791</v>
      </c>
      <c r="F5981" s="19" t="s">
        <v>9229</v>
      </c>
      <c r="G5981" s="9" t="str">
        <f>HYPERLINK("http://jsmh.umin.jp/journal/59-2/59-2_241.pdf")</f>
        <v>http://jsmh.umin.jp/journal/59-2/59-2_241.pdf</v>
      </c>
      <c r="H5981" s="43"/>
    </row>
    <row r="5982" spans="1:8" ht="30" customHeight="1" x14ac:dyDescent="0.15">
      <c r="A5982" s="16" t="s">
        <v>1855</v>
      </c>
      <c r="B5982" s="17" t="s">
        <v>9869</v>
      </c>
      <c r="C5982" s="17" t="s">
        <v>9870</v>
      </c>
      <c r="D5982" s="25" t="s">
        <v>9762</v>
      </c>
      <c r="E5982" s="19" t="s">
        <v>9791</v>
      </c>
      <c r="F5982" s="19" t="s">
        <v>9232</v>
      </c>
      <c r="G5982" s="9" t="str">
        <f>HYPERLINK("http://jsmh.umin.jp/journal/59-2/59-2_242.pdf")</f>
        <v>http://jsmh.umin.jp/journal/59-2/59-2_242.pdf</v>
      </c>
      <c r="H5982" s="43"/>
    </row>
    <row r="5983" spans="1:8" ht="30" customHeight="1" x14ac:dyDescent="0.15">
      <c r="A5983" s="16" t="s">
        <v>1855</v>
      </c>
      <c r="B5983" s="17" t="s">
        <v>9871</v>
      </c>
      <c r="C5983" s="17" t="s">
        <v>5625</v>
      </c>
      <c r="D5983" s="25" t="s">
        <v>9762</v>
      </c>
      <c r="E5983" s="19" t="s">
        <v>9791</v>
      </c>
      <c r="F5983" s="19" t="s">
        <v>9234</v>
      </c>
      <c r="G5983" s="9" t="str">
        <f>HYPERLINK("http://jsmh.umin.jp/journal/59-2/59-2_243.pdf")</f>
        <v>http://jsmh.umin.jp/journal/59-2/59-2_243.pdf</v>
      </c>
      <c r="H5983" s="43"/>
    </row>
    <row r="5984" spans="1:8" ht="30" customHeight="1" x14ac:dyDescent="0.15">
      <c r="A5984" s="16" t="s">
        <v>1855</v>
      </c>
      <c r="B5984" s="17" t="s">
        <v>9872</v>
      </c>
      <c r="C5984" s="17" t="s">
        <v>9202</v>
      </c>
      <c r="D5984" s="25" t="s">
        <v>9762</v>
      </c>
      <c r="E5984" s="19" t="s">
        <v>9791</v>
      </c>
      <c r="F5984" s="19" t="s">
        <v>9236</v>
      </c>
      <c r="G5984" s="9" t="str">
        <f>HYPERLINK("http://jsmh.umin.jp/journal/59-2/59-2_244.pdf")</f>
        <v>http://jsmh.umin.jp/journal/59-2/59-2_244.pdf</v>
      </c>
      <c r="H5984" s="43"/>
    </row>
    <row r="5985" spans="1:8" ht="30" customHeight="1" x14ac:dyDescent="0.15">
      <c r="A5985" s="16" t="s">
        <v>1855</v>
      </c>
      <c r="B5985" s="17" t="s">
        <v>10529</v>
      </c>
      <c r="C5985" s="17" t="s">
        <v>7136</v>
      </c>
      <c r="D5985" s="25" t="s">
        <v>9762</v>
      </c>
      <c r="E5985" s="19" t="s">
        <v>9791</v>
      </c>
      <c r="F5985" s="19" t="s">
        <v>5889</v>
      </c>
      <c r="G5985" s="9" t="str">
        <f>HYPERLINK("http://jsmh.umin.jp/journal/59-2/59-2_245.pdf")</f>
        <v>http://jsmh.umin.jp/journal/59-2/59-2_245.pdf</v>
      </c>
      <c r="H5985" s="43"/>
    </row>
    <row r="5986" spans="1:8" ht="30" customHeight="1" x14ac:dyDescent="0.15">
      <c r="A5986" s="16" t="s">
        <v>1855</v>
      </c>
      <c r="B5986" s="17" t="s">
        <v>10530</v>
      </c>
      <c r="C5986" s="17" t="s">
        <v>9873</v>
      </c>
      <c r="D5986" s="25" t="s">
        <v>9762</v>
      </c>
      <c r="E5986" s="19" t="s">
        <v>9791</v>
      </c>
      <c r="F5986" s="19" t="s">
        <v>9239</v>
      </c>
      <c r="G5986" s="9" t="str">
        <f>HYPERLINK("http://jsmh.umin.jp/journal/59-2/59-2_246.pdf")</f>
        <v>http://jsmh.umin.jp/journal/59-2/59-2_246.pdf</v>
      </c>
      <c r="H5986" s="43"/>
    </row>
    <row r="5987" spans="1:8" ht="30" customHeight="1" x14ac:dyDescent="0.15">
      <c r="A5987" s="16" t="s">
        <v>1855</v>
      </c>
      <c r="B5987" s="17" t="s">
        <v>10531</v>
      </c>
      <c r="C5987" s="17" t="s">
        <v>10532</v>
      </c>
      <c r="D5987" s="25" t="s">
        <v>9762</v>
      </c>
      <c r="E5987" s="19" t="s">
        <v>9791</v>
      </c>
      <c r="F5987" s="19" t="s">
        <v>9241</v>
      </c>
      <c r="G5987" s="9" t="str">
        <f>HYPERLINK("http://jsmh.umin.jp/journal/59-2/59-2_247.pdf")</f>
        <v>http://jsmh.umin.jp/journal/59-2/59-2_247.pdf</v>
      </c>
      <c r="H5987" s="43"/>
    </row>
    <row r="5988" spans="1:8" ht="30" customHeight="1" x14ac:dyDescent="0.15">
      <c r="A5988" s="16" t="s">
        <v>1855</v>
      </c>
      <c r="B5988" s="17" t="s">
        <v>10533</v>
      </c>
      <c r="C5988" s="17" t="s">
        <v>10534</v>
      </c>
      <c r="D5988" s="25" t="s">
        <v>9762</v>
      </c>
      <c r="E5988" s="19" t="s">
        <v>9791</v>
      </c>
      <c r="F5988" s="19" t="s">
        <v>1551</v>
      </c>
      <c r="G5988" s="9" t="str">
        <f>HYPERLINK("http://jsmh.umin.jp/journal/59-2/59-2_248.pdf")</f>
        <v>http://jsmh.umin.jp/journal/59-2/59-2_248.pdf</v>
      </c>
      <c r="H5988" s="43"/>
    </row>
    <row r="5989" spans="1:8" ht="30" customHeight="1" x14ac:dyDescent="0.15">
      <c r="A5989" s="16" t="s">
        <v>1855</v>
      </c>
      <c r="B5989" s="17" t="s">
        <v>9874</v>
      </c>
      <c r="C5989" s="17" t="s">
        <v>9875</v>
      </c>
      <c r="D5989" s="25" t="s">
        <v>9762</v>
      </c>
      <c r="E5989" s="19" t="s">
        <v>9791</v>
      </c>
      <c r="F5989" s="19" t="s">
        <v>1555</v>
      </c>
      <c r="G5989" s="9" t="str">
        <f>HYPERLINK("http://jsmh.umin.jp/journal/59-2/59-2_249.pdf")</f>
        <v>http://jsmh.umin.jp/journal/59-2/59-2_249.pdf</v>
      </c>
      <c r="H5989" s="43"/>
    </row>
    <row r="5990" spans="1:8" ht="30" customHeight="1" x14ac:dyDescent="0.15">
      <c r="A5990" s="16" t="s">
        <v>1855</v>
      </c>
      <c r="B5990" s="17" t="s">
        <v>9876</v>
      </c>
      <c r="C5990" s="17" t="s">
        <v>9877</v>
      </c>
      <c r="D5990" s="25" t="s">
        <v>9762</v>
      </c>
      <c r="E5990" s="19" t="s">
        <v>9791</v>
      </c>
      <c r="F5990" s="19" t="s">
        <v>9245</v>
      </c>
      <c r="G5990" s="9" t="str">
        <f>HYPERLINK("http://jsmh.umin.jp/journal/59-2/59-2_250.pdf")</f>
        <v>http://jsmh.umin.jp/journal/59-2/59-2_250.pdf</v>
      </c>
      <c r="H5990" s="43"/>
    </row>
    <row r="5991" spans="1:8" ht="30" customHeight="1" x14ac:dyDescent="0.15">
      <c r="A5991" s="16" t="s">
        <v>1855</v>
      </c>
      <c r="B5991" s="17" t="s">
        <v>9878</v>
      </c>
      <c r="C5991" s="17" t="s">
        <v>9879</v>
      </c>
      <c r="D5991" s="25" t="s">
        <v>9762</v>
      </c>
      <c r="E5991" s="19" t="s">
        <v>9791</v>
      </c>
      <c r="F5991" s="19" t="s">
        <v>9248</v>
      </c>
      <c r="G5991" s="9" t="str">
        <f>HYPERLINK("http://jsmh.umin.jp/journal/59-2/59-2_251.pdf")</f>
        <v>http://jsmh.umin.jp/journal/59-2/59-2_251.pdf</v>
      </c>
      <c r="H5991" s="43"/>
    </row>
    <row r="5992" spans="1:8" ht="30" customHeight="1" x14ac:dyDescent="0.15">
      <c r="A5992" s="16" t="s">
        <v>1855</v>
      </c>
      <c r="B5992" s="17" t="s">
        <v>10535</v>
      </c>
      <c r="C5992" s="17" t="s">
        <v>10260</v>
      </c>
      <c r="D5992" s="25" t="s">
        <v>9762</v>
      </c>
      <c r="E5992" s="19" t="s">
        <v>9791</v>
      </c>
      <c r="F5992" s="19" t="s">
        <v>3318</v>
      </c>
      <c r="G5992" s="9" t="str">
        <f>HYPERLINK("http://jsmh.umin.jp/journal/59-2/59-2_252.pdf")</f>
        <v>http://jsmh.umin.jp/journal/59-2/59-2_252.pdf</v>
      </c>
      <c r="H5992" s="43"/>
    </row>
    <row r="5993" spans="1:8" ht="30" customHeight="1" x14ac:dyDescent="0.15">
      <c r="A5993" s="16" t="s">
        <v>1855</v>
      </c>
      <c r="B5993" s="17" t="s">
        <v>9880</v>
      </c>
      <c r="C5993" s="17" t="s">
        <v>9881</v>
      </c>
      <c r="D5993" s="25" t="s">
        <v>9762</v>
      </c>
      <c r="E5993" s="19" t="s">
        <v>9791</v>
      </c>
      <c r="F5993" s="19" t="s">
        <v>9251</v>
      </c>
      <c r="G5993" s="9" t="str">
        <f>HYPERLINK("http://jsmh.umin.jp/journal/59-2/59-2_253.pdf")</f>
        <v>http://jsmh.umin.jp/journal/59-2/59-2_253.pdf</v>
      </c>
      <c r="H5993" s="43"/>
    </row>
    <row r="5994" spans="1:8" ht="30" customHeight="1" x14ac:dyDescent="0.15">
      <c r="A5994" s="16" t="s">
        <v>1855</v>
      </c>
      <c r="B5994" s="17" t="s">
        <v>9882</v>
      </c>
      <c r="C5994" s="17" t="s">
        <v>10536</v>
      </c>
      <c r="D5994" s="25" t="s">
        <v>9762</v>
      </c>
      <c r="E5994" s="19" t="s">
        <v>9791</v>
      </c>
      <c r="F5994" s="19" t="s">
        <v>3471</v>
      </c>
      <c r="G5994" s="9" t="str">
        <f>HYPERLINK("http://jsmh.umin.jp/journal/59-2/59-2_254.pdf")</f>
        <v>http://jsmh.umin.jp/journal/59-2/59-2_254.pdf</v>
      </c>
      <c r="H5994" s="43"/>
    </row>
    <row r="5995" spans="1:8" ht="30" customHeight="1" x14ac:dyDescent="0.15">
      <c r="A5995" s="16" t="s">
        <v>1855</v>
      </c>
      <c r="B5995" s="17" t="s">
        <v>10537</v>
      </c>
      <c r="C5995" s="17" t="s">
        <v>9883</v>
      </c>
      <c r="D5995" s="25" t="s">
        <v>9762</v>
      </c>
      <c r="E5995" s="19" t="s">
        <v>9791</v>
      </c>
      <c r="F5995" s="19" t="s">
        <v>9253</v>
      </c>
      <c r="G5995" s="9" t="str">
        <f>HYPERLINK("http://jsmh.umin.jp/journal/59-2/59-2_255.pdf")</f>
        <v>http://jsmh.umin.jp/journal/59-2/59-2_255.pdf</v>
      </c>
      <c r="H5995" s="43"/>
    </row>
    <row r="5996" spans="1:8" ht="30" customHeight="1" x14ac:dyDescent="0.15">
      <c r="A5996" s="16" t="s">
        <v>1855</v>
      </c>
      <c r="B5996" s="17" t="s">
        <v>9884</v>
      </c>
      <c r="C5996" s="17" t="s">
        <v>7593</v>
      </c>
      <c r="D5996" s="25" t="s">
        <v>9762</v>
      </c>
      <c r="E5996" s="19" t="s">
        <v>9791</v>
      </c>
      <c r="F5996" s="19" t="s">
        <v>4389</v>
      </c>
      <c r="G5996" s="9" t="str">
        <f>HYPERLINK("http://jsmh.umin.jp/journal/59-2/59-2_256.pdf")</f>
        <v>http://jsmh.umin.jp/journal/59-2/59-2_256.pdf</v>
      </c>
      <c r="H5996" s="43"/>
    </row>
    <row r="5997" spans="1:8" ht="30" customHeight="1" x14ac:dyDescent="0.15">
      <c r="A5997" s="16" t="s">
        <v>1855</v>
      </c>
      <c r="B5997" s="17" t="s">
        <v>9885</v>
      </c>
      <c r="C5997" s="17" t="s">
        <v>9886</v>
      </c>
      <c r="D5997" s="25" t="s">
        <v>9762</v>
      </c>
      <c r="E5997" s="19" t="s">
        <v>9791</v>
      </c>
      <c r="F5997" s="19" t="s">
        <v>9255</v>
      </c>
      <c r="G5997" s="9" t="str">
        <f>HYPERLINK("http://jsmh.umin.jp/journal/59-2/59-2_257.pdf")</f>
        <v>http://jsmh.umin.jp/journal/59-2/59-2_257.pdf</v>
      </c>
      <c r="H5997" s="43"/>
    </row>
    <row r="5998" spans="1:8" ht="30" customHeight="1" x14ac:dyDescent="0.15">
      <c r="A5998" s="16" t="s">
        <v>1855</v>
      </c>
      <c r="B5998" s="17" t="s">
        <v>9887</v>
      </c>
      <c r="C5998" s="17" t="s">
        <v>6267</v>
      </c>
      <c r="D5998" s="25" t="s">
        <v>9762</v>
      </c>
      <c r="E5998" s="19" t="s">
        <v>9791</v>
      </c>
      <c r="F5998" s="19" t="s">
        <v>1013</v>
      </c>
      <c r="G5998" s="9" t="str">
        <f>HYPERLINK("http://jsmh.umin.jp/journal/59-2/59-2_258.pdf")</f>
        <v>http://jsmh.umin.jp/journal/59-2/59-2_258.pdf</v>
      </c>
      <c r="H5998" s="43"/>
    </row>
    <row r="5999" spans="1:8" ht="30" customHeight="1" x14ac:dyDescent="0.15">
      <c r="A5999" s="16" t="s">
        <v>1855</v>
      </c>
      <c r="B5999" s="17" t="s">
        <v>9888</v>
      </c>
      <c r="C5999" s="17" t="s">
        <v>9107</v>
      </c>
      <c r="D5999" s="25" t="s">
        <v>9762</v>
      </c>
      <c r="E5999" s="19" t="s">
        <v>9791</v>
      </c>
      <c r="F5999" s="19" t="s">
        <v>1017</v>
      </c>
      <c r="G5999" s="9" t="str">
        <f>HYPERLINK("http://jsmh.umin.jp/journal/59-2/59-2_259.pdf")</f>
        <v>http://jsmh.umin.jp/journal/59-2/59-2_259.pdf</v>
      </c>
      <c r="H5999" s="43"/>
    </row>
    <row r="6000" spans="1:8" ht="30" customHeight="1" x14ac:dyDescent="0.15">
      <c r="A6000" s="16" t="s">
        <v>1855</v>
      </c>
      <c r="B6000" s="17" t="s">
        <v>9889</v>
      </c>
      <c r="C6000" s="17" t="s">
        <v>9431</v>
      </c>
      <c r="D6000" s="25" t="s">
        <v>9762</v>
      </c>
      <c r="E6000" s="19" t="s">
        <v>9791</v>
      </c>
      <c r="F6000" s="19" t="s">
        <v>4396</v>
      </c>
      <c r="G6000" s="9" t="str">
        <f>HYPERLINK("http://jsmh.umin.jp/journal/59-2/59-2_260.pdf")</f>
        <v>http://jsmh.umin.jp/journal/59-2/59-2_260.pdf</v>
      </c>
      <c r="H6000" s="43"/>
    </row>
    <row r="6001" spans="1:8" ht="30" customHeight="1" x14ac:dyDescent="0.15">
      <c r="A6001" s="16" t="s">
        <v>1855</v>
      </c>
      <c r="B6001" s="17" t="s">
        <v>10538</v>
      </c>
      <c r="C6001" s="17" t="s">
        <v>9890</v>
      </c>
      <c r="D6001" s="25" t="s">
        <v>9762</v>
      </c>
      <c r="E6001" s="19" t="s">
        <v>9791</v>
      </c>
      <c r="F6001" s="19" t="s">
        <v>9260</v>
      </c>
      <c r="G6001" s="9" t="str">
        <f>HYPERLINK("http://jsmh.umin.jp/journal/59-2/59-2_261.pdf")</f>
        <v>http://jsmh.umin.jp/journal/59-2/59-2_261.pdf</v>
      </c>
      <c r="H6001" s="43"/>
    </row>
    <row r="6002" spans="1:8" ht="30" customHeight="1" x14ac:dyDescent="0.15">
      <c r="A6002" s="16" t="s">
        <v>1855</v>
      </c>
      <c r="B6002" s="17" t="s">
        <v>10539</v>
      </c>
      <c r="C6002" s="17" t="s">
        <v>9891</v>
      </c>
      <c r="D6002" s="25" t="s">
        <v>9762</v>
      </c>
      <c r="E6002" s="19" t="s">
        <v>9791</v>
      </c>
      <c r="F6002" s="19" t="s">
        <v>1021</v>
      </c>
      <c r="G6002" s="9" t="str">
        <f>HYPERLINK("http://jsmh.umin.jp/journal/59-2/59-2_262.pdf")</f>
        <v>http://jsmh.umin.jp/journal/59-2/59-2_262.pdf</v>
      </c>
      <c r="H6002" s="43"/>
    </row>
    <row r="6003" spans="1:8" ht="30" customHeight="1" x14ac:dyDescent="0.15">
      <c r="A6003" s="16" t="s">
        <v>1855</v>
      </c>
      <c r="B6003" s="17" t="s">
        <v>9892</v>
      </c>
      <c r="C6003" s="17" t="s">
        <v>9893</v>
      </c>
      <c r="D6003" s="25" t="s">
        <v>9762</v>
      </c>
      <c r="E6003" s="19" t="s">
        <v>9791</v>
      </c>
      <c r="F6003" s="19" t="s">
        <v>1023</v>
      </c>
      <c r="G6003" s="9" t="str">
        <f>HYPERLINK("http://jsmh.umin.jp/journal/59-2/59-2_263.pdf")</f>
        <v>http://jsmh.umin.jp/journal/59-2/59-2_263.pdf</v>
      </c>
      <c r="H6003" s="43"/>
    </row>
    <row r="6004" spans="1:8" ht="30" customHeight="1" x14ac:dyDescent="0.15">
      <c r="A6004" s="16" t="s">
        <v>1855</v>
      </c>
      <c r="B6004" s="17" t="s">
        <v>9894</v>
      </c>
      <c r="C6004" s="17" t="s">
        <v>8935</v>
      </c>
      <c r="D6004" s="25" t="s">
        <v>9762</v>
      </c>
      <c r="E6004" s="19" t="s">
        <v>9791</v>
      </c>
      <c r="F6004" s="19" t="s">
        <v>1028</v>
      </c>
      <c r="G6004" s="9" t="str">
        <f>HYPERLINK("http://jsmh.umin.jp/journal/59-2/59-2_264.pdf")</f>
        <v>http://jsmh.umin.jp/journal/59-2/59-2_264.pdf</v>
      </c>
      <c r="H6004" s="43"/>
    </row>
    <row r="6005" spans="1:8" ht="30" customHeight="1" x14ac:dyDescent="0.15">
      <c r="A6005" s="16" t="s">
        <v>1855</v>
      </c>
      <c r="B6005" s="17" t="s">
        <v>9895</v>
      </c>
      <c r="C6005" s="17" t="s">
        <v>9896</v>
      </c>
      <c r="D6005" s="25" t="s">
        <v>9762</v>
      </c>
      <c r="E6005" s="19" t="s">
        <v>9791</v>
      </c>
      <c r="F6005" s="19" t="s">
        <v>1570</v>
      </c>
      <c r="G6005" s="9" t="str">
        <f>HYPERLINK("http://jsmh.umin.jp/journal/59-2/59-2_265.pdf")</f>
        <v>http://jsmh.umin.jp/journal/59-2/59-2_265.pdf</v>
      </c>
      <c r="H6005" s="43"/>
    </row>
    <row r="6006" spans="1:8" ht="30" customHeight="1" x14ac:dyDescent="0.15">
      <c r="A6006" s="16" t="s">
        <v>1855</v>
      </c>
      <c r="B6006" s="17" t="s">
        <v>9897</v>
      </c>
      <c r="C6006" s="17" t="s">
        <v>2881</v>
      </c>
      <c r="D6006" s="25" t="s">
        <v>9762</v>
      </c>
      <c r="E6006" s="19" t="s">
        <v>9791</v>
      </c>
      <c r="F6006" s="19" t="s">
        <v>1033</v>
      </c>
      <c r="G6006" s="9" t="str">
        <f>HYPERLINK("http://jsmh.umin.jp/journal/59-2/59-2_266.pdf")</f>
        <v>http://jsmh.umin.jp/journal/59-2/59-2_266.pdf</v>
      </c>
      <c r="H6006" s="43"/>
    </row>
    <row r="6007" spans="1:8" ht="30" customHeight="1" x14ac:dyDescent="0.15">
      <c r="A6007" s="16" t="s">
        <v>1855</v>
      </c>
      <c r="B6007" s="17" t="s">
        <v>9898</v>
      </c>
      <c r="C6007" s="17" t="s">
        <v>5177</v>
      </c>
      <c r="D6007" s="25" t="s">
        <v>9762</v>
      </c>
      <c r="E6007" s="19" t="s">
        <v>9791</v>
      </c>
      <c r="F6007" s="19" t="s">
        <v>1035</v>
      </c>
      <c r="G6007" s="9" t="str">
        <f>HYPERLINK("http://jsmh.umin.jp/journal/59-2/59-2_267.pdf")</f>
        <v>http://jsmh.umin.jp/journal/59-2/59-2_267.pdf</v>
      </c>
      <c r="H6007" s="43"/>
    </row>
    <row r="6008" spans="1:8" ht="30" customHeight="1" x14ac:dyDescent="0.15">
      <c r="A6008" s="16" t="s">
        <v>1855</v>
      </c>
      <c r="B6008" s="17" t="s">
        <v>10540</v>
      </c>
      <c r="C6008" s="17" t="s">
        <v>6851</v>
      </c>
      <c r="D6008" s="25" t="s">
        <v>9762</v>
      </c>
      <c r="E6008" s="19" t="s">
        <v>9791</v>
      </c>
      <c r="F6008" s="19" t="s">
        <v>1574</v>
      </c>
      <c r="G6008" s="9" t="str">
        <f>HYPERLINK("http://jsmh.umin.jp/journal/59-2/59-2_268.pdf")</f>
        <v>http://jsmh.umin.jp/journal/59-2/59-2_268.pdf</v>
      </c>
      <c r="H6008" s="43"/>
    </row>
    <row r="6009" spans="1:8" ht="30" customHeight="1" x14ac:dyDescent="0.15">
      <c r="A6009" s="16" t="s">
        <v>1855</v>
      </c>
      <c r="B6009" s="17" t="s">
        <v>9899</v>
      </c>
      <c r="C6009" s="17" t="s">
        <v>9633</v>
      </c>
      <c r="D6009" s="25" t="s">
        <v>9762</v>
      </c>
      <c r="E6009" s="19" t="s">
        <v>9791</v>
      </c>
      <c r="F6009" s="19" t="s">
        <v>5702</v>
      </c>
      <c r="G6009" s="9" t="str">
        <f>HYPERLINK("http://jsmh.umin.jp/journal/59-2/59-2_269.pdf")</f>
        <v>http://jsmh.umin.jp/journal/59-2/59-2_269.pdf</v>
      </c>
      <c r="H6009" s="43"/>
    </row>
    <row r="6010" spans="1:8" ht="30" customHeight="1" x14ac:dyDescent="0.15">
      <c r="A6010" s="16" t="s">
        <v>1855</v>
      </c>
      <c r="B6010" s="17" t="s">
        <v>9900</v>
      </c>
      <c r="C6010" s="17" t="s">
        <v>9242</v>
      </c>
      <c r="D6010" s="25" t="s">
        <v>9762</v>
      </c>
      <c r="E6010" s="19" t="s">
        <v>9791</v>
      </c>
      <c r="F6010" s="19" t="s">
        <v>9901</v>
      </c>
      <c r="G6010" s="9" t="str">
        <f>HYPERLINK("http://jsmh.umin.jp/journal/59-2/59-2_270.pdf")</f>
        <v>http://jsmh.umin.jp/journal/59-2/59-2_270.pdf</v>
      </c>
      <c r="H6010" s="43"/>
    </row>
    <row r="6011" spans="1:8" ht="30" customHeight="1" x14ac:dyDescent="0.15">
      <c r="A6011" s="16" t="s">
        <v>1855</v>
      </c>
      <c r="B6011" s="17" t="s">
        <v>9902</v>
      </c>
      <c r="C6011" s="17" t="s">
        <v>9903</v>
      </c>
      <c r="D6011" s="25" t="s">
        <v>9762</v>
      </c>
      <c r="E6011" s="19" t="s">
        <v>9791</v>
      </c>
      <c r="F6011" s="19" t="s">
        <v>9904</v>
      </c>
      <c r="G6011" s="9" t="str">
        <f>HYPERLINK("http://jsmh.umin.jp/journal/59-2/59-2_271.pdf")</f>
        <v>http://jsmh.umin.jp/journal/59-2/59-2_271.pdf</v>
      </c>
      <c r="H6011" s="43"/>
    </row>
    <row r="6012" spans="1:8" ht="30" customHeight="1" x14ac:dyDescent="0.15">
      <c r="A6012" s="16" t="s">
        <v>1855</v>
      </c>
      <c r="B6012" s="17" t="s">
        <v>9905</v>
      </c>
      <c r="C6012" s="17" t="s">
        <v>10438</v>
      </c>
      <c r="D6012" s="25" t="s">
        <v>9762</v>
      </c>
      <c r="E6012" s="19" t="s">
        <v>9791</v>
      </c>
      <c r="F6012" s="19" t="s">
        <v>2621</v>
      </c>
      <c r="G6012" s="9" t="str">
        <f>HYPERLINK("http://jsmh.umin.jp/journal/59-2/59-2_272.pdf")</f>
        <v>http://jsmh.umin.jp/journal/59-2/59-2_272.pdf</v>
      </c>
      <c r="H6012" s="43"/>
    </row>
    <row r="6013" spans="1:8" ht="30" customHeight="1" x14ac:dyDescent="0.15">
      <c r="A6013" s="16" t="s">
        <v>1855</v>
      </c>
      <c r="B6013" s="17" t="s">
        <v>9906</v>
      </c>
      <c r="C6013" s="17" t="s">
        <v>10541</v>
      </c>
      <c r="D6013" s="25" t="s">
        <v>9762</v>
      </c>
      <c r="E6013" s="19" t="s">
        <v>9791</v>
      </c>
      <c r="F6013" s="19" t="s">
        <v>6436</v>
      </c>
      <c r="G6013" s="9" t="str">
        <f>HYPERLINK("http://jsmh.umin.jp/journal/59-2/59-2_273.pdf")</f>
        <v>http://jsmh.umin.jp/journal/59-2/59-2_273.pdf</v>
      </c>
      <c r="H6013" s="43"/>
    </row>
    <row r="6014" spans="1:8" ht="30" customHeight="1" x14ac:dyDescent="0.15">
      <c r="A6014" s="16" t="s">
        <v>1855</v>
      </c>
      <c r="B6014" s="17" t="s">
        <v>9907</v>
      </c>
      <c r="C6014" s="17" t="s">
        <v>9908</v>
      </c>
      <c r="D6014" s="25" t="s">
        <v>9762</v>
      </c>
      <c r="E6014" s="19" t="s">
        <v>9791</v>
      </c>
      <c r="F6014" s="19" t="s">
        <v>6438</v>
      </c>
      <c r="G6014" s="9" t="str">
        <f>HYPERLINK("http://jsmh.umin.jp/journal/59-2/59-2_274.pdf")</f>
        <v>http://jsmh.umin.jp/journal/59-2/59-2_274.pdf</v>
      </c>
      <c r="H6014" s="43"/>
    </row>
    <row r="6015" spans="1:8" ht="30" customHeight="1" x14ac:dyDescent="0.15">
      <c r="A6015" s="16" t="s">
        <v>1855</v>
      </c>
      <c r="B6015" s="17" t="s">
        <v>9909</v>
      </c>
      <c r="C6015" s="17" t="s">
        <v>6300</v>
      </c>
      <c r="D6015" s="25" t="s">
        <v>9762</v>
      </c>
      <c r="E6015" s="19" t="s">
        <v>9791</v>
      </c>
      <c r="F6015" s="19" t="s">
        <v>2647</v>
      </c>
      <c r="G6015" s="9" t="str">
        <f>HYPERLINK("http://jsmh.umin.jp/journal/59-2/59-2_275.pdf")</f>
        <v>http://jsmh.umin.jp/journal/59-2/59-2_275.pdf</v>
      </c>
      <c r="H6015" s="43"/>
    </row>
    <row r="6016" spans="1:8" ht="30" customHeight="1" x14ac:dyDescent="0.15">
      <c r="A6016" s="16" t="s">
        <v>1855</v>
      </c>
      <c r="B6016" s="17" t="s">
        <v>9910</v>
      </c>
      <c r="C6016" s="17" t="s">
        <v>9911</v>
      </c>
      <c r="D6016" s="25" t="s">
        <v>9762</v>
      </c>
      <c r="E6016" s="19" t="s">
        <v>9791</v>
      </c>
      <c r="F6016" s="19" t="s">
        <v>1901</v>
      </c>
      <c r="G6016" s="9" t="str">
        <f>HYPERLINK("http://jsmh.umin.jp/journal/59-2/59-2_276.pdf")</f>
        <v>http://jsmh.umin.jp/journal/59-2/59-2_276.pdf</v>
      </c>
      <c r="H6016" s="43"/>
    </row>
    <row r="6017" spans="1:8" ht="30" customHeight="1" x14ac:dyDescent="0.15">
      <c r="A6017" s="16" t="s">
        <v>1855</v>
      </c>
      <c r="B6017" s="17" t="s">
        <v>9912</v>
      </c>
      <c r="C6017" s="17" t="s">
        <v>5084</v>
      </c>
      <c r="D6017" s="25" t="s">
        <v>9762</v>
      </c>
      <c r="E6017" s="19" t="s">
        <v>9791</v>
      </c>
      <c r="F6017" s="19" t="s">
        <v>2649</v>
      </c>
      <c r="G6017" s="9" t="str">
        <f>HYPERLINK("http://jsmh.umin.jp/journal/59-2/59-2_277.pdf")</f>
        <v>http://jsmh.umin.jp/journal/59-2/59-2_277.pdf</v>
      </c>
      <c r="H6017" s="43"/>
    </row>
    <row r="6018" spans="1:8" ht="30" customHeight="1" x14ac:dyDescent="0.15">
      <c r="A6018" s="16" t="s">
        <v>1855</v>
      </c>
      <c r="B6018" s="17" t="s">
        <v>9913</v>
      </c>
      <c r="C6018" s="17" t="s">
        <v>9914</v>
      </c>
      <c r="D6018" s="25" t="s">
        <v>9762</v>
      </c>
      <c r="E6018" s="19" t="s">
        <v>9791</v>
      </c>
      <c r="F6018" s="19" t="s">
        <v>1905</v>
      </c>
      <c r="G6018" s="9" t="str">
        <f>HYPERLINK("http://jsmh.umin.jp/journal/59-2/59-2_278.pdf")</f>
        <v>http://jsmh.umin.jp/journal/59-2/59-2_278.pdf</v>
      </c>
      <c r="H6018" s="43"/>
    </row>
    <row r="6019" spans="1:8" ht="30" customHeight="1" x14ac:dyDescent="0.15">
      <c r="A6019" s="16" t="s">
        <v>1855</v>
      </c>
      <c r="B6019" s="17" t="s">
        <v>9915</v>
      </c>
      <c r="C6019" s="17" t="s">
        <v>8944</v>
      </c>
      <c r="D6019" s="25" t="s">
        <v>9762</v>
      </c>
      <c r="E6019" s="19" t="s">
        <v>9791</v>
      </c>
      <c r="F6019" s="19" t="s">
        <v>9916</v>
      </c>
      <c r="G6019" s="9" t="str">
        <f>HYPERLINK("http://jsmh.umin.jp/journal/59-2/59-2_279.pdf")</f>
        <v>http://jsmh.umin.jp/journal/59-2/59-2_279.pdf</v>
      </c>
      <c r="H6019" s="43"/>
    </row>
    <row r="6020" spans="1:8" ht="30" customHeight="1" x14ac:dyDescent="0.15">
      <c r="A6020" s="16" t="s">
        <v>1855</v>
      </c>
      <c r="B6020" s="17" t="s">
        <v>9917</v>
      </c>
      <c r="C6020" s="17" t="s">
        <v>6676</v>
      </c>
      <c r="D6020" s="25" t="s">
        <v>9762</v>
      </c>
      <c r="E6020" s="19" t="s">
        <v>9791</v>
      </c>
      <c r="F6020" s="19" t="s">
        <v>2110</v>
      </c>
      <c r="G6020" s="9" t="str">
        <f>HYPERLINK("http://jsmh.umin.jp/journal/59-2/59-2_280.pdf")</f>
        <v>http://jsmh.umin.jp/journal/59-2/59-2_280.pdf</v>
      </c>
      <c r="H6020" s="43"/>
    </row>
    <row r="6021" spans="1:8" ht="30" customHeight="1" x14ac:dyDescent="0.15">
      <c r="A6021" s="16" t="s">
        <v>1855</v>
      </c>
      <c r="B6021" s="17" t="s">
        <v>9918</v>
      </c>
      <c r="C6021" s="17" t="s">
        <v>9919</v>
      </c>
      <c r="D6021" s="25" t="s">
        <v>9762</v>
      </c>
      <c r="E6021" s="19" t="s">
        <v>9791</v>
      </c>
      <c r="F6021" s="19" t="s">
        <v>2837</v>
      </c>
      <c r="G6021" s="9" t="str">
        <f>HYPERLINK("http://jsmh.umin.jp/journal/59-2/59-2_281.pdf")</f>
        <v>http://jsmh.umin.jp/journal/59-2/59-2_281.pdf</v>
      </c>
      <c r="H6021" s="43"/>
    </row>
    <row r="6022" spans="1:8" ht="30" customHeight="1" x14ac:dyDescent="0.15">
      <c r="A6022" s="16" t="s">
        <v>1855</v>
      </c>
      <c r="B6022" s="17" t="s">
        <v>9920</v>
      </c>
      <c r="C6022" s="17" t="s">
        <v>5516</v>
      </c>
      <c r="D6022" s="25" t="s">
        <v>9762</v>
      </c>
      <c r="E6022" s="19" t="s">
        <v>9791</v>
      </c>
      <c r="F6022" s="19" t="s">
        <v>2839</v>
      </c>
      <c r="G6022" s="9" t="str">
        <f>HYPERLINK("http://jsmh.umin.jp/journal/59-2/59-2_282.pdf")</f>
        <v>http://jsmh.umin.jp/journal/59-2/59-2_282.pdf</v>
      </c>
      <c r="H6022" s="43"/>
    </row>
    <row r="6023" spans="1:8" ht="30" customHeight="1" x14ac:dyDescent="0.15">
      <c r="A6023" s="16" t="s">
        <v>1855</v>
      </c>
      <c r="B6023" s="17" t="s">
        <v>9921</v>
      </c>
      <c r="C6023" s="17" t="s">
        <v>8837</v>
      </c>
      <c r="D6023" s="25" t="s">
        <v>9762</v>
      </c>
      <c r="E6023" s="19" t="s">
        <v>9791</v>
      </c>
      <c r="F6023" s="19" t="s">
        <v>2841</v>
      </c>
      <c r="G6023" s="9" t="str">
        <f>HYPERLINK("http://jsmh.umin.jp/journal/59-2/59-2_283.pdf")</f>
        <v>http://jsmh.umin.jp/journal/59-2/59-2_283.pdf</v>
      </c>
      <c r="H6023" s="43"/>
    </row>
    <row r="6024" spans="1:8" ht="30" customHeight="1" x14ac:dyDescent="0.15">
      <c r="A6024" s="16" t="s">
        <v>1855</v>
      </c>
      <c r="B6024" s="17" t="s">
        <v>9922</v>
      </c>
      <c r="C6024" s="17" t="s">
        <v>8963</v>
      </c>
      <c r="D6024" s="25" t="s">
        <v>9762</v>
      </c>
      <c r="E6024" s="19" t="s">
        <v>9791</v>
      </c>
      <c r="F6024" s="19" t="s">
        <v>9923</v>
      </c>
      <c r="G6024" s="9" t="str">
        <f>HYPERLINK("http://jsmh.umin.jp/journal/59-2/59-2_284.pdf")</f>
        <v>http://jsmh.umin.jp/journal/59-2/59-2_284.pdf</v>
      </c>
      <c r="H6024" s="43"/>
    </row>
    <row r="6025" spans="1:8" ht="30" customHeight="1" x14ac:dyDescent="0.15">
      <c r="A6025" s="16" t="s">
        <v>1855</v>
      </c>
      <c r="B6025" s="17" t="s">
        <v>9924</v>
      </c>
      <c r="C6025" s="17" t="s">
        <v>9258</v>
      </c>
      <c r="D6025" s="25" t="s">
        <v>9762</v>
      </c>
      <c r="E6025" s="19" t="s">
        <v>9791</v>
      </c>
      <c r="F6025" s="19" t="s">
        <v>5298</v>
      </c>
      <c r="G6025" s="9" t="str">
        <f>HYPERLINK("http://jsmh.umin.jp/journal/59-2/59-2_285.pdf")</f>
        <v>http://jsmh.umin.jp/journal/59-2/59-2_285.pdf</v>
      </c>
      <c r="H6025" s="43"/>
    </row>
    <row r="6026" spans="1:8" ht="30" customHeight="1" x14ac:dyDescent="0.15">
      <c r="A6026" s="16" t="s">
        <v>1855</v>
      </c>
      <c r="B6026" s="17" t="s">
        <v>9925</v>
      </c>
      <c r="C6026" s="17" t="s">
        <v>10542</v>
      </c>
      <c r="D6026" s="25" t="s">
        <v>9762</v>
      </c>
      <c r="E6026" s="19" t="s">
        <v>9791</v>
      </c>
      <c r="F6026" s="19" t="s">
        <v>9926</v>
      </c>
      <c r="G6026" s="9" t="str">
        <f>HYPERLINK("http://jsmh.umin.jp/journal/59-2/59-2_286.pdf")</f>
        <v>http://jsmh.umin.jp/journal/59-2/59-2_286.pdf</v>
      </c>
      <c r="H6026" s="43"/>
    </row>
    <row r="6027" spans="1:8" ht="30" customHeight="1" x14ac:dyDescent="0.15">
      <c r="A6027" s="16" t="s">
        <v>1855</v>
      </c>
      <c r="B6027" s="17" t="s">
        <v>9927</v>
      </c>
      <c r="C6027" s="17" t="s">
        <v>7352</v>
      </c>
      <c r="D6027" s="25" t="s">
        <v>9762</v>
      </c>
      <c r="E6027" s="19" t="s">
        <v>9791</v>
      </c>
      <c r="F6027" s="19" t="s">
        <v>9928</v>
      </c>
      <c r="G6027" s="9" t="str">
        <f>HYPERLINK("http://jsmh.umin.jp/journal/59-2/59-2_287.pdf")</f>
        <v>http://jsmh.umin.jp/journal/59-2/59-2_287.pdf</v>
      </c>
      <c r="H6027" s="43"/>
    </row>
    <row r="6028" spans="1:8" ht="30" customHeight="1" x14ac:dyDescent="0.15">
      <c r="A6028" s="16" t="s">
        <v>1855</v>
      </c>
      <c r="B6028" s="17" t="s">
        <v>9929</v>
      </c>
      <c r="C6028" s="17" t="s">
        <v>10543</v>
      </c>
      <c r="D6028" s="25" t="s">
        <v>9762</v>
      </c>
      <c r="E6028" s="19" t="s">
        <v>9791</v>
      </c>
      <c r="F6028" s="19" t="s">
        <v>1047</v>
      </c>
      <c r="G6028" s="9" t="str">
        <f>HYPERLINK("http://jsmh.umin.jp/journal/59-2/59-2_288.pdf")</f>
        <v>http://jsmh.umin.jp/journal/59-2/59-2_288.pdf</v>
      </c>
      <c r="H6028" s="43"/>
    </row>
    <row r="6029" spans="1:8" ht="30" customHeight="1" x14ac:dyDescent="0.15">
      <c r="A6029" s="16" t="s">
        <v>1855</v>
      </c>
      <c r="B6029" s="17" t="s">
        <v>9930</v>
      </c>
      <c r="C6029" s="17" t="s">
        <v>7176</v>
      </c>
      <c r="D6029" s="25" t="s">
        <v>9762</v>
      </c>
      <c r="E6029" s="19" t="s">
        <v>9791</v>
      </c>
      <c r="F6029" s="19" t="s">
        <v>1052</v>
      </c>
      <c r="G6029" s="9" t="str">
        <f>HYPERLINK("http://jsmh.umin.jp/journal/59-2/59-2_289.pdf")</f>
        <v>http://jsmh.umin.jp/journal/59-2/59-2_289.pdf</v>
      </c>
      <c r="H6029" s="43"/>
    </row>
    <row r="6030" spans="1:8" ht="30" customHeight="1" x14ac:dyDescent="0.15">
      <c r="A6030" s="16" t="s">
        <v>1855</v>
      </c>
      <c r="B6030" s="17" t="s">
        <v>9931</v>
      </c>
      <c r="C6030" s="17" t="s">
        <v>9932</v>
      </c>
      <c r="D6030" s="25" t="s">
        <v>9762</v>
      </c>
      <c r="E6030" s="19" t="s">
        <v>9791</v>
      </c>
      <c r="F6030" s="19" t="s">
        <v>1054</v>
      </c>
      <c r="G6030" s="9" t="str">
        <f>HYPERLINK("http://jsmh.umin.jp/journal/59-2/59-2_290.pdf")</f>
        <v>http://jsmh.umin.jp/journal/59-2/59-2_290.pdf</v>
      </c>
      <c r="H6030" s="43"/>
    </row>
    <row r="6031" spans="1:8" ht="30" customHeight="1" x14ac:dyDescent="0.15">
      <c r="A6031" s="16" t="s">
        <v>1855</v>
      </c>
      <c r="B6031" s="17" t="s">
        <v>9933</v>
      </c>
      <c r="C6031" s="17" t="s">
        <v>9934</v>
      </c>
      <c r="D6031" s="25" t="s">
        <v>9762</v>
      </c>
      <c r="E6031" s="19" t="s">
        <v>9791</v>
      </c>
      <c r="F6031" s="19" t="s">
        <v>1059</v>
      </c>
      <c r="G6031" s="9" t="str">
        <f>HYPERLINK("http://jsmh.umin.jp/journal/59-2/59-2_291.pdf")</f>
        <v>http://jsmh.umin.jp/journal/59-2/59-2_291.pdf</v>
      </c>
      <c r="H6031" s="43"/>
    </row>
    <row r="6032" spans="1:8" ht="30" customHeight="1" x14ac:dyDescent="0.15">
      <c r="A6032" s="16" t="s">
        <v>1855</v>
      </c>
      <c r="B6032" s="17" t="s">
        <v>9935</v>
      </c>
      <c r="C6032" s="17" t="s">
        <v>7583</v>
      </c>
      <c r="D6032" s="25" t="s">
        <v>9762</v>
      </c>
      <c r="E6032" s="19" t="s">
        <v>9791</v>
      </c>
      <c r="F6032" s="19" t="s">
        <v>3507</v>
      </c>
      <c r="G6032" s="9" t="str">
        <f>HYPERLINK("http://jsmh.umin.jp/journal/59-2/59-2_292.pdf")</f>
        <v>http://jsmh.umin.jp/journal/59-2/59-2_292.pdf</v>
      </c>
      <c r="H6032" s="43"/>
    </row>
    <row r="6033" spans="1:8" ht="30" customHeight="1" x14ac:dyDescent="0.15">
      <c r="A6033" s="16" t="s">
        <v>1855</v>
      </c>
      <c r="B6033" s="17" t="s">
        <v>9936</v>
      </c>
      <c r="C6033" s="17" t="s">
        <v>10544</v>
      </c>
      <c r="D6033" s="25" t="s">
        <v>9762</v>
      </c>
      <c r="E6033" s="19" t="s">
        <v>9791</v>
      </c>
      <c r="F6033" s="19" t="s">
        <v>1064</v>
      </c>
      <c r="G6033" s="9" t="str">
        <f>HYPERLINK("http://jsmh.umin.jp/journal/59-2/59-2_293.pdf")</f>
        <v>http://jsmh.umin.jp/journal/59-2/59-2_293.pdf</v>
      </c>
      <c r="H6033" s="43"/>
    </row>
    <row r="6034" spans="1:8" ht="30" customHeight="1" x14ac:dyDescent="0.15">
      <c r="A6034" s="16" t="s">
        <v>1855</v>
      </c>
      <c r="B6034" s="17" t="s">
        <v>9937</v>
      </c>
      <c r="C6034" s="17" t="s">
        <v>9022</v>
      </c>
      <c r="D6034" s="25" t="s">
        <v>9762</v>
      </c>
      <c r="E6034" s="19" t="s">
        <v>9791</v>
      </c>
      <c r="F6034" s="19" t="s">
        <v>1066</v>
      </c>
      <c r="G6034" s="9" t="str">
        <f>HYPERLINK("http://jsmh.umin.jp/journal/59-2/59-2_294.pdf")</f>
        <v>http://jsmh.umin.jp/journal/59-2/59-2_294.pdf</v>
      </c>
      <c r="H6034" s="43"/>
    </row>
    <row r="6035" spans="1:8" ht="30" customHeight="1" x14ac:dyDescent="0.15">
      <c r="A6035" s="16" t="s">
        <v>1855</v>
      </c>
      <c r="B6035" s="17" t="s">
        <v>9938</v>
      </c>
      <c r="C6035" s="17" t="s">
        <v>9470</v>
      </c>
      <c r="D6035" s="25" t="s">
        <v>9762</v>
      </c>
      <c r="E6035" s="19" t="s">
        <v>9791</v>
      </c>
      <c r="F6035" s="19" t="s">
        <v>1068</v>
      </c>
      <c r="G6035" s="9" t="str">
        <f>HYPERLINK("http://jsmh.umin.jp/journal/59-2/59-2_295.pdf")</f>
        <v>http://jsmh.umin.jp/journal/59-2/59-2_295.pdf</v>
      </c>
      <c r="H6035" s="43"/>
    </row>
    <row r="6036" spans="1:8" ht="30" customHeight="1" x14ac:dyDescent="0.15">
      <c r="A6036" s="16" t="s">
        <v>1855</v>
      </c>
      <c r="B6036" s="17" t="s">
        <v>9939</v>
      </c>
      <c r="C6036" s="17" t="s">
        <v>10545</v>
      </c>
      <c r="D6036" s="25" t="s">
        <v>9762</v>
      </c>
      <c r="E6036" s="19" t="s">
        <v>9791</v>
      </c>
      <c r="F6036" s="19" t="s">
        <v>9940</v>
      </c>
      <c r="G6036" s="9" t="str">
        <f>HYPERLINK("http://jsmh.umin.jp/journal/59-2/59-2_296.pdf")</f>
        <v>http://jsmh.umin.jp/journal/59-2/59-2_296.pdf</v>
      </c>
      <c r="H6036" s="43"/>
    </row>
    <row r="6037" spans="1:8" ht="30" customHeight="1" x14ac:dyDescent="0.15">
      <c r="A6037" s="16" t="s">
        <v>1855</v>
      </c>
      <c r="B6037" s="17" t="s">
        <v>9941</v>
      </c>
      <c r="C6037" s="17" t="s">
        <v>8813</v>
      </c>
      <c r="D6037" s="25" t="s">
        <v>9762</v>
      </c>
      <c r="E6037" s="19" t="s">
        <v>9791</v>
      </c>
      <c r="F6037" s="19" t="s">
        <v>9942</v>
      </c>
      <c r="G6037" s="9" t="str">
        <f>HYPERLINK("http://jsmh.umin.jp/journal/59-2/59-2_297.pdf")</f>
        <v>http://jsmh.umin.jp/journal/59-2/59-2_297.pdf</v>
      </c>
      <c r="H6037" s="43"/>
    </row>
    <row r="6038" spans="1:8" ht="30" customHeight="1" x14ac:dyDescent="0.15">
      <c r="A6038" s="16" t="s">
        <v>1855</v>
      </c>
      <c r="B6038" s="17" t="s">
        <v>9943</v>
      </c>
      <c r="C6038" s="17" t="s">
        <v>9392</v>
      </c>
      <c r="D6038" s="25" t="s">
        <v>9762</v>
      </c>
      <c r="E6038" s="19" t="s">
        <v>9791</v>
      </c>
      <c r="F6038" s="19" t="s">
        <v>9944</v>
      </c>
      <c r="G6038" s="9" t="str">
        <f>HYPERLINK("http://jsmh.umin.jp/journal/59-2/59-2_298.pdf")</f>
        <v>http://jsmh.umin.jp/journal/59-2/59-2_298.pdf</v>
      </c>
      <c r="H6038" s="43"/>
    </row>
    <row r="6039" spans="1:8" ht="30" customHeight="1" x14ac:dyDescent="0.15">
      <c r="A6039" s="16" t="s">
        <v>1855</v>
      </c>
      <c r="B6039" s="17" t="s">
        <v>9945</v>
      </c>
      <c r="C6039" s="17" t="s">
        <v>9946</v>
      </c>
      <c r="D6039" s="25" t="s">
        <v>9762</v>
      </c>
      <c r="E6039" s="19" t="s">
        <v>9791</v>
      </c>
      <c r="F6039" s="19" t="s">
        <v>9947</v>
      </c>
      <c r="G6039" s="9" t="str">
        <f>HYPERLINK("http://jsmh.umin.jp/journal/59-2/59-2_299.pdf")</f>
        <v>http://jsmh.umin.jp/journal/59-2/59-2_299.pdf</v>
      </c>
      <c r="H6039" s="43"/>
    </row>
    <row r="6040" spans="1:8" ht="30" customHeight="1" x14ac:dyDescent="0.15">
      <c r="A6040" s="16"/>
      <c r="B6040" s="17" t="s">
        <v>9948</v>
      </c>
      <c r="C6040" s="17" t="s">
        <v>9263</v>
      </c>
      <c r="D6040" s="25" t="s">
        <v>9762</v>
      </c>
      <c r="E6040" s="19" t="s">
        <v>9791</v>
      </c>
      <c r="F6040" s="19" t="s">
        <v>9949</v>
      </c>
      <c r="G6040" s="9" t="str">
        <f>HYPERLINK("http://jsmh.umin.jp/journal/59-2/59-2_mokuroku.pdf")</f>
        <v>http://jsmh.umin.jp/journal/59-2/59-2_mokuroku.pdf</v>
      </c>
      <c r="H6040" s="43"/>
    </row>
    <row r="6041" spans="1:8" ht="30" customHeight="1" x14ac:dyDescent="0.15">
      <c r="A6041" s="16" t="s">
        <v>17</v>
      </c>
      <c r="B6041" s="17" t="s">
        <v>9950</v>
      </c>
      <c r="C6041" s="17" t="s">
        <v>9951</v>
      </c>
      <c r="D6041" s="25" t="s">
        <v>9762</v>
      </c>
      <c r="E6041" s="19" t="s">
        <v>9952</v>
      </c>
      <c r="F6041" s="19" t="s">
        <v>9953</v>
      </c>
      <c r="G6041" s="9" t="str">
        <f>HYPERLINK("http://jsmh.umin.jp/journal/59-3/59-3_365-377.pdf")</f>
        <v>http://jsmh.umin.jp/journal/59-3/59-3_365-377.pdf</v>
      </c>
      <c r="H6041" s="43"/>
    </row>
    <row r="6042" spans="1:8" ht="30" customHeight="1" x14ac:dyDescent="0.15">
      <c r="A6042" s="16" t="s">
        <v>17</v>
      </c>
      <c r="B6042" s="17" t="s">
        <v>9954</v>
      </c>
      <c r="C6042" s="17" t="s">
        <v>9955</v>
      </c>
      <c r="D6042" s="25" t="s">
        <v>9762</v>
      </c>
      <c r="E6042" s="19" t="s">
        <v>9952</v>
      </c>
      <c r="F6042" s="19" t="s">
        <v>9956</v>
      </c>
      <c r="G6042" s="9" t="str">
        <f>HYPERLINK("http://jsmh.umin.jp/journal/59-3/59-3_379-389.pdf")</f>
        <v>http://jsmh.umin.jp/journal/59-3/59-3_379-389.pdf</v>
      </c>
      <c r="H6042" s="43"/>
    </row>
    <row r="6043" spans="1:8" ht="30" customHeight="1" x14ac:dyDescent="0.15">
      <c r="A6043" s="16" t="s">
        <v>17</v>
      </c>
      <c r="B6043" s="17" t="s">
        <v>9957</v>
      </c>
      <c r="C6043" s="17" t="s">
        <v>5084</v>
      </c>
      <c r="D6043" s="25" t="s">
        <v>9762</v>
      </c>
      <c r="E6043" s="19" t="s">
        <v>9952</v>
      </c>
      <c r="F6043" s="19" t="s">
        <v>9958</v>
      </c>
      <c r="G6043" s="9" t="str">
        <f>HYPERLINK("http://jsmh.umin.jp/journal/59-3/59-3_391-405.pdf")</f>
        <v>http://jsmh.umin.jp/journal/59-3/59-3_391-405.pdf</v>
      </c>
      <c r="H6043" s="43"/>
    </row>
    <row r="6044" spans="1:8" ht="30" customHeight="1" x14ac:dyDescent="0.15">
      <c r="A6044" s="16" t="s">
        <v>3720</v>
      </c>
      <c r="B6044" s="17" t="s">
        <v>9959</v>
      </c>
      <c r="C6044" s="17" t="s">
        <v>2937</v>
      </c>
      <c r="D6044" s="25" t="s">
        <v>9762</v>
      </c>
      <c r="E6044" s="19" t="s">
        <v>9952</v>
      </c>
      <c r="F6044" s="19" t="s">
        <v>9960</v>
      </c>
      <c r="G6044" s="9" t="str">
        <f>HYPERLINK("http://jsmh.umin.jp/journal/59-3/59-3_407-410.pdf")</f>
        <v>http://jsmh.umin.jp/journal/59-3/59-3_407-410.pdf</v>
      </c>
      <c r="H6044" s="43"/>
    </row>
    <row r="6045" spans="1:8" ht="30" customHeight="1" x14ac:dyDescent="0.15">
      <c r="A6045" s="16" t="s">
        <v>3720</v>
      </c>
      <c r="B6045" s="17" t="s">
        <v>9961</v>
      </c>
      <c r="C6045" s="17" t="s">
        <v>7320</v>
      </c>
      <c r="D6045" s="25" t="s">
        <v>9762</v>
      </c>
      <c r="E6045" s="19" t="s">
        <v>9952</v>
      </c>
      <c r="F6045" s="19" t="s">
        <v>9962</v>
      </c>
      <c r="G6045" s="9" t="str">
        <f>HYPERLINK("http://jsmh.umin.jp/journal/59-3/59-3_411-414.pdf")</f>
        <v>http://jsmh.umin.jp/journal/59-3/59-3_411-414.pdf</v>
      </c>
      <c r="H6045" s="43"/>
    </row>
    <row r="6046" spans="1:8" ht="30" customHeight="1" x14ac:dyDescent="0.15">
      <c r="A6046" s="16" t="s">
        <v>3720</v>
      </c>
      <c r="B6046" s="17" t="s">
        <v>9963</v>
      </c>
      <c r="C6046" s="17" t="s">
        <v>8371</v>
      </c>
      <c r="D6046" s="25" t="s">
        <v>9762</v>
      </c>
      <c r="E6046" s="19" t="s">
        <v>9952</v>
      </c>
      <c r="F6046" s="19" t="s">
        <v>6750</v>
      </c>
      <c r="G6046" s="9" t="str">
        <f>HYPERLINK("http://jsmh.umin.jp/journal/59-3/59-3_415-418.pdf")</f>
        <v>http://jsmh.umin.jp/journal/59-3/59-3_415-418.pdf</v>
      </c>
      <c r="H6046" s="43"/>
    </row>
    <row r="6047" spans="1:8" ht="30" customHeight="1" x14ac:dyDescent="0.15">
      <c r="A6047" s="16" t="s">
        <v>7637</v>
      </c>
      <c r="B6047" s="17" t="s">
        <v>9964</v>
      </c>
      <c r="C6047" s="17" t="s">
        <v>9965</v>
      </c>
      <c r="D6047" s="25" t="s">
        <v>9762</v>
      </c>
      <c r="E6047" s="19" t="s">
        <v>9952</v>
      </c>
      <c r="F6047" s="19" t="s">
        <v>9966</v>
      </c>
      <c r="G6047" s="9" t="str">
        <f>HYPERLINK("http://jsmh.umin.jp/journal/59-3/59-3_419-424.pdf")</f>
        <v>http://jsmh.umin.jp/journal/59-3/59-3_419-424.pdf</v>
      </c>
      <c r="H6047" s="43"/>
    </row>
    <row r="6048" spans="1:8" ht="30" customHeight="1" x14ac:dyDescent="0.15">
      <c r="A6048" s="16" t="s">
        <v>692</v>
      </c>
      <c r="B6048" s="17" t="s">
        <v>9967</v>
      </c>
      <c r="C6048" s="17" t="s">
        <v>7522</v>
      </c>
      <c r="D6048" s="25" t="s">
        <v>9762</v>
      </c>
      <c r="E6048" s="19" t="s">
        <v>9952</v>
      </c>
      <c r="F6048" s="19" t="s">
        <v>9968</v>
      </c>
      <c r="G6048" s="9" t="str">
        <f>HYPERLINK("http://jsmh.umin.jp/journal/59-3/59-3_425-440.pdf")</f>
        <v>http://jsmh.umin.jp/journal/59-3/59-3_425-440.pdf</v>
      </c>
      <c r="H6048" s="43"/>
    </row>
    <row r="6049" spans="1:8" ht="30" customHeight="1" x14ac:dyDescent="0.15">
      <c r="A6049" s="16" t="s">
        <v>692</v>
      </c>
      <c r="B6049" s="17" t="s">
        <v>9969</v>
      </c>
      <c r="C6049" s="17" t="s">
        <v>4870</v>
      </c>
      <c r="D6049" s="25" t="s">
        <v>9762</v>
      </c>
      <c r="E6049" s="19" t="s">
        <v>9952</v>
      </c>
      <c r="F6049" s="19" t="s">
        <v>9970</v>
      </c>
      <c r="G6049" s="9" t="str">
        <f>HYPERLINK("http://jsmh.umin.jp/journal/59-3/59-3_441-450.pdf")</f>
        <v>http://jsmh.umin.jp/journal/59-3/59-3_441-450.pdf</v>
      </c>
      <c r="H6049" s="43"/>
    </row>
    <row r="6050" spans="1:8" ht="30" customHeight="1" x14ac:dyDescent="0.15">
      <c r="A6050" s="16" t="s">
        <v>3720</v>
      </c>
      <c r="B6050" s="17" t="s">
        <v>9971</v>
      </c>
      <c r="C6050" s="17" t="s">
        <v>7316</v>
      </c>
      <c r="D6050" s="25" t="s">
        <v>9762</v>
      </c>
      <c r="E6050" s="19" t="s">
        <v>9952</v>
      </c>
      <c r="F6050" s="19" t="s">
        <v>4096</v>
      </c>
      <c r="G6050" s="9" t="str">
        <f>HYPERLINK("http://jsmh.umin.jp/journal/59-3/59-3_451-452.pdf")</f>
        <v>http://jsmh.umin.jp/journal/59-3/59-3_451-452.pdf</v>
      </c>
      <c r="H6050" s="43"/>
    </row>
    <row r="6051" spans="1:8" ht="30" customHeight="1" x14ac:dyDescent="0.15">
      <c r="A6051" s="16" t="s">
        <v>558</v>
      </c>
      <c r="B6051" s="17" t="s">
        <v>537</v>
      </c>
      <c r="C6051" s="17"/>
      <c r="D6051" s="25" t="s">
        <v>9762</v>
      </c>
      <c r="E6051" s="19" t="s">
        <v>9952</v>
      </c>
      <c r="F6051" s="19" t="s">
        <v>4930</v>
      </c>
      <c r="G6051" s="9" t="str">
        <f>HYPERLINK("http://jsmh.umin.jp/journal/59-3/59-3_kiroku.pdf")</f>
        <v>http://jsmh.umin.jp/journal/59-3/59-3_kiroku.pdf</v>
      </c>
      <c r="H6051" s="43"/>
    </row>
    <row r="6052" spans="1:8" ht="30" customHeight="1" x14ac:dyDescent="0.15">
      <c r="A6052" s="16" t="s">
        <v>3720</v>
      </c>
      <c r="B6052" s="17" t="s">
        <v>9972</v>
      </c>
      <c r="C6052" s="17" t="s">
        <v>2937</v>
      </c>
      <c r="D6052" s="25" t="s">
        <v>9762</v>
      </c>
      <c r="E6052" s="19" t="s">
        <v>9952</v>
      </c>
      <c r="F6052" s="19" t="s">
        <v>4100</v>
      </c>
      <c r="G6052" s="9" t="str">
        <f>HYPERLINK("http://jsmh.umin.jp/journal/59-3/59-3_453-454.pdf")</f>
        <v>http://jsmh.umin.jp/journal/59-3/59-3_453-454.pdf</v>
      </c>
      <c r="H6052" s="43"/>
    </row>
    <row r="6053" spans="1:8" ht="30" customHeight="1" x14ac:dyDescent="0.15">
      <c r="A6053" s="16" t="s">
        <v>3720</v>
      </c>
      <c r="B6053" s="17" t="s">
        <v>9973</v>
      </c>
      <c r="C6053" s="17" t="s">
        <v>10546</v>
      </c>
      <c r="D6053" s="25" t="s">
        <v>9762</v>
      </c>
      <c r="E6053" s="19" t="s">
        <v>9952</v>
      </c>
      <c r="F6053" s="19" t="s">
        <v>4104</v>
      </c>
      <c r="G6053" s="9" t="str">
        <f>HYPERLINK("http://jsmh.umin.jp/journal/59-3/59-3_455-456.pdf")</f>
        <v>http://jsmh.umin.jp/journal/59-3/59-3_455-456.pdf</v>
      </c>
      <c r="H6053" s="43"/>
    </row>
    <row r="6054" spans="1:8" ht="30" customHeight="1" x14ac:dyDescent="0.15">
      <c r="A6054" s="16" t="s">
        <v>3720</v>
      </c>
      <c r="B6054" s="17" t="s">
        <v>9974</v>
      </c>
      <c r="C6054" s="17" t="s">
        <v>9975</v>
      </c>
      <c r="D6054" s="25" t="s">
        <v>9762</v>
      </c>
      <c r="E6054" s="19" t="s">
        <v>9952</v>
      </c>
      <c r="F6054" s="19" t="s">
        <v>4107</v>
      </c>
      <c r="G6054" s="9" t="str">
        <f>HYPERLINK("http://jsmh.umin.jp/journal/59-3/59-3_456-457.pdf")</f>
        <v>http://jsmh.umin.jp/journal/59-3/59-3_456-457.pdf</v>
      </c>
      <c r="H6054" s="43"/>
    </row>
    <row r="6055" spans="1:8" ht="30" customHeight="1" x14ac:dyDescent="0.15">
      <c r="A6055" s="16" t="s">
        <v>1102</v>
      </c>
      <c r="B6055" s="17" t="s">
        <v>9976</v>
      </c>
      <c r="C6055" s="17" t="s">
        <v>7316</v>
      </c>
      <c r="D6055" s="25" t="s">
        <v>9762</v>
      </c>
      <c r="E6055" s="19" t="s">
        <v>9952</v>
      </c>
      <c r="F6055" s="19" t="s">
        <v>4940</v>
      </c>
      <c r="G6055" s="9" t="str">
        <f>HYPERLINK("http://jsmh.umin.jp/journal/59-3/59-3_458-459.pdf")</f>
        <v>http://jsmh.umin.jp/journal/59-3/59-3_458-459.pdf</v>
      </c>
      <c r="H6055" s="43"/>
    </row>
    <row r="6056" spans="1:8" ht="30" customHeight="1" x14ac:dyDescent="0.15">
      <c r="A6056" s="16" t="s">
        <v>9104</v>
      </c>
      <c r="B6056" s="17" t="s">
        <v>9977</v>
      </c>
      <c r="C6056" s="17" t="s">
        <v>10299</v>
      </c>
      <c r="D6056" s="25" t="s">
        <v>9762</v>
      </c>
      <c r="E6056" s="19" t="s">
        <v>9952</v>
      </c>
      <c r="F6056" s="19" t="s">
        <v>9978</v>
      </c>
      <c r="G6056" s="9" t="str">
        <f>HYPERLINK("http://jsmh.umin.jp/journal/59-3/59-3_459.pdf")</f>
        <v>http://jsmh.umin.jp/journal/59-3/59-3_459.pdf</v>
      </c>
      <c r="H6056" s="43"/>
    </row>
    <row r="6057" spans="1:8" ht="30" customHeight="1" x14ac:dyDescent="0.15">
      <c r="A6057" s="16" t="s">
        <v>9104</v>
      </c>
      <c r="B6057" s="17" t="s">
        <v>9979</v>
      </c>
      <c r="C6057" s="17" t="s">
        <v>10299</v>
      </c>
      <c r="D6057" s="25" t="s">
        <v>9762</v>
      </c>
      <c r="E6057" s="19" t="s">
        <v>9952</v>
      </c>
      <c r="F6057" s="19" t="s">
        <v>9980</v>
      </c>
      <c r="G6057" s="9" t="str">
        <f>HYPERLINK("http://jsmh.umin.jp/journal/59-3/59-3_460.pdf")</f>
        <v>http://jsmh.umin.jp/journal/59-3/59-3_460.pdf</v>
      </c>
      <c r="H6057" s="43"/>
    </row>
    <row r="6058" spans="1:8" ht="30" customHeight="1" x14ac:dyDescent="0.15">
      <c r="A6058" s="16" t="s">
        <v>17</v>
      </c>
      <c r="B6058" s="17" t="s">
        <v>9981</v>
      </c>
      <c r="C6058" s="17" t="s">
        <v>9982</v>
      </c>
      <c r="D6058" s="25" t="s">
        <v>9762</v>
      </c>
      <c r="E6058" s="19" t="s">
        <v>9983</v>
      </c>
      <c r="F6058" s="19" t="s">
        <v>9984</v>
      </c>
      <c r="G6058" s="9" t="str">
        <f>HYPERLINK("http://jsmh.umin.jp/journal/59-4/59-4_469-485.pdf")</f>
        <v>http://jsmh.umin.jp/journal/59-4/59-4_469-485.pdf</v>
      </c>
      <c r="H6058" s="43"/>
    </row>
    <row r="6059" spans="1:8" ht="30" customHeight="1" x14ac:dyDescent="0.15">
      <c r="A6059" s="16" t="s">
        <v>17</v>
      </c>
      <c r="B6059" s="17" t="s">
        <v>9985</v>
      </c>
      <c r="C6059" s="17" t="s">
        <v>10547</v>
      </c>
      <c r="D6059" s="25" t="s">
        <v>9762</v>
      </c>
      <c r="E6059" s="19" t="s">
        <v>9983</v>
      </c>
      <c r="F6059" s="19" t="s">
        <v>9986</v>
      </c>
      <c r="G6059" s="9" t="str">
        <f>HYPERLINK("http://jsmh.umin.jp/journal/59-4/59-4_487-502.pdf")</f>
        <v>http://jsmh.umin.jp/journal/59-4/59-4_487-502.pdf</v>
      </c>
      <c r="H6059" s="43"/>
    </row>
    <row r="6060" spans="1:8" ht="30" customHeight="1" x14ac:dyDescent="0.15">
      <c r="A6060" s="16" t="s">
        <v>17</v>
      </c>
      <c r="B6060" s="17" t="s">
        <v>9987</v>
      </c>
      <c r="C6060" s="17" t="s">
        <v>9988</v>
      </c>
      <c r="D6060" s="25" t="s">
        <v>9762</v>
      </c>
      <c r="E6060" s="19" t="s">
        <v>9983</v>
      </c>
      <c r="F6060" s="19" t="s">
        <v>9989</v>
      </c>
      <c r="G6060" s="9" t="str">
        <f>HYPERLINK("http://jsmh.umin.jp/journal/59-4/59-4_503-515.pdf")</f>
        <v>http://jsmh.umin.jp/journal/59-4/59-4_503-515.pdf</v>
      </c>
      <c r="H6060" s="43"/>
    </row>
    <row r="6061" spans="1:8" ht="30" customHeight="1" x14ac:dyDescent="0.15">
      <c r="A6061" s="16" t="s">
        <v>17</v>
      </c>
      <c r="B6061" s="17" t="s">
        <v>9990</v>
      </c>
      <c r="C6061" s="17" t="s">
        <v>10548</v>
      </c>
      <c r="D6061" s="25" t="s">
        <v>9762</v>
      </c>
      <c r="E6061" s="19" t="s">
        <v>9983</v>
      </c>
      <c r="F6061" s="19" t="s">
        <v>9991</v>
      </c>
      <c r="G6061" s="9" t="str">
        <f>HYPERLINK("http://jsmh.umin.jp/journal/59-4/59-4_517-532.pdf")</f>
        <v>http://jsmh.umin.jp/journal/59-4/59-4_517-532.pdf</v>
      </c>
      <c r="H6061" s="43"/>
    </row>
    <row r="6062" spans="1:8" ht="30" customHeight="1" x14ac:dyDescent="0.15">
      <c r="A6062" s="16" t="s">
        <v>17</v>
      </c>
      <c r="B6062" s="17" t="s">
        <v>9992</v>
      </c>
      <c r="C6062" s="17" t="s">
        <v>10280</v>
      </c>
      <c r="D6062" s="25" t="s">
        <v>9762</v>
      </c>
      <c r="E6062" s="19" t="s">
        <v>9983</v>
      </c>
      <c r="F6062" s="19" t="s">
        <v>9993</v>
      </c>
      <c r="G6062" s="9" t="str">
        <f>HYPERLINK("http://jsmh.umin.jp/journal/59-4/59-4_533-546.pdf")</f>
        <v>http://jsmh.umin.jp/journal/59-4/59-4_533-546.pdf</v>
      </c>
      <c r="H6062" s="43"/>
    </row>
    <row r="6063" spans="1:8" ht="30" customHeight="1" x14ac:dyDescent="0.15">
      <c r="A6063" s="16" t="s">
        <v>17</v>
      </c>
      <c r="B6063" s="17" t="s">
        <v>9994</v>
      </c>
      <c r="C6063" s="17" t="s">
        <v>9995</v>
      </c>
      <c r="D6063" s="25" t="s">
        <v>9762</v>
      </c>
      <c r="E6063" s="19" t="s">
        <v>9983</v>
      </c>
      <c r="F6063" s="19" t="s">
        <v>9996</v>
      </c>
      <c r="G6063" s="9" t="str">
        <f>HYPERLINK("http://jsmh.umin.jp/journal/59-4/59-4_547-563.pdf")</f>
        <v>http://jsmh.umin.jp/journal/59-4/59-4_547-563.pdf</v>
      </c>
      <c r="H6063" s="43"/>
    </row>
    <row r="6064" spans="1:8" ht="30" customHeight="1" x14ac:dyDescent="0.15">
      <c r="A6064" s="16" t="s">
        <v>7637</v>
      </c>
      <c r="B6064" s="17" t="s">
        <v>9997</v>
      </c>
      <c r="C6064" s="17" t="s">
        <v>10280</v>
      </c>
      <c r="D6064" s="25" t="s">
        <v>9762</v>
      </c>
      <c r="E6064" s="19" t="s">
        <v>9983</v>
      </c>
      <c r="F6064" s="19" t="s">
        <v>9998</v>
      </c>
      <c r="G6064" s="9" t="str">
        <f>HYPERLINK("http://jsmh.umin.jp/journal/59-4/59-4_565-569.pdf")</f>
        <v>http://jsmh.umin.jp/journal/59-4/59-4_565-569.pdf</v>
      </c>
      <c r="H6064" s="43"/>
    </row>
    <row r="6065" spans="1:8" ht="30" customHeight="1" x14ac:dyDescent="0.15">
      <c r="A6065" s="16" t="s">
        <v>692</v>
      </c>
      <c r="B6065" s="17" t="s">
        <v>9999</v>
      </c>
      <c r="C6065" s="17" t="s">
        <v>7522</v>
      </c>
      <c r="D6065" s="25" t="s">
        <v>9762</v>
      </c>
      <c r="E6065" s="19" t="s">
        <v>9983</v>
      </c>
      <c r="F6065" s="19" t="s">
        <v>10000</v>
      </c>
      <c r="G6065" s="9" t="str">
        <f>HYPERLINK("http://jsmh.umin.jp/journal/59-4/59-4_571-585.pdf")</f>
        <v>http://jsmh.umin.jp/journal/59-4/59-4_571-585.pdf</v>
      </c>
      <c r="H6065" s="43"/>
    </row>
    <row r="6066" spans="1:8" ht="30" customHeight="1" x14ac:dyDescent="0.15">
      <c r="A6066" s="16" t="s">
        <v>692</v>
      </c>
      <c r="B6066" s="17" t="s">
        <v>10001</v>
      </c>
      <c r="C6066" s="17" t="s">
        <v>10547</v>
      </c>
      <c r="D6066" s="25" t="s">
        <v>9762</v>
      </c>
      <c r="E6066" s="19" t="s">
        <v>9983</v>
      </c>
      <c r="F6066" s="19" t="s">
        <v>10002</v>
      </c>
      <c r="G6066" s="9" t="str">
        <f>HYPERLINK("http://jsmh.umin.jp/journal/59-4/59-4_587-610.pdf")</f>
        <v>http://jsmh.umin.jp/journal/59-4/59-4_587-610.pdf</v>
      </c>
      <c r="H6066" s="43"/>
    </row>
    <row r="6067" spans="1:8" ht="30" customHeight="1" x14ac:dyDescent="0.15">
      <c r="A6067" s="16" t="s">
        <v>692</v>
      </c>
      <c r="B6067" s="17" t="s">
        <v>10003</v>
      </c>
      <c r="C6067" s="17" t="s">
        <v>4870</v>
      </c>
      <c r="D6067" s="25" t="s">
        <v>9762</v>
      </c>
      <c r="E6067" s="19" t="s">
        <v>9983</v>
      </c>
      <c r="F6067" s="19" t="s">
        <v>10004</v>
      </c>
      <c r="G6067" s="9" t="str">
        <f>HYPERLINK("http://jsmh.umin.jp/journal/59-4/59-4_611-620.pdf")</f>
        <v>http://jsmh.umin.jp/journal/59-4/59-4_611-620.pdf</v>
      </c>
      <c r="H6067" s="43"/>
    </row>
    <row r="6068" spans="1:8" ht="30" customHeight="1" x14ac:dyDescent="0.15">
      <c r="A6068" s="16" t="s">
        <v>1102</v>
      </c>
      <c r="B6068" s="17" t="s">
        <v>10005</v>
      </c>
      <c r="C6068" s="17" t="s">
        <v>2937</v>
      </c>
      <c r="D6068" s="25" t="s">
        <v>9762</v>
      </c>
      <c r="E6068" s="19" t="s">
        <v>9983</v>
      </c>
      <c r="F6068" s="19" t="s">
        <v>10006</v>
      </c>
      <c r="G6068" s="9" t="str">
        <f>HYPERLINK("http://jsmh.umin.jp/journal/59-4/59-4_621-623.pdf")</f>
        <v>http://jsmh.umin.jp/journal/59-4/59-4_621-623.pdf</v>
      </c>
      <c r="H6068" s="43"/>
    </row>
    <row r="6069" spans="1:8" ht="30" customHeight="1" x14ac:dyDescent="0.15">
      <c r="A6069" s="16" t="s">
        <v>558</v>
      </c>
      <c r="B6069" s="17" t="s">
        <v>537</v>
      </c>
      <c r="C6069" s="17"/>
      <c r="D6069" s="25" t="s">
        <v>9762</v>
      </c>
      <c r="E6069" s="19" t="s">
        <v>9983</v>
      </c>
      <c r="F6069" s="19" t="s">
        <v>10007</v>
      </c>
      <c r="G6069" s="9" t="str">
        <f>HYPERLINK("http://jsmh.umin.jp/journal/59-4/59-4_kiroku.pdf")</f>
        <v>http://jsmh.umin.jp/journal/59-4/59-4_kiroku.pdf</v>
      </c>
      <c r="H6069" s="43"/>
    </row>
    <row r="6070" spans="1:8" ht="30" customHeight="1" x14ac:dyDescent="0.15">
      <c r="A6070" s="16" t="s">
        <v>1102</v>
      </c>
      <c r="B6070" s="17" t="s">
        <v>10008</v>
      </c>
      <c r="C6070" s="17" t="s">
        <v>7320</v>
      </c>
      <c r="D6070" s="25" t="s">
        <v>9762</v>
      </c>
      <c r="E6070" s="19" t="s">
        <v>9983</v>
      </c>
      <c r="F6070" s="19" t="s">
        <v>10009</v>
      </c>
      <c r="G6070" s="9" t="str">
        <f>HYPERLINK("http://jsmh.umin.jp/journal/59-4/59-4_623-625.pdf")</f>
        <v>http://jsmh.umin.jp/journal/59-4/59-4_623-625.pdf</v>
      </c>
      <c r="H6070" s="43"/>
    </row>
    <row r="6071" spans="1:8" ht="30" customHeight="1" x14ac:dyDescent="0.15">
      <c r="A6071" s="16" t="s">
        <v>9104</v>
      </c>
      <c r="B6071" s="17" t="s">
        <v>10010</v>
      </c>
      <c r="C6071" s="17" t="s">
        <v>6743</v>
      </c>
      <c r="D6071" s="25" t="s">
        <v>9762</v>
      </c>
      <c r="E6071" s="19" t="s">
        <v>9983</v>
      </c>
      <c r="F6071" s="19" t="s">
        <v>10011</v>
      </c>
      <c r="G6071" s="9" t="str">
        <f>HYPERLINK("http://jsmh.umin.jp/journal/59-4/59-4_625-626.pdf")</f>
        <v>http://jsmh.umin.jp/journal/59-4/59-4_625-626.pdf</v>
      </c>
      <c r="H6071" s="43"/>
    </row>
    <row r="6072" spans="1:8" ht="30" customHeight="1" x14ac:dyDescent="0.15">
      <c r="A6072" s="16" t="s">
        <v>9104</v>
      </c>
      <c r="B6072" s="17" t="s">
        <v>10012</v>
      </c>
      <c r="C6072" s="17" t="s">
        <v>6565</v>
      </c>
      <c r="D6072" s="25" t="s">
        <v>9762</v>
      </c>
      <c r="E6072" s="19" t="s">
        <v>9983</v>
      </c>
      <c r="F6072" s="19" t="s">
        <v>10013</v>
      </c>
      <c r="G6072" s="9" t="str">
        <f>HYPERLINK("http://jsmh.umin.jp/journal/59-4/59-4_625.pdf")</f>
        <v>http://jsmh.umin.jp/journal/59-4/59-4_625.pdf</v>
      </c>
      <c r="H6072" s="43"/>
    </row>
    <row r="6073" spans="1:8" ht="30" customHeight="1" x14ac:dyDescent="0.15">
      <c r="A6073" s="16" t="s">
        <v>9104</v>
      </c>
      <c r="B6073" s="17" t="s">
        <v>10014</v>
      </c>
      <c r="C6073" s="17" t="s">
        <v>6743</v>
      </c>
      <c r="D6073" s="25" t="s">
        <v>9762</v>
      </c>
      <c r="E6073" s="19" t="s">
        <v>9983</v>
      </c>
      <c r="F6073" s="19" t="s">
        <v>8668</v>
      </c>
      <c r="G6073" s="9" t="str">
        <f>HYPERLINK("http://jsmh.umin.jp/journal/59-4/59-4_626.pdf")</f>
        <v>http://jsmh.umin.jp/journal/59-4/59-4_626.pdf</v>
      </c>
      <c r="H6073" s="43"/>
    </row>
    <row r="6074" spans="1:8" ht="30" customHeight="1" x14ac:dyDescent="0.15">
      <c r="A6074" s="30"/>
      <c r="B6074" s="31"/>
      <c r="C6074" s="31"/>
      <c r="D6074" s="31"/>
      <c r="E6074" s="32"/>
      <c r="F6074" s="33"/>
    </row>
    <row r="6076" spans="1:8" ht="30" customHeight="1" x14ac:dyDescent="0.15">
      <c r="B6076" s="35" t="s">
        <v>10015</v>
      </c>
    </row>
    <row r="6077" spans="1:8" ht="30" customHeight="1" x14ac:dyDescent="0.15">
      <c r="B6077" s="20" t="s">
        <v>10016</v>
      </c>
    </row>
    <row r="6078" spans="1:8" ht="30" customHeight="1" x14ac:dyDescent="0.15">
      <c r="A6078" s="20"/>
      <c r="B6078" s="20" t="s">
        <v>10017</v>
      </c>
      <c r="F6078" s="20"/>
    </row>
    <row r="6079" spans="1:8" ht="30" customHeight="1" x14ac:dyDescent="0.15">
      <c r="A6079" s="20"/>
      <c r="B6079" s="20" t="s">
        <v>10018</v>
      </c>
      <c r="F6079" s="20"/>
    </row>
    <row r="6080" spans="1:8" ht="30" customHeight="1" x14ac:dyDescent="0.15">
      <c r="A6080" s="20"/>
      <c r="B6080" s="20" t="s">
        <v>10019</v>
      </c>
      <c r="F6080" s="20"/>
    </row>
    <row r="6081" spans="1:6" ht="30" customHeight="1" x14ac:dyDescent="0.15">
      <c r="A6081" s="20"/>
      <c r="B6081" s="20" t="s">
        <v>10020</v>
      </c>
      <c r="F6081" s="20"/>
    </row>
    <row r="6082" spans="1:6" ht="30" customHeight="1" x14ac:dyDescent="0.15">
      <c r="A6082" s="20"/>
      <c r="B6082" s="20" t="s">
        <v>10021</v>
      </c>
      <c r="F6082" s="20"/>
    </row>
    <row r="6083" spans="1:6" ht="30" customHeight="1" x14ac:dyDescent="0.15">
      <c r="A6083" s="20"/>
      <c r="B6083" s="20" t="s">
        <v>10022</v>
      </c>
      <c r="F6083" s="20"/>
    </row>
  </sheetData>
  <autoFilter ref="A1:H6073"/>
  <phoneticPr fontId="1"/>
  <hyperlinks>
    <hyperlink ref="B6076" r:id="rId1"/>
    <hyperlink ref="H2" r:id="rId2" display="http://dl.ndl.go.jp/info:ndljp/pid/3359220"/>
    <hyperlink ref="H3:H18" r:id="rId3" display="http://dl.ndl.go.jp/info:ndljp/pid/3359220"/>
  </hyperlinks>
  <pageMargins left="0.7" right="0.7" top="0.75" bottom="0.75" header="0.3" footer="0.3"/>
  <pageSetup paperSize="9" orientation="portrait" horizontalDpi="4294967293"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21"/>
  <sheetViews>
    <sheetView zoomScale="205" zoomScaleNormal="205" workbookViewId="0"/>
  </sheetViews>
  <sheetFormatPr defaultRowHeight="13.5" x14ac:dyDescent="0.15"/>
  <cols>
    <col min="1" max="1" width="50.125" style="20" customWidth="1"/>
  </cols>
  <sheetData>
    <row r="1" spans="1:1" x14ac:dyDescent="0.15">
      <c r="A1" s="14" t="s">
        <v>10024</v>
      </c>
    </row>
    <row r="14" spans="1:1" x14ac:dyDescent="0.15">
      <c r="A14" s="21" t="s">
        <v>10026</v>
      </c>
    </row>
    <row r="15" spans="1:1" x14ac:dyDescent="0.15">
      <c r="A15" s="21" t="s">
        <v>10027</v>
      </c>
    </row>
    <row r="16" spans="1:1" x14ac:dyDescent="0.15">
      <c r="A16" s="21" t="s">
        <v>10028</v>
      </c>
    </row>
    <row r="18" spans="1:1" x14ac:dyDescent="0.15">
      <c r="A18" s="22" t="s">
        <v>10569</v>
      </c>
    </row>
    <row r="19" spans="1:1" x14ac:dyDescent="0.15">
      <c r="A19" s="20" t="s">
        <v>10568</v>
      </c>
    </row>
    <row r="20" spans="1:1" x14ac:dyDescent="0.15">
      <c r="A20" s="20" t="s">
        <v>10662</v>
      </c>
    </row>
    <row r="21" spans="1:1" x14ac:dyDescent="0.15">
      <c r="A21" s="20" t="s">
        <v>10661</v>
      </c>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B97"/>
  <sheetViews>
    <sheetView zoomScale="190" zoomScaleNormal="190" workbookViewId="0">
      <selection activeCell="B2" sqref="B2"/>
    </sheetView>
  </sheetViews>
  <sheetFormatPr defaultRowHeight="13.5" x14ac:dyDescent="0.15"/>
  <cols>
    <col min="2" max="2" width="54.125" customWidth="1"/>
  </cols>
  <sheetData>
    <row r="2" spans="2:2" ht="18.75" x14ac:dyDescent="0.15">
      <c r="B2" s="10" t="s">
        <v>10549</v>
      </c>
    </row>
    <row r="4" spans="2:2" x14ac:dyDescent="0.15">
      <c r="B4" s="11" t="s">
        <v>10550</v>
      </c>
    </row>
    <row r="6" spans="2:2" x14ac:dyDescent="0.15">
      <c r="B6" t="s">
        <v>10551</v>
      </c>
    </row>
    <row r="7" spans="2:2" x14ac:dyDescent="0.15">
      <c r="B7" t="s">
        <v>10561</v>
      </c>
    </row>
    <row r="8" spans="2:2" x14ac:dyDescent="0.15">
      <c r="B8" t="s">
        <v>10562</v>
      </c>
    </row>
    <row r="32" spans="2:2" x14ac:dyDescent="0.15">
      <c r="B32" t="s">
        <v>10552</v>
      </c>
    </row>
    <row r="42" spans="2:2" x14ac:dyDescent="0.15">
      <c r="B42" t="s">
        <v>10553</v>
      </c>
    </row>
    <row r="43" spans="2:2" x14ac:dyDescent="0.15">
      <c r="B43" t="s">
        <v>10554</v>
      </c>
    </row>
    <row r="44" spans="2:2" x14ac:dyDescent="0.15">
      <c r="B44" t="s">
        <v>10563</v>
      </c>
    </row>
    <row r="45" spans="2:2" x14ac:dyDescent="0.15">
      <c r="B45" t="s">
        <v>10555</v>
      </c>
    </row>
    <row r="47" spans="2:2" x14ac:dyDescent="0.15">
      <c r="B47" t="s">
        <v>10556</v>
      </c>
    </row>
    <row r="59" spans="2:2" x14ac:dyDescent="0.15">
      <c r="B59" t="s">
        <v>10564</v>
      </c>
    </row>
    <row r="61" spans="2:2" x14ac:dyDescent="0.15">
      <c r="B61" t="s">
        <v>10565</v>
      </c>
    </row>
    <row r="74" spans="2:2" x14ac:dyDescent="0.15">
      <c r="B74" t="s">
        <v>10557</v>
      </c>
    </row>
    <row r="77" spans="2:2" x14ac:dyDescent="0.15">
      <c r="B77" t="s">
        <v>10558</v>
      </c>
    </row>
    <row r="91" spans="2:2" x14ac:dyDescent="0.15">
      <c r="B91" t="s">
        <v>10566</v>
      </c>
    </row>
    <row r="93" spans="2:2" x14ac:dyDescent="0.15">
      <c r="B93" t="s">
        <v>10559</v>
      </c>
    </row>
    <row r="96" spans="2:2" x14ac:dyDescent="0.15">
      <c r="B96" t="s">
        <v>10560</v>
      </c>
    </row>
    <row r="97" spans="2:2" x14ac:dyDescent="0.15">
      <c r="B97" s="11" t="s">
        <v>10567</v>
      </c>
    </row>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zoomScale="160" zoomScaleNormal="160" workbookViewId="0">
      <selection activeCell="A4" sqref="A4"/>
    </sheetView>
  </sheetViews>
  <sheetFormatPr defaultRowHeight="13.5" x14ac:dyDescent="0.15"/>
  <cols>
    <col min="1" max="1" width="48.125" customWidth="1"/>
  </cols>
  <sheetData>
    <row r="1" spans="1:1" x14ac:dyDescent="0.15">
      <c r="A1" s="11" t="s">
        <v>10643</v>
      </c>
    </row>
    <row r="3" spans="1:1" x14ac:dyDescent="0.15">
      <c r="A3" s="37" t="s">
        <v>10641</v>
      </c>
    </row>
    <row r="6" spans="1:1" x14ac:dyDescent="0.15">
      <c r="A6" s="11" t="s">
        <v>10642</v>
      </c>
    </row>
    <row r="8" spans="1:1" x14ac:dyDescent="0.15">
      <c r="A8" s="37" t="s">
        <v>10644</v>
      </c>
    </row>
    <row r="12" spans="1:1" x14ac:dyDescent="0.15">
      <c r="A12" s="11" t="s">
        <v>10659</v>
      </c>
    </row>
    <row r="13" spans="1:1" x14ac:dyDescent="0.15">
      <c r="A13" s="37" t="s">
        <v>10649</v>
      </c>
    </row>
    <row r="14" spans="1:1" x14ac:dyDescent="0.15">
      <c r="A14" t="s">
        <v>10650</v>
      </c>
    </row>
    <row r="15" spans="1:1" x14ac:dyDescent="0.15">
      <c r="A15" s="38" t="s">
        <v>10648</v>
      </c>
    </row>
    <row r="17" spans="1:7" x14ac:dyDescent="0.15">
      <c r="A17" t="s">
        <v>10645</v>
      </c>
    </row>
    <row r="18" spans="1:7" x14ac:dyDescent="0.15">
      <c r="A18" t="s">
        <v>10646</v>
      </c>
    </row>
    <row r="19" spans="1:7" x14ac:dyDescent="0.15">
      <c r="A19" t="s">
        <v>10652</v>
      </c>
    </row>
    <row r="21" spans="1:7" x14ac:dyDescent="0.15">
      <c r="A21" t="s">
        <v>10647</v>
      </c>
    </row>
    <row r="24" spans="1:7" x14ac:dyDescent="0.15">
      <c r="A24" t="s">
        <v>10651</v>
      </c>
    </row>
    <row r="25" spans="1:7" x14ac:dyDescent="0.15">
      <c r="A25" s="38" t="s">
        <v>10653</v>
      </c>
    </row>
    <row r="26" spans="1:7" x14ac:dyDescent="0.15">
      <c r="A26" s="38" t="s">
        <v>10660</v>
      </c>
    </row>
    <row r="31" spans="1:7" x14ac:dyDescent="0.15">
      <c r="A31" t="s">
        <v>10668</v>
      </c>
    </row>
    <row r="32" spans="1:7" ht="56.25" x14ac:dyDescent="0.15">
      <c r="A32" s="17" t="s">
        <v>10663</v>
      </c>
      <c r="B32" s="17" t="s">
        <v>1177</v>
      </c>
      <c r="C32" s="25" t="s">
        <v>5402</v>
      </c>
      <c r="D32" s="19" t="s">
        <v>5431</v>
      </c>
      <c r="E32" s="19" t="s">
        <v>5499</v>
      </c>
      <c r="F32" s="5" t="str">
        <f>HYPERLINK("http://jsmh.umin.jp/journal/38-2/295-297.pdf")</f>
        <v>http://jsmh.umin.jp/journal/38-2/295-297.pdf</v>
      </c>
      <c r="G32" s="43" t="str">
        <f t="shared" ref="G32" si="0">HYPERLINK("http://dl.ndl.go.jp/info:ndljp/pid/3359335")</f>
        <v>http://dl.ndl.go.jp/info:ndljp/pid/3359335</v>
      </c>
    </row>
    <row r="33" spans="1:1" x14ac:dyDescent="0.15">
      <c r="A33" t="s">
        <v>10667</v>
      </c>
    </row>
  </sheetData>
  <phoneticPr fontId="1"/>
  <hyperlinks>
    <hyperlink ref="A3" r:id="rId1"/>
    <hyperlink ref="A8" r:id="rId2"/>
    <hyperlink ref="A13" r:id="rId3"/>
  </hyperlinks>
  <pageMargins left="0.7" right="0.7" top="0.75" bottom="0.75" header="0.3" footer="0.3"/>
  <pageSetup paperSize="9" orientation="portrait" horizontalDpi="4294967293" verticalDpi="0"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164"/>
  <sheetViews>
    <sheetView zoomScale="175" zoomScaleNormal="175" workbookViewId="0"/>
  </sheetViews>
  <sheetFormatPr defaultRowHeight="13.5" x14ac:dyDescent="0.15"/>
  <cols>
    <col min="1" max="1" width="12.375" customWidth="1"/>
    <col min="2" max="2" width="13.125" customWidth="1"/>
    <col min="3" max="3" width="38.875" customWidth="1"/>
  </cols>
  <sheetData>
    <row r="1" spans="1:3" x14ac:dyDescent="0.15">
      <c r="A1" s="13" t="s">
        <v>3</v>
      </c>
      <c r="B1" s="13" t="s">
        <v>4</v>
      </c>
      <c r="C1" s="46"/>
    </row>
    <row r="2" spans="1:3" x14ac:dyDescent="0.15">
      <c r="A2" s="18" t="s">
        <v>7</v>
      </c>
      <c r="B2" s="19" t="s">
        <v>8</v>
      </c>
      <c r="C2" s="46" t="str">
        <f>HYPERLINK("http://dl.ndl.go.jp/info:ndljp/pid/3359220")</f>
        <v>http://dl.ndl.go.jp/info:ndljp/pid/3359220</v>
      </c>
    </row>
    <row r="3" spans="1:3" x14ac:dyDescent="0.15">
      <c r="A3" s="19" t="s">
        <v>7</v>
      </c>
      <c r="B3" s="19" t="s">
        <v>39</v>
      </c>
      <c r="C3" s="46" t="str">
        <f>HYPERLINK("http://dl.ndl.go.jp/info:ndljp/pid/3359221")</f>
        <v>http://dl.ndl.go.jp/info:ndljp/pid/3359221</v>
      </c>
    </row>
    <row r="4" spans="1:3" x14ac:dyDescent="0.15">
      <c r="A4" s="18" t="s">
        <v>62</v>
      </c>
      <c r="B4" s="19" t="s">
        <v>63</v>
      </c>
      <c r="C4" s="46" t="str">
        <f>HYPERLINK("http://dl.ndl.go.jp/info:ndljp/pid/3359222")</f>
        <v>http://dl.ndl.go.jp/info:ndljp/pid/3359222</v>
      </c>
    </row>
    <row r="5" spans="1:3" x14ac:dyDescent="0.15">
      <c r="A5" s="19" t="s">
        <v>62</v>
      </c>
      <c r="B5" s="19" t="s">
        <v>83</v>
      </c>
      <c r="C5" s="46" t="str">
        <f>HYPERLINK("http://dl.ndl.go.jp/info:ndljp/pid/3359223")</f>
        <v>http://dl.ndl.go.jp/info:ndljp/pid/3359223</v>
      </c>
    </row>
    <row r="6" spans="1:3" x14ac:dyDescent="0.15">
      <c r="A6" s="19" t="s">
        <v>62</v>
      </c>
      <c r="B6" s="19" t="s">
        <v>151</v>
      </c>
      <c r="C6" s="46" t="str">
        <f>HYPERLINK("http://dl.ndl.go.jp/info:ndljp/pid/3359224")</f>
        <v>http://dl.ndl.go.jp/info:ndljp/pid/3359224</v>
      </c>
    </row>
    <row r="7" spans="1:3" x14ac:dyDescent="0.15">
      <c r="A7" s="18" t="s">
        <v>162</v>
      </c>
      <c r="B7" s="19" t="s">
        <v>163</v>
      </c>
      <c r="C7" s="46" t="str">
        <f>HYPERLINK("http://dl.ndl.go.jp/info:ndljp/pid/3359225")</f>
        <v>http://dl.ndl.go.jp/info:ndljp/pid/3359225</v>
      </c>
    </row>
    <row r="8" spans="1:3" x14ac:dyDescent="0.15">
      <c r="A8" s="19" t="s">
        <v>162</v>
      </c>
      <c r="B8" s="19" t="s">
        <v>177</v>
      </c>
      <c r="C8" s="46" t="str">
        <f>HYPERLINK("http://dl.ndl.go.jp/info:ndljp/pid/3359226")</f>
        <v>http://dl.ndl.go.jp/info:ndljp/pid/3359226</v>
      </c>
    </row>
    <row r="9" spans="1:3" x14ac:dyDescent="0.15">
      <c r="A9" s="19" t="s">
        <v>162</v>
      </c>
      <c r="B9" s="19" t="s">
        <v>224</v>
      </c>
      <c r="C9" s="46" t="str">
        <f>HYPERLINK("http://dl.ndl.go.jp/info:ndljp/pid/3359227")</f>
        <v>http://dl.ndl.go.jp/info:ndljp/pid/3359227</v>
      </c>
    </row>
    <row r="10" spans="1:3" x14ac:dyDescent="0.15">
      <c r="A10" s="19" t="s">
        <v>162</v>
      </c>
      <c r="B10" s="19" t="s">
        <v>236</v>
      </c>
      <c r="C10" s="46" t="str">
        <f>HYPERLINK("http://dl.ndl.go.jp/info:ndljp/pid/3359228")</f>
        <v>http://dl.ndl.go.jp/info:ndljp/pid/3359228</v>
      </c>
    </row>
    <row r="11" spans="1:3" x14ac:dyDescent="0.15">
      <c r="A11" s="18" t="s">
        <v>249</v>
      </c>
      <c r="B11" s="19" t="s">
        <v>250</v>
      </c>
      <c r="C11" s="47" t="s">
        <v>10654</v>
      </c>
    </row>
    <row r="12" spans="1:3" x14ac:dyDescent="0.15">
      <c r="A12" s="23" t="s">
        <v>249</v>
      </c>
      <c r="B12" s="19" t="s">
        <v>304</v>
      </c>
      <c r="C12" s="48" t="s">
        <v>10654</v>
      </c>
    </row>
    <row r="13" spans="1:3" x14ac:dyDescent="0.15">
      <c r="A13" s="23" t="s">
        <v>249</v>
      </c>
      <c r="B13" s="19" t="s">
        <v>321</v>
      </c>
      <c r="C13" s="48" t="s">
        <v>10654</v>
      </c>
    </row>
    <row r="14" spans="1:3" x14ac:dyDescent="0.15">
      <c r="A14" s="24" t="s">
        <v>344</v>
      </c>
      <c r="B14" s="19" t="s">
        <v>345</v>
      </c>
      <c r="C14" s="48" t="s">
        <v>10654</v>
      </c>
    </row>
    <row r="15" spans="1:3" x14ac:dyDescent="0.15">
      <c r="A15" s="19" t="s">
        <v>344</v>
      </c>
      <c r="B15" s="19" t="s">
        <v>406</v>
      </c>
      <c r="C15" s="48" t="s">
        <v>10654</v>
      </c>
    </row>
    <row r="16" spans="1:3" x14ac:dyDescent="0.15">
      <c r="A16" s="19" t="s">
        <v>440</v>
      </c>
      <c r="B16" s="19" t="s">
        <v>441</v>
      </c>
      <c r="C16" s="48" t="s">
        <v>10654</v>
      </c>
    </row>
    <row r="17" spans="1:3" x14ac:dyDescent="0.15">
      <c r="A17" s="24" t="s">
        <v>440</v>
      </c>
      <c r="B17" s="19" t="s">
        <v>488</v>
      </c>
      <c r="C17" s="48" t="s">
        <v>10654</v>
      </c>
    </row>
    <row r="18" spans="1:3" x14ac:dyDescent="0.15">
      <c r="A18" s="18" t="s">
        <v>524</v>
      </c>
      <c r="B18" s="19" t="s">
        <v>525</v>
      </c>
      <c r="C18" s="48" t="s">
        <v>10654</v>
      </c>
    </row>
    <row r="19" spans="1:3" x14ac:dyDescent="0.15">
      <c r="A19" s="25" t="s">
        <v>524</v>
      </c>
      <c r="B19" s="19" t="s">
        <v>562</v>
      </c>
      <c r="C19" s="48" t="s">
        <v>10654</v>
      </c>
    </row>
    <row r="20" spans="1:3" x14ac:dyDescent="0.15">
      <c r="A20" s="18" t="s">
        <v>612</v>
      </c>
      <c r="B20" s="19" t="s">
        <v>613</v>
      </c>
      <c r="C20" s="48" t="s">
        <v>10654</v>
      </c>
    </row>
    <row r="21" spans="1:3" x14ac:dyDescent="0.15">
      <c r="A21" s="25" t="s">
        <v>612</v>
      </c>
      <c r="B21" s="19" t="s">
        <v>649</v>
      </c>
      <c r="C21" s="48" t="s">
        <v>10654</v>
      </c>
    </row>
    <row r="22" spans="1:3" x14ac:dyDescent="0.15">
      <c r="A22" s="18" t="s">
        <v>683</v>
      </c>
      <c r="B22" s="19" t="s">
        <v>684</v>
      </c>
      <c r="C22" s="46" t="str">
        <f>HYPERLINK("http://dl.ndl.go.jp/info:ndljp/pid/3359229")</f>
        <v>http://dl.ndl.go.jp/info:ndljp/pid/3359229</v>
      </c>
    </row>
    <row r="23" spans="1:3" x14ac:dyDescent="0.15">
      <c r="A23" s="25" t="s">
        <v>683</v>
      </c>
      <c r="B23" s="19" t="s">
        <v>687</v>
      </c>
      <c r="C23" s="46" t="str">
        <f>HYPERLINK("http://dl.ndl.go.jp/info:ndljp/pid/3359230")</f>
        <v>http://dl.ndl.go.jp/info:ndljp/pid/3359230</v>
      </c>
    </row>
    <row r="24" spans="1:3" x14ac:dyDescent="0.15">
      <c r="A24" s="25" t="s">
        <v>683</v>
      </c>
      <c r="B24" s="19" t="s">
        <v>707</v>
      </c>
      <c r="C24" s="46" t="str">
        <f>HYPERLINK("http://dl.ndl.go.jp/info:ndljp/pid/3359231")</f>
        <v>http://dl.ndl.go.jp/info:ndljp/pid/3359231</v>
      </c>
    </row>
    <row r="25" spans="1:3" x14ac:dyDescent="0.15">
      <c r="A25" s="18" t="s">
        <v>718</v>
      </c>
      <c r="B25" s="19" t="s">
        <v>719</v>
      </c>
      <c r="C25" s="46" t="str">
        <f>HYPERLINK("http://dl.ndl.go.jp/info:ndljp/pid/3359232")</f>
        <v>http://dl.ndl.go.jp/info:ndljp/pid/3359232</v>
      </c>
    </row>
    <row r="26" spans="1:3" x14ac:dyDescent="0.15">
      <c r="A26" s="25" t="s">
        <v>718</v>
      </c>
      <c r="B26" s="19" t="s">
        <v>725</v>
      </c>
      <c r="C26" s="46" t="str">
        <f>HYPERLINK("http://dl.ndl.go.jp/info:ndljp/pid/3359233")</f>
        <v>http://dl.ndl.go.jp/info:ndljp/pid/3359233</v>
      </c>
    </row>
    <row r="27" spans="1:3" x14ac:dyDescent="0.15">
      <c r="A27" s="25" t="s">
        <v>718</v>
      </c>
      <c r="B27" s="19" t="s">
        <v>772</v>
      </c>
      <c r="C27" s="46" t="str">
        <f>HYPERLINK("http://dl.ndl.go.jp/info:ndljp/pid/3359234")</f>
        <v>http://dl.ndl.go.jp/info:ndljp/pid/3359234</v>
      </c>
    </row>
    <row r="28" spans="1:3" x14ac:dyDescent="0.15">
      <c r="A28" s="18" t="s">
        <v>782</v>
      </c>
      <c r="B28" s="19" t="s">
        <v>783</v>
      </c>
      <c r="C28" s="46" t="str">
        <f>HYPERLINK("http://dl.ndl.go.jp/info:ndljp/pid/3359235")</f>
        <v>http://dl.ndl.go.jp/info:ndljp/pid/3359235</v>
      </c>
    </row>
    <row r="29" spans="1:3" x14ac:dyDescent="0.15">
      <c r="A29" s="25" t="s">
        <v>782</v>
      </c>
      <c r="B29" s="19" t="s">
        <v>795</v>
      </c>
      <c r="C29" s="46" t="str">
        <f>HYPERLINK("http://dl.ndl.go.jp/info:ndljp/pid/3359236")</f>
        <v>http://dl.ndl.go.jp/info:ndljp/pid/3359236</v>
      </c>
    </row>
    <row r="30" spans="1:3" x14ac:dyDescent="0.15">
      <c r="A30" s="25" t="s">
        <v>782</v>
      </c>
      <c r="B30" s="19" t="s">
        <v>865</v>
      </c>
      <c r="C30" s="46" t="str">
        <f>HYPERLINK("http://dl.ndl.go.jp/info:ndljp/pid/3359237")</f>
        <v>http://dl.ndl.go.jp/info:ndljp/pid/3359237</v>
      </c>
    </row>
    <row r="31" spans="1:3" x14ac:dyDescent="0.15">
      <c r="A31" s="18" t="s">
        <v>877</v>
      </c>
      <c r="B31" s="19" t="s">
        <v>878</v>
      </c>
      <c r="C31" s="46" t="str">
        <f>HYPERLINK("http://dl.ndl.go.jp/info:ndljp/pid/3359238")</f>
        <v>http://dl.ndl.go.jp/info:ndljp/pid/3359238</v>
      </c>
    </row>
    <row r="32" spans="1:3" x14ac:dyDescent="0.15">
      <c r="A32" s="25" t="s">
        <v>877</v>
      </c>
      <c r="B32" s="19" t="s">
        <v>893</v>
      </c>
      <c r="C32" s="46" t="str">
        <f>HYPERLINK("http://dl.ndl.go.jp/info:ndljp/pid/3359239")</f>
        <v>http://dl.ndl.go.jp/info:ndljp/pid/3359239</v>
      </c>
    </row>
    <row r="33" spans="1:3" x14ac:dyDescent="0.15">
      <c r="A33" s="25" t="s">
        <v>877</v>
      </c>
      <c r="B33" s="19" t="s">
        <v>969</v>
      </c>
      <c r="C33" s="46" t="str">
        <f>HYPERLINK("http://dl.ndl.go.jp/info:ndljp/pid/3359240")</f>
        <v>http://dl.ndl.go.jp/info:ndljp/pid/3359240</v>
      </c>
    </row>
    <row r="34" spans="1:3" x14ac:dyDescent="0.15">
      <c r="A34" s="25" t="s">
        <v>877</v>
      </c>
      <c r="B34" s="19" t="s">
        <v>1006</v>
      </c>
      <c r="C34" s="46" t="str">
        <f>HYPERLINK("http://dl.ndl.go.jp/info:ndljp/pid/3359241")</f>
        <v>http://dl.ndl.go.jp/info:ndljp/pid/3359241</v>
      </c>
    </row>
    <row r="35" spans="1:3" x14ac:dyDescent="0.15">
      <c r="A35" s="25" t="s">
        <v>877</v>
      </c>
      <c r="B35" s="19" t="s">
        <v>1037</v>
      </c>
      <c r="C35" s="46" t="str">
        <f>HYPERLINK("http://dl.ndl.go.jp/info:ndljp/pid/3359242")</f>
        <v>http://dl.ndl.go.jp/info:ndljp/pid/3359242</v>
      </c>
    </row>
    <row r="36" spans="1:3" x14ac:dyDescent="0.15">
      <c r="A36" s="18" t="s">
        <v>1072</v>
      </c>
      <c r="B36" s="19" t="s">
        <v>1073</v>
      </c>
      <c r="C36" s="46" t="str">
        <f>HYPERLINK("http://dl.ndl.go.jp/info:ndljp/pid/3359243")</f>
        <v>http://dl.ndl.go.jp/info:ndljp/pid/3359243</v>
      </c>
    </row>
    <row r="37" spans="1:3" x14ac:dyDescent="0.15">
      <c r="A37" s="25" t="s">
        <v>1072</v>
      </c>
      <c r="B37" s="19" t="s">
        <v>1120</v>
      </c>
      <c r="C37" s="46" t="str">
        <f>HYPERLINK("http://dl.ndl.go.jp/info:ndljp/pid/3359244")</f>
        <v>http://dl.ndl.go.jp/info:ndljp/pid/3359244</v>
      </c>
    </row>
    <row r="38" spans="1:3" x14ac:dyDescent="0.15">
      <c r="A38" s="25" t="s">
        <v>1072</v>
      </c>
      <c r="B38" s="19" t="s">
        <v>1202</v>
      </c>
      <c r="C38" s="46" t="str">
        <f>HYPERLINK("http://dl.ndl.go.jp/info:ndljp/pid/3359245")</f>
        <v>http://dl.ndl.go.jp/info:ndljp/pid/3359245</v>
      </c>
    </row>
    <row r="39" spans="1:3" x14ac:dyDescent="0.15">
      <c r="A39" s="25" t="s">
        <v>1072</v>
      </c>
      <c r="B39" s="19" t="s">
        <v>1239</v>
      </c>
      <c r="C39" s="46" t="str">
        <f>HYPERLINK("http://dl.ndl.go.jp/info:ndljp/pid/3359246")</f>
        <v>http://dl.ndl.go.jp/info:ndljp/pid/3359246</v>
      </c>
    </row>
    <row r="40" spans="1:3" x14ac:dyDescent="0.15">
      <c r="A40" s="18" t="s">
        <v>1277</v>
      </c>
      <c r="B40" s="19" t="s">
        <v>1278</v>
      </c>
      <c r="C40" s="46" t="str">
        <f>HYPERLINK("http://dl.ndl.go.jp/info:ndljp/pid/3359247")</f>
        <v>http://dl.ndl.go.jp/info:ndljp/pid/3359247</v>
      </c>
    </row>
    <row r="41" spans="1:3" x14ac:dyDescent="0.15">
      <c r="A41" s="25" t="s">
        <v>1277</v>
      </c>
      <c r="B41" s="19" t="s">
        <v>1327</v>
      </c>
      <c r="C41" s="46" t="str">
        <f>HYPERLINK("http://dl.ndl.go.jp/info:ndljp/pid/3359248")</f>
        <v>http://dl.ndl.go.jp/info:ndljp/pid/3359248</v>
      </c>
    </row>
    <row r="42" spans="1:3" x14ac:dyDescent="0.15">
      <c r="A42" s="25" t="s">
        <v>1277</v>
      </c>
      <c r="B42" s="19" t="s">
        <v>1371</v>
      </c>
      <c r="C42" s="46" t="str">
        <f>HYPERLINK("http://dl.ndl.go.jp/info:ndljp/pid/3359249")</f>
        <v>http://dl.ndl.go.jp/info:ndljp/pid/3359249</v>
      </c>
    </row>
    <row r="43" spans="1:3" x14ac:dyDescent="0.15">
      <c r="A43" s="25" t="s">
        <v>1277</v>
      </c>
      <c r="B43" s="19" t="s">
        <v>1399</v>
      </c>
      <c r="C43" s="46" t="str">
        <f>HYPERLINK("http://dl.ndl.go.jp/info:ndljp/pid/3359250")</f>
        <v>http://dl.ndl.go.jp/info:ndljp/pid/3359250</v>
      </c>
    </row>
    <row r="44" spans="1:3" x14ac:dyDescent="0.15">
      <c r="A44" s="18" t="s">
        <v>1439</v>
      </c>
      <c r="B44" s="19" t="s">
        <v>1440</v>
      </c>
      <c r="C44" s="46" t="str">
        <f>HYPERLINK("http://dl.ndl.go.jp/info:ndljp/pid/3359251")</f>
        <v>http://dl.ndl.go.jp/info:ndljp/pid/3359251</v>
      </c>
    </row>
    <row r="45" spans="1:3" x14ac:dyDescent="0.15">
      <c r="A45" s="25" t="s">
        <v>1439</v>
      </c>
      <c r="B45" s="19" t="s">
        <v>1486</v>
      </c>
      <c r="C45" s="46" t="str">
        <f>HYPERLINK("http://dl.ndl.go.jp/info:ndljp/pid/3359252")</f>
        <v>http://dl.ndl.go.jp/info:ndljp/pid/3359252</v>
      </c>
    </row>
    <row r="46" spans="1:3" x14ac:dyDescent="0.15">
      <c r="A46" s="25" t="s">
        <v>1439</v>
      </c>
      <c r="B46" s="19" t="s">
        <v>1531</v>
      </c>
      <c r="C46" s="46" t="str">
        <f>HYPERLINK("http://dl.ndl.go.jp/info:ndljp/pid/3359253")</f>
        <v>http://dl.ndl.go.jp/info:ndljp/pid/3359253</v>
      </c>
    </row>
    <row r="47" spans="1:3" x14ac:dyDescent="0.15">
      <c r="A47" s="25" t="s">
        <v>1439</v>
      </c>
      <c r="B47" s="19" t="s">
        <v>1579</v>
      </c>
      <c r="C47" s="46" t="str">
        <f>HYPERLINK("http://dl.ndl.go.jp/info:ndljp/pid/3359254")</f>
        <v>http://dl.ndl.go.jp/info:ndljp/pid/3359254</v>
      </c>
    </row>
    <row r="48" spans="1:3" x14ac:dyDescent="0.15">
      <c r="A48" s="18" t="s">
        <v>1638</v>
      </c>
      <c r="B48" s="19" t="s">
        <v>1639</v>
      </c>
      <c r="C48" s="46" t="str">
        <f>HYPERLINK("http://dl.ndl.go.jp/info:ndljp/pid/3359255")</f>
        <v>http://dl.ndl.go.jp/info:ndljp/pid/3359255</v>
      </c>
    </row>
    <row r="49" spans="1:3" x14ac:dyDescent="0.15">
      <c r="A49" s="25" t="s">
        <v>1638</v>
      </c>
      <c r="B49" s="19" t="s">
        <v>1672</v>
      </c>
      <c r="C49" s="46" t="str">
        <f>HYPERLINK("http://dl.ndl.go.jp/info:ndljp/pid/3359256")</f>
        <v>http://dl.ndl.go.jp/info:ndljp/pid/3359256</v>
      </c>
    </row>
    <row r="50" spans="1:3" x14ac:dyDescent="0.15">
      <c r="A50" s="25" t="s">
        <v>1638</v>
      </c>
      <c r="B50" s="19" t="s">
        <v>1700</v>
      </c>
      <c r="C50" s="46" t="str">
        <f>HYPERLINK("http://dl.ndl.go.jp/info:ndljp/pid/3359257")</f>
        <v>http://dl.ndl.go.jp/info:ndljp/pid/3359257</v>
      </c>
    </row>
    <row r="51" spans="1:3" x14ac:dyDescent="0.15">
      <c r="A51" s="25" t="s">
        <v>1638</v>
      </c>
      <c r="B51" s="19" t="s">
        <v>1755</v>
      </c>
      <c r="C51" s="46" t="str">
        <f>HYPERLINK("http://dl.ndl.go.jp/info:ndljp/pid/3359258")</f>
        <v>http://dl.ndl.go.jp/info:ndljp/pid/3359258</v>
      </c>
    </row>
    <row r="52" spans="1:3" x14ac:dyDescent="0.15">
      <c r="A52" s="18" t="s">
        <v>1799</v>
      </c>
      <c r="B52" s="19" t="s">
        <v>1800</v>
      </c>
      <c r="C52" s="46" t="str">
        <f>HYPERLINK("http://dl.ndl.go.jp/info:ndljp/pid/3359259")</f>
        <v>http://dl.ndl.go.jp/info:ndljp/pid/3359259</v>
      </c>
    </row>
    <row r="53" spans="1:3" x14ac:dyDescent="0.15">
      <c r="A53" s="25" t="s">
        <v>1799</v>
      </c>
      <c r="B53" s="19" t="s">
        <v>1841</v>
      </c>
      <c r="C53" s="46" t="str">
        <f>HYPERLINK("http://dl.ndl.go.jp/info:ndljp/pid/3359260")</f>
        <v>http://dl.ndl.go.jp/info:ndljp/pid/3359260</v>
      </c>
    </row>
    <row r="54" spans="1:3" x14ac:dyDescent="0.15">
      <c r="A54" s="25" t="s">
        <v>1799</v>
      </c>
      <c r="B54" s="19" t="s">
        <v>1890</v>
      </c>
      <c r="C54" s="46" t="str">
        <f>HYPERLINK("http://dl.ndl.go.jp/info:ndljp/pid/3359261")</f>
        <v>http://dl.ndl.go.jp/info:ndljp/pid/3359261</v>
      </c>
    </row>
    <row r="55" spans="1:3" x14ac:dyDescent="0.15">
      <c r="A55" s="25" t="s">
        <v>1799</v>
      </c>
      <c r="B55" s="19" t="s">
        <v>1947</v>
      </c>
      <c r="C55" s="46" t="str">
        <f>HYPERLINK("http://dl.ndl.go.jp/info:ndljp/pid/3359262")</f>
        <v>http://dl.ndl.go.jp/info:ndljp/pid/3359262</v>
      </c>
    </row>
    <row r="56" spans="1:3" x14ac:dyDescent="0.15">
      <c r="A56" s="18" t="s">
        <v>2004</v>
      </c>
      <c r="B56" s="19" t="s">
        <v>2005</v>
      </c>
      <c r="C56" s="46" t="str">
        <f>HYPERLINK("http://dl.ndl.go.jp/info:ndljp/pid/3359263")</f>
        <v>http://dl.ndl.go.jp/info:ndljp/pid/3359263</v>
      </c>
    </row>
    <row r="57" spans="1:3" x14ac:dyDescent="0.15">
      <c r="A57" s="25" t="s">
        <v>2004</v>
      </c>
      <c r="B57" s="19" t="s">
        <v>2027</v>
      </c>
      <c r="C57" s="46" t="str">
        <f>HYPERLINK("http://dl.ndl.go.jp/info:ndljp/pid/3359264")</f>
        <v>http://dl.ndl.go.jp/info:ndljp/pid/3359264</v>
      </c>
    </row>
    <row r="58" spans="1:3" x14ac:dyDescent="0.15">
      <c r="A58" s="25" t="s">
        <v>2004</v>
      </c>
      <c r="B58" s="19" t="s">
        <v>2062</v>
      </c>
      <c r="C58" s="46" t="str">
        <f>HYPERLINK("http://dl.ndl.go.jp/info:ndljp/pid/3359265")</f>
        <v>http://dl.ndl.go.jp/info:ndljp/pid/3359265</v>
      </c>
    </row>
    <row r="59" spans="1:3" x14ac:dyDescent="0.15">
      <c r="A59" s="25" t="s">
        <v>2004</v>
      </c>
      <c r="B59" s="19" t="s">
        <v>2125</v>
      </c>
      <c r="C59" s="46" t="str">
        <f>HYPERLINK("http://dl.ndl.go.jp/info:ndljp/pid/3359266")</f>
        <v>http://dl.ndl.go.jp/info:ndljp/pid/3359266</v>
      </c>
    </row>
    <row r="60" spans="1:3" x14ac:dyDescent="0.15">
      <c r="A60" s="18" t="s">
        <v>2153</v>
      </c>
      <c r="B60" s="19" t="s">
        <v>2154</v>
      </c>
      <c r="C60" s="46" t="str">
        <f>HYPERLINK("http://dl.ndl.go.jp/info:ndljp/pid/3359267")</f>
        <v>http://dl.ndl.go.jp/info:ndljp/pid/3359267</v>
      </c>
    </row>
    <row r="61" spans="1:3" x14ac:dyDescent="0.15">
      <c r="A61" s="25" t="s">
        <v>2153</v>
      </c>
      <c r="B61" s="19" t="s">
        <v>2202</v>
      </c>
      <c r="C61" s="46" t="str">
        <f>HYPERLINK("http://dl.ndl.go.jp/info:ndljp/pid/3359268")</f>
        <v>http://dl.ndl.go.jp/info:ndljp/pid/3359268</v>
      </c>
    </row>
    <row r="62" spans="1:3" x14ac:dyDescent="0.15">
      <c r="A62" s="25" t="s">
        <v>2153</v>
      </c>
      <c r="B62" s="19" t="s">
        <v>2267</v>
      </c>
      <c r="C62" s="46" t="str">
        <f>HYPERLINK("http://dl.ndl.go.jp/info:ndljp/pid/3359269")</f>
        <v>http://dl.ndl.go.jp/info:ndljp/pid/3359269</v>
      </c>
    </row>
    <row r="63" spans="1:3" x14ac:dyDescent="0.15">
      <c r="A63" s="25" t="s">
        <v>2153</v>
      </c>
      <c r="B63" s="19" t="s">
        <v>2306</v>
      </c>
      <c r="C63" s="46" t="str">
        <f>HYPERLINK("http://dl.ndl.go.jp/info:ndljp/pid/3359270")</f>
        <v>http://dl.ndl.go.jp/info:ndljp/pid/3359270</v>
      </c>
    </row>
    <row r="64" spans="1:3" x14ac:dyDescent="0.15">
      <c r="A64" s="18" t="s">
        <v>2346</v>
      </c>
      <c r="B64" s="19" t="s">
        <v>2347</v>
      </c>
      <c r="C64" s="46" t="str">
        <f>HYPERLINK("http://dl.ndl.go.jp/info:ndljp/pid/3359271")</f>
        <v>http://dl.ndl.go.jp/info:ndljp/pid/3359271</v>
      </c>
    </row>
    <row r="65" spans="1:3" x14ac:dyDescent="0.15">
      <c r="A65" s="25" t="s">
        <v>2346</v>
      </c>
      <c r="B65" s="19" t="s">
        <v>2378</v>
      </c>
      <c r="C65" s="46" t="str">
        <f>HYPERLINK("http://dl.ndl.go.jp/info:ndljp/pid/3359272")</f>
        <v>http://dl.ndl.go.jp/info:ndljp/pid/3359272</v>
      </c>
    </row>
    <row r="66" spans="1:3" x14ac:dyDescent="0.15">
      <c r="A66" s="25" t="s">
        <v>2346</v>
      </c>
      <c r="B66" s="19" t="s">
        <v>2442</v>
      </c>
      <c r="C66" s="46" t="str">
        <f>HYPERLINK("http://dl.ndl.go.jp/info:ndljp/pid/3359273")</f>
        <v>http://dl.ndl.go.jp/info:ndljp/pid/3359273</v>
      </c>
    </row>
    <row r="67" spans="1:3" x14ac:dyDescent="0.15">
      <c r="A67" s="25" t="s">
        <v>2346</v>
      </c>
      <c r="B67" s="19" t="s">
        <v>2472</v>
      </c>
      <c r="C67" s="46" t="str">
        <f>HYPERLINK("http://dl.ndl.go.jp/info:ndljp/pid/3359274")</f>
        <v>http://dl.ndl.go.jp/info:ndljp/pid/3359274</v>
      </c>
    </row>
    <row r="68" spans="1:3" x14ac:dyDescent="0.15">
      <c r="A68" s="18" t="s">
        <v>2502</v>
      </c>
      <c r="B68" s="19" t="s">
        <v>2503</v>
      </c>
      <c r="C68" s="46" t="str">
        <f>HYPERLINK("http://dl.ndl.go.jp/info:ndljp/pid/3359275")</f>
        <v>http://dl.ndl.go.jp/info:ndljp/pid/3359275</v>
      </c>
    </row>
    <row r="69" spans="1:3" x14ac:dyDescent="0.15">
      <c r="A69" s="25" t="s">
        <v>2502</v>
      </c>
      <c r="B69" s="19" t="s">
        <v>2529</v>
      </c>
      <c r="C69" s="46" t="str">
        <f>HYPERLINK("http://dl.ndl.go.jp/info:ndljp/pid/3359276")</f>
        <v>http://dl.ndl.go.jp/info:ndljp/pid/3359276</v>
      </c>
    </row>
    <row r="70" spans="1:3" x14ac:dyDescent="0.15">
      <c r="A70" s="25" t="s">
        <v>2502</v>
      </c>
      <c r="B70" s="19" t="s">
        <v>2657</v>
      </c>
      <c r="C70" s="46" t="str">
        <f>HYPERLINK("http://dl.ndl.go.jp/info:ndljp/pid/3359277")</f>
        <v>http://dl.ndl.go.jp/info:ndljp/pid/3359277</v>
      </c>
    </row>
    <row r="71" spans="1:3" x14ac:dyDescent="0.15">
      <c r="A71" s="25" t="s">
        <v>2502</v>
      </c>
      <c r="B71" s="19" t="s">
        <v>2694</v>
      </c>
      <c r="C71" s="46" t="str">
        <f>HYPERLINK("http://dl.ndl.go.jp/info:ndljp/pid/3359278")</f>
        <v>http://dl.ndl.go.jp/info:ndljp/pid/3359278</v>
      </c>
    </row>
    <row r="72" spans="1:3" x14ac:dyDescent="0.15">
      <c r="A72" s="18" t="s">
        <v>2725</v>
      </c>
      <c r="B72" s="19" t="s">
        <v>2726</v>
      </c>
      <c r="C72" s="46" t="str">
        <f>HYPERLINK("http://dl.ndl.go.jp/info:ndljp/pid/3359279")</f>
        <v>http://dl.ndl.go.jp/info:ndljp/pid/3359279</v>
      </c>
    </row>
    <row r="73" spans="1:3" x14ac:dyDescent="0.15">
      <c r="A73" s="25" t="s">
        <v>2725</v>
      </c>
      <c r="B73" s="19" t="s">
        <v>2743</v>
      </c>
      <c r="C73" s="46" t="str">
        <f>HYPERLINK("http://dl.ndl.go.jp/info:ndljp/pid/3359280")</f>
        <v>http://dl.ndl.go.jp/info:ndljp/pid/3359280</v>
      </c>
    </row>
    <row r="74" spans="1:3" x14ac:dyDescent="0.15">
      <c r="A74" s="25" t="s">
        <v>2725</v>
      </c>
      <c r="B74" s="19" t="s">
        <v>2813</v>
      </c>
      <c r="C74" s="46" t="str">
        <f>HYPERLINK("http://dl.ndl.go.jp/info:ndljp/pid/3359281")</f>
        <v>http://dl.ndl.go.jp/info:ndljp/pid/3359281</v>
      </c>
    </row>
    <row r="75" spans="1:3" x14ac:dyDescent="0.15">
      <c r="A75" s="25" t="s">
        <v>2725</v>
      </c>
      <c r="B75" s="19" t="s">
        <v>2843</v>
      </c>
      <c r="C75" s="46" t="str">
        <f>HYPERLINK("http://dl.ndl.go.jp/info:ndljp/pid/3359282")</f>
        <v>http://dl.ndl.go.jp/info:ndljp/pid/3359282</v>
      </c>
    </row>
    <row r="76" spans="1:3" x14ac:dyDescent="0.15">
      <c r="A76" s="18" t="s">
        <v>2878</v>
      </c>
      <c r="B76" s="19" t="s">
        <v>2879</v>
      </c>
      <c r="C76" s="46" t="str">
        <f>HYPERLINK("http://dl.ndl.go.jp/info:ndljp/pid/3359283")</f>
        <v>http://dl.ndl.go.jp/info:ndljp/pid/3359283</v>
      </c>
    </row>
    <row r="77" spans="1:3" x14ac:dyDescent="0.15">
      <c r="A77" s="25" t="s">
        <v>2878</v>
      </c>
      <c r="B77" s="19" t="s">
        <v>2901</v>
      </c>
      <c r="C77" s="46" t="str">
        <f>HYPERLINK("http://dl.ndl.go.jp/info:ndljp/pid/3359284")</f>
        <v>http://dl.ndl.go.jp/info:ndljp/pid/3359284</v>
      </c>
    </row>
    <row r="78" spans="1:3" x14ac:dyDescent="0.15">
      <c r="A78" s="25" t="s">
        <v>2878</v>
      </c>
      <c r="B78" s="19" t="s">
        <v>2966</v>
      </c>
      <c r="C78" s="46" t="str">
        <f>HYPERLINK("http://dl.ndl.go.jp/info:ndljp/pid/3359285")</f>
        <v>http://dl.ndl.go.jp/info:ndljp/pid/3359285</v>
      </c>
    </row>
    <row r="79" spans="1:3" x14ac:dyDescent="0.15">
      <c r="A79" s="25" t="s">
        <v>2878</v>
      </c>
      <c r="B79" s="19" t="s">
        <v>2997</v>
      </c>
      <c r="C79" s="46" t="str">
        <f>HYPERLINK("http://dl.ndl.go.jp/info:ndljp/pid/3359286")</f>
        <v>http://dl.ndl.go.jp/info:ndljp/pid/3359286</v>
      </c>
    </row>
    <row r="80" spans="1:3" x14ac:dyDescent="0.15">
      <c r="A80" s="18" t="s">
        <v>3025</v>
      </c>
      <c r="B80" s="19" t="s">
        <v>3026</v>
      </c>
      <c r="C80" s="46" t="str">
        <f>HYPERLINK("http://dl.ndl.go.jp/info:ndljp/pid/3359287")</f>
        <v>http://dl.ndl.go.jp/info:ndljp/pid/3359287</v>
      </c>
    </row>
    <row r="81" spans="1:3" x14ac:dyDescent="0.15">
      <c r="A81" s="25" t="s">
        <v>3025</v>
      </c>
      <c r="B81" s="19" t="s">
        <v>3049</v>
      </c>
      <c r="C81" s="46" t="str">
        <f>HYPERLINK("http://dl.ndl.go.jp/info:ndljp/pid/3359288")</f>
        <v>http://dl.ndl.go.jp/info:ndljp/pid/3359288</v>
      </c>
    </row>
    <row r="82" spans="1:3" x14ac:dyDescent="0.15">
      <c r="A82" s="25" t="s">
        <v>3025</v>
      </c>
      <c r="B82" s="19" t="s">
        <v>3069</v>
      </c>
      <c r="C82" s="46" t="str">
        <f>HYPERLINK("http://dl.ndl.go.jp/info:ndljp/pid/3359289")</f>
        <v>http://dl.ndl.go.jp/info:ndljp/pid/3359289</v>
      </c>
    </row>
    <row r="83" spans="1:3" x14ac:dyDescent="0.15">
      <c r="A83" s="25" t="s">
        <v>3025</v>
      </c>
      <c r="B83" s="19" t="s">
        <v>3202</v>
      </c>
      <c r="C83" s="46" t="str">
        <f>HYPERLINK("http://dl.ndl.go.jp/info:ndljp/pid/3359290")</f>
        <v>http://dl.ndl.go.jp/info:ndljp/pid/3359290</v>
      </c>
    </row>
    <row r="84" spans="1:3" x14ac:dyDescent="0.15">
      <c r="A84" s="18" t="s">
        <v>3229</v>
      </c>
      <c r="B84" s="19" t="s">
        <v>3230</v>
      </c>
      <c r="C84" s="46" t="str">
        <f>HYPERLINK("http://dl.ndl.go.jp/info:ndljp/pid/3359291")</f>
        <v>http://dl.ndl.go.jp/info:ndljp/pid/3359291</v>
      </c>
    </row>
    <row r="85" spans="1:3" x14ac:dyDescent="0.15">
      <c r="A85" s="25" t="s">
        <v>3229</v>
      </c>
      <c r="B85" s="19" t="s">
        <v>3251</v>
      </c>
      <c r="C85" s="46" t="str">
        <f>HYPERLINK("http://dl.ndl.go.jp/info:ndljp/pid/3359292")</f>
        <v>http://dl.ndl.go.jp/info:ndljp/pid/3359292</v>
      </c>
    </row>
    <row r="86" spans="1:3" x14ac:dyDescent="0.15">
      <c r="A86" s="25" t="s">
        <v>3229</v>
      </c>
      <c r="B86" s="19" t="s">
        <v>3268</v>
      </c>
      <c r="C86" s="46" t="str">
        <f>HYPERLINK("http://dl.ndl.go.jp/info:ndljp/pid/3359293")</f>
        <v>http://dl.ndl.go.jp/info:ndljp/pid/3359293</v>
      </c>
    </row>
    <row r="87" spans="1:3" x14ac:dyDescent="0.15">
      <c r="A87" s="25" t="s">
        <v>3229</v>
      </c>
      <c r="B87" s="19" t="s">
        <v>3354</v>
      </c>
      <c r="C87" s="46" t="str">
        <f>HYPERLINK("http://dl.ndl.go.jp/info:ndljp/pid/3359294")</f>
        <v>http://dl.ndl.go.jp/info:ndljp/pid/3359294</v>
      </c>
    </row>
    <row r="88" spans="1:3" x14ac:dyDescent="0.15">
      <c r="A88" s="18" t="s">
        <v>3382</v>
      </c>
      <c r="B88" s="19" t="s">
        <v>3383</v>
      </c>
      <c r="C88" s="46" t="str">
        <f>HYPERLINK("http://dl.ndl.go.jp/info:ndljp/pid/3359295")</f>
        <v>http://dl.ndl.go.jp/info:ndljp/pid/3359295</v>
      </c>
    </row>
    <row r="89" spans="1:3" x14ac:dyDescent="0.15">
      <c r="A89" s="25" t="s">
        <v>3382</v>
      </c>
      <c r="B89" s="19" t="s">
        <v>3401</v>
      </c>
      <c r="C89" s="46" t="str">
        <f>HYPERLINK("http://dl.ndl.go.jp/info:ndljp/pid/3359296")</f>
        <v>http://dl.ndl.go.jp/info:ndljp/pid/3359296</v>
      </c>
    </row>
    <row r="90" spans="1:3" x14ac:dyDescent="0.15">
      <c r="A90" s="25" t="s">
        <v>3382</v>
      </c>
      <c r="B90" s="19" t="s">
        <v>3511</v>
      </c>
      <c r="C90" s="46" t="str">
        <f>HYPERLINK("http://dl.ndl.go.jp/info:ndljp/pid/3359297")</f>
        <v>http://dl.ndl.go.jp/info:ndljp/pid/3359297</v>
      </c>
    </row>
    <row r="91" spans="1:3" x14ac:dyDescent="0.15">
      <c r="A91" s="25" t="s">
        <v>3382</v>
      </c>
      <c r="B91" s="19" t="s">
        <v>3537</v>
      </c>
      <c r="C91" s="46" t="str">
        <f>HYPERLINK("http://dl.ndl.go.jp/info:ndljp/pid/3359298")</f>
        <v>http://dl.ndl.go.jp/info:ndljp/pid/3359298</v>
      </c>
    </row>
    <row r="92" spans="1:3" x14ac:dyDescent="0.15">
      <c r="A92" s="18" t="s">
        <v>3572</v>
      </c>
      <c r="B92" s="19" t="s">
        <v>3573</v>
      </c>
      <c r="C92" s="46" t="str">
        <f>HYPERLINK("http://dl.ndl.go.jp/info:ndljp/pid/3359299")</f>
        <v>http://dl.ndl.go.jp/info:ndljp/pid/3359299</v>
      </c>
    </row>
    <row r="93" spans="1:3" x14ac:dyDescent="0.15">
      <c r="A93" s="25" t="s">
        <v>3572</v>
      </c>
      <c r="B93" s="19" t="s">
        <v>3595</v>
      </c>
      <c r="C93" s="46" t="str">
        <f>HYPERLINK("http://dl.ndl.go.jp/info:ndljp/pid/3359300")</f>
        <v>http://dl.ndl.go.jp/info:ndljp/pid/3359300</v>
      </c>
    </row>
    <row r="94" spans="1:3" x14ac:dyDescent="0.15">
      <c r="A94" s="25" t="s">
        <v>3572</v>
      </c>
      <c r="B94" s="19" t="s">
        <v>3700</v>
      </c>
      <c r="C94" s="46" t="str">
        <f>HYPERLINK("http://dl.ndl.go.jp/info:ndljp/pid/3359301")</f>
        <v>http://dl.ndl.go.jp/info:ndljp/pid/3359301</v>
      </c>
    </row>
    <row r="95" spans="1:3" x14ac:dyDescent="0.15">
      <c r="A95" s="25" t="s">
        <v>3572</v>
      </c>
      <c r="B95" s="19" t="s">
        <v>3727</v>
      </c>
      <c r="C95" s="46" t="str">
        <f>HYPERLINK("http://dl.ndl.go.jp/info:ndljp/pid/3359302")</f>
        <v>http://dl.ndl.go.jp/info:ndljp/pid/3359302</v>
      </c>
    </row>
    <row r="96" spans="1:3" x14ac:dyDescent="0.15">
      <c r="A96" s="18" t="s">
        <v>3757</v>
      </c>
      <c r="B96" s="19" t="s">
        <v>3758</v>
      </c>
      <c r="C96" s="46" t="str">
        <f>HYPERLINK("http://dl.ndl.go.jp/info:ndljp/pid/3359303")</f>
        <v>http://dl.ndl.go.jp/info:ndljp/pid/3359303</v>
      </c>
    </row>
    <row r="97" spans="1:3" x14ac:dyDescent="0.15">
      <c r="A97" s="25" t="s">
        <v>3757</v>
      </c>
      <c r="B97" s="19" t="s">
        <v>3785</v>
      </c>
      <c r="C97" s="46" t="str">
        <f>HYPERLINK("http://dl.ndl.go.jp/info:ndljp/pid/3359304")</f>
        <v>http://dl.ndl.go.jp/info:ndljp/pid/3359304</v>
      </c>
    </row>
    <row r="98" spans="1:3" x14ac:dyDescent="0.15">
      <c r="A98" s="25" t="s">
        <v>3757</v>
      </c>
      <c r="B98" s="19" t="s">
        <v>3868</v>
      </c>
      <c r="C98" s="46" t="str">
        <f>HYPERLINK("http://dl.ndl.go.jp/info:ndljp/pid/3359305")</f>
        <v>http://dl.ndl.go.jp/info:ndljp/pid/3359305</v>
      </c>
    </row>
    <row r="99" spans="1:3" x14ac:dyDescent="0.15">
      <c r="A99" s="25" t="s">
        <v>3757</v>
      </c>
      <c r="B99" s="19" t="s">
        <v>3901</v>
      </c>
      <c r="C99" s="46" t="str">
        <f>HYPERLINK("http://dl.ndl.go.jp/info:ndljp/pid/3359306")</f>
        <v>http://dl.ndl.go.jp/info:ndljp/pid/3359306</v>
      </c>
    </row>
    <row r="100" spans="1:3" x14ac:dyDescent="0.15">
      <c r="A100" s="18" t="s">
        <v>3941</v>
      </c>
      <c r="B100" s="19" t="s">
        <v>3942</v>
      </c>
      <c r="C100" s="46" t="str">
        <f>HYPERLINK("http://dl.ndl.go.jp/info:ndljp/pid/3359307")</f>
        <v>http://dl.ndl.go.jp/info:ndljp/pid/3359307</v>
      </c>
    </row>
    <row r="101" spans="1:3" x14ac:dyDescent="0.15">
      <c r="A101" s="25" t="s">
        <v>3941</v>
      </c>
      <c r="B101" s="19" t="s">
        <v>3971</v>
      </c>
      <c r="C101" s="46" t="str">
        <f>HYPERLINK("http://dl.ndl.go.jp/info:ndljp/pid/3359308")</f>
        <v>http://dl.ndl.go.jp/info:ndljp/pid/3359308</v>
      </c>
    </row>
    <row r="102" spans="1:3" x14ac:dyDescent="0.15">
      <c r="A102" s="25" t="s">
        <v>3941</v>
      </c>
      <c r="B102" s="19" t="s">
        <v>4064</v>
      </c>
      <c r="C102" s="46" t="str">
        <f>HYPERLINK("http://dl.ndl.go.jp/info:ndljp/pid/3359309")</f>
        <v>http://dl.ndl.go.jp/info:ndljp/pid/3359309</v>
      </c>
    </row>
    <row r="103" spans="1:3" x14ac:dyDescent="0.15">
      <c r="A103" s="25" t="s">
        <v>3941</v>
      </c>
      <c r="B103" s="19" t="s">
        <v>4111</v>
      </c>
      <c r="C103" s="46" t="str">
        <f>HYPERLINK("http://dl.ndl.go.jp/info:ndljp/pid/3359310")</f>
        <v>http://dl.ndl.go.jp/info:ndljp/pid/3359310</v>
      </c>
    </row>
    <row r="104" spans="1:3" x14ac:dyDescent="0.15">
      <c r="A104" s="18" t="s">
        <v>4133</v>
      </c>
      <c r="B104" s="19" t="s">
        <v>4134</v>
      </c>
      <c r="C104" s="46" t="str">
        <f>HYPERLINK("http://dl.ndl.go.jp/info:ndljp/pid/3359311")</f>
        <v>http://dl.ndl.go.jp/info:ndljp/pid/3359311</v>
      </c>
    </row>
    <row r="105" spans="1:3" x14ac:dyDescent="0.15">
      <c r="A105" s="25" t="s">
        <v>4133</v>
      </c>
      <c r="B105" s="19" t="s">
        <v>4156</v>
      </c>
      <c r="C105" s="46" t="str">
        <f>HYPERLINK("http://dl.ndl.go.jp/info:ndljp/pid/3359312")</f>
        <v>http://dl.ndl.go.jp/info:ndljp/pid/3359312</v>
      </c>
    </row>
    <row r="106" spans="1:3" x14ac:dyDescent="0.15">
      <c r="A106" s="25" t="s">
        <v>4133</v>
      </c>
      <c r="B106" s="19" t="s">
        <v>4223</v>
      </c>
      <c r="C106" s="46" t="str">
        <f>HYPERLINK("http://dl.ndl.go.jp/info:ndljp/pid/3359313")</f>
        <v>http://dl.ndl.go.jp/info:ndljp/pid/3359313</v>
      </c>
    </row>
    <row r="107" spans="1:3" x14ac:dyDescent="0.15">
      <c r="A107" s="25" t="s">
        <v>4133</v>
      </c>
      <c r="B107" s="19" t="s">
        <v>4258</v>
      </c>
      <c r="C107" s="46" t="str">
        <f>HYPERLINK("http://dl.ndl.go.jp/info:ndljp/pid/3359314")</f>
        <v>http://dl.ndl.go.jp/info:ndljp/pid/3359314</v>
      </c>
    </row>
    <row r="108" spans="1:3" x14ac:dyDescent="0.15">
      <c r="A108" s="18" t="s">
        <v>4272</v>
      </c>
      <c r="B108" s="41" t="s">
        <v>4273</v>
      </c>
      <c r="C108" s="47" t="s">
        <v>10654</v>
      </c>
    </row>
    <row r="109" spans="1:3" x14ac:dyDescent="0.15">
      <c r="A109" s="25" t="s">
        <v>4272</v>
      </c>
      <c r="B109" s="19" t="s">
        <v>4352</v>
      </c>
      <c r="C109" s="46" t="str">
        <f>HYPERLINK("http://dl.ndl.go.jp/info:ndljp/pid/3359315")</f>
        <v>http://dl.ndl.go.jp/info:ndljp/pid/3359315</v>
      </c>
    </row>
    <row r="110" spans="1:3" x14ac:dyDescent="0.15">
      <c r="A110" s="25" t="s">
        <v>4272</v>
      </c>
      <c r="B110" s="19" t="s">
        <v>4409</v>
      </c>
      <c r="C110" s="46" t="str">
        <f>HYPERLINK("http://dl.ndl.go.jp/info:ndljp/pid/3359316")</f>
        <v>http://dl.ndl.go.jp/info:ndljp/pid/3359316</v>
      </c>
    </row>
    <row r="111" spans="1:3" x14ac:dyDescent="0.15">
      <c r="A111" s="25" t="s">
        <v>4272</v>
      </c>
      <c r="B111" s="19" t="s">
        <v>4469</v>
      </c>
      <c r="C111" s="46" t="str">
        <f>HYPERLINK("http://dl.ndl.go.jp/info:ndljp/pid/3359317")</f>
        <v>http://dl.ndl.go.jp/info:ndljp/pid/3359317</v>
      </c>
    </row>
    <row r="112" spans="1:3" x14ac:dyDescent="0.15">
      <c r="A112" s="18" t="s">
        <v>4514</v>
      </c>
      <c r="B112" s="19" t="s">
        <v>4515</v>
      </c>
      <c r="C112" s="46" t="str">
        <f>HYPERLINK("http://dl.ndl.go.jp/info:ndljp/pid/3359318")</f>
        <v>http://dl.ndl.go.jp/info:ndljp/pid/3359318</v>
      </c>
    </row>
    <row r="113" spans="1:3" x14ac:dyDescent="0.15">
      <c r="A113" s="25" t="s">
        <v>4514</v>
      </c>
      <c r="B113" s="19" t="s">
        <v>4607</v>
      </c>
      <c r="C113" s="46" t="str">
        <f>HYPERLINK("http://dl.ndl.go.jp/info:ndljp/pid/3359319")</f>
        <v>http://dl.ndl.go.jp/info:ndljp/pid/3359319</v>
      </c>
    </row>
    <row r="114" spans="1:3" x14ac:dyDescent="0.15">
      <c r="A114" s="25" t="s">
        <v>4514</v>
      </c>
      <c r="B114" s="19" t="s">
        <v>4649</v>
      </c>
      <c r="C114" s="46" t="str">
        <f>HYPERLINK("http://dl.ndl.go.jp/info:ndljp/pid/3359320")</f>
        <v>http://dl.ndl.go.jp/info:ndljp/pid/3359320</v>
      </c>
    </row>
    <row r="115" spans="1:3" x14ac:dyDescent="0.15">
      <c r="A115" s="25" t="s">
        <v>4514</v>
      </c>
      <c r="B115" s="19" t="s">
        <v>4709</v>
      </c>
      <c r="C115" s="46" t="str">
        <f>HYPERLINK("http://dl.ndl.go.jp/info:ndljp/pid/3359321")</f>
        <v>http://dl.ndl.go.jp/info:ndljp/pid/3359321</v>
      </c>
    </row>
    <row r="116" spans="1:3" x14ac:dyDescent="0.15">
      <c r="A116" s="18" t="s">
        <v>4756</v>
      </c>
      <c r="B116" s="19" t="s">
        <v>4757</v>
      </c>
      <c r="C116" s="46" t="str">
        <f>HYPERLINK("http://dl.ndl.go.jp/info:ndljp/pid/3359322")</f>
        <v>http://dl.ndl.go.jp/info:ndljp/pid/3359322</v>
      </c>
    </row>
    <row r="117" spans="1:3" x14ac:dyDescent="0.15">
      <c r="A117" s="25" t="s">
        <v>4756</v>
      </c>
      <c r="B117" s="19" t="s">
        <v>4789</v>
      </c>
      <c r="C117" s="46" t="str">
        <f>HYPERLINK("http://dl.ndl.go.jp/info:ndljp/pid/3359323")</f>
        <v>http://dl.ndl.go.jp/info:ndljp/pid/3359323</v>
      </c>
    </row>
    <row r="118" spans="1:3" x14ac:dyDescent="0.15">
      <c r="A118" s="25" t="s">
        <v>4756</v>
      </c>
      <c r="B118" s="19" t="s">
        <v>4855</v>
      </c>
      <c r="C118" s="46" t="str">
        <f>HYPERLINK("http://dl.ndl.go.jp/info:ndljp/pid/3359324")</f>
        <v>http://dl.ndl.go.jp/info:ndljp/pid/3359324</v>
      </c>
    </row>
    <row r="119" spans="1:3" x14ac:dyDescent="0.15">
      <c r="A119" s="25" t="s">
        <v>4756</v>
      </c>
      <c r="B119" s="19" t="s">
        <v>4914</v>
      </c>
      <c r="C119" s="46" t="str">
        <f>HYPERLINK("http://dl.ndl.go.jp/info:ndljp/pid/3359325")</f>
        <v>http://dl.ndl.go.jp/info:ndljp/pid/3359325</v>
      </c>
    </row>
    <row r="120" spans="1:3" x14ac:dyDescent="0.15">
      <c r="A120" s="18" t="s">
        <v>4954</v>
      </c>
      <c r="B120" s="19" t="s">
        <v>4955</v>
      </c>
      <c r="C120" s="46" t="str">
        <f>HYPERLINK("http://dl.ndl.go.jp/info:ndljp/pid/3359326")</f>
        <v>http://dl.ndl.go.jp/info:ndljp/pid/3359326</v>
      </c>
    </row>
    <row r="121" spans="1:3" x14ac:dyDescent="0.15">
      <c r="A121" s="25" t="s">
        <v>4954</v>
      </c>
      <c r="B121" s="19" t="s">
        <v>5027</v>
      </c>
      <c r="C121" s="46" t="str">
        <f>HYPERLINK("http://dl.ndl.go.jp/info:ndljp/pid/3359327")</f>
        <v>http://dl.ndl.go.jp/info:ndljp/pid/3359327</v>
      </c>
    </row>
    <row r="122" spans="1:3" x14ac:dyDescent="0.15">
      <c r="A122" s="25" t="s">
        <v>4954</v>
      </c>
      <c r="B122" s="19" t="s">
        <v>5081</v>
      </c>
      <c r="C122" s="46" t="str">
        <f>HYPERLINK("http://dl.ndl.go.jp/info:ndljp/pid/3359328")</f>
        <v>http://dl.ndl.go.jp/info:ndljp/pid/3359328</v>
      </c>
    </row>
    <row r="123" spans="1:3" x14ac:dyDescent="0.15">
      <c r="A123" s="25" t="s">
        <v>4954</v>
      </c>
      <c r="B123" s="19" t="s">
        <v>5140</v>
      </c>
      <c r="C123" s="46" t="str">
        <f>HYPERLINK("http://dl.ndl.go.jp/info:ndljp/pid/3359329")</f>
        <v>http://dl.ndl.go.jp/info:ndljp/pid/3359329</v>
      </c>
    </row>
    <row r="124" spans="1:3" x14ac:dyDescent="0.15">
      <c r="A124" s="18" t="s">
        <v>5188</v>
      </c>
      <c r="B124" s="19" t="s">
        <v>5189</v>
      </c>
      <c r="C124" s="46" t="str">
        <f>HYPERLINK("http://dl.ndl.go.jp/info:ndljp/pid/3359330")</f>
        <v>http://dl.ndl.go.jp/info:ndljp/pid/3359330</v>
      </c>
    </row>
    <row r="125" spans="1:3" x14ac:dyDescent="0.15">
      <c r="A125" s="25" t="s">
        <v>5188</v>
      </c>
      <c r="B125" s="19" t="s">
        <v>5235</v>
      </c>
      <c r="C125" s="46" t="str">
        <f>HYPERLINK("http://dl.ndl.go.jp/info:ndljp/pid/3359331")</f>
        <v>http://dl.ndl.go.jp/info:ndljp/pid/3359331</v>
      </c>
    </row>
    <row r="126" spans="1:3" x14ac:dyDescent="0.15">
      <c r="A126" s="25" t="s">
        <v>5188</v>
      </c>
      <c r="B126" s="19" t="s">
        <v>5318</v>
      </c>
      <c r="C126" s="46" t="str">
        <f>HYPERLINK("http://dl.ndl.go.jp/info:ndljp/pid/3359332")</f>
        <v>http://dl.ndl.go.jp/info:ndljp/pid/3359332</v>
      </c>
    </row>
    <row r="127" spans="1:3" x14ac:dyDescent="0.15">
      <c r="A127" s="25" t="s">
        <v>5188</v>
      </c>
      <c r="B127" s="19" t="s">
        <v>5358</v>
      </c>
      <c r="C127" s="46" t="str">
        <f>HYPERLINK("http://dl.ndl.go.jp/info:ndljp/pid/3359333")</f>
        <v>http://dl.ndl.go.jp/info:ndljp/pid/3359333</v>
      </c>
    </row>
    <row r="128" spans="1:3" x14ac:dyDescent="0.15">
      <c r="A128" s="18" t="s">
        <v>5402</v>
      </c>
      <c r="B128" s="19" t="s">
        <v>5403</v>
      </c>
      <c r="C128" s="46" t="str">
        <f>HYPERLINK("http://dl.ndl.go.jp/info:ndljp/pid/3359334")</f>
        <v>http://dl.ndl.go.jp/info:ndljp/pid/3359334</v>
      </c>
    </row>
    <row r="129" spans="1:3" x14ac:dyDescent="0.15">
      <c r="A129" s="25" t="s">
        <v>5402</v>
      </c>
      <c r="B129" s="19" t="s">
        <v>5431</v>
      </c>
      <c r="C129" s="46" t="str">
        <f>HYPERLINK("http://dl.ndl.go.jp/info:ndljp/pid/3359335")</f>
        <v>http://dl.ndl.go.jp/info:ndljp/pid/3359335</v>
      </c>
    </row>
    <row r="130" spans="1:3" x14ac:dyDescent="0.15">
      <c r="A130" s="25" t="s">
        <v>5402</v>
      </c>
      <c r="B130" s="19" t="s">
        <v>5536</v>
      </c>
      <c r="C130" s="46" t="str">
        <f>HYPERLINK("http://dl.ndl.go.jp/info:ndljp/pid/3359336")</f>
        <v>http://dl.ndl.go.jp/info:ndljp/pid/3359336</v>
      </c>
    </row>
    <row r="131" spans="1:3" x14ac:dyDescent="0.15">
      <c r="A131" s="25" t="s">
        <v>5402</v>
      </c>
      <c r="B131" s="19" t="s">
        <v>5562</v>
      </c>
      <c r="C131" s="46" t="str">
        <f>HYPERLINK("http://dl.ndl.go.jp/info:ndljp/pid/3359337")</f>
        <v>http://dl.ndl.go.jp/info:ndljp/pid/3359337</v>
      </c>
    </row>
    <row r="132" spans="1:3" x14ac:dyDescent="0.15">
      <c r="A132" s="18" t="s">
        <v>5599</v>
      </c>
      <c r="B132" s="19" t="s">
        <v>5600</v>
      </c>
      <c r="C132" s="46" t="str">
        <f>HYPERLINK("http://dl.ndl.go.jp/info:ndljp/pid/3359338")</f>
        <v>http://dl.ndl.go.jp/info:ndljp/pid/3359338</v>
      </c>
    </row>
    <row r="133" spans="1:3" x14ac:dyDescent="0.15">
      <c r="A133" s="25" t="s">
        <v>5599</v>
      </c>
      <c r="B133" s="19" t="s">
        <v>5677</v>
      </c>
      <c r="C133" s="46" t="str">
        <f>HYPERLINK("http://dl.ndl.go.jp/info:ndljp/pid/3359339")</f>
        <v>http://dl.ndl.go.jp/info:ndljp/pid/3359339</v>
      </c>
    </row>
    <row r="134" spans="1:3" x14ac:dyDescent="0.15">
      <c r="A134" s="25" t="s">
        <v>5599</v>
      </c>
      <c r="B134" s="19" t="s">
        <v>5712</v>
      </c>
      <c r="C134" s="46" t="str">
        <f>HYPERLINK("http://dl.ndl.go.jp/info:ndljp/pid/3359340")</f>
        <v>http://dl.ndl.go.jp/info:ndljp/pid/3359340</v>
      </c>
    </row>
    <row r="135" spans="1:3" x14ac:dyDescent="0.15">
      <c r="A135" s="25" t="s">
        <v>5599</v>
      </c>
      <c r="B135" s="19" t="s">
        <v>5755</v>
      </c>
      <c r="C135" s="46" t="str">
        <f>HYPERLINK("http://dl.ndl.go.jp/info:ndljp/pid/3359341")</f>
        <v>http://dl.ndl.go.jp/info:ndljp/pid/3359341</v>
      </c>
    </row>
    <row r="136" spans="1:3" x14ac:dyDescent="0.15">
      <c r="A136" s="18" t="s">
        <v>5803</v>
      </c>
      <c r="B136" s="19" t="s">
        <v>5804</v>
      </c>
      <c r="C136" s="46" t="str">
        <f>HYPERLINK("http://dl.ndl.go.jp/info:ndljp/pid/3359342")</f>
        <v>http://dl.ndl.go.jp/info:ndljp/pid/3359342</v>
      </c>
    </row>
    <row r="137" spans="1:3" x14ac:dyDescent="0.15">
      <c r="A137" s="25" t="s">
        <v>5803</v>
      </c>
      <c r="B137" s="19" t="s">
        <v>5860</v>
      </c>
      <c r="C137" s="46" t="str">
        <f>HYPERLINK("http://dl.ndl.go.jp/info:ndljp/pid/3359343")</f>
        <v>http://dl.ndl.go.jp/info:ndljp/pid/3359343</v>
      </c>
    </row>
    <row r="138" spans="1:3" x14ac:dyDescent="0.15">
      <c r="A138" s="25" t="s">
        <v>5803</v>
      </c>
      <c r="B138" s="19" t="s">
        <v>5890</v>
      </c>
      <c r="C138" s="46" t="str">
        <f>HYPERLINK("http://dl.ndl.go.jp/info:ndljp/pid/3359344")</f>
        <v>http://dl.ndl.go.jp/info:ndljp/pid/3359344</v>
      </c>
    </row>
    <row r="139" spans="1:3" x14ac:dyDescent="0.15">
      <c r="A139" s="25" t="s">
        <v>5803</v>
      </c>
      <c r="B139" s="19" t="s">
        <v>5917</v>
      </c>
      <c r="C139" s="46" t="str">
        <f>HYPERLINK("http://dl.ndl.go.jp/info:ndljp/pid/3359345")</f>
        <v>http://dl.ndl.go.jp/info:ndljp/pid/3359345</v>
      </c>
    </row>
    <row r="140" spans="1:3" x14ac:dyDescent="0.15">
      <c r="A140" s="18" t="s">
        <v>5951</v>
      </c>
      <c r="B140" s="19" t="s">
        <v>5952</v>
      </c>
      <c r="C140" s="46" t="str">
        <f>HYPERLINK("http://dl.ndl.go.jp/info:ndljp/pid/3359346")</f>
        <v>http://dl.ndl.go.jp/info:ndljp/pid/3359346</v>
      </c>
    </row>
    <row r="141" spans="1:3" x14ac:dyDescent="0.15">
      <c r="A141" s="25" t="s">
        <v>5951</v>
      </c>
      <c r="B141" s="19" t="s">
        <v>5978</v>
      </c>
      <c r="C141" s="46" t="str">
        <f>HYPERLINK("http://dl.ndl.go.jp/info:ndljp/pid/3359347")</f>
        <v>http://dl.ndl.go.jp/info:ndljp/pid/3359347</v>
      </c>
    </row>
    <row r="142" spans="1:3" x14ac:dyDescent="0.15">
      <c r="A142" s="25" t="s">
        <v>5951</v>
      </c>
      <c r="B142" s="24" t="s">
        <v>6075</v>
      </c>
      <c r="C142" s="46" t="str">
        <f>HYPERLINK("http://dl.ndl.go.jp/info:ndljp/pid/3359348")</f>
        <v>http://dl.ndl.go.jp/info:ndljp/pid/3359348</v>
      </c>
    </row>
    <row r="143" spans="1:3" x14ac:dyDescent="0.15">
      <c r="A143" s="25" t="s">
        <v>5951</v>
      </c>
      <c r="B143" s="19" t="s">
        <v>6124</v>
      </c>
      <c r="C143" s="46" t="str">
        <f>HYPERLINK("http://dl.ndl.go.jp/info:ndljp/pid/3359349")</f>
        <v>http://dl.ndl.go.jp/info:ndljp/pid/3359349</v>
      </c>
    </row>
    <row r="144" spans="1:3" x14ac:dyDescent="0.15">
      <c r="A144" s="18" t="s">
        <v>6167</v>
      </c>
      <c r="B144" s="19" t="s">
        <v>6168</v>
      </c>
      <c r="C144" s="46" t="str">
        <f>HYPERLINK("http://dl.ndl.go.jp/info:ndljp/pid/3359350")</f>
        <v>http://dl.ndl.go.jp/info:ndljp/pid/3359350</v>
      </c>
    </row>
    <row r="145" spans="1:3" x14ac:dyDescent="0.15">
      <c r="A145" s="25" t="s">
        <v>6167</v>
      </c>
      <c r="B145" s="19" t="s">
        <v>6207</v>
      </c>
      <c r="C145" s="46" t="str">
        <f>HYPERLINK("http://dl.ndl.go.jp/info:ndljp/pid/3359351")</f>
        <v>http://dl.ndl.go.jp/info:ndljp/pid/3359351</v>
      </c>
    </row>
    <row r="146" spans="1:3" x14ac:dyDescent="0.15">
      <c r="A146" s="25" t="s">
        <v>6167</v>
      </c>
      <c r="B146" s="19" t="s">
        <v>6288</v>
      </c>
      <c r="C146" s="46" t="str">
        <f>HYPERLINK("http://dl.ndl.go.jp/info:ndljp/pid/3359352")</f>
        <v>http://dl.ndl.go.jp/info:ndljp/pid/3359352</v>
      </c>
    </row>
    <row r="147" spans="1:3" x14ac:dyDescent="0.15">
      <c r="A147" s="25" t="s">
        <v>6167</v>
      </c>
      <c r="B147" s="19" t="s">
        <v>6335</v>
      </c>
      <c r="C147" s="46" t="str">
        <f>HYPERLINK("http://dl.ndl.go.jp/info:ndljp/pid/3359353")</f>
        <v>http://dl.ndl.go.jp/info:ndljp/pid/3359353</v>
      </c>
    </row>
    <row r="148" spans="1:3" x14ac:dyDescent="0.15">
      <c r="A148" s="18" t="s">
        <v>6390</v>
      </c>
      <c r="B148" s="19" t="s">
        <v>6391</v>
      </c>
      <c r="C148" s="46" t="str">
        <f>HYPERLINK("http://dl.ndl.go.jp/info:ndljp/pid/3359354")</f>
        <v>http://dl.ndl.go.jp/info:ndljp/pid/3359354</v>
      </c>
    </row>
    <row r="149" spans="1:3" x14ac:dyDescent="0.15">
      <c r="A149" s="25" t="s">
        <v>6390</v>
      </c>
      <c r="B149" s="19" t="s">
        <v>6420</v>
      </c>
      <c r="C149" s="46" t="str">
        <f>HYPERLINK("http://dl.ndl.go.jp/info:ndljp/pid/3359355")</f>
        <v>http://dl.ndl.go.jp/info:ndljp/pid/3359355</v>
      </c>
    </row>
    <row r="150" spans="1:3" x14ac:dyDescent="0.15">
      <c r="A150" s="25" t="s">
        <v>6390</v>
      </c>
      <c r="B150" s="19" t="s">
        <v>6449</v>
      </c>
      <c r="C150" s="46" t="str">
        <f>HYPERLINK("http://dl.ndl.go.jp/info:ndljp/pid/3359356")</f>
        <v>http://dl.ndl.go.jp/info:ndljp/pid/3359356</v>
      </c>
    </row>
    <row r="151" spans="1:3" x14ac:dyDescent="0.15">
      <c r="A151" s="25" t="s">
        <v>6390</v>
      </c>
      <c r="B151" s="19" t="s">
        <v>6562</v>
      </c>
      <c r="C151" s="46" t="str">
        <f>HYPERLINK("http://dl.ndl.go.jp/info:ndljp/pid/3359357")</f>
        <v>http://dl.ndl.go.jp/info:ndljp/pid/3359357</v>
      </c>
    </row>
    <row r="152" spans="1:3" x14ac:dyDescent="0.15">
      <c r="A152" s="18" t="s">
        <v>6617</v>
      </c>
      <c r="B152" s="19" t="s">
        <v>6618</v>
      </c>
      <c r="C152" s="46" t="str">
        <f>HYPERLINK("http://dl.ndl.go.jp/info:ndljp/pid/3359358")</f>
        <v>http://dl.ndl.go.jp/info:ndljp/pid/3359358</v>
      </c>
    </row>
    <row r="153" spans="1:3" x14ac:dyDescent="0.15">
      <c r="A153" s="25" t="s">
        <v>6617</v>
      </c>
      <c r="B153" s="19" t="s">
        <v>6661</v>
      </c>
      <c r="C153" s="46" t="str">
        <f>HYPERLINK("http://dl.ndl.go.jp/info:ndljp/pid/3359359")</f>
        <v>http://dl.ndl.go.jp/info:ndljp/pid/3359359</v>
      </c>
    </row>
    <row r="154" spans="1:3" x14ac:dyDescent="0.15">
      <c r="A154" s="25" t="s">
        <v>6617</v>
      </c>
      <c r="B154" s="19" t="s">
        <v>6736</v>
      </c>
      <c r="C154" s="46" t="str">
        <f>HYPERLINK("http://dl.ndl.go.jp/info:ndljp/pid/3359360")</f>
        <v>http://dl.ndl.go.jp/info:ndljp/pid/3359360</v>
      </c>
    </row>
    <row r="155" spans="1:3" x14ac:dyDescent="0.15">
      <c r="A155" s="25" t="s">
        <v>6617</v>
      </c>
      <c r="B155" s="19" t="s">
        <v>6769</v>
      </c>
      <c r="C155" s="46" t="str">
        <f>HYPERLINK("http://dl.ndl.go.jp/info:ndljp/pid/3359361")</f>
        <v>http://dl.ndl.go.jp/info:ndljp/pid/3359361</v>
      </c>
    </row>
    <row r="156" spans="1:3" x14ac:dyDescent="0.15">
      <c r="A156" s="18" t="s">
        <v>6804</v>
      </c>
      <c r="B156" s="19" t="s">
        <v>6805</v>
      </c>
      <c r="C156" s="46" t="str">
        <f>HYPERLINK("http://dl.ndl.go.jp/info:ndljp/pid/3359362")</f>
        <v>http://dl.ndl.go.jp/info:ndljp/pid/3359362</v>
      </c>
    </row>
    <row r="157" spans="1:3" x14ac:dyDescent="0.15">
      <c r="A157" s="25" t="s">
        <v>6804</v>
      </c>
      <c r="B157" s="19" t="s">
        <v>6829</v>
      </c>
      <c r="C157" s="46" t="str">
        <f>HYPERLINK("http://dl.ndl.go.jp/info:ndljp/pid/3359363")</f>
        <v>http://dl.ndl.go.jp/info:ndljp/pid/3359363</v>
      </c>
    </row>
    <row r="158" spans="1:3" x14ac:dyDescent="0.15">
      <c r="A158" s="25" t="s">
        <v>6804</v>
      </c>
      <c r="B158" s="19" t="s">
        <v>6927</v>
      </c>
      <c r="C158" s="46" t="str">
        <f>HYPERLINK("http://dl.ndl.go.jp/info:ndljp/pid/3359364")</f>
        <v>http://dl.ndl.go.jp/info:ndljp/pid/3359364</v>
      </c>
    </row>
    <row r="159" spans="1:3" x14ac:dyDescent="0.15">
      <c r="A159" s="25" t="s">
        <v>6804</v>
      </c>
      <c r="B159" s="19" t="s">
        <v>6973</v>
      </c>
      <c r="C159" s="46" t="str">
        <f>HYPERLINK("http://dl.ndl.go.jp/info:ndljp/pid/3359365")</f>
        <v>http://dl.ndl.go.jp/info:ndljp/pid/3359365</v>
      </c>
    </row>
    <row r="160" spans="1:3" x14ac:dyDescent="0.15">
      <c r="A160" s="19" t="s">
        <v>6804</v>
      </c>
      <c r="B160" s="28" t="s">
        <v>6994</v>
      </c>
      <c r="C160" s="46" t="str">
        <f>HYPERLINK("http://dl.ndl.go.jp/info:ndljp/pid/3359366")</f>
        <v>http://dl.ndl.go.jp/info:ndljp/pid/3359366</v>
      </c>
    </row>
    <row r="161" spans="1:3" x14ac:dyDescent="0.15">
      <c r="A161" s="18" t="s">
        <v>7045</v>
      </c>
      <c r="B161" s="19" t="s">
        <v>7046</v>
      </c>
      <c r="C161" s="46" t="str">
        <f>HYPERLINK("http://dl.ndl.go.jp/info:ndljp/pid/3359367")</f>
        <v>http://dl.ndl.go.jp/info:ndljp/pid/3359367</v>
      </c>
    </row>
    <row r="162" spans="1:3" x14ac:dyDescent="0.15">
      <c r="A162" s="25" t="s">
        <v>7045</v>
      </c>
      <c r="B162" s="19" t="s">
        <v>7069</v>
      </c>
      <c r="C162" s="46" t="str">
        <f>HYPERLINK("http://dl.ndl.go.jp/info:ndljp/pid/3359368")</f>
        <v>http://dl.ndl.go.jp/info:ndljp/pid/3359368</v>
      </c>
    </row>
    <row r="163" spans="1:3" x14ac:dyDescent="0.15">
      <c r="A163" s="25" t="s">
        <v>7045</v>
      </c>
      <c r="B163" s="19" t="s">
        <v>7100</v>
      </c>
      <c r="C163" s="46" t="str">
        <f>HYPERLINK("http://dl.ndl.go.jp/info:ndljp/pid/3359369")</f>
        <v>http://dl.ndl.go.jp/info:ndljp/pid/3359369</v>
      </c>
    </row>
    <row r="164" spans="1:3" x14ac:dyDescent="0.15">
      <c r="A164" s="25" t="s">
        <v>7045</v>
      </c>
      <c r="B164" s="19" t="s">
        <v>7202</v>
      </c>
      <c r="C164" s="46" t="str">
        <f>HYPERLINK("http://dl.ndl.go.jp/info:ndljp/pid/3359370")</f>
        <v>http://dl.ndl.go.jp/info:ndljp/pid/3359370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データ</vt:lpstr>
      <vt:lpstr>検索操作での注意メモ</vt:lpstr>
      <vt:lpstr>オートフィルターの使い方</vt:lpstr>
      <vt:lpstr>めも</vt:lpstr>
      <vt:lpstr>国立国会図書館デジタルコレクション</vt:lpstr>
    </vt:vector>
  </TitlesOfParts>
  <Company>iiyama PC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dc:creator>
  <cp:lastModifiedBy>KOBAYASHI</cp:lastModifiedBy>
  <dcterms:created xsi:type="dcterms:W3CDTF">2019-11-06T15:45:49Z</dcterms:created>
  <dcterms:modified xsi:type="dcterms:W3CDTF">2019-11-11T00:28:38Z</dcterms:modified>
</cp:coreProperties>
</file>