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240" windowWidth="27660" windowHeight="12405" activeTab="1"/>
  </bookViews>
  <sheets>
    <sheet name="目次データ" sheetId="7" r:id="rId1"/>
    <sheet name="和刻漢籍医書集成" sheetId="2" r:id="rId2"/>
    <sheet name="近世漢方医学書集成" sheetId="3" r:id="rId3"/>
    <sheet name="Webサイト" sheetId="4" r:id="rId4"/>
    <sheet name="Sheet5" sheetId="5" r:id="rId5"/>
    <sheet name="Sheet6" sheetId="6" r:id="rId6"/>
    <sheet name="Sheet2" sheetId="8" r:id="rId7"/>
    <sheet name="脈論口訣" sheetId="9" r:id="rId8"/>
  </sheets>
  <definedNames>
    <definedName name="_xlnm._FilterDatabase" localSheetId="2" hidden="1">近世漢方医学書集成!$A$1:$I$319</definedName>
    <definedName name="_xlnm._FilterDatabase" localSheetId="0" hidden="1">目次データ!$A$1:$D$5298</definedName>
    <definedName name="_xlnm._FilterDatabase" localSheetId="1" hidden="1">和刻漢籍医書集成!$A$1:$J$246</definedName>
  </definedNames>
  <calcPr calcId="145621"/>
</workbook>
</file>

<file path=xl/calcChain.xml><?xml version="1.0" encoding="utf-8"?>
<calcChain xmlns="http://schemas.openxmlformats.org/spreadsheetml/2006/main">
  <c r="D4718" i="7" l="1"/>
  <c r="D4719" i="7"/>
  <c r="D4720" i="7"/>
  <c r="D4721" i="7"/>
  <c r="D4722" i="7"/>
  <c r="D4723" i="7"/>
  <c r="D4724" i="7"/>
  <c r="D4725" i="7"/>
  <c r="D4726" i="7"/>
  <c r="D4727" i="7"/>
  <c r="D4728" i="7"/>
  <c r="D4729" i="7"/>
  <c r="D4730" i="7"/>
  <c r="D4731" i="7"/>
  <c r="D4732" i="7"/>
  <c r="D4733" i="7"/>
  <c r="D4734" i="7"/>
  <c r="D4735" i="7"/>
  <c r="D4736" i="7"/>
  <c r="D4737" i="7"/>
  <c r="D4738" i="7"/>
  <c r="D4739" i="7"/>
  <c r="D4740" i="7"/>
  <c r="D4741" i="7"/>
  <c r="D4742" i="7"/>
  <c r="D4743" i="7"/>
  <c r="D4744" i="7"/>
  <c r="D4745" i="7"/>
  <c r="D4746" i="7"/>
  <c r="D4747" i="7"/>
  <c r="D4748" i="7"/>
  <c r="D4749" i="7"/>
  <c r="D4750" i="7"/>
  <c r="D4751" i="7"/>
  <c r="D4752" i="7"/>
  <c r="D4753" i="7"/>
  <c r="D4754" i="7"/>
  <c r="D4755" i="7"/>
  <c r="D4756" i="7"/>
  <c r="D4757" i="7"/>
  <c r="D4758" i="7"/>
  <c r="D4759" i="7"/>
  <c r="D4760" i="7"/>
  <c r="D4761" i="7"/>
  <c r="D4762" i="7"/>
  <c r="D4763" i="7"/>
  <c r="D4764" i="7"/>
  <c r="D4765" i="7"/>
  <c r="D4766" i="7"/>
  <c r="D4767" i="7"/>
  <c r="D4768" i="7"/>
  <c r="D4769" i="7"/>
  <c r="D4770" i="7"/>
  <c r="D4771" i="7"/>
  <c r="D4772" i="7"/>
  <c r="D4773" i="7"/>
  <c r="D4774" i="7"/>
  <c r="D4775" i="7"/>
  <c r="D4776" i="7"/>
  <c r="D4777" i="7"/>
  <c r="D4778" i="7"/>
  <c r="D4779" i="7"/>
  <c r="D4780" i="7"/>
  <c r="D4781" i="7"/>
  <c r="D4782" i="7"/>
  <c r="D4783" i="7"/>
  <c r="D4784" i="7"/>
  <c r="D4785" i="7"/>
  <c r="D4786" i="7"/>
  <c r="D4787" i="7"/>
  <c r="D4788" i="7"/>
  <c r="D4789" i="7"/>
  <c r="D4790" i="7"/>
  <c r="D4791" i="7"/>
  <c r="D4792" i="7"/>
  <c r="D4793" i="7"/>
  <c r="D4794" i="7"/>
  <c r="D4795" i="7"/>
  <c r="D4796" i="7"/>
  <c r="D4797" i="7"/>
  <c r="D4798" i="7"/>
  <c r="D4799" i="7"/>
  <c r="D4800" i="7"/>
  <c r="D4801" i="7"/>
  <c r="D4802" i="7"/>
  <c r="D4803" i="7"/>
  <c r="D4804" i="7"/>
  <c r="D4805" i="7"/>
  <c r="D4806" i="7"/>
  <c r="D4807" i="7"/>
  <c r="D4808" i="7"/>
  <c r="D4809" i="7"/>
  <c r="D4810" i="7"/>
  <c r="D4811" i="7"/>
  <c r="D4812" i="7"/>
  <c r="D4813" i="7"/>
  <c r="D4814" i="7"/>
  <c r="D4815" i="7"/>
  <c r="D4816" i="7"/>
  <c r="D4817" i="7"/>
  <c r="D4818" i="7"/>
  <c r="D4819" i="7"/>
  <c r="D4820" i="7"/>
  <c r="D4821" i="7"/>
  <c r="D4822" i="7"/>
  <c r="D4823" i="7"/>
  <c r="D4824" i="7"/>
  <c r="D4825" i="7"/>
  <c r="D4826" i="7"/>
  <c r="D4827" i="7"/>
  <c r="D4828" i="7"/>
  <c r="D4829" i="7"/>
  <c r="D4830" i="7"/>
  <c r="D4831" i="7"/>
  <c r="D4832" i="7"/>
  <c r="D4833" i="7"/>
  <c r="D4834" i="7"/>
  <c r="D4835" i="7"/>
  <c r="D4836" i="7"/>
  <c r="D4837" i="7"/>
  <c r="D4838" i="7"/>
  <c r="D4839" i="7"/>
  <c r="D4840" i="7"/>
  <c r="D4841" i="7"/>
  <c r="D4842" i="7"/>
  <c r="D4843" i="7"/>
  <c r="D4844" i="7"/>
  <c r="D4845" i="7"/>
  <c r="D4846" i="7"/>
  <c r="D4847" i="7"/>
  <c r="D4848" i="7"/>
  <c r="D4849" i="7"/>
  <c r="D4850" i="7"/>
  <c r="D4851" i="7"/>
  <c r="D4852" i="7"/>
  <c r="D4853" i="7"/>
  <c r="D4854" i="7"/>
  <c r="D4855" i="7"/>
  <c r="D4856" i="7"/>
  <c r="D4857" i="7"/>
  <c r="D4858" i="7"/>
  <c r="D4859" i="7"/>
  <c r="D4860" i="7"/>
  <c r="D4861" i="7"/>
  <c r="D4862" i="7"/>
  <c r="D4863" i="7"/>
  <c r="D4864" i="7"/>
  <c r="D4865" i="7"/>
  <c r="D4866" i="7"/>
  <c r="D4867" i="7"/>
  <c r="D4868" i="7"/>
  <c r="D4869" i="7"/>
  <c r="D4870" i="7"/>
  <c r="D4871" i="7"/>
  <c r="D4872" i="7"/>
  <c r="D4873" i="7"/>
  <c r="D4874" i="7"/>
  <c r="D4875" i="7"/>
  <c r="D4876" i="7"/>
  <c r="D4877" i="7"/>
  <c r="D4878" i="7"/>
  <c r="D4879" i="7"/>
  <c r="D4880" i="7"/>
  <c r="D4881" i="7"/>
  <c r="D4882" i="7"/>
  <c r="D4883" i="7"/>
  <c r="D4884" i="7"/>
  <c r="D4885" i="7"/>
  <c r="D4886" i="7"/>
  <c r="D4887" i="7"/>
  <c r="D4888" i="7"/>
  <c r="D4889" i="7"/>
  <c r="D4890" i="7"/>
  <c r="D4891" i="7"/>
  <c r="D4892" i="7"/>
  <c r="D4893" i="7"/>
  <c r="D4894" i="7"/>
  <c r="D4895" i="7"/>
  <c r="F1481" i="7" l="1"/>
  <c r="F1482" i="7"/>
  <c r="F1484" i="7"/>
  <c r="F1485" i="7"/>
  <c r="F1486" i="7"/>
  <c r="F1487" i="7"/>
  <c r="F1488" i="7"/>
  <c r="F1489" i="7"/>
  <c r="F1490" i="7"/>
  <c r="F1491" i="7"/>
  <c r="F1492" i="7"/>
  <c r="F1493" i="7"/>
  <c r="F1494" i="7"/>
  <c r="F1495" i="7"/>
  <c r="F1496" i="7"/>
  <c r="F1497" i="7"/>
  <c r="F1498" i="7"/>
  <c r="F1499" i="7"/>
  <c r="F1500" i="7"/>
  <c r="F1501" i="7"/>
  <c r="F1502" i="7"/>
  <c r="F1503" i="7"/>
  <c r="F1504" i="7"/>
  <c r="F1505" i="7"/>
  <c r="F1506" i="7"/>
  <c r="F1507" i="7"/>
  <c r="F1508" i="7"/>
  <c r="F1509" i="7"/>
  <c r="F1510" i="7"/>
  <c r="F1511" i="7"/>
  <c r="F1512" i="7"/>
  <c r="F1513" i="7"/>
  <c r="F1514" i="7"/>
  <c r="F1515" i="7"/>
  <c r="F1516" i="7"/>
  <c r="F1517" i="7"/>
  <c r="F1518" i="7"/>
  <c r="F1519" i="7"/>
  <c r="F1520" i="7"/>
  <c r="F1521" i="7"/>
  <c r="F1522" i="7"/>
  <c r="F1523" i="7"/>
  <c r="F1524" i="7"/>
  <c r="F1525" i="7"/>
  <c r="F1526" i="7"/>
  <c r="F1527" i="7"/>
  <c r="F1528" i="7"/>
  <c r="F1529" i="7"/>
  <c r="F1530" i="7"/>
  <c r="F1531" i="7"/>
  <c r="F1532" i="7"/>
  <c r="F1533" i="7"/>
  <c r="F1534" i="7"/>
  <c r="F1535" i="7"/>
  <c r="F1536" i="7"/>
  <c r="F1537" i="7"/>
  <c r="F1538" i="7"/>
  <c r="F1539" i="7"/>
  <c r="F1540" i="7"/>
  <c r="F1541" i="7"/>
  <c r="F1542" i="7"/>
  <c r="F1543" i="7"/>
  <c r="F1544" i="7"/>
  <c r="F1545" i="7"/>
  <c r="F1546" i="7"/>
  <c r="F1547" i="7"/>
  <c r="F1548" i="7"/>
  <c r="F1549" i="7"/>
  <c r="F1550" i="7"/>
  <c r="F1551" i="7"/>
  <c r="F1552" i="7"/>
  <c r="F1553" i="7"/>
  <c r="F1554" i="7"/>
  <c r="F1555" i="7"/>
  <c r="F1556" i="7"/>
  <c r="F1557" i="7"/>
  <c r="F1558" i="7"/>
  <c r="F1559" i="7"/>
  <c r="F1560" i="7"/>
  <c r="F1561" i="7"/>
  <c r="F1562" i="7"/>
  <c r="F1563" i="7"/>
  <c r="F1564" i="7"/>
  <c r="F1565" i="7"/>
  <c r="F1566" i="7"/>
  <c r="F1567" i="7"/>
  <c r="F1568" i="7"/>
  <c r="F1569" i="7"/>
  <c r="F1570" i="7"/>
  <c r="F1571" i="7"/>
  <c r="F1572" i="7"/>
  <c r="F1573" i="7"/>
  <c r="F1574" i="7"/>
  <c r="F1575" i="7"/>
  <c r="F1576" i="7"/>
  <c r="F1577" i="7"/>
  <c r="F1578" i="7"/>
  <c r="F1579" i="7"/>
  <c r="F1580" i="7"/>
  <c r="F1581" i="7"/>
  <c r="F1582" i="7"/>
  <c r="F1583" i="7"/>
  <c r="F1584" i="7"/>
  <c r="F1585" i="7"/>
  <c r="F1586" i="7"/>
  <c r="F1587" i="7"/>
  <c r="F1588" i="7"/>
  <c r="F1589" i="7"/>
  <c r="F1590" i="7"/>
  <c r="F1591" i="7"/>
  <c r="F1592" i="7"/>
  <c r="F1593" i="7"/>
  <c r="D1481" i="7"/>
  <c r="D1482" i="7"/>
  <c r="D1483" i="7"/>
  <c r="D1484" i="7"/>
  <c r="D1485" i="7"/>
  <c r="D1486" i="7"/>
  <c r="D1487" i="7"/>
  <c r="D1488" i="7"/>
  <c r="D1489" i="7"/>
  <c r="D1490" i="7"/>
  <c r="D1491" i="7"/>
  <c r="D1492" i="7"/>
  <c r="D1493" i="7"/>
  <c r="D1494" i="7"/>
  <c r="D1495" i="7"/>
  <c r="D1496" i="7"/>
  <c r="D1497" i="7"/>
  <c r="D1498" i="7"/>
  <c r="D1499" i="7"/>
  <c r="D1500" i="7"/>
  <c r="D1501" i="7"/>
  <c r="D1502" i="7"/>
  <c r="D1503" i="7"/>
  <c r="D1504" i="7"/>
  <c r="D1505" i="7"/>
  <c r="D1506" i="7"/>
  <c r="D1507" i="7"/>
  <c r="D1508" i="7"/>
  <c r="D1509" i="7"/>
  <c r="D1510" i="7"/>
  <c r="D1511" i="7"/>
  <c r="D1512" i="7"/>
  <c r="D1513" i="7"/>
  <c r="D1514" i="7"/>
  <c r="D1515" i="7"/>
  <c r="D1516" i="7"/>
  <c r="D1517" i="7"/>
  <c r="D1518" i="7"/>
  <c r="D1519" i="7"/>
  <c r="D1520" i="7"/>
  <c r="D1521" i="7"/>
  <c r="D1522" i="7"/>
  <c r="D1523" i="7"/>
  <c r="D1524" i="7"/>
  <c r="D1525" i="7"/>
  <c r="D1526" i="7"/>
  <c r="D1527" i="7"/>
  <c r="D1528" i="7"/>
  <c r="D1529" i="7"/>
  <c r="D1530" i="7"/>
  <c r="D1531" i="7"/>
  <c r="D1532" i="7"/>
  <c r="D1533" i="7"/>
  <c r="D1534" i="7"/>
  <c r="D1535" i="7"/>
  <c r="D1536" i="7"/>
  <c r="D1537" i="7"/>
  <c r="D1538" i="7"/>
  <c r="D1539" i="7"/>
  <c r="D1540" i="7"/>
  <c r="D1541" i="7"/>
  <c r="D1542" i="7"/>
  <c r="D1543" i="7"/>
  <c r="D1544" i="7"/>
  <c r="D1545" i="7"/>
  <c r="D1546" i="7"/>
  <c r="D1547" i="7"/>
  <c r="D1548" i="7"/>
  <c r="D1549" i="7"/>
  <c r="D1550" i="7"/>
  <c r="D1551" i="7"/>
  <c r="D1552" i="7"/>
  <c r="D1553" i="7"/>
  <c r="D1554" i="7"/>
  <c r="D1555" i="7"/>
  <c r="D1556" i="7"/>
  <c r="D1557" i="7"/>
  <c r="D1558" i="7"/>
  <c r="D1559" i="7"/>
  <c r="D1560" i="7"/>
  <c r="D1561" i="7"/>
  <c r="D1562" i="7"/>
  <c r="D1563" i="7"/>
  <c r="D1564" i="7"/>
  <c r="D1565" i="7"/>
  <c r="D1566" i="7"/>
  <c r="D1567" i="7"/>
  <c r="D1568" i="7"/>
  <c r="D1569" i="7"/>
  <c r="D1570" i="7"/>
  <c r="D1571" i="7"/>
  <c r="D1572" i="7"/>
  <c r="D1573" i="7"/>
  <c r="D1574" i="7"/>
  <c r="D1575" i="7"/>
  <c r="D1576" i="7"/>
  <c r="D1577" i="7"/>
  <c r="D1578" i="7"/>
  <c r="D1579" i="7"/>
  <c r="D1580" i="7"/>
  <c r="D1581" i="7"/>
  <c r="D1582" i="7"/>
  <c r="D1583" i="7"/>
  <c r="D1584" i="7"/>
  <c r="D1585" i="7"/>
  <c r="D1586" i="7"/>
  <c r="D1587" i="7"/>
  <c r="D1588" i="7"/>
  <c r="D1589" i="7"/>
  <c r="D1590" i="7"/>
  <c r="D1591" i="7"/>
  <c r="D1592" i="7"/>
  <c r="D1593" i="7"/>
  <c r="F3321" i="7" l="1"/>
  <c r="F3313" i="7"/>
  <c r="F3303" i="7"/>
  <c r="F3290" i="7"/>
  <c r="F3285" i="7"/>
  <c r="F3276" i="7"/>
  <c r="F3263" i="7"/>
  <c r="F3254" i="7"/>
  <c r="F3244" i="7"/>
  <c r="F3237" i="7"/>
  <c r="I3218" i="7" l="1"/>
  <c r="H3218" i="7"/>
  <c r="H3217" i="7"/>
  <c r="H3216" i="7"/>
  <c r="H3215" i="7"/>
  <c r="H3214" i="7"/>
  <c r="I3212" i="7"/>
  <c r="H3212" i="7"/>
  <c r="I3211" i="7"/>
  <c r="H3211" i="7"/>
  <c r="H3210" i="7"/>
  <c r="I3209" i="7"/>
  <c r="H3209" i="7"/>
  <c r="I3208" i="7"/>
  <c r="H3208" i="7"/>
  <c r="I3207" i="7"/>
  <c r="H3207" i="7"/>
  <c r="I3206" i="7"/>
  <c r="H3206" i="7"/>
  <c r="I3205" i="7"/>
  <c r="H3205" i="7"/>
  <c r="I3203" i="7"/>
  <c r="H3203" i="7"/>
  <c r="I3202" i="7"/>
  <c r="H3202" i="7"/>
  <c r="H3200" i="7"/>
  <c r="F3338" i="7" l="1"/>
  <c r="F3337" i="7"/>
  <c r="F3336" i="7"/>
  <c r="F3335" i="7"/>
  <c r="F3334" i="7"/>
  <c r="F3333" i="7"/>
  <c r="F3331" i="7"/>
  <c r="F3330" i="7"/>
  <c r="F3329" i="7"/>
  <c r="F3327" i="7"/>
  <c r="F3326" i="7"/>
  <c r="F3325" i="7"/>
  <c r="F3323" i="7"/>
  <c r="F3322" i="7"/>
  <c r="F3319" i="7"/>
  <c r="F3318" i="7"/>
  <c r="F3317" i="7"/>
  <c r="F3316" i="7"/>
  <c r="F3315" i="7"/>
  <c r="F3314" i="7"/>
  <c r="F3312" i="7"/>
  <c r="F3311" i="7"/>
  <c r="F3310" i="7"/>
  <c r="F3309" i="7"/>
  <c r="F3308" i="7"/>
  <c r="F3307" i="7"/>
  <c r="F3306" i="7"/>
  <c r="F3305" i="7"/>
  <c r="F3304" i="7"/>
  <c r="F3302" i="7"/>
  <c r="F3301" i="7"/>
  <c r="F3300" i="7"/>
  <c r="F3299" i="7"/>
  <c r="F3298" i="7"/>
  <c r="F3297" i="7"/>
  <c r="F3296" i="7"/>
  <c r="F3295" i="7"/>
  <c r="F3294" i="7"/>
  <c r="F3293" i="7"/>
  <c r="F3292" i="7"/>
  <c r="F3291" i="7"/>
  <c r="F3289" i="7"/>
  <c r="F3288" i="7"/>
  <c r="F3287" i="7"/>
  <c r="F3286" i="7"/>
  <c r="F3284" i="7"/>
  <c r="F3283" i="7"/>
  <c r="F3282" i="7"/>
  <c r="F3281" i="7"/>
  <c r="F3280" i="7"/>
  <c r="F3279" i="7"/>
  <c r="F3278" i="7"/>
  <c r="F3277" i="7"/>
  <c r="F3275" i="7"/>
  <c r="F3274" i="7"/>
  <c r="F3273" i="7"/>
  <c r="F3272" i="7"/>
  <c r="F3271" i="7"/>
  <c r="F3269" i="7"/>
  <c r="F3268" i="7"/>
  <c r="F3267" i="7"/>
  <c r="F3266" i="7"/>
  <c r="F3265" i="7"/>
  <c r="F3264" i="7"/>
  <c r="F3262" i="7"/>
  <c r="F3261" i="7"/>
  <c r="F3260" i="7"/>
  <c r="F3259" i="7"/>
  <c r="F3258" i="7"/>
  <c r="F3256" i="7"/>
  <c r="F3255" i="7"/>
  <c r="F3253" i="7"/>
  <c r="F3252" i="7"/>
  <c r="F3251" i="7"/>
  <c r="F3250" i="7"/>
  <c r="F3249" i="7"/>
  <c r="F3248" i="7"/>
  <c r="F3247" i="7"/>
  <c r="F3246" i="7"/>
  <c r="F3245" i="7"/>
  <c r="F3243" i="7"/>
  <c r="F3242" i="7"/>
  <c r="F3241" i="7"/>
  <c r="F3240" i="7"/>
  <c r="F3239" i="7"/>
  <c r="F3238" i="7"/>
  <c r="F3235" i="7"/>
  <c r="F3234" i="7"/>
  <c r="F3233" i="7"/>
  <c r="F3232" i="7"/>
  <c r="F3231" i="7"/>
  <c r="F3230" i="7"/>
  <c r="D3228" i="7"/>
  <c r="D3229" i="7"/>
  <c r="D3230" i="7"/>
  <c r="D3231" i="7"/>
  <c r="D3232" i="7"/>
  <c r="D3233" i="7"/>
  <c r="D3234" i="7"/>
  <c r="D3235" i="7"/>
  <c r="D3236" i="7"/>
  <c r="D3237" i="7"/>
  <c r="D3238" i="7"/>
  <c r="D3239" i="7"/>
  <c r="D3240" i="7"/>
  <c r="D3241" i="7"/>
  <c r="D3242" i="7"/>
  <c r="D3243" i="7"/>
  <c r="D3244" i="7"/>
  <c r="D3245" i="7"/>
  <c r="D3246" i="7"/>
  <c r="D3247" i="7"/>
  <c r="D3248" i="7"/>
  <c r="D3249" i="7"/>
  <c r="D3250" i="7"/>
  <c r="D3251" i="7"/>
  <c r="D3252" i="7"/>
  <c r="D3253" i="7"/>
  <c r="D3254" i="7"/>
  <c r="D3255" i="7"/>
  <c r="D3256" i="7"/>
  <c r="D3257" i="7"/>
  <c r="D3258" i="7"/>
  <c r="D3259" i="7"/>
  <c r="D3260" i="7"/>
  <c r="D3261" i="7"/>
  <c r="D3262" i="7"/>
  <c r="D3263" i="7"/>
  <c r="D3264" i="7"/>
  <c r="D3265" i="7"/>
  <c r="D3266" i="7"/>
  <c r="D3267" i="7"/>
  <c r="D3268" i="7"/>
  <c r="D3269" i="7"/>
  <c r="D3270" i="7"/>
  <c r="D3271" i="7"/>
  <c r="D3272" i="7"/>
  <c r="D3273" i="7"/>
  <c r="D3274" i="7"/>
  <c r="D3275" i="7"/>
  <c r="D3276" i="7"/>
  <c r="D3277" i="7"/>
  <c r="D3278" i="7"/>
  <c r="D3279" i="7"/>
  <c r="D3280" i="7"/>
  <c r="D3281" i="7"/>
  <c r="D3282" i="7"/>
  <c r="D3283" i="7"/>
  <c r="D3284" i="7"/>
  <c r="D3285" i="7"/>
  <c r="D3286" i="7"/>
  <c r="D3287" i="7"/>
  <c r="D3288" i="7"/>
  <c r="D3289" i="7"/>
  <c r="D3290" i="7"/>
  <c r="D3291" i="7"/>
  <c r="D3292" i="7"/>
  <c r="D3293" i="7"/>
  <c r="D3294" i="7"/>
  <c r="D3295" i="7"/>
  <c r="D3296" i="7"/>
  <c r="D3297" i="7"/>
  <c r="D3298" i="7"/>
  <c r="D3299" i="7"/>
  <c r="D3300" i="7"/>
  <c r="D3301" i="7"/>
  <c r="D3302" i="7"/>
  <c r="D3303" i="7"/>
  <c r="D3304" i="7"/>
  <c r="D3305" i="7"/>
  <c r="D3306" i="7"/>
  <c r="D3307" i="7"/>
  <c r="D3308" i="7"/>
  <c r="D3309" i="7"/>
  <c r="D3310" i="7"/>
  <c r="D3311" i="7"/>
  <c r="D3312" i="7"/>
  <c r="D3313" i="7"/>
  <c r="D3314" i="7"/>
  <c r="D3315" i="7"/>
  <c r="D3316" i="7"/>
  <c r="D3317" i="7"/>
  <c r="D3318" i="7"/>
  <c r="D3319" i="7"/>
  <c r="D3320" i="7"/>
  <c r="D3321" i="7"/>
  <c r="D3322" i="7"/>
  <c r="D3323" i="7"/>
  <c r="D3324" i="7"/>
  <c r="D3325" i="7"/>
  <c r="D3326" i="7"/>
  <c r="D3327" i="7"/>
  <c r="D3328" i="7"/>
  <c r="D3329" i="7"/>
  <c r="D3330" i="7"/>
  <c r="D3331" i="7"/>
  <c r="D3332" i="7"/>
  <c r="D3333" i="7"/>
  <c r="D3334" i="7"/>
  <c r="D3335" i="7"/>
  <c r="D3336" i="7"/>
  <c r="D4084" i="7" l="1"/>
  <c r="D4083" i="7"/>
  <c r="D4082" i="7"/>
  <c r="D4081" i="7"/>
  <c r="D4080" i="7"/>
  <c r="D4079" i="7"/>
  <c r="D4078" i="7"/>
  <c r="D4077" i="7"/>
  <c r="D4076" i="7"/>
  <c r="D4075" i="7"/>
  <c r="D4074" i="7"/>
  <c r="D4073" i="7"/>
  <c r="D4072" i="7"/>
  <c r="D4071" i="7"/>
  <c r="D4070" i="7"/>
  <c r="D4069" i="7"/>
  <c r="D4068" i="7"/>
  <c r="D4067" i="7"/>
  <c r="D4066" i="7"/>
  <c r="D4065" i="7"/>
  <c r="D4064" i="7"/>
  <c r="D4063" i="7"/>
  <c r="D4062" i="7"/>
  <c r="D4061" i="7"/>
  <c r="D4060" i="7"/>
  <c r="D4059" i="7"/>
  <c r="D4058" i="7"/>
  <c r="D4057" i="7"/>
  <c r="D4056" i="7"/>
  <c r="D4055" i="7"/>
  <c r="D4054" i="7"/>
  <c r="D4053" i="7"/>
  <c r="D4052" i="7"/>
  <c r="D4051" i="7"/>
  <c r="D4050" i="7"/>
  <c r="D4049" i="7"/>
  <c r="D4048" i="7"/>
  <c r="D4047" i="7"/>
  <c r="D4046" i="7"/>
  <c r="D4045" i="7"/>
  <c r="D4044" i="7"/>
  <c r="D4043" i="7"/>
  <c r="D4042" i="7"/>
  <c r="D4041" i="7"/>
  <c r="D4040" i="7"/>
  <c r="D4039" i="7"/>
  <c r="D4038" i="7"/>
  <c r="D4037" i="7"/>
  <c r="D4036" i="7"/>
  <c r="D4035" i="7"/>
  <c r="D4034" i="7"/>
  <c r="D4033" i="7"/>
  <c r="D4032" i="7"/>
  <c r="D4031" i="7"/>
  <c r="D4030" i="7"/>
  <c r="D4029" i="7"/>
  <c r="D4028" i="7"/>
  <c r="D4027" i="7"/>
  <c r="D4026" i="7"/>
  <c r="D4025" i="7"/>
  <c r="D4024" i="7"/>
  <c r="D4023" i="7"/>
  <c r="D4022" i="7"/>
  <c r="D4021" i="7"/>
  <c r="D4020" i="7"/>
  <c r="D4019" i="7"/>
  <c r="D4018" i="7"/>
  <c r="D4017" i="7"/>
  <c r="D4016" i="7"/>
  <c r="J3922" i="7"/>
  <c r="D3922" i="7"/>
  <c r="J3921" i="7"/>
  <c r="D3921" i="7"/>
  <c r="J3920" i="7"/>
  <c r="D3920" i="7"/>
  <c r="J3919" i="7"/>
  <c r="D3919" i="7"/>
  <c r="J3918" i="7"/>
  <c r="D3918" i="7"/>
  <c r="J3917" i="7"/>
  <c r="D3917" i="7"/>
  <c r="J3916" i="7"/>
  <c r="D3916" i="7"/>
  <c r="J3915" i="7"/>
  <c r="D3915" i="7"/>
  <c r="D3914" i="7"/>
  <c r="D3913" i="7"/>
  <c r="J3912" i="7"/>
  <c r="D3912" i="7"/>
  <c r="J3911" i="7"/>
  <c r="D3911" i="7"/>
  <c r="J3910" i="7"/>
  <c r="D3910" i="7"/>
  <c r="J3909" i="7"/>
  <c r="D3909" i="7"/>
  <c r="J3908" i="7"/>
  <c r="D3908" i="7"/>
  <c r="J3907" i="7"/>
  <c r="D3907" i="7"/>
  <c r="J3906" i="7"/>
  <c r="D3906" i="7"/>
  <c r="J3905" i="7"/>
  <c r="D3905" i="7"/>
  <c r="J3904" i="7"/>
  <c r="D3904" i="7"/>
  <c r="J3903" i="7"/>
  <c r="D3903" i="7"/>
  <c r="J3902" i="7"/>
  <c r="D3902" i="7"/>
  <c r="J3901" i="7"/>
  <c r="D3901" i="7"/>
  <c r="J3900" i="7"/>
  <c r="D3900" i="7"/>
  <c r="J3899" i="7"/>
  <c r="D3899" i="7"/>
  <c r="J3898" i="7"/>
  <c r="D3898" i="7"/>
  <c r="J3897" i="7"/>
  <c r="D3897" i="7"/>
  <c r="J3896" i="7"/>
  <c r="D3896" i="7"/>
  <c r="J3895" i="7"/>
  <c r="D3895" i="7"/>
  <c r="J3894" i="7"/>
  <c r="D3894" i="7"/>
  <c r="D3893" i="7"/>
  <c r="J3892" i="7"/>
  <c r="D3892" i="7"/>
  <c r="J3891" i="7"/>
  <c r="D3891" i="7"/>
  <c r="J3890" i="7"/>
  <c r="D3890" i="7"/>
  <c r="J3889" i="7"/>
  <c r="D3889" i="7"/>
  <c r="J3888" i="7"/>
  <c r="D3888" i="7"/>
  <c r="J3887" i="7"/>
  <c r="D3887" i="7"/>
  <c r="J3886" i="7"/>
  <c r="D3886" i="7"/>
  <c r="J3885" i="7"/>
  <c r="D3885" i="7"/>
  <c r="J3884" i="7"/>
  <c r="D3884" i="7"/>
  <c r="J3883" i="7"/>
  <c r="D3883" i="7"/>
  <c r="J3882" i="7"/>
  <c r="D3882" i="7"/>
  <c r="J3881" i="7"/>
  <c r="D3881" i="7"/>
  <c r="J3880" i="7"/>
  <c r="D3880" i="7"/>
  <c r="J3879" i="7"/>
  <c r="D3879" i="7"/>
  <c r="J3878" i="7"/>
  <c r="D3878" i="7"/>
  <c r="J3877" i="7"/>
  <c r="D3877" i="7"/>
  <c r="J3876" i="7"/>
  <c r="D3876" i="7"/>
  <c r="J3875" i="7"/>
  <c r="D3875" i="7"/>
  <c r="J3874" i="7"/>
  <c r="D3874" i="7"/>
  <c r="J3873" i="7"/>
  <c r="D3873" i="7"/>
  <c r="J3872" i="7"/>
  <c r="D3872" i="7"/>
  <c r="J3871" i="7"/>
  <c r="D3871" i="7"/>
  <c r="J3870" i="7"/>
  <c r="D3870" i="7"/>
  <c r="J3869" i="7"/>
  <c r="D3869" i="7"/>
  <c r="J3868" i="7"/>
  <c r="D3868" i="7"/>
  <c r="J3867" i="7"/>
  <c r="D3867" i="7"/>
  <c r="J3866" i="7"/>
  <c r="D3866" i="7"/>
  <c r="J3865" i="7"/>
  <c r="D3865" i="7"/>
  <c r="J3864" i="7"/>
  <c r="D3864" i="7"/>
  <c r="J3863" i="7"/>
  <c r="D3863" i="7"/>
  <c r="J3862" i="7"/>
  <c r="D3862" i="7"/>
  <c r="J3861" i="7"/>
  <c r="D3861" i="7"/>
  <c r="J3860" i="7"/>
  <c r="D3860" i="7"/>
  <c r="J3859" i="7"/>
  <c r="D3859" i="7"/>
  <c r="J3858" i="7"/>
  <c r="D3858" i="7"/>
  <c r="J3857" i="7"/>
  <c r="D3857" i="7"/>
  <c r="J3856" i="7"/>
  <c r="D3856" i="7"/>
  <c r="J3855" i="7"/>
  <c r="D3855" i="7"/>
  <c r="J3854" i="7"/>
  <c r="D3854" i="7"/>
  <c r="J3853" i="7"/>
  <c r="D3853" i="7"/>
  <c r="J3852" i="7"/>
  <c r="D3852" i="7"/>
  <c r="J3851" i="7"/>
  <c r="D3851" i="7"/>
  <c r="J3850" i="7"/>
  <c r="D3850" i="7"/>
  <c r="J3849" i="7"/>
  <c r="D3849" i="7"/>
  <c r="J3848" i="7"/>
  <c r="D3848" i="7"/>
  <c r="J3847" i="7"/>
  <c r="D3847" i="7"/>
  <c r="J3846" i="7"/>
  <c r="D3846" i="7"/>
  <c r="J3845" i="7"/>
  <c r="D3845" i="7"/>
  <c r="J3844" i="7"/>
  <c r="D3844" i="7"/>
  <c r="J3843" i="7"/>
  <c r="D3843" i="7"/>
  <c r="J3842" i="7"/>
  <c r="D3842" i="7"/>
  <c r="J3841" i="7"/>
  <c r="D3841" i="7"/>
  <c r="J3840" i="7"/>
  <c r="D3840" i="7"/>
  <c r="J3839" i="7"/>
  <c r="D3839" i="7"/>
  <c r="J3838" i="7"/>
  <c r="D3838" i="7"/>
  <c r="J3837" i="7"/>
  <c r="D3837" i="7"/>
  <c r="J3836" i="7"/>
  <c r="D3836" i="7"/>
  <c r="J3835" i="7"/>
  <c r="D3835" i="7"/>
  <c r="J3834" i="7"/>
  <c r="D3834" i="7"/>
  <c r="J3833" i="7"/>
  <c r="D3833" i="7"/>
  <c r="J3832" i="7"/>
  <c r="D3832" i="7"/>
  <c r="J3831" i="7"/>
  <c r="D3831" i="7"/>
  <c r="J3830" i="7"/>
  <c r="D3830" i="7"/>
  <c r="J3829" i="7"/>
  <c r="D3829" i="7"/>
  <c r="J3828" i="7"/>
  <c r="D3828" i="7"/>
  <c r="J3827" i="7"/>
  <c r="D3827" i="7"/>
  <c r="J3826" i="7"/>
  <c r="D3826" i="7"/>
  <c r="J3825" i="7"/>
  <c r="D3825" i="7"/>
  <c r="J3824" i="7"/>
  <c r="D3824" i="7"/>
  <c r="J3823" i="7"/>
  <c r="D3823" i="7"/>
  <c r="J3822" i="7"/>
  <c r="D3822" i="7"/>
  <c r="J3821" i="7"/>
  <c r="D3821" i="7"/>
  <c r="J3820" i="7"/>
  <c r="D3820" i="7"/>
  <c r="J3819" i="7"/>
  <c r="D3819" i="7"/>
  <c r="J3818" i="7"/>
  <c r="D3818" i="7"/>
  <c r="J3817" i="7"/>
  <c r="D3817" i="7"/>
  <c r="J3816" i="7"/>
  <c r="D3816" i="7"/>
  <c r="J3815" i="7"/>
  <c r="D3815" i="7"/>
  <c r="J3814" i="7"/>
  <c r="D3814" i="7"/>
  <c r="J3813" i="7"/>
  <c r="D3813" i="7"/>
  <c r="J3812" i="7"/>
  <c r="D3812" i="7"/>
  <c r="J3811" i="7"/>
  <c r="D3811" i="7"/>
  <c r="J3810" i="7"/>
  <c r="D3810" i="7"/>
  <c r="J3809" i="7"/>
  <c r="D3809" i="7"/>
  <c r="J3808" i="7"/>
  <c r="D3808" i="7"/>
  <c r="J3807" i="7"/>
  <c r="D3807" i="7"/>
  <c r="J3806" i="7"/>
  <c r="D3806" i="7"/>
  <c r="J3805" i="7"/>
  <c r="D3805" i="7"/>
  <c r="J3804" i="7"/>
  <c r="D3804" i="7"/>
  <c r="J3803" i="7"/>
  <c r="D3803" i="7"/>
  <c r="D3802" i="7"/>
  <c r="J3801" i="7"/>
  <c r="D3801" i="7"/>
  <c r="J3800" i="7"/>
  <c r="D3800" i="7"/>
  <c r="J3799" i="7"/>
  <c r="D3799" i="7"/>
  <c r="J3798" i="7"/>
  <c r="D3798" i="7"/>
  <c r="J3797" i="7"/>
  <c r="D3797" i="7"/>
  <c r="J3796" i="7"/>
  <c r="D3796" i="7"/>
  <c r="J3795" i="7"/>
  <c r="D3795" i="7"/>
  <c r="J3794" i="7"/>
  <c r="D3794" i="7"/>
  <c r="J3793" i="7"/>
  <c r="D3793" i="7"/>
  <c r="J3792" i="7"/>
  <c r="D3792" i="7"/>
  <c r="J3791" i="7"/>
  <c r="D3791" i="7"/>
  <c r="J3790" i="7"/>
  <c r="D3790" i="7"/>
  <c r="J3789" i="7"/>
  <c r="D3789" i="7"/>
  <c r="J3788" i="7"/>
  <c r="D3788" i="7"/>
  <c r="J3787" i="7"/>
  <c r="D3787" i="7"/>
  <c r="J3786" i="7"/>
  <c r="D3786" i="7"/>
  <c r="J3785" i="7"/>
  <c r="D3785" i="7"/>
  <c r="J3784" i="7"/>
  <c r="D3784" i="7"/>
  <c r="J3783" i="7"/>
  <c r="D3783" i="7"/>
  <c r="J3782" i="7"/>
  <c r="D3782" i="7"/>
  <c r="J3781" i="7"/>
  <c r="D3781" i="7"/>
  <c r="J3780" i="7"/>
  <c r="D3780" i="7"/>
  <c r="J3779" i="7"/>
  <c r="D3779" i="7"/>
  <c r="J3778" i="7"/>
  <c r="D3778" i="7"/>
  <c r="J3777" i="7"/>
  <c r="D3777" i="7"/>
  <c r="J3776" i="7"/>
  <c r="D3776" i="7"/>
  <c r="J3775" i="7"/>
  <c r="D3775" i="7"/>
  <c r="J3774" i="7"/>
  <c r="D3774" i="7"/>
  <c r="J3773" i="7"/>
  <c r="D3773" i="7"/>
  <c r="J3772" i="7"/>
  <c r="D3772" i="7"/>
  <c r="J3771" i="7"/>
  <c r="D3771" i="7"/>
  <c r="J3770" i="7"/>
  <c r="D3770" i="7"/>
  <c r="J3769" i="7"/>
  <c r="D3769" i="7"/>
  <c r="J3768" i="7"/>
  <c r="D3768" i="7"/>
  <c r="J3767" i="7"/>
  <c r="D3767" i="7"/>
  <c r="J3766" i="7"/>
  <c r="D3766" i="7"/>
  <c r="J3765" i="7"/>
  <c r="D3765" i="7"/>
  <c r="J3764" i="7"/>
  <c r="D3764" i="7"/>
  <c r="J3763" i="7"/>
  <c r="D3763" i="7"/>
  <c r="J3762" i="7"/>
  <c r="D3762" i="7"/>
  <c r="J3761" i="7"/>
  <c r="D3761" i="7"/>
  <c r="J3760" i="7"/>
  <c r="D3760" i="7"/>
  <c r="J3759" i="7"/>
  <c r="D3759" i="7"/>
  <c r="J3758" i="7"/>
  <c r="D3758" i="7"/>
  <c r="J3757" i="7"/>
  <c r="D3757" i="7"/>
  <c r="J3756" i="7"/>
  <c r="D3756" i="7"/>
  <c r="J3755" i="7"/>
  <c r="D3755" i="7"/>
  <c r="J3754" i="7"/>
  <c r="D3754" i="7"/>
  <c r="J3753" i="7"/>
  <c r="D3753" i="7"/>
  <c r="J3752" i="7"/>
  <c r="D3752" i="7"/>
  <c r="J3751" i="7"/>
  <c r="D3751" i="7"/>
  <c r="J3750" i="7"/>
  <c r="D3750" i="7"/>
  <c r="J3749" i="7"/>
  <c r="D3749" i="7"/>
  <c r="J3748" i="7"/>
  <c r="D3748" i="7"/>
  <c r="J3747" i="7"/>
  <c r="D3747" i="7"/>
  <c r="J3746" i="7"/>
  <c r="D3746" i="7"/>
  <c r="D3745" i="7"/>
  <c r="J3744" i="7"/>
  <c r="D3744" i="7"/>
  <c r="J3743" i="7"/>
  <c r="D3743" i="7"/>
  <c r="J3742" i="7"/>
  <c r="D3742" i="7"/>
  <c r="J3741" i="7"/>
  <c r="D3741" i="7"/>
  <c r="J3740" i="7"/>
  <c r="D3740" i="7"/>
  <c r="J3739" i="7"/>
  <c r="D3739" i="7"/>
  <c r="J3738" i="7"/>
  <c r="D3738" i="7"/>
  <c r="J3737" i="7"/>
  <c r="D3737" i="7"/>
  <c r="J3736" i="7"/>
  <c r="D3736" i="7"/>
  <c r="J3735" i="7"/>
  <c r="D3735" i="7"/>
  <c r="J3734" i="7"/>
  <c r="D3734" i="7"/>
  <c r="J3733" i="7"/>
  <c r="D3733" i="7"/>
  <c r="J3732" i="7"/>
  <c r="H3732" i="7"/>
  <c r="D3732" i="7"/>
  <c r="J3731" i="7"/>
  <c r="D3731" i="7"/>
  <c r="J3730" i="7"/>
  <c r="D3730" i="7"/>
  <c r="J3729" i="7"/>
  <c r="D3729" i="7"/>
  <c r="J3728" i="7"/>
  <c r="D3728" i="7"/>
  <c r="J3727" i="7"/>
  <c r="D3727" i="7"/>
  <c r="J3726" i="7"/>
  <c r="D3726" i="7"/>
  <c r="J3725" i="7"/>
  <c r="D3725" i="7"/>
  <c r="J3724" i="7"/>
  <c r="D3724" i="7"/>
  <c r="J3723" i="7"/>
  <c r="D3723" i="7"/>
  <c r="J3722" i="7"/>
  <c r="D3722" i="7"/>
  <c r="J3721" i="7"/>
  <c r="D3721" i="7"/>
  <c r="J3720" i="7"/>
  <c r="D3720" i="7"/>
  <c r="J3719" i="7"/>
  <c r="D3719" i="7"/>
  <c r="J3718" i="7"/>
  <c r="D3718" i="7"/>
  <c r="J3717" i="7"/>
  <c r="D3717" i="7"/>
  <c r="J3716" i="7"/>
  <c r="D3716" i="7"/>
  <c r="J3715" i="7"/>
  <c r="D3715" i="7"/>
  <c r="J3714" i="7"/>
  <c r="D3714" i="7"/>
  <c r="J3713" i="7"/>
  <c r="D3713" i="7"/>
  <c r="J3712" i="7"/>
  <c r="D3712" i="7"/>
  <c r="J3711" i="7"/>
  <c r="D3711" i="7"/>
  <c r="J3710" i="7"/>
  <c r="D3710" i="7"/>
  <c r="J3709" i="7"/>
  <c r="D3709" i="7"/>
  <c r="J3708" i="7"/>
  <c r="H3708" i="7"/>
  <c r="D3708" i="7"/>
  <c r="J3707" i="7"/>
  <c r="H3707" i="7"/>
  <c r="D3707" i="7"/>
  <c r="J3706" i="7"/>
  <c r="D3706" i="7"/>
  <c r="J3705" i="7"/>
  <c r="D3705" i="7"/>
  <c r="J3704" i="7"/>
  <c r="H3704" i="7"/>
  <c r="D3704" i="7"/>
  <c r="J3703" i="7"/>
  <c r="H3702" i="7"/>
  <c r="F3702" i="7"/>
  <c r="H3701" i="7"/>
  <c r="F3701" i="7"/>
  <c r="J3700" i="7"/>
  <c r="H3700" i="7"/>
  <c r="F3700" i="7"/>
  <c r="D3700" i="7"/>
  <c r="J3699" i="7"/>
  <c r="H3699" i="7"/>
  <c r="F3699" i="7"/>
  <c r="D3699" i="7"/>
  <c r="J3698" i="7"/>
  <c r="H3698" i="7"/>
  <c r="F3698" i="7"/>
  <c r="D3698" i="7"/>
  <c r="J3697" i="7"/>
  <c r="H3697" i="7"/>
  <c r="F3697" i="7"/>
  <c r="D3697" i="7"/>
  <c r="J3696" i="7"/>
  <c r="H3696" i="7"/>
  <c r="F3696" i="7"/>
  <c r="D3696" i="7"/>
  <c r="J3695" i="7"/>
  <c r="H3695" i="7"/>
  <c r="F3695" i="7"/>
  <c r="D3695" i="7"/>
  <c r="J3694" i="7"/>
  <c r="H3694" i="7"/>
  <c r="F3694" i="7"/>
  <c r="D3694" i="7"/>
  <c r="F3693" i="7"/>
  <c r="J3692" i="7"/>
  <c r="H3692" i="7"/>
  <c r="F3692" i="7"/>
  <c r="D3692" i="7"/>
  <c r="J3691" i="7"/>
  <c r="H3691" i="7"/>
  <c r="F3691" i="7"/>
  <c r="D3691" i="7"/>
  <c r="J3690" i="7"/>
  <c r="H3690" i="7"/>
  <c r="F3690" i="7"/>
  <c r="D3690" i="7"/>
  <c r="J3689" i="7"/>
  <c r="H3689" i="7"/>
  <c r="F3689" i="7"/>
  <c r="D3689" i="7"/>
  <c r="J3688" i="7"/>
  <c r="H3688" i="7"/>
  <c r="F3688" i="7"/>
  <c r="D3688" i="7"/>
  <c r="J3687" i="7"/>
  <c r="H3687" i="7"/>
  <c r="F3687" i="7"/>
  <c r="D3687" i="7"/>
  <c r="J3686" i="7"/>
  <c r="H3686" i="7"/>
  <c r="F3686" i="7"/>
  <c r="D3686" i="7"/>
  <c r="J3685" i="7"/>
  <c r="H3685" i="7"/>
  <c r="F3685" i="7"/>
  <c r="D3685" i="7"/>
  <c r="J3684" i="7"/>
  <c r="H3684" i="7"/>
  <c r="F3684" i="7"/>
  <c r="D3684" i="7"/>
  <c r="J3683" i="7"/>
  <c r="H3683" i="7"/>
  <c r="F3683" i="7"/>
  <c r="D3683" i="7"/>
  <c r="J3682" i="7"/>
  <c r="H3682" i="7"/>
  <c r="F3682" i="7"/>
  <c r="D3682" i="7"/>
  <c r="J3681" i="7"/>
  <c r="H3681" i="7"/>
  <c r="F3681" i="7"/>
  <c r="D3681" i="7"/>
  <c r="J3680" i="7"/>
  <c r="H3680" i="7"/>
  <c r="F3680" i="7"/>
  <c r="D3680" i="7"/>
  <c r="J3679" i="7"/>
  <c r="H3679" i="7"/>
  <c r="F3679" i="7"/>
  <c r="D3679" i="7"/>
  <c r="J3678" i="7"/>
  <c r="H3678" i="7"/>
  <c r="F3678" i="7"/>
  <c r="D3678" i="7"/>
  <c r="J3677" i="7"/>
  <c r="H3677" i="7"/>
  <c r="D3677" i="7"/>
  <c r="J3676" i="7"/>
  <c r="H3676" i="7"/>
  <c r="D3676" i="7"/>
  <c r="J3675" i="7"/>
  <c r="H3675" i="7"/>
  <c r="D3675" i="7"/>
  <c r="J3674" i="7"/>
  <c r="H3674" i="7"/>
  <c r="D3674" i="7"/>
  <c r="J3673" i="7"/>
  <c r="H3673" i="7"/>
  <c r="D3673" i="7"/>
  <c r="J3672" i="7"/>
  <c r="H3672" i="7"/>
  <c r="D3672" i="7"/>
  <c r="J3671" i="7"/>
  <c r="H3671" i="7"/>
  <c r="D3671" i="7"/>
  <c r="J3670" i="7"/>
  <c r="H3670" i="7"/>
  <c r="D3670" i="7"/>
  <c r="J3669" i="7"/>
  <c r="H3669" i="7"/>
  <c r="D3669" i="7"/>
  <c r="J3668" i="7"/>
  <c r="H3668" i="7"/>
  <c r="D3668" i="7"/>
  <c r="J3667" i="7"/>
  <c r="H3667" i="7"/>
  <c r="D3667" i="7"/>
  <c r="J3666" i="7"/>
  <c r="H3666" i="7"/>
  <c r="D3666" i="7"/>
  <c r="J3665" i="7"/>
  <c r="H3665" i="7"/>
  <c r="D3665" i="7"/>
  <c r="J3664" i="7"/>
  <c r="H3664" i="7"/>
  <c r="D3664" i="7"/>
  <c r="J3663" i="7"/>
  <c r="H3663" i="7"/>
  <c r="D3663" i="7"/>
  <c r="J3662" i="7"/>
  <c r="H3662" i="7"/>
  <c r="D3662" i="7"/>
  <c r="J3661" i="7"/>
  <c r="H3661" i="7"/>
  <c r="D3661" i="7"/>
  <c r="J3660" i="7"/>
  <c r="H3660" i="7"/>
  <c r="D3660" i="7"/>
  <c r="J3659" i="7"/>
  <c r="H3659" i="7"/>
  <c r="D3659" i="7"/>
  <c r="D3658" i="7"/>
  <c r="J3657" i="7"/>
  <c r="H3657" i="7"/>
  <c r="D3657" i="7"/>
  <c r="J3656" i="7"/>
  <c r="H3656" i="7"/>
  <c r="D3656" i="7"/>
  <c r="J3655" i="7"/>
  <c r="H3655" i="7"/>
  <c r="D3655" i="7"/>
  <c r="H3654" i="7"/>
  <c r="D3654" i="7"/>
  <c r="J3653" i="7"/>
  <c r="H3653" i="7"/>
  <c r="D3653" i="7"/>
  <c r="J3652" i="7"/>
  <c r="H3652" i="7"/>
  <c r="D3652" i="7"/>
  <c r="J3651" i="7"/>
  <c r="H3651" i="7"/>
  <c r="D3651" i="7"/>
  <c r="J3650" i="7"/>
  <c r="H3650" i="7"/>
  <c r="F3650" i="7"/>
  <c r="D3650" i="7"/>
  <c r="J3649" i="7"/>
  <c r="H3649" i="7"/>
  <c r="F3649" i="7"/>
  <c r="D3649" i="7"/>
  <c r="J3648" i="7"/>
  <c r="H3648" i="7"/>
  <c r="F3648" i="7"/>
  <c r="D3648" i="7"/>
  <c r="J3647" i="7"/>
  <c r="H3647" i="7"/>
  <c r="F3647" i="7"/>
  <c r="D3647" i="7"/>
  <c r="J3646" i="7"/>
  <c r="H3646" i="7"/>
  <c r="F3646" i="7"/>
  <c r="D3646" i="7"/>
  <c r="J3645" i="7"/>
  <c r="H3645" i="7"/>
  <c r="F3645" i="7"/>
  <c r="D3645" i="7"/>
  <c r="J3644" i="7"/>
  <c r="H3644" i="7"/>
  <c r="F3644" i="7"/>
  <c r="D3644" i="7"/>
  <c r="J3643" i="7"/>
  <c r="H3643" i="7"/>
  <c r="F3643" i="7"/>
  <c r="D3643" i="7"/>
  <c r="J3642" i="7"/>
  <c r="H3642" i="7"/>
  <c r="F3642" i="7"/>
  <c r="D3642" i="7"/>
  <c r="J3641" i="7"/>
  <c r="H3641" i="7"/>
  <c r="F3641" i="7"/>
  <c r="D3641" i="7"/>
  <c r="J3640" i="7"/>
  <c r="H3640" i="7"/>
  <c r="F3640" i="7"/>
  <c r="D3640" i="7"/>
  <c r="J3639" i="7"/>
  <c r="H3639" i="7"/>
  <c r="F3639" i="7"/>
  <c r="D3639" i="7"/>
  <c r="J3638" i="7"/>
  <c r="H3638" i="7"/>
  <c r="F3638" i="7"/>
  <c r="D3638" i="7"/>
  <c r="J3637" i="7"/>
  <c r="H3637" i="7"/>
  <c r="F3637" i="7"/>
  <c r="D3637" i="7"/>
  <c r="J3636" i="7"/>
  <c r="H3636" i="7"/>
  <c r="F3636" i="7"/>
  <c r="D3636" i="7"/>
  <c r="J3635" i="7"/>
  <c r="H3635" i="7"/>
  <c r="F3635" i="7"/>
  <c r="D3635" i="7"/>
  <c r="J3634" i="7"/>
  <c r="H3634" i="7"/>
  <c r="F3634" i="7"/>
  <c r="D3634" i="7"/>
  <c r="J3633" i="7"/>
  <c r="H3633" i="7"/>
  <c r="F3633" i="7"/>
  <c r="D3633" i="7"/>
  <c r="J3632" i="7"/>
  <c r="H3632" i="7"/>
  <c r="F3632" i="7"/>
  <c r="D3632" i="7"/>
  <c r="J3631" i="7"/>
  <c r="D3631" i="7"/>
  <c r="J3630" i="7"/>
  <c r="H3630" i="7"/>
  <c r="D3630" i="7"/>
  <c r="J3629" i="7"/>
  <c r="H3629" i="7"/>
  <c r="D3629" i="7"/>
  <c r="J3628" i="7"/>
  <c r="H3628" i="7"/>
  <c r="D3628" i="7"/>
  <c r="J3627" i="7"/>
  <c r="H3627" i="7"/>
  <c r="D3627" i="7"/>
  <c r="J3626" i="7"/>
  <c r="H3626" i="7"/>
  <c r="D3626" i="7"/>
  <c r="J3625" i="7"/>
  <c r="H3625" i="7"/>
  <c r="D3625" i="7"/>
  <c r="J3624" i="7"/>
  <c r="D3624" i="7"/>
  <c r="J3623" i="7"/>
  <c r="H3623" i="7"/>
  <c r="D3623" i="7"/>
  <c r="J3622" i="7"/>
  <c r="H3622" i="7"/>
  <c r="D3622" i="7"/>
  <c r="J3621" i="7"/>
  <c r="H3621" i="7"/>
  <c r="D3621" i="7"/>
  <c r="J3620" i="7"/>
  <c r="D3620" i="7"/>
  <c r="J3619" i="7"/>
  <c r="D3619" i="7"/>
  <c r="J3618" i="7"/>
  <c r="D3618" i="7"/>
  <c r="J3617" i="7"/>
  <c r="D3617" i="7"/>
  <c r="J3616" i="7"/>
  <c r="D3616" i="7"/>
  <c r="J3615" i="7"/>
  <c r="D3615" i="7"/>
  <c r="J3614" i="7"/>
  <c r="D3614" i="7"/>
  <c r="J3613" i="7"/>
  <c r="H3613" i="7"/>
  <c r="D3613" i="7"/>
  <c r="J3612" i="7"/>
  <c r="D3612" i="7"/>
  <c r="J3611" i="7"/>
  <c r="H3611" i="7"/>
  <c r="D3611" i="7"/>
  <c r="H3610" i="7"/>
  <c r="D3120" i="7"/>
  <c r="D3119" i="7"/>
  <c r="D3118" i="7"/>
  <c r="D3117" i="7"/>
  <c r="D3116" i="7"/>
  <c r="D3115" i="7"/>
  <c r="D3114" i="7"/>
  <c r="D3113" i="7"/>
  <c r="D3112" i="7"/>
  <c r="D3111" i="7"/>
  <c r="D3110" i="7"/>
  <c r="D3109" i="7"/>
  <c r="D3108" i="7"/>
  <c r="D3107" i="7"/>
  <c r="D3106" i="7"/>
  <c r="D3105" i="7"/>
  <c r="D3104" i="7"/>
  <c r="D3103" i="7"/>
  <c r="D3102" i="7"/>
  <c r="D3101" i="7"/>
  <c r="D3100" i="7"/>
  <c r="D3099" i="7"/>
  <c r="D3098" i="7"/>
  <c r="D3097" i="7"/>
  <c r="D3096" i="7"/>
  <c r="D3095" i="7"/>
  <c r="D3094" i="7"/>
  <c r="D3093" i="7"/>
  <c r="D3092" i="7"/>
  <c r="D3091" i="7"/>
  <c r="D3090" i="7"/>
  <c r="D3089" i="7"/>
  <c r="D3088" i="7"/>
  <c r="D3087" i="7"/>
  <c r="D3086" i="7"/>
  <c r="D3085" i="7"/>
  <c r="D3084" i="7"/>
  <c r="D3083" i="7"/>
  <c r="D3082" i="7"/>
  <c r="D3081" i="7"/>
  <c r="D3080" i="7"/>
  <c r="D3079" i="7"/>
  <c r="D3078" i="7"/>
  <c r="D3077" i="7"/>
  <c r="D3076" i="7"/>
  <c r="D3075" i="7"/>
  <c r="D3074" i="7"/>
  <c r="D3073" i="7"/>
  <c r="D3072" i="7"/>
  <c r="D3071" i="7"/>
  <c r="D3070" i="7"/>
  <c r="D3069" i="7"/>
  <c r="D3068" i="7"/>
  <c r="D3067" i="7"/>
  <c r="D3066" i="7"/>
  <c r="D3065" i="7"/>
  <c r="D3064" i="7"/>
  <c r="D3063" i="7"/>
  <c r="D3062" i="7"/>
  <c r="D3061" i="7"/>
  <c r="D3060" i="7"/>
  <c r="D3059" i="7"/>
  <c r="D3058" i="7"/>
  <c r="D3057" i="7"/>
  <c r="D3056" i="7"/>
  <c r="D3055" i="7"/>
  <c r="D3054" i="7"/>
  <c r="D3053" i="7"/>
  <c r="D3052" i="7"/>
  <c r="D3051" i="7"/>
  <c r="D3050" i="7"/>
  <c r="D3049" i="7"/>
  <c r="D3048" i="7"/>
  <c r="D3047" i="7"/>
  <c r="D3046" i="7"/>
  <c r="D3045" i="7"/>
  <c r="D3044" i="7"/>
  <c r="D3043" i="7"/>
  <c r="D3042" i="7"/>
  <c r="D3041" i="7"/>
  <c r="D3040" i="7"/>
  <c r="D3039" i="7"/>
  <c r="D3038" i="7"/>
  <c r="D3037" i="7"/>
  <c r="D3036" i="7"/>
  <c r="D3035" i="7"/>
  <c r="D3034" i="7"/>
  <c r="D3033" i="7"/>
  <c r="D3032" i="7"/>
  <c r="D3031" i="7"/>
  <c r="D3030" i="7"/>
  <c r="D3029" i="7"/>
  <c r="D3028" i="7"/>
  <c r="D3027" i="7"/>
  <c r="D3026" i="7"/>
  <c r="D3025" i="7"/>
  <c r="D3024" i="7"/>
  <c r="D3023" i="7"/>
  <c r="D3022" i="7"/>
  <c r="D3021" i="7"/>
  <c r="D3020" i="7"/>
  <c r="D3019" i="7"/>
  <c r="D3018" i="7"/>
  <c r="D3017" i="7"/>
  <c r="D3016" i="7"/>
  <c r="D3015" i="7"/>
  <c r="D3014" i="7"/>
  <c r="D3013" i="7"/>
  <c r="D3012" i="7"/>
  <c r="D3011" i="7"/>
  <c r="D3010" i="7"/>
  <c r="D3009" i="7"/>
  <c r="D3008" i="7"/>
  <c r="D3007" i="7"/>
  <c r="D3006" i="7"/>
  <c r="D3005" i="7"/>
  <c r="D3004" i="7"/>
  <c r="D3003" i="7"/>
  <c r="D3002" i="7"/>
  <c r="D3001" i="7"/>
  <c r="D3000" i="7"/>
  <c r="D2999" i="7"/>
  <c r="D2998" i="7"/>
  <c r="D2997" i="7"/>
  <c r="D2996" i="7"/>
  <c r="D2995" i="7"/>
  <c r="D2994" i="7"/>
  <c r="D2993" i="7"/>
  <c r="D2992" i="7"/>
  <c r="D2991" i="7"/>
  <c r="D2990" i="7"/>
  <c r="D2989" i="7"/>
  <c r="D2988" i="7"/>
  <c r="D2987" i="7"/>
  <c r="D2986" i="7"/>
  <c r="D2985" i="7"/>
  <c r="D2984" i="7"/>
  <c r="D2983" i="7"/>
  <c r="D2982" i="7"/>
  <c r="D2981" i="7"/>
  <c r="D2980" i="7"/>
  <c r="D2979" i="7"/>
  <c r="D2978" i="7"/>
  <c r="D2977" i="7"/>
  <c r="D2976" i="7"/>
  <c r="D2975" i="7"/>
  <c r="D2974" i="7"/>
  <c r="D2973" i="7"/>
  <c r="D2972" i="7"/>
  <c r="D2971" i="7"/>
  <c r="D2970" i="7"/>
  <c r="D2969" i="7"/>
  <c r="D2968" i="7"/>
  <c r="D2967" i="7"/>
  <c r="D2966" i="7"/>
  <c r="D2965" i="7"/>
  <c r="D2964" i="7"/>
  <c r="D2963" i="7"/>
  <c r="D2962" i="7"/>
  <c r="D2961" i="7"/>
  <c r="D2960" i="7"/>
  <c r="D2959" i="7"/>
  <c r="D2958" i="7"/>
  <c r="D2957" i="7"/>
  <c r="D2956" i="7"/>
  <c r="D2955" i="7"/>
  <c r="D2954" i="7"/>
  <c r="D2953" i="7"/>
  <c r="D2952" i="7"/>
  <c r="D2951" i="7"/>
  <c r="D2950" i="7"/>
  <c r="D2949" i="7"/>
  <c r="D2948" i="7"/>
  <c r="D2947" i="7"/>
  <c r="D2946" i="7"/>
  <c r="D2945" i="7"/>
  <c r="D2944" i="7"/>
  <c r="D2943" i="7"/>
  <c r="D2942" i="7"/>
  <c r="D2941" i="7"/>
  <c r="D2940" i="7"/>
  <c r="D2939" i="7"/>
  <c r="D2938" i="7"/>
  <c r="D2937" i="7"/>
  <c r="D2936" i="7"/>
  <c r="D2935" i="7"/>
  <c r="D2934" i="7"/>
  <c r="D2933" i="7"/>
  <c r="D2932" i="7"/>
  <c r="D2931" i="7"/>
  <c r="D2930" i="7"/>
  <c r="D2929" i="7"/>
  <c r="D2928" i="7"/>
  <c r="D2927" i="7"/>
  <c r="D2926" i="7"/>
  <c r="D2925" i="7"/>
  <c r="D2924" i="7"/>
  <c r="D2923" i="7"/>
  <c r="D2922" i="7"/>
  <c r="D2921" i="7"/>
  <c r="D2920" i="7"/>
  <c r="D2919" i="7"/>
  <c r="D2918" i="7"/>
  <c r="D2917" i="7"/>
  <c r="D2916" i="7"/>
  <c r="D2915" i="7"/>
  <c r="D2914" i="7"/>
  <c r="D2913" i="7"/>
  <c r="D2912" i="7"/>
  <c r="D2911" i="7"/>
  <c r="D2910" i="7"/>
  <c r="D2909" i="7"/>
  <c r="D2908" i="7"/>
  <c r="D2907" i="7"/>
  <c r="D2906" i="7"/>
  <c r="D2905" i="7"/>
  <c r="D2904" i="7"/>
  <c r="D2903" i="7"/>
  <c r="D2902" i="7"/>
  <c r="D2901" i="7"/>
  <c r="D2900" i="7"/>
  <c r="D2899" i="7"/>
  <c r="D2898" i="7"/>
  <c r="D2897" i="7"/>
  <c r="D2896" i="7"/>
  <c r="D2895" i="7"/>
  <c r="D2894" i="7"/>
  <c r="D2893" i="7"/>
  <c r="D2892" i="7"/>
  <c r="D2891" i="7"/>
  <c r="D2890" i="7"/>
  <c r="D2889" i="7"/>
  <c r="D2888" i="7"/>
  <c r="D2887" i="7"/>
  <c r="D2886" i="7"/>
  <c r="D2885" i="7"/>
  <c r="D2884" i="7"/>
  <c r="D2883" i="7"/>
  <c r="D2882" i="7"/>
  <c r="D2881" i="7"/>
  <c r="D2880" i="7"/>
  <c r="D2879" i="7"/>
  <c r="D2878" i="7"/>
  <c r="D2877" i="7"/>
  <c r="D2876" i="7"/>
  <c r="D2875" i="7"/>
  <c r="D2874" i="7"/>
  <c r="D2873" i="7"/>
  <c r="D2872" i="7"/>
  <c r="D2871" i="7"/>
  <c r="D2870" i="7"/>
  <c r="D2869" i="7"/>
  <c r="D2868" i="7"/>
  <c r="D2867" i="7"/>
  <c r="D2866" i="7"/>
  <c r="D2865" i="7"/>
  <c r="D2864" i="7"/>
  <c r="D2863" i="7"/>
  <c r="D2862" i="7"/>
  <c r="D2861" i="7"/>
  <c r="D2860" i="7"/>
  <c r="D2859" i="7"/>
  <c r="D2858" i="7"/>
  <c r="D2857" i="7"/>
  <c r="D2856" i="7"/>
  <c r="D2855" i="7"/>
  <c r="D2854" i="7"/>
  <c r="D2853" i="7"/>
  <c r="D2852" i="7"/>
  <c r="D2851" i="7"/>
  <c r="D2850" i="7"/>
  <c r="D2849" i="7"/>
  <c r="D2848" i="7"/>
  <c r="D2847" i="7"/>
  <c r="D2846" i="7"/>
  <c r="D2845" i="7"/>
  <c r="D2844" i="7"/>
  <c r="D2843" i="7"/>
  <c r="D2842" i="7"/>
  <c r="D2841" i="7"/>
  <c r="D2840" i="7"/>
  <c r="D2839" i="7"/>
  <c r="D2838" i="7"/>
  <c r="D2837" i="7"/>
  <c r="D2836" i="7"/>
  <c r="D2835" i="7"/>
  <c r="D2834" i="7"/>
  <c r="D2833" i="7"/>
  <c r="D2832" i="7"/>
  <c r="D2831" i="7"/>
  <c r="D2830" i="7"/>
  <c r="D2829" i="7"/>
  <c r="D2828" i="7"/>
  <c r="D2827" i="7"/>
  <c r="D2826" i="7"/>
  <c r="D2825" i="7"/>
  <c r="D2824" i="7"/>
  <c r="D2823" i="7"/>
  <c r="D2822" i="7"/>
  <c r="D2821" i="7"/>
  <c r="D2820" i="7"/>
  <c r="D2819" i="7"/>
  <c r="D2818" i="7"/>
  <c r="D2817" i="7"/>
  <c r="D2816" i="7"/>
  <c r="D2815" i="7"/>
  <c r="D2814" i="7"/>
  <c r="D2813" i="7"/>
  <c r="D2812" i="7"/>
  <c r="D2811" i="7"/>
  <c r="D2810" i="7"/>
  <c r="D2809" i="7"/>
  <c r="D2808" i="7"/>
  <c r="D2807" i="7"/>
  <c r="D2806" i="7"/>
  <c r="D2805" i="7"/>
  <c r="D2804" i="7"/>
  <c r="D2803" i="7"/>
  <c r="D2802" i="7"/>
  <c r="D2801" i="7"/>
  <c r="D2800" i="7"/>
  <c r="D2799" i="7"/>
  <c r="D2798" i="7"/>
  <c r="D2797" i="7"/>
  <c r="D2796" i="7"/>
  <c r="D2795" i="7"/>
  <c r="D2794" i="7"/>
  <c r="D2793" i="7"/>
  <c r="D2792" i="7"/>
  <c r="D2791" i="7"/>
  <c r="D2790" i="7"/>
  <c r="D2789" i="7"/>
  <c r="D2788" i="7"/>
  <c r="D2787" i="7"/>
  <c r="D2786" i="7"/>
  <c r="D2785" i="7"/>
  <c r="D2784" i="7"/>
  <c r="D2783" i="7"/>
  <c r="D2782" i="7"/>
  <c r="D2781" i="7"/>
  <c r="D2780" i="7"/>
  <c r="D2779" i="7"/>
  <c r="D2778" i="7"/>
  <c r="D2777" i="7"/>
  <c r="D2776" i="7"/>
  <c r="D2775" i="7"/>
  <c r="D2774" i="7"/>
  <c r="D2773" i="7"/>
  <c r="D2772" i="7"/>
  <c r="D2771" i="7"/>
  <c r="D2770" i="7"/>
  <c r="D2769" i="7"/>
  <c r="D2768" i="7"/>
  <c r="D2767" i="7"/>
  <c r="D2766" i="7"/>
  <c r="D2765" i="7"/>
  <c r="D2764" i="7"/>
  <c r="D2763" i="7"/>
  <c r="D2762" i="7"/>
  <c r="D2761" i="7"/>
  <c r="D2760" i="7"/>
  <c r="D2759" i="7"/>
  <c r="D2758" i="7"/>
  <c r="D2757" i="7"/>
  <c r="D2756" i="7"/>
  <c r="D2755" i="7"/>
  <c r="D2754" i="7"/>
  <c r="D2753" i="7"/>
  <c r="D2752" i="7"/>
  <c r="D2751" i="7"/>
  <c r="D2750" i="7"/>
  <c r="D2749" i="7"/>
  <c r="D2748" i="7"/>
  <c r="D2747" i="7"/>
  <c r="D2746" i="7"/>
  <c r="D2745" i="7"/>
  <c r="D2744" i="7"/>
  <c r="D2743" i="7"/>
  <c r="D2742" i="7"/>
  <c r="D2741" i="7"/>
  <c r="D2740" i="7"/>
  <c r="D2739" i="7"/>
  <c r="D2738" i="7"/>
  <c r="D2737" i="7"/>
  <c r="D2736" i="7"/>
  <c r="D2735" i="7"/>
  <c r="D2734" i="7"/>
  <c r="D2733" i="7"/>
  <c r="D2732" i="7"/>
  <c r="D2731" i="7"/>
  <c r="D2730" i="7"/>
  <c r="D2729" i="7"/>
  <c r="D2728" i="7"/>
  <c r="D2727" i="7"/>
  <c r="D2726" i="7"/>
  <c r="D2725" i="7"/>
  <c r="D2724" i="7"/>
  <c r="D2723" i="7"/>
  <c r="D2722" i="7"/>
  <c r="D2721" i="7"/>
  <c r="D2720" i="7"/>
  <c r="D2719" i="7"/>
  <c r="D2718" i="7"/>
  <c r="D2717" i="7"/>
  <c r="D2716" i="7"/>
  <c r="D2715" i="7"/>
  <c r="D2714" i="7"/>
  <c r="D2713" i="7"/>
  <c r="D2712" i="7"/>
  <c r="D2711" i="7"/>
  <c r="D2710" i="7"/>
  <c r="D2709" i="7"/>
  <c r="D2708" i="7"/>
  <c r="D2707" i="7"/>
  <c r="D2706" i="7"/>
  <c r="D2705" i="7"/>
  <c r="D2704" i="7"/>
  <c r="D2703" i="7"/>
  <c r="D2702" i="7"/>
  <c r="D2701" i="7"/>
  <c r="D2700" i="7"/>
  <c r="D2699" i="7"/>
  <c r="D2698" i="7"/>
  <c r="D2697" i="7"/>
  <c r="D2696" i="7"/>
  <c r="D2695" i="7"/>
  <c r="D2694" i="7"/>
  <c r="D2693" i="7"/>
  <c r="D2692" i="7"/>
  <c r="D2691" i="7"/>
  <c r="D2690" i="7"/>
  <c r="D2689" i="7"/>
  <c r="D2688" i="7"/>
  <c r="D2687" i="7"/>
  <c r="D2686" i="7"/>
  <c r="D2685" i="7"/>
  <c r="D2684" i="7"/>
  <c r="D2683" i="7"/>
  <c r="D2682" i="7"/>
  <c r="D2681" i="7"/>
  <c r="D2680" i="7"/>
  <c r="D2679" i="7"/>
  <c r="D2678" i="7"/>
  <c r="D2677" i="7"/>
  <c r="D2676" i="7"/>
  <c r="D2675" i="7"/>
  <c r="D2674" i="7"/>
  <c r="D2673" i="7"/>
  <c r="D2672" i="7"/>
  <c r="D2671" i="7"/>
  <c r="D2670" i="7"/>
  <c r="D2669" i="7"/>
  <c r="D2668" i="7"/>
  <c r="D2667" i="7"/>
  <c r="D2666" i="7"/>
  <c r="D2665" i="7"/>
  <c r="D2664" i="7"/>
  <c r="D2663" i="7"/>
  <c r="D2662" i="7"/>
  <c r="D2661" i="7"/>
  <c r="D2660" i="7"/>
  <c r="D2659" i="7"/>
  <c r="D2658" i="7"/>
  <c r="D2657" i="7"/>
  <c r="D2656" i="7"/>
  <c r="D2655" i="7"/>
  <c r="D2654" i="7"/>
  <c r="D2653" i="7"/>
  <c r="D2652" i="7"/>
  <c r="D2651" i="7"/>
  <c r="D2650" i="7"/>
  <c r="D2649" i="7"/>
  <c r="D2648" i="7"/>
  <c r="D2647" i="7"/>
  <c r="D2646" i="7"/>
  <c r="D2645" i="7"/>
  <c r="D2644" i="7"/>
  <c r="D2643" i="7"/>
  <c r="D2642" i="7"/>
  <c r="D2641" i="7"/>
  <c r="D2640" i="7"/>
  <c r="D2639" i="7"/>
  <c r="D2638" i="7"/>
  <c r="D2637" i="7"/>
  <c r="D2636" i="7"/>
  <c r="D2635" i="7"/>
  <c r="D2634" i="7"/>
  <c r="D2633" i="7"/>
  <c r="D2632" i="7"/>
  <c r="D2631" i="7"/>
  <c r="D2630" i="7"/>
  <c r="D2629" i="7"/>
  <c r="D2628" i="7"/>
  <c r="D2627" i="7"/>
  <c r="D2626" i="7"/>
  <c r="D2625" i="7"/>
  <c r="D2624" i="7"/>
  <c r="D2623" i="7"/>
  <c r="D2622" i="7"/>
  <c r="D2621" i="7"/>
  <c r="D2620" i="7"/>
  <c r="D2619" i="7"/>
  <c r="D2618" i="7"/>
  <c r="D2617" i="7"/>
  <c r="D2616" i="7"/>
  <c r="D2615" i="7"/>
  <c r="D2614" i="7"/>
  <c r="D2613" i="7"/>
  <c r="D2612" i="7"/>
  <c r="D2611" i="7"/>
  <c r="D2610" i="7"/>
  <c r="D2609" i="7"/>
  <c r="D2608" i="7"/>
  <c r="D2607" i="7"/>
  <c r="D2606" i="7"/>
  <c r="D2605" i="7"/>
  <c r="D2604" i="7"/>
  <c r="D2603" i="7"/>
  <c r="D2602" i="7"/>
  <c r="D2601" i="7"/>
  <c r="D2600" i="7"/>
  <c r="D2599" i="7"/>
  <c r="D2598" i="7"/>
  <c r="D2597" i="7"/>
  <c r="D2596" i="7"/>
  <c r="D2595" i="7"/>
  <c r="D2594" i="7"/>
  <c r="D2593" i="7"/>
  <c r="D2592" i="7"/>
  <c r="D2591" i="7"/>
  <c r="D2590" i="7"/>
  <c r="D2589" i="7"/>
  <c r="D2588" i="7"/>
  <c r="D2587" i="7"/>
  <c r="D2586" i="7"/>
  <c r="D2585" i="7"/>
  <c r="D3349" i="7" l="1"/>
  <c r="D3350" i="7"/>
  <c r="D3351" i="7"/>
  <c r="D3352" i="7"/>
  <c r="D3353" i="7"/>
  <c r="D3354" i="7"/>
  <c r="D3355" i="7"/>
  <c r="D3356" i="7"/>
  <c r="D3357" i="7"/>
  <c r="D3358" i="7"/>
  <c r="D3359" i="7"/>
  <c r="D3360" i="7"/>
  <c r="D3361" i="7"/>
  <c r="D3362" i="7"/>
  <c r="D3363" i="7"/>
  <c r="D3364" i="7"/>
  <c r="D3365" i="7"/>
  <c r="D3366" i="7"/>
  <c r="D3367" i="7"/>
  <c r="D3368" i="7"/>
  <c r="D3369" i="7"/>
  <c r="D3370" i="7"/>
  <c r="D3371" i="7"/>
  <c r="D3372" i="7"/>
  <c r="D3373" i="7"/>
  <c r="D3374" i="7"/>
  <c r="D3375" i="7"/>
  <c r="D3376" i="7"/>
  <c r="D3377" i="7"/>
  <c r="D3378" i="7"/>
  <c r="D3379" i="7"/>
  <c r="D3380" i="7"/>
  <c r="D3381" i="7"/>
  <c r="D3382" i="7"/>
  <c r="D3383" i="7"/>
  <c r="D3384" i="7"/>
  <c r="D3385" i="7"/>
  <c r="D3386" i="7"/>
  <c r="D3387" i="7"/>
  <c r="D3388" i="7"/>
  <c r="D3389" i="7"/>
  <c r="D3390" i="7"/>
  <c r="D3391" i="7"/>
  <c r="D3392" i="7"/>
  <c r="D3393" i="7"/>
  <c r="D3394" i="7"/>
  <c r="D3395" i="7"/>
  <c r="D3396" i="7"/>
  <c r="D3397" i="7"/>
  <c r="D3398" i="7"/>
  <c r="D3399" i="7"/>
  <c r="D3400" i="7"/>
  <c r="D3401" i="7"/>
  <c r="D3402" i="7"/>
  <c r="D3403" i="7"/>
  <c r="D3404" i="7"/>
  <c r="D3405" i="7"/>
  <c r="D3406" i="7"/>
  <c r="D3407" i="7"/>
  <c r="D3408" i="7"/>
  <c r="D3409" i="7"/>
  <c r="D3410" i="7"/>
  <c r="D3411" i="7"/>
  <c r="D3412" i="7"/>
  <c r="D3413" i="7"/>
  <c r="D3414" i="7"/>
  <c r="D3415" i="7"/>
  <c r="D3416" i="7"/>
  <c r="D3417" i="7"/>
  <c r="D3418" i="7"/>
  <c r="D3419" i="7"/>
  <c r="D3420" i="7"/>
  <c r="D3421" i="7"/>
  <c r="D3422" i="7"/>
  <c r="D3423" i="7"/>
  <c r="D3424" i="7"/>
  <c r="D3425" i="7"/>
  <c r="D3426" i="7"/>
  <c r="D3427" i="7"/>
  <c r="D3428" i="7"/>
  <c r="D3429" i="7"/>
  <c r="D3430" i="7"/>
  <c r="D3431" i="7"/>
  <c r="D3432" i="7"/>
  <c r="D3433" i="7"/>
  <c r="D3434" i="7"/>
  <c r="D3435" i="7"/>
  <c r="D3436" i="7"/>
  <c r="D3437" i="7"/>
  <c r="D3438" i="7"/>
  <c r="D3439" i="7"/>
  <c r="D3440" i="7"/>
  <c r="D3441" i="7"/>
  <c r="D3442" i="7"/>
  <c r="D3443" i="7"/>
  <c r="D3444" i="7"/>
  <c r="D3445" i="7"/>
  <c r="D3446" i="7"/>
  <c r="D3447" i="7"/>
  <c r="D3448" i="7"/>
  <c r="D3449" i="7"/>
  <c r="D3450" i="7"/>
  <c r="D3451" i="7"/>
  <c r="D3452" i="7"/>
  <c r="D3453" i="7"/>
  <c r="D3454" i="7"/>
  <c r="D3455" i="7"/>
  <c r="D3456" i="7"/>
  <c r="D3457" i="7"/>
  <c r="D3458" i="7"/>
  <c r="D3459" i="7"/>
  <c r="D3460" i="7"/>
  <c r="D3461" i="7"/>
  <c r="D3462" i="7"/>
  <c r="D3463" i="7"/>
  <c r="D3464" i="7"/>
  <c r="D3465" i="7"/>
  <c r="D3466" i="7"/>
  <c r="D3467" i="7"/>
  <c r="D3468" i="7"/>
  <c r="D3469" i="7"/>
  <c r="D3470" i="7"/>
  <c r="D3471" i="7"/>
  <c r="D3472" i="7"/>
  <c r="D3473" i="7"/>
  <c r="D3474" i="7"/>
  <c r="D3475" i="7"/>
  <c r="D3476" i="7"/>
  <c r="D3477" i="7"/>
  <c r="D3478" i="7"/>
  <c r="D3479" i="7"/>
  <c r="D3480" i="7"/>
  <c r="D3481" i="7"/>
  <c r="D3482" i="7"/>
  <c r="D3483" i="7"/>
  <c r="D3484" i="7"/>
  <c r="D3485" i="7"/>
  <c r="D3486" i="7"/>
  <c r="D3487" i="7"/>
  <c r="D3488" i="7"/>
  <c r="D3489" i="7"/>
  <c r="D3490" i="7"/>
  <c r="D3491" i="7"/>
  <c r="D3492" i="7"/>
  <c r="D3493" i="7"/>
  <c r="D3494" i="7"/>
  <c r="D3495" i="7"/>
  <c r="D3496" i="7"/>
  <c r="D3497" i="7"/>
  <c r="D3498" i="7"/>
  <c r="D3499" i="7"/>
  <c r="D3500" i="7"/>
  <c r="D3501" i="7"/>
  <c r="D3502" i="7"/>
  <c r="D3503" i="7"/>
  <c r="D3504" i="7"/>
  <c r="D3505" i="7"/>
  <c r="D3506" i="7"/>
  <c r="D3507" i="7"/>
  <c r="D3508" i="7"/>
  <c r="D3509" i="7"/>
  <c r="D3510" i="7"/>
  <c r="D3511" i="7"/>
  <c r="D3512" i="7"/>
  <c r="D3513" i="7"/>
  <c r="D3514" i="7"/>
  <c r="D3515" i="7"/>
  <c r="D3516" i="7"/>
  <c r="D3517" i="7"/>
  <c r="D3518" i="7"/>
  <c r="D3519" i="7"/>
  <c r="D3520" i="7"/>
  <c r="D3521" i="7"/>
  <c r="D3522" i="7"/>
  <c r="D3523" i="7"/>
  <c r="D3524" i="7"/>
  <c r="D3525" i="7"/>
  <c r="D3526" i="7"/>
  <c r="D3527" i="7"/>
  <c r="D3528" i="7"/>
  <c r="D3529" i="7"/>
  <c r="D3530" i="7"/>
  <c r="D3531" i="7"/>
  <c r="D3532" i="7"/>
  <c r="D3533" i="7"/>
  <c r="D3534" i="7"/>
  <c r="D3535" i="7"/>
  <c r="D3536" i="7"/>
  <c r="D3537" i="7"/>
  <c r="D3538" i="7"/>
  <c r="D3539" i="7"/>
  <c r="D3540" i="7"/>
  <c r="D3541" i="7"/>
  <c r="D3542" i="7"/>
  <c r="D3543" i="7"/>
  <c r="D3544" i="7"/>
  <c r="D3545" i="7"/>
  <c r="D3546" i="7"/>
  <c r="D3547" i="7"/>
  <c r="D3548" i="7"/>
  <c r="D3549" i="7"/>
  <c r="D3550" i="7"/>
  <c r="D3551" i="7"/>
  <c r="D3552" i="7"/>
  <c r="D3553" i="7"/>
  <c r="D3554" i="7"/>
  <c r="D3555" i="7"/>
  <c r="D3556" i="7"/>
  <c r="D3557" i="7"/>
  <c r="D3558" i="7"/>
  <c r="D3559" i="7"/>
  <c r="D3560" i="7"/>
  <c r="D3561" i="7"/>
  <c r="D3562" i="7"/>
  <c r="D3563" i="7"/>
  <c r="D3564" i="7"/>
  <c r="D3565" i="7"/>
  <c r="D3566" i="7"/>
  <c r="D3567" i="7"/>
  <c r="D3568" i="7"/>
  <c r="D3569" i="7"/>
  <c r="D3570" i="7"/>
  <c r="D3571" i="7"/>
  <c r="D3572" i="7"/>
  <c r="D3573" i="7"/>
  <c r="D3574" i="7"/>
  <c r="D3575" i="7"/>
  <c r="D3576" i="7"/>
  <c r="D3577" i="7"/>
  <c r="D3578" i="7"/>
  <c r="D3579" i="7"/>
  <c r="D3580" i="7"/>
  <c r="D3581" i="7"/>
  <c r="D3582" i="7"/>
  <c r="D3583" i="7"/>
  <c r="D3584" i="7"/>
  <c r="D3585" i="7"/>
  <c r="D3586" i="7"/>
  <c r="D3587" i="7"/>
  <c r="D3588" i="7"/>
  <c r="D3589" i="7"/>
  <c r="D3590" i="7"/>
  <c r="D3591" i="7"/>
  <c r="D3592" i="7"/>
  <c r="D3593" i="7"/>
  <c r="D3594" i="7"/>
  <c r="D3595" i="7"/>
  <c r="D1604" i="7" l="1"/>
  <c r="D1605" i="7"/>
  <c r="D1606" i="7"/>
  <c r="D1607" i="7"/>
  <c r="D1608" i="7"/>
  <c r="D1609" i="7"/>
  <c r="D1610" i="7"/>
  <c r="D1611" i="7"/>
  <c r="D1612" i="7"/>
  <c r="D1613" i="7"/>
  <c r="D1614" i="7"/>
  <c r="D1615" i="7"/>
  <c r="D1616" i="7"/>
  <c r="D1617" i="7"/>
  <c r="D1618" i="7"/>
  <c r="D1619" i="7"/>
  <c r="D1620" i="7"/>
  <c r="D1621" i="7"/>
  <c r="D1622" i="7"/>
  <c r="D1623" i="7"/>
  <c r="D1624" i="7"/>
  <c r="D1625" i="7"/>
  <c r="D1626" i="7"/>
  <c r="D1627" i="7"/>
  <c r="D1628" i="7"/>
  <c r="D1629" i="7"/>
  <c r="D1630" i="7"/>
  <c r="D1631" i="7"/>
  <c r="D1632" i="7"/>
  <c r="D1633" i="7"/>
  <c r="D1634" i="7"/>
  <c r="D1635" i="7"/>
  <c r="D1636" i="7"/>
  <c r="D1637" i="7"/>
  <c r="D1638" i="7"/>
  <c r="D1639" i="7"/>
  <c r="D1640" i="7"/>
  <c r="D1641" i="7"/>
  <c r="D1642" i="7"/>
  <c r="D1643" i="7"/>
  <c r="D1644" i="7"/>
  <c r="D1645" i="7"/>
  <c r="D1646" i="7"/>
  <c r="D1647" i="7"/>
  <c r="D1648" i="7"/>
  <c r="D1649" i="7"/>
  <c r="D1650" i="7"/>
  <c r="D1651" i="7"/>
  <c r="D1652" i="7"/>
  <c r="D1653" i="7"/>
  <c r="D1654" i="7"/>
  <c r="D1655" i="7"/>
  <c r="D1656" i="7"/>
  <c r="D1657" i="7"/>
  <c r="D1658" i="7"/>
  <c r="D1659" i="7"/>
  <c r="D1660" i="7"/>
  <c r="D1661" i="7"/>
  <c r="D1662" i="7"/>
  <c r="D1663" i="7"/>
  <c r="D1664" i="7"/>
  <c r="D1665" i="7"/>
  <c r="D1666" i="7"/>
  <c r="D1667" i="7"/>
  <c r="D1668" i="7"/>
  <c r="D1669" i="7"/>
  <c r="D1670" i="7"/>
  <c r="D1671" i="7"/>
  <c r="D1672" i="7"/>
  <c r="D1673" i="7"/>
  <c r="D1674" i="7"/>
  <c r="D1675" i="7"/>
  <c r="D1676" i="7"/>
  <c r="D1677" i="7"/>
  <c r="D1678" i="7"/>
  <c r="D1679" i="7"/>
  <c r="D1680" i="7"/>
  <c r="D1681" i="7"/>
  <c r="D1682" i="7"/>
  <c r="D1683" i="7"/>
  <c r="D1684" i="7"/>
  <c r="D1685" i="7"/>
  <c r="D1686" i="7"/>
  <c r="D1687" i="7"/>
  <c r="D1688" i="7"/>
  <c r="D1689" i="7"/>
  <c r="D1690" i="7"/>
  <c r="D1691" i="7"/>
  <c r="D1692" i="7"/>
  <c r="D1693" i="7"/>
  <c r="D1694" i="7"/>
  <c r="D1695" i="7"/>
  <c r="D1696" i="7"/>
  <c r="D1697" i="7"/>
  <c r="D1698" i="7"/>
  <c r="D1699" i="7"/>
  <c r="D1700" i="7"/>
  <c r="D1701" i="7"/>
  <c r="D1702" i="7"/>
  <c r="D1703" i="7"/>
  <c r="D1704" i="7"/>
  <c r="D1705" i="7"/>
  <c r="D1706" i="7"/>
  <c r="D1707" i="7"/>
  <c r="D1708" i="7"/>
  <c r="D1709" i="7"/>
  <c r="D1710" i="7"/>
  <c r="D1711" i="7"/>
  <c r="D1712" i="7"/>
  <c r="D1713" i="7"/>
  <c r="D1714" i="7"/>
  <c r="D1715" i="7"/>
  <c r="D1716" i="7"/>
  <c r="D1717" i="7"/>
  <c r="D1718" i="7"/>
  <c r="D1719" i="7"/>
  <c r="D1720" i="7"/>
  <c r="D1721" i="7"/>
  <c r="D1722" i="7"/>
  <c r="D1723" i="7"/>
  <c r="D1724" i="7"/>
  <c r="D1725" i="7"/>
  <c r="D1726" i="7"/>
  <c r="D1727" i="7"/>
  <c r="D1728" i="7"/>
  <c r="D1729" i="7"/>
  <c r="D1730" i="7"/>
  <c r="D1731" i="7"/>
  <c r="D1732" i="7"/>
  <c r="D1733" i="7"/>
  <c r="D1734" i="7"/>
  <c r="D1735" i="7"/>
  <c r="D1736" i="7"/>
  <c r="D1737" i="7"/>
  <c r="D1738" i="7"/>
  <c r="D1739" i="7"/>
  <c r="D1740" i="7"/>
  <c r="D1741" i="7"/>
  <c r="D1742" i="7"/>
  <c r="D1743" i="7"/>
  <c r="D1744" i="7"/>
  <c r="D1745" i="7"/>
  <c r="D1746" i="7"/>
  <c r="D1747" i="7"/>
  <c r="D1748" i="7"/>
  <c r="D1749" i="7"/>
  <c r="D1750" i="7"/>
  <c r="D1751" i="7"/>
  <c r="D1752" i="7"/>
  <c r="D1753" i="7"/>
  <c r="D1754" i="7"/>
  <c r="D1755" i="7"/>
  <c r="D1756" i="7"/>
  <c r="D1757" i="7"/>
  <c r="D1758" i="7"/>
  <c r="D1759" i="7"/>
  <c r="D1760" i="7"/>
  <c r="D1761" i="7"/>
  <c r="D1762" i="7"/>
  <c r="D1763" i="7"/>
  <c r="D1764" i="7"/>
  <c r="D1765" i="7"/>
  <c r="D1766" i="7"/>
  <c r="D1767" i="7"/>
  <c r="D1768" i="7"/>
  <c r="D1769" i="7"/>
  <c r="D1770" i="7"/>
  <c r="D1771" i="7"/>
  <c r="D1772" i="7"/>
  <c r="D1773" i="7"/>
  <c r="D1774" i="7"/>
  <c r="D1775" i="7"/>
  <c r="D1776" i="7"/>
  <c r="D1777" i="7"/>
  <c r="D1778" i="7"/>
  <c r="D1779" i="7"/>
  <c r="D1780" i="7"/>
  <c r="D1781" i="7"/>
  <c r="D1782" i="7"/>
  <c r="D1783" i="7"/>
  <c r="D1784" i="7"/>
  <c r="D1785" i="7"/>
  <c r="D1786" i="7"/>
  <c r="D1787" i="7"/>
  <c r="D1788" i="7"/>
  <c r="D1789" i="7"/>
  <c r="D1790" i="7"/>
  <c r="D1791" i="7"/>
  <c r="D1792" i="7"/>
  <c r="D1793" i="7"/>
  <c r="D1794" i="7"/>
  <c r="D1795" i="7"/>
  <c r="D1796" i="7"/>
  <c r="D1797" i="7"/>
  <c r="D1798" i="7"/>
  <c r="D1799" i="7"/>
  <c r="D1800" i="7"/>
  <c r="D1801" i="7"/>
  <c r="D1802" i="7"/>
  <c r="D1803" i="7"/>
  <c r="D1804" i="7"/>
  <c r="D1805" i="7"/>
  <c r="D1806" i="7"/>
  <c r="D1807" i="7"/>
  <c r="D1808" i="7"/>
  <c r="D1809" i="7"/>
  <c r="D1810" i="7"/>
  <c r="D1811" i="7"/>
  <c r="D1812" i="7"/>
  <c r="D1813" i="7"/>
  <c r="D1814" i="7"/>
  <c r="D1815" i="7"/>
  <c r="D1816" i="7"/>
  <c r="D1817" i="7"/>
  <c r="D1818" i="7"/>
  <c r="D1819" i="7"/>
  <c r="D1820" i="7"/>
  <c r="D1821" i="7"/>
  <c r="D1822" i="7"/>
  <c r="D1823" i="7"/>
  <c r="D1824" i="7"/>
  <c r="D1825" i="7"/>
  <c r="D1826" i="7"/>
  <c r="D1827" i="7"/>
  <c r="D1828" i="7"/>
  <c r="D1829" i="7"/>
  <c r="D1830" i="7"/>
  <c r="D1831" i="7"/>
  <c r="D1832" i="7"/>
  <c r="D1833" i="7"/>
  <c r="D1834" i="7"/>
  <c r="D1835" i="7"/>
  <c r="D1836" i="7"/>
  <c r="D1837" i="7"/>
  <c r="D1838" i="7"/>
  <c r="D1839" i="7"/>
  <c r="D1840" i="7"/>
  <c r="D1841" i="7"/>
  <c r="D1842" i="7"/>
  <c r="D1843" i="7"/>
  <c r="D1844" i="7"/>
  <c r="D1845" i="7"/>
  <c r="D1846" i="7"/>
  <c r="D1847" i="7"/>
  <c r="D1848" i="7"/>
  <c r="D1849" i="7"/>
  <c r="D1850" i="7"/>
  <c r="D1851" i="7"/>
  <c r="D1852" i="7"/>
  <c r="D1853" i="7"/>
  <c r="D1854" i="7"/>
  <c r="D1855" i="7"/>
  <c r="D1856" i="7"/>
  <c r="D1857" i="7"/>
  <c r="D1858" i="7"/>
  <c r="D1859" i="7"/>
  <c r="D1860" i="7"/>
  <c r="D1861" i="7"/>
  <c r="D1862" i="7"/>
  <c r="D1863" i="7"/>
  <c r="D1864" i="7"/>
  <c r="D1865" i="7"/>
  <c r="D1866" i="7"/>
  <c r="D1867" i="7"/>
  <c r="D1868" i="7"/>
  <c r="D1869" i="7"/>
  <c r="D1870" i="7"/>
  <c r="D1871" i="7"/>
  <c r="D1872" i="7"/>
  <c r="D1873" i="7"/>
  <c r="D1874" i="7"/>
  <c r="D1875" i="7"/>
  <c r="D1876" i="7"/>
  <c r="D1877" i="7"/>
  <c r="D1878" i="7"/>
  <c r="D1879" i="7"/>
  <c r="D1880" i="7"/>
  <c r="D1881" i="7"/>
  <c r="D1882" i="7"/>
  <c r="D1883" i="7"/>
  <c r="D1884" i="7"/>
  <c r="D1885" i="7"/>
  <c r="D1886" i="7"/>
  <c r="D1887" i="7"/>
  <c r="D1888" i="7"/>
  <c r="D1889" i="7"/>
  <c r="D1890" i="7"/>
  <c r="D1891" i="7"/>
  <c r="D1892" i="7"/>
  <c r="D1893" i="7"/>
  <c r="D1894" i="7"/>
  <c r="D1895" i="7"/>
  <c r="D1896" i="7"/>
  <c r="D1897" i="7"/>
  <c r="D1898" i="7"/>
  <c r="D1899" i="7"/>
  <c r="D1900" i="7"/>
  <c r="D1901" i="7"/>
  <c r="D1902" i="7"/>
  <c r="D1903" i="7"/>
  <c r="D1904" i="7"/>
  <c r="D1905" i="7"/>
  <c r="D1906" i="7"/>
  <c r="D1907" i="7"/>
  <c r="D1908" i="7"/>
  <c r="D1909" i="7"/>
  <c r="D1910" i="7"/>
  <c r="D1911" i="7"/>
  <c r="D1912" i="7"/>
  <c r="D1913" i="7"/>
  <c r="D1914" i="7"/>
  <c r="D1915" i="7"/>
  <c r="D1916" i="7"/>
  <c r="D1917" i="7"/>
  <c r="D1918" i="7"/>
  <c r="D1919" i="7"/>
  <c r="D1920" i="7"/>
  <c r="D1921" i="7"/>
  <c r="D1922" i="7"/>
  <c r="D1923" i="7"/>
  <c r="D1924" i="7"/>
  <c r="D1925" i="7"/>
  <c r="D1926" i="7"/>
  <c r="D1927" i="7"/>
  <c r="D1928" i="7"/>
  <c r="D1929" i="7"/>
  <c r="D1930" i="7"/>
  <c r="D1931" i="7"/>
  <c r="D1932" i="7"/>
  <c r="D1933" i="7"/>
  <c r="D1934" i="7"/>
  <c r="D1935" i="7"/>
  <c r="D1936" i="7"/>
  <c r="D1937" i="7"/>
  <c r="D1938" i="7"/>
  <c r="D1939" i="7"/>
  <c r="D1940" i="7"/>
  <c r="D1941" i="7"/>
  <c r="D1942" i="7"/>
  <c r="D1943" i="7"/>
  <c r="D1944" i="7"/>
  <c r="D1945" i="7"/>
  <c r="D1946" i="7"/>
  <c r="D1947" i="7"/>
  <c r="D1948" i="7"/>
  <c r="D1949" i="7"/>
  <c r="D1950" i="7"/>
  <c r="D1951" i="7"/>
  <c r="D1952" i="7"/>
  <c r="D1953" i="7"/>
  <c r="D1954" i="7"/>
  <c r="D1955" i="7"/>
  <c r="D1956" i="7"/>
  <c r="D1957" i="7"/>
  <c r="D1958" i="7"/>
  <c r="D1959" i="7"/>
  <c r="D1960" i="7"/>
  <c r="D1961" i="7"/>
  <c r="D1962" i="7"/>
  <c r="D1963" i="7"/>
  <c r="D1964" i="7"/>
  <c r="D1965" i="7"/>
  <c r="D1966" i="7"/>
  <c r="D1967" i="7"/>
  <c r="D1968" i="7"/>
  <c r="D1969" i="7"/>
  <c r="D1970" i="7"/>
  <c r="D1971" i="7"/>
  <c r="D1972" i="7"/>
  <c r="D1973" i="7"/>
  <c r="D1974" i="7"/>
  <c r="D1975" i="7"/>
  <c r="D1976" i="7"/>
  <c r="D1977" i="7"/>
  <c r="D1978" i="7"/>
  <c r="D1979" i="7"/>
  <c r="D1980" i="7"/>
  <c r="D1981" i="7"/>
  <c r="D1982" i="7"/>
  <c r="D1983" i="7"/>
  <c r="D1984" i="7"/>
  <c r="D1985" i="7"/>
  <c r="D1986" i="7"/>
  <c r="D1987" i="7"/>
  <c r="D1988" i="7"/>
  <c r="D1989" i="7"/>
  <c r="D1990" i="7"/>
  <c r="D1991" i="7"/>
  <c r="D1992" i="7"/>
  <c r="D1993" i="7"/>
  <c r="D1994" i="7"/>
  <c r="D1995" i="7"/>
  <c r="D1996" i="7"/>
  <c r="D1997" i="7"/>
  <c r="D1998" i="7"/>
  <c r="D1999" i="7"/>
  <c r="D2000" i="7"/>
  <c r="D2001" i="7"/>
  <c r="D2002" i="7"/>
  <c r="D2003" i="7"/>
  <c r="D2004" i="7"/>
  <c r="D2005" i="7"/>
  <c r="D2006" i="7"/>
  <c r="D2007" i="7"/>
  <c r="D2008" i="7"/>
  <c r="D2009" i="7"/>
  <c r="D2010" i="7"/>
  <c r="D2011" i="7"/>
  <c r="D2012" i="7"/>
  <c r="D2013" i="7"/>
  <c r="D2014" i="7"/>
  <c r="D2015" i="7"/>
  <c r="D2016" i="7"/>
  <c r="D2017" i="7"/>
  <c r="D2018" i="7"/>
  <c r="D2019" i="7"/>
  <c r="D2020" i="7"/>
  <c r="D2021" i="7"/>
  <c r="D2022" i="7"/>
  <c r="D2023" i="7"/>
  <c r="D2024" i="7"/>
  <c r="D2025" i="7"/>
  <c r="D2026" i="7"/>
  <c r="D2027" i="7"/>
  <c r="D2028" i="7"/>
  <c r="D2029" i="7"/>
  <c r="D2030" i="7"/>
  <c r="D2031" i="7"/>
  <c r="D2032" i="7"/>
  <c r="D2033" i="7"/>
  <c r="D2034" i="7"/>
  <c r="D2035" i="7"/>
  <c r="D2036" i="7"/>
  <c r="D2037" i="7"/>
  <c r="D2038" i="7"/>
  <c r="D2039" i="7"/>
  <c r="D2040" i="7"/>
  <c r="D2041" i="7"/>
  <c r="D2042" i="7"/>
  <c r="D2043" i="7"/>
  <c r="D2044" i="7"/>
  <c r="D2045" i="7"/>
  <c r="D2046" i="7"/>
  <c r="D2047" i="7"/>
  <c r="D2048" i="7"/>
  <c r="D2049" i="7"/>
  <c r="D2050" i="7"/>
  <c r="D2051" i="7"/>
  <c r="D2052" i="7"/>
  <c r="D2053" i="7"/>
  <c r="D2054" i="7"/>
  <c r="D2055" i="7"/>
  <c r="D2056" i="7"/>
  <c r="D2057" i="7"/>
  <c r="D2058" i="7"/>
  <c r="D2059" i="7"/>
  <c r="D2060" i="7"/>
  <c r="D2061" i="7"/>
  <c r="D2062" i="7"/>
  <c r="D2063" i="7"/>
  <c r="D2064" i="7"/>
  <c r="D2065" i="7"/>
  <c r="D2066" i="7"/>
  <c r="D2067" i="7"/>
  <c r="D2068" i="7"/>
  <c r="D2069" i="7"/>
  <c r="D2070" i="7"/>
  <c r="D2071" i="7"/>
  <c r="D2072" i="7"/>
  <c r="D2073" i="7"/>
  <c r="D2074" i="7"/>
  <c r="D2075" i="7"/>
  <c r="D2076" i="7"/>
  <c r="D2077" i="7"/>
  <c r="D2078" i="7"/>
  <c r="D2079" i="7"/>
  <c r="D2080" i="7"/>
  <c r="D2081" i="7"/>
  <c r="D2082" i="7"/>
  <c r="D2083" i="7"/>
  <c r="D2084" i="7"/>
  <c r="D2085" i="7"/>
  <c r="D2086" i="7"/>
  <c r="D2087" i="7"/>
  <c r="D2088" i="7"/>
  <c r="D2089" i="7"/>
  <c r="D2090" i="7"/>
  <c r="D2091" i="7"/>
  <c r="D2092" i="7"/>
  <c r="D2093" i="7"/>
  <c r="D2094" i="7"/>
  <c r="D2095" i="7"/>
  <c r="D2096" i="7"/>
  <c r="D2097" i="7"/>
  <c r="D2098" i="7"/>
  <c r="D2099" i="7"/>
  <c r="D2100" i="7"/>
  <c r="D2101" i="7"/>
  <c r="D2102" i="7"/>
  <c r="D2103" i="7"/>
  <c r="D2104" i="7"/>
  <c r="D2105" i="7"/>
  <c r="D2106" i="7"/>
  <c r="D2107" i="7"/>
  <c r="D2108" i="7"/>
  <c r="D2109" i="7"/>
  <c r="D2110" i="7"/>
  <c r="D2111" i="7"/>
  <c r="D2112" i="7"/>
  <c r="D2113" i="7"/>
  <c r="D2114" i="7"/>
  <c r="D2115" i="7"/>
  <c r="D2116" i="7"/>
  <c r="D2117" i="7"/>
  <c r="D2118" i="7"/>
  <c r="D2119" i="7"/>
  <c r="D2120" i="7"/>
  <c r="D2121" i="7"/>
  <c r="D2122" i="7"/>
  <c r="D2123" i="7"/>
  <c r="D2124" i="7"/>
  <c r="D2125" i="7"/>
  <c r="D2126" i="7"/>
  <c r="D2127" i="7"/>
  <c r="D2128" i="7"/>
  <c r="D2129" i="7"/>
  <c r="D2130" i="7"/>
  <c r="D2131" i="7"/>
  <c r="D2132" i="7"/>
  <c r="D2133" i="7"/>
  <c r="D2134" i="7"/>
  <c r="D2135" i="7"/>
  <c r="D2136" i="7"/>
  <c r="D2137" i="7"/>
  <c r="D2138" i="7"/>
  <c r="D2139" i="7"/>
  <c r="D2140" i="7"/>
  <c r="D2141" i="7"/>
  <c r="D2142" i="7"/>
  <c r="D2143" i="7"/>
  <c r="D2144" i="7"/>
  <c r="D2145" i="7"/>
  <c r="D2146" i="7"/>
  <c r="D2147" i="7"/>
  <c r="D2148" i="7"/>
  <c r="D2149" i="7"/>
  <c r="D2150" i="7"/>
  <c r="D2151" i="7"/>
  <c r="D2152" i="7"/>
  <c r="D2153" i="7"/>
  <c r="D2154" i="7"/>
  <c r="D2155" i="7"/>
  <c r="D2156" i="7"/>
  <c r="D2157" i="7"/>
  <c r="D2158" i="7"/>
  <c r="D2159" i="7"/>
  <c r="D2160" i="7"/>
  <c r="D2161" i="7"/>
  <c r="D2162" i="7"/>
  <c r="D2163" i="7"/>
  <c r="D2164" i="7"/>
  <c r="D2165" i="7"/>
  <c r="D2166" i="7"/>
  <c r="D2167" i="7"/>
  <c r="D2168" i="7"/>
  <c r="D2169" i="7"/>
  <c r="D2170" i="7"/>
  <c r="D2171" i="7"/>
  <c r="D2172" i="7"/>
  <c r="D2173" i="7"/>
  <c r="D2174" i="7"/>
  <c r="D2175" i="7"/>
  <c r="D2176" i="7"/>
  <c r="D2177" i="7"/>
  <c r="D2178" i="7"/>
  <c r="D2179" i="7"/>
  <c r="D2180" i="7"/>
  <c r="D2181" i="7"/>
  <c r="D2182" i="7"/>
  <c r="D2183" i="7"/>
  <c r="D2184" i="7"/>
  <c r="D2185" i="7"/>
  <c r="D2186" i="7"/>
  <c r="D2187" i="7"/>
  <c r="D2188" i="7"/>
  <c r="D2189" i="7"/>
  <c r="D2190" i="7"/>
  <c r="D2191" i="7"/>
  <c r="D2192" i="7"/>
  <c r="D2193" i="7"/>
  <c r="D2194" i="7"/>
  <c r="D2195" i="7"/>
  <c r="D2196" i="7"/>
  <c r="D2197" i="7"/>
  <c r="D2198" i="7"/>
  <c r="D2199" i="7"/>
  <c r="D2200" i="7"/>
  <c r="D2201" i="7"/>
  <c r="D2202" i="7"/>
  <c r="D2203" i="7"/>
  <c r="D2204" i="7"/>
  <c r="D2205" i="7"/>
  <c r="D2206" i="7"/>
  <c r="D2207" i="7"/>
  <c r="D2208" i="7"/>
  <c r="D2209" i="7"/>
  <c r="D2210" i="7"/>
  <c r="D2211" i="7"/>
  <c r="D2212" i="7"/>
  <c r="D2213" i="7"/>
  <c r="D2214" i="7"/>
  <c r="D2215" i="7"/>
  <c r="D2216" i="7"/>
  <c r="D2217" i="7"/>
  <c r="D2218" i="7"/>
  <c r="D2219" i="7"/>
  <c r="D2220" i="7"/>
  <c r="D2221" i="7"/>
  <c r="D2222" i="7"/>
  <c r="D2223" i="7"/>
  <c r="D2224" i="7"/>
  <c r="D2225" i="7"/>
  <c r="D2226" i="7"/>
  <c r="D2227" i="7"/>
  <c r="D2228" i="7"/>
  <c r="D2229" i="7"/>
  <c r="D2230" i="7"/>
  <c r="D2231" i="7"/>
  <c r="D2232" i="7"/>
  <c r="D2233" i="7"/>
  <c r="D2234" i="7"/>
  <c r="D2235" i="7"/>
  <c r="D2236" i="7"/>
  <c r="D2237" i="7"/>
  <c r="D2238" i="7"/>
  <c r="D2239" i="7"/>
  <c r="D2240" i="7"/>
  <c r="D2241" i="7"/>
  <c r="D2242" i="7"/>
  <c r="D2243" i="7"/>
  <c r="D2244" i="7"/>
  <c r="D2245" i="7"/>
  <c r="D2246" i="7"/>
  <c r="D2247" i="7"/>
  <c r="D2248" i="7"/>
  <c r="D2249" i="7"/>
  <c r="D2250" i="7"/>
  <c r="D2251" i="7"/>
  <c r="D2252" i="7"/>
  <c r="D2253" i="7"/>
  <c r="D2254" i="7"/>
  <c r="D2255" i="7"/>
  <c r="D2256" i="7"/>
  <c r="D2257" i="7"/>
  <c r="D2258" i="7"/>
  <c r="D2259" i="7"/>
  <c r="D2260" i="7"/>
  <c r="D2261" i="7"/>
  <c r="D2262" i="7"/>
  <c r="D2263" i="7"/>
  <c r="D2264" i="7"/>
  <c r="D2265" i="7"/>
  <c r="D2266" i="7"/>
  <c r="D2267" i="7"/>
  <c r="D2268" i="7"/>
  <c r="D2269" i="7"/>
  <c r="D2270" i="7"/>
  <c r="D2271" i="7"/>
  <c r="D2272" i="7"/>
  <c r="D2273" i="7"/>
  <c r="D2274" i="7"/>
  <c r="D2275" i="7"/>
  <c r="D2276" i="7"/>
  <c r="D2277" i="7"/>
  <c r="D2278" i="7"/>
  <c r="D2279" i="7"/>
  <c r="D2280" i="7"/>
  <c r="D2281" i="7"/>
  <c r="D2282" i="7"/>
  <c r="D2283" i="7"/>
  <c r="D2284" i="7"/>
  <c r="D2285" i="7"/>
  <c r="D2286" i="7"/>
  <c r="D2287" i="7"/>
  <c r="D2288" i="7"/>
  <c r="D2289" i="7"/>
  <c r="D2290" i="7"/>
  <c r="D2291" i="7"/>
  <c r="D2292" i="7"/>
  <c r="D2293" i="7"/>
  <c r="D2294" i="7"/>
  <c r="D2295" i="7"/>
  <c r="D2296" i="7"/>
  <c r="D2297" i="7"/>
  <c r="D2298" i="7"/>
  <c r="D2299" i="7"/>
  <c r="D2300" i="7"/>
  <c r="D2301" i="7"/>
  <c r="D2302" i="7"/>
  <c r="D2303" i="7"/>
  <c r="D2304" i="7"/>
  <c r="D2305" i="7"/>
  <c r="D2306" i="7"/>
  <c r="D2307" i="7"/>
  <c r="D2308" i="7"/>
  <c r="D2309" i="7"/>
  <c r="D2310" i="7"/>
  <c r="D2311" i="7"/>
  <c r="D2312" i="7"/>
  <c r="D2313" i="7"/>
  <c r="D2314" i="7"/>
  <c r="D2315" i="7"/>
  <c r="D2316" i="7"/>
  <c r="D2317" i="7"/>
  <c r="D2318" i="7"/>
  <c r="D2319" i="7"/>
  <c r="D2320" i="7"/>
  <c r="D2321" i="7"/>
  <c r="D2322" i="7"/>
  <c r="D2323" i="7"/>
  <c r="D2324" i="7"/>
  <c r="D2325" i="7"/>
  <c r="D2326" i="7"/>
  <c r="D2327" i="7"/>
  <c r="D2328" i="7"/>
  <c r="D2329" i="7"/>
  <c r="D2330" i="7"/>
  <c r="D2331" i="7"/>
  <c r="D2332" i="7"/>
  <c r="D2333" i="7"/>
  <c r="D2334" i="7"/>
  <c r="D2335" i="7"/>
  <c r="D2336" i="7"/>
  <c r="D2337" i="7"/>
  <c r="D2338" i="7"/>
  <c r="D2339" i="7"/>
  <c r="D2340" i="7"/>
  <c r="D2341" i="7"/>
  <c r="D2342" i="7"/>
  <c r="D2343" i="7"/>
  <c r="D2344" i="7"/>
  <c r="D2345" i="7"/>
  <c r="D2346" i="7"/>
  <c r="D2347" i="7"/>
  <c r="D2348" i="7"/>
  <c r="D2349" i="7"/>
  <c r="D2350" i="7"/>
  <c r="D2351" i="7"/>
  <c r="D2352" i="7"/>
  <c r="D2353" i="7"/>
  <c r="D2354" i="7"/>
  <c r="D2355" i="7"/>
  <c r="D2356" i="7"/>
  <c r="D2357" i="7"/>
  <c r="D2358" i="7"/>
  <c r="D2359" i="7"/>
  <c r="D2360" i="7"/>
  <c r="D2361" i="7"/>
  <c r="D2362" i="7"/>
  <c r="D2363" i="7"/>
  <c r="D2364" i="7"/>
  <c r="D2365" i="7"/>
  <c r="D2366" i="7"/>
  <c r="D2367" i="7"/>
  <c r="D2368" i="7"/>
  <c r="D2369" i="7"/>
  <c r="D2370" i="7"/>
  <c r="D2371" i="7"/>
  <c r="D2372" i="7"/>
  <c r="D2373" i="7"/>
  <c r="D2374" i="7"/>
  <c r="D2375" i="7"/>
  <c r="D2376" i="7"/>
  <c r="D2377" i="7"/>
  <c r="D2378" i="7"/>
  <c r="D2379" i="7"/>
  <c r="D2380" i="7"/>
  <c r="D2381" i="7"/>
  <c r="D2382" i="7"/>
  <c r="D2383" i="7"/>
  <c r="D2384" i="7"/>
  <c r="D2385" i="7"/>
  <c r="D2386" i="7"/>
  <c r="D2387" i="7"/>
  <c r="D2388" i="7"/>
  <c r="D2389" i="7"/>
  <c r="D2390" i="7"/>
  <c r="D2391" i="7"/>
  <c r="D2392" i="7"/>
  <c r="D2393" i="7"/>
  <c r="D2394" i="7"/>
  <c r="D2395" i="7"/>
  <c r="D2396" i="7"/>
  <c r="D2397" i="7"/>
  <c r="D2398" i="7"/>
  <c r="D2399" i="7"/>
  <c r="D2400" i="7"/>
  <c r="D2401" i="7"/>
  <c r="D2402" i="7"/>
  <c r="D2403" i="7"/>
  <c r="D2404" i="7"/>
  <c r="D2405" i="7"/>
  <c r="D2406" i="7"/>
  <c r="D2407" i="7"/>
  <c r="D2408" i="7"/>
  <c r="D2409" i="7"/>
  <c r="D2410" i="7"/>
  <c r="D2411" i="7"/>
  <c r="D2412" i="7"/>
  <c r="D2413" i="7"/>
  <c r="D2414" i="7"/>
  <c r="D2415" i="7"/>
  <c r="D2416" i="7"/>
  <c r="D2417" i="7"/>
  <c r="D2418" i="7"/>
  <c r="D2419" i="7"/>
  <c r="D2420" i="7"/>
  <c r="D2421" i="7"/>
  <c r="D2422" i="7"/>
  <c r="D2423" i="7"/>
  <c r="D2424" i="7"/>
  <c r="D2425" i="7"/>
  <c r="D2426" i="7"/>
  <c r="D2427" i="7"/>
  <c r="D2428" i="7"/>
  <c r="D2429" i="7"/>
  <c r="D2430" i="7"/>
  <c r="D2431" i="7"/>
  <c r="D2432" i="7"/>
  <c r="D2433" i="7"/>
  <c r="D2434" i="7"/>
  <c r="D2435" i="7"/>
  <c r="D2436" i="7"/>
  <c r="D2437" i="7"/>
  <c r="D2438" i="7"/>
  <c r="D2439" i="7"/>
  <c r="D2440" i="7"/>
  <c r="D2441" i="7"/>
  <c r="D2442" i="7"/>
  <c r="D2443" i="7"/>
  <c r="D2444" i="7"/>
  <c r="D2445" i="7"/>
  <c r="D2446" i="7"/>
  <c r="D2447" i="7"/>
  <c r="D2448" i="7"/>
  <c r="D2449" i="7"/>
  <c r="D2450" i="7"/>
  <c r="D2451" i="7"/>
  <c r="D2452" i="7"/>
  <c r="D2453" i="7"/>
  <c r="D2454" i="7"/>
  <c r="D2455" i="7"/>
  <c r="D2456" i="7"/>
  <c r="D2457" i="7"/>
  <c r="D2458" i="7"/>
  <c r="D2459" i="7"/>
  <c r="D2460" i="7"/>
  <c r="D2461" i="7"/>
  <c r="D2462" i="7"/>
  <c r="D2463" i="7"/>
  <c r="D2464" i="7"/>
  <c r="D2465" i="7"/>
  <c r="D2466" i="7"/>
  <c r="D2467" i="7"/>
  <c r="D2468" i="7"/>
  <c r="D2469" i="7"/>
  <c r="D2470" i="7"/>
  <c r="D2471" i="7"/>
  <c r="D2472" i="7"/>
  <c r="D2473" i="7"/>
  <c r="D2474" i="7"/>
  <c r="D2475" i="7"/>
  <c r="D2476" i="7"/>
  <c r="D2477" i="7"/>
  <c r="D2478" i="7"/>
  <c r="D2479" i="7"/>
  <c r="D2480" i="7"/>
  <c r="D2481" i="7"/>
  <c r="D2482" i="7"/>
  <c r="D2483" i="7"/>
  <c r="D2484" i="7"/>
  <c r="D2485" i="7"/>
  <c r="D2486" i="7"/>
  <c r="D2487" i="7"/>
  <c r="D2488" i="7"/>
  <c r="D2489" i="7"/>
  <c r="D2490" i="7"/>
  <c r="D2491" i="7"/>
  <c r="D2492" i="7"/>
  <c r="D2493" i="7"/>
  <c r="D2494" i="7"/>
  <c r="D2495" i="7"/>
  <c r="D2496" i="7"/>
  <c r="D2497" i="7"/>
  <c r="D2498" i="7"/>
  <c r="D2499" i="7"/>
  <c r="D2500" i="7"/>
  <c r="D2501" i="7"/>
  <c r="D2502" i="7"/>
  <c r="D2503" i="7"/>
  <c r="D2504" i="7"/>
  <c r="D2505" i="7"/>
  <c r="D2506" i="7"/>
  <c r="D2507" i="7"/>
  <c r="D2508" i="7"/>
  <c r="D2509" i="7"/>
  <c r="D2510" i="7"/>
  <c r="D2511" i="7"/>
  <c r="D2512" i="7"/>
  <c r="D2513" i="7"/>
  <c r="D2514" i="7"/>
  <c r="D2515" i="7"/>
  <c r="D2516" i="7"/>
  <c r="D2517" i="7"/>
  <c r="D2518" i="7"/>
  <c r="D2519" i="7"/>
  <c r="D2520" i="7"/>
  <c r="D2521" i="7"/>
  <c r="D2522" i="7"/>
  <c r="D2523" i="7"/>
  <c r="D2524" i="7"/>
  <c r="D2525" i="7"/>
  <c r="D2526" i="7"/>
  <c r="D2527" i="7"/>
  <c r="D2528" i="7"/>
  <c r="D2529" i="7"/>
  <c r="D2530" i="7"/>
  <c r="D2531" i="7"/>
  <c r="D2532" i="7"/>
  <c r="D2533" i="7"/>
  <c r="D2534" i="7"/>
  <c r="D2535" i="7"/>
  <c r="D2536" i="7"/>
  <c r="D2537" i="7"/>
  <c r="D2538" i="7"/>
  <c r="D2539" i="7"/>
  <c r="D2540" i="7"/>
  <c r="D2541" i="7"/>
  <c r="D2542" i="7"/>
  <c r="D2543" i="7"/>
  <c r="D2544" i="7"/>
  <c r="D2545" i="7"/>
  <c r="D2546" i="7"/>
  <c r="D2547" i="7"/>
  <c r="D2548" i="7"/>
  <c r="D2549" i="7"/>
  <c r="D2550" i="7"/>
  <c r="D2551" i="7"/>
  <c r="D2552" i="7"/>
  <c r="D2553" i="7"/>
  <c r="D2554" i="7"/>
  <c r="D2555" i="7"/>
  <c r="D2556" i="7"/>
  <c r="D2557" i="7"/>
  <c r="D2558" i="7"/>
  <c r="D2559" i="7"/>
  <c r="D2560" i="7"/>
  <c r="D2561" i="7"/>
  <c r="D2562" i="7"/>
  <c r="D2563" i="7"/>
  <c r="D2564" i="7"/>
  <c r="D2565" i="7"/>
  <c r="D2566" i="7"/>
  <c r="D2567" i="7"/>
  <c r="D2568" i="7"/>
  <c r="D2569" i="7"/>
  <c r="D2570" i="7"/>
  <c r="D2571" i="7"/>
  <c r="D2572" i="7"/>
  <c r="D4272" i="7" l="1"/>
  <c r="D4269" i="7"/>
  <c r="D4231" i="7"/>
  <c r="D4218" i="7"/>
  <c r="D4194" i="7"/>
  <c r="D4169" i="7"/>
  <c r="D4148" i="7"/>
  <c r="D4131" i="7"/>
  <c r="D4094" i="7"/>
  <c r="D4095" i="7"/>
  <c r="D4096" i="7"/>
  <c r="D4097" i="7"/>
  <c r="D4098" i="7"/>
  <c r="D4099" i="7"/>
  <c r="D4100" i="7"/>
  <c r="D4101" i="7"/>
  <c r="D4102" i="7"/>
  <c r="D4103" i="7"/>
  <c r="D4104" i="7"/>
  <c r="D4105" i="7"/>
  <c r="D4106" i="7"/>
  <c r="D4107" i="7"/>
  <c r="D4108" i="7"/>
  <c r="D4109" i="7"/>
  <c r="D4110" i="7"/>
  <c r="D4111" i="7"/>
  <c r="D4112" i="7"/>
  <c r="D4113" i="7"/>
  <c r="D4114" i="7"/>
  <c r="D4115" i="7"/>
  <c r="D4116" i="7"/>
  <c r="D4117" i="7"/>
  <c r="D4118" i="7"/>
  <c r="D4119" i="7"/>
  <c r="D4120" i="7"/>
  <c r="D4121" i="7"/>
  <c r="D4122" i="7"/>
  <c r="D4123" i="7"/>
  <c r="D4124" i="7"/>
  <c r="D4125" i="7"/>
  <c r="D4126" i="7"/>
  <c r="D4127" i="7"/>
  <c r="D4128" i="7"/>
  <c r="D4129" i="7"/>
  <c r="D4130" i="7"/>
  <c r="D4132" i="7"/>
  <c r="D4133" i="7"/>
  <c r="D4134" i="7"/>
  <c r="D4135" i="7"/>
  <c r="D4136" i="7"/>
  <c r="D4137" i="7"/>
  <c r="D4139" i="7"/>
  <c r="D4140" i="7"/>
  <c r="D4141" i="7"/>
  <c r="D4142" i="7"/>
  <c r="D4143" i="7"/>
  <c r="D4144" i="7"/>
  <c r="D4145" i="7"/>
  <c r="D4146" i="7"/>
  <c r="D4147" i="7"/>
  <c r="D4149" i="7"/>
  <c r="D4150" i="7"/>
  <c r="D4151" i="7"/>
  <c r="D4152" i="7"/>
  <c r="D4153" i="7"/>
  <c r="D4154" i="7"/>
  <c r="D4155" i="7"/>
  <c r="D4156" i="7"/>
  <c r="D4157" i="7"/>
  <c r="D4158" i="7"/>
  <c r="D4159" i="7"/>
  <c r="D4160" i="7"/>
  <c r="D4161" i="7"/>
  <c r="D4162" i="7"/>
  <c r="D4163" i="7"/>
  <c r="D4164" i="7"/>
  <c r="D4165" i="7"/>
  <c r="D4166" i="7"/>
  <c r="D4167" i="7"/>
  <c r="D4168" i="7"/>
  <c r="D4170" i="7"/>
  <c r="D4171" i="7"/>
  <c r="D4172" i="7"/>
  <c r="D4173" i="7"/>
  <c r="D4174" i="7"/>
  <c r="D4175" i="7"/>
  <c r="D4176" i="7"/>
  <c r="D4177" i="7"/>
  <c r="D4178" i="7"/>
  <c r="D4179" i="7"/>
  <c r="D4180" i="7"/>
  <c r="D4181" i="7"/>
  <c r="D4182" i="7"/>
  <c r="D4183" i="7"/>
  <c r="D4184" i="7"/>
  <c r="D4185" i="7"/>
  <c r="D4186" i="7"/>
  <c r="D4187" i="7"/>
  <c r="D4188" i="7"/>
  <c r="D4189" i="7"/>
  <c r="D4190" i="7"/>
  <c r="D4191" i="7"/>
  <c r="D4192" i="7"/>
  <c r="D4193" i="7"/>
  <c r="D4195" i="7"/>
  <c r="D4196" i="7"/>
  <c r="D4197" i="7"/>
  <c r="D4198" i="7"/>
  <c r="D4199" i="7"/>
  <c r="D4200" i="7"/>
  <c r="D4201" i="7"/>
  <c r="D4202" i="7"/>
  <c r="D4203" i="7"/>
  <c r="D4204" i="7"/>
  <c r="D4205" i="7"/>
  <c r="D4206" i="7"/>
  <c r="D4207" i="7"/>
  <c r="D4208" i="7"/>
  <c r="D4209" i="7"/>
  <c r="D4210" i="7"/>
  <c r="D4211" i="7"/>
  <c r="D4212" i="7"/>
  <c r="D4213" i="7"/>
  <c r="D4214" i="7"/>
  <c r="D4215" i="7"/>
  <c r="D4216" i="7"/>
  <c r="D4217" i="7"/>
  <c r="D4219" i="7"/>
  <c r="D4220" i="7"/>
  <c r="D4221" i="7"/>
  <c r="D4222" i="7"/>
  <c r="D4223" i="7"/>
  <c r="D4224" i="7"/>
  <c r="D4225" i="7"/>
  <c r="D4226" i="7"/>
  <c r="D4227" i="7"/>
  <c r="D4228" i="7"/>
  <c r="D4229" i="7"/>
  <c r="D4230" i="7"/>
  <c r="D4232" i="7"/>
  <c r="D4233" i="7"/>
  <c r="D4234" i="7"/>
  <c r="D4235" i="7"/>
  <c r="D4236" i="7"/>
  <c r="D4237" i="7"/>
  <c r="D4238" i="7"/>
  <c r="D4239" i="7"/>
  <c r="D4240" i="7"/>
  <c r="D4241" i="7"/>
  <c r="D4242" i="7"/>
  <c r="D4243" i="7"/>
  <c r="D4244" i="7"/>
  <c r="D4245" i="7"/>
  <c r="D4246" i="7"/>
  <c r="D4247" i="7"/>
  <c r="D4248" i="7"/>
  <c r="D4249" i="7"/>
  <c r="D4250" i="7"/>
  <c r="D4251" i="7"/>
  <c r="D4252" i="7"/>
  <c r="D4253" i="7"/>
  <c r="D4254" i="7"/>
  <c r="D4255" i="7"/>
  <c r="D4256" i="7"/>
  <c r="D4257" i="7"/>
  <c r="D4258" i="7"/>
  <c r="D4259" i="7"/>
  <c r="D4260" i="7"/>
  <c r="D4261" i="7"/>
  <c r="D4262" i="7"/>
  <c r="D4263" i="7"/>
  <c r="D4264" i="7"/>
  <c r="D4265" i="7"/>
  <c r="D4266" i="7"/>
  <c r="D4267" i="7"/>
  <c r="D4268" i="7"/>
  <c r="D4270" i="7"/>
  <c r="D4271" i="7"/>
  <c r="D4273" i="7"/>
  <c r="D4274" i="7"/>
  <c r="D4275" i="7"/>
  <c r="D4276" i="7"/>
  <c r="D4277" i="7"/>
  <c r="D4278" i="7"/>
  <c r="D4279" i="7"/>
  <c r="D4280" i="7"/>
  <c r="D4281" i="7"/>
  <c r="D4282" i="7"/>
  <c r="D4283" i="7"/>
  <c r="D4284" i="7"/>
  <c r="D4285" i="7"/>
  <c r="D4286" i="7"/>
  <c r="D4287" i="7"/>
  <c r="D4288" i="7"/>
  <c r="D4289" i="7"/>
  <c r="D4290" i="7"/>
  <c r="D4291" i="7"/>
  <c r="D4292" i="7"/>
  <c r="D4293" i="7"/>
  <c r="D4294" i="7"/>
  <c r="D4295" i="7"/>
  <c r="D4296" i="7"/>
  <c r="D4297" i="7"/>
  <c r="D4298" i="7"/>
  <c r="D141" i="9" l="1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133" i="9"/>
  <c r="D132" i="9"/>
  <c r="D131" i="9"/>
  <c r="D130" i="9"/>
  <c r="D129" i="9"/>
  <c r="D128" i="9"/>
  <c r="D127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244" i="9"/>
  <c r="D77" i="9"/>
  <c r="D32" i="9" l="1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8" i="9"/>
  <c r="D79" i="9"/>
  <c r="D80" i="9"/>
  <c r="D81" i="9"/>
  <c r="D82" i="9"/>
  <c r="D83" i="9"/>
  <c r="D84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34" i="9"/>
  <c r="D135" i="9"/>
  <c r="D136" i="9"/>
  <c r="D137" i="9"/>
  <c r="D138" i="9"/>
  <c r="D139" i="9"/>
  <c r="D140" i="9"/>
  <c r="D211" i="9"/>
  <c r="D212" i="9"/>
  <c r="D213" i="9"/>
  <c r="D214" i="9"/>
  <c r="D215" i="9"/>
  <c r="D216" i="9"/>
  <c r="D217" i="9"/>
  <c r="D218" i="9"/>
  <c r="D219" i="9"/>
  <c r="D220" i="9"/>
  <c r="D221" i="9"/>
  <c r="D222" i="9"/>
  <c r="D223" i="9"/>
  <c r="D224" i="9"/>
  <c r="D225" i="9"/>
  <c r="D226" i="9"/>
  <c r="D227" i="9"/>
  <c r="D228" i="9"/>
  <c r="D229" i="9"/>
  <c r="D230" i="9"/>
  <c r="D231" i="9"/>
  <c r="D232" i="9"/>
  <c r="D233" i="9"/>
  <c r="D234" i="9"/>
  <c r="D235" i="9"/>
  <c r="D236" i="9"/>
  <c r="D237" i="9"/>
  <c r="D238" i="9"/>
  <c r="D239" i="9"/>
  <c r="D240" i="9"/>
  <c r="D241" i="9"/>
  <c r="D242" i="9"/>
  <c r="D243" i="9"/>
  <c r="D245" i="9"/>
  <c r="D246" i="9"/>
  <c r="D247" i="9"/>
  <c r="D248" i="9"/>
  <c r="D249" i="9"/>
  <c r="D250" i="9"/>
  <c r="D251" i="9"/>
  <c r="D252" i="9"/>
  <c r="D253" i="9"/>
  <c r="D254" i="9"/>
  <c r="D255" i="9"/>
  <c r="D256" i="9"/>
  <c r="D257" i="9"/>
  <c r="D258" i="9"/>
  <c r="D259" i="9"/>
  <c r="D260" i="9"/>
  <c r="D261" i="9"/>
  <c r="D262" i="9"/>
  <c r="D263" i="9"/>
  <c r="D264" i="9"/>
  <c r="D265" i="9"/>
  <c r="D266" i="9"/>
  <c r="D267" i="9"/>
  <c r="D268" i="9"/>
  <c r="D269" i="9"/>
  <c r="D270" i="9"/>
  <c r="D271" i="9"/>
  <c r="D272" i="9"/>
  <c r="D273" i="9"/>
  <c r="D274" i="9"/>
  <c r="D275" i="9"/>
  <c r="D276" i="9"/>
  <c r="D277" i="9"/>
  <c r="D278" i="9"/>
  <c r="D279" i="9"/>
  <c r="D280" i="9"/>
  <c r="D281" i="9"/>
  <c r="D282" i="9"/>
  <c r="D283" i="9"/>
  <c r="D284" i="9"/>
  <c r="D5156" i="7" l="1"/>
  <c r="D5157" i="7"/>
  <c r="D5158" i="7"/>
  <c r="D5159" i="7"/>
  <c r="D5160" i="7"/>
  <c r="D5161" i="7"/>
  <c r="D5162" i="7"/>
  <c r="D5163" i="7"/>
  <c r="D5164" i="7"/>
  <c r="D5165" i="7"/>
  <c r="D5166" i="7"/>
  <c r="D5167" i="7"/>
  <c r="D5168" i="7"/>
  <c r="D5169" i="7"/>
  <c r="D5170" i="7"/>
  <c r="D5171" i="7"/>
  <c r="D5172" i="7"/>
  <c r="D5173" i="7"/>
  <c r="D5174" i="7"/>
  <c r="D5175" i="7"/>
  <c r="D5176" i="7"/>
  <c r="D5177" i="7"/>
  <c r="D5178" i="7"/>
  <c r="D5179" i="7"/>
  <c r="D5180" i="7"/>
  <c r="D1446" i="7" l="1"/>
  <c r="D1429" i="7"/>
  <c r="D1406" i="7"/>
  <c r="D769" i="7"/>
  <c r="D768" i="7"/>
  <c r="D689" i="7"/>
  <c r="D672" i="7"/>
  <c r="D656" i="7"/>
  <c r="D642" i="7"/>
  <c r="D632" i="7"/>
  <c r="D618" i="7"/>
  <c r="D602" i="7"/>
  <c r="D574" i="7"/>
  <c r="D553" i="7"/>
  <c r="D523" i="7"/>
  <c r="D503" i="7"/>
  <c r="D484" i="7"/>
  <c r="D463" i="7"/>
  <c r="D444" i="7"/>
  <c r="D422" i="7"/>
  <c r="D400" i="7"/>
  <c r="D384" i="7"/>
  <c r="D781" i="7"/>
  <c r="D777" i="7"/>
  <c r="D774" i="7"/>
  <c r="D772" i="7"/>
  <c r="D784" i="7"/>
  <c r="D788" i="7"/>
  <c r="D792" i="7"/>
  <c r="D794" i="7"/>
  <c r="D797" i="7"/>
  <c r="D801" i="7"/>
  <c r="D765" i="7"/>
  <c r="D761" i="7"/>
  <c r="D758" i="7"/>
  <c r="D753" i="7"/>
  <c r="D749" i="7"/>
  <c r="D743" i="7"/>
  <c r="D737" i="7"/>
  <c r="D732" i="7"/>
  <c r="D724" i="7"/>
  <c r="D720" i="7"/>
  <c r="D4969" i="7" l="1"/>
  <c r="D4970" i="7"/>
  <c r="D4971" i="7"/>
  <c r="D4972" i="7"/>
  <c r="D4974" i="7"/>
  <c r="D4975" i="7"/>
  <c r="D4976" i="7"/>
  <c r="D4977" i="7"/>
  <c r="D4978" i="7"/>
  <c r="D4979" i="7"/>
  <c r="D4980" i="7"/>
  <c r="D4981" i="7"/>
  <c r="D4982" i="7"/>
  <c r="D4983" i="7"/>
  <c r="D4984" i="7"/>
  <c r="D4985" i="7"/>
  <c r="D4987" i="7"/>
  <c r="D4988" i="7"/>
  <c r="D4989" i="7"/>
  <c r="D4990" i="7"/>
  <c r="D4991" i="7"/>
  <c r="D4992" i="7"/>
  <c r="D4993" i="7"/>
  <c r="D4994" i="7"/>
  <c r="D4995" i="7"/>
  <c r="D4997" i="7"/>
  <c r="D4998" i="7"/>
  <c r="D4999" i="7"/>
  <c r="D5001" i="7"/>
  <c r="D5002" i="7"/>
  <c r="D5004" i="7"/>
  <c r="D5009" i="7"/>
  <c r="D5010" i="7"/>
  <c r="D5013" i="7"/>
  <c r="D5014" i="7"/>
  <c r="D5016" i="7"/>
  <c r="D5017" i="7"/>
  <c r="D5019" i="7"/>
  <c r="D5020" i="7"/>
  <c r="D5021" i="7"/>
  <c r="D5022" i="7"/>
  <c r="D5024" i="7"/>
  <c r="D5025" i="7"/>
  <c r="D5026" i="7"/>
  <c r="D5028" i="7"/>
  <c r="D5029" i="7"/>
  <c r="D5030" i="7"/>
  <c r="D5033" i="7"/>
  <c r="D5034" i="7"/>
  <c r="D5035" i="7"/>
  <c r="D5036" i="7"/>
  <c r="D5037" i="7"/>
  <c r="D5038" i="7"/>
  <c r="D5039" i="7"/>
  <c r="D5040" i="7"/>
  <c r="D5041" i="7"/>
  <c r="D5042" i="7"/>
  <c r="D5043" i="7"/>
  <c r="D5044" i="7"/>
  <c r="D5045" i="7"/>
  <c r="D5047" i="7"/>
  <c r="D5048" i="7"/>
  <c r="D5049" i="7"/>
  <c r="D5051" i="7"/>
  <c r="D5057" i="7"/>
  <c r="D5056" i="7"/>
  <c r="D5055" i="7"/>
  <c r="D5135" i="7"/>
  <c r="D5134" i="7"/>
  <c r="D5058" i="7"/>
  <c r="D5059" i="7"/>
  <c r="D5060" i="7"/>
  <c r="D5061" i="7"/>
  <c r="D5062" i="7"/>
  <c r="D5063" i="7"/>
  <c r="D5064" i="7"/>
  <c r="D5065" i="7"/>
  <c r="D5066" i="7"/>
  <c r="D5067" i="7"/>
  <c r="D5068" i="7"/>
  <c r="D5069" i="7"/>
  <c r="D5070" i="7"/>
  <c r="D5071" i="7"/>
  <c r="D5072" i="7"/>
  <c r="D5073" i="7"/>
  <c r="D5074" i="7"/>
  <c r="D5075" i="7"/>
  <c r="D5076" i="7"/>
  <c r="D5077" i="7"/>
  <c r="D5078" i="7"/>
  <c r="D5079" i="7"/>
  <c r="D5080" i="7"/>
  <c r="D5081" i="7"/>
  <c r="D5082" i="7"/>
  <c r="D5083" i="7"/>
  <c r="D5084" i="7"/>
  <c r="D5085" i="7"/>
  <c r="D5086" i="7"/>
  <c r="D5087" i="7"/>
  <c r="D5088" i="7"/>
  <c r="D5089" i="7"/>
  <c r="D5090" i="7"/>
  <c r="D5091" i="7"/>
  <c r="D5092" i="7"/>
  <c r="D5093" i="7"/>
  <c r="D5094" i="7"/>
  <c r="D5095" i="7"/>
  <c r="D5096" i="7"/>
  <c r="D5097" i="7"/>
  <c r="D5098" i="7"/>
  <c r="D5099" i="7"/>
  <c r="D5100" i="7"/>
  <c r="D5101" i="7"/>
  <c r="D5102" i="7"/>
  <c r="D5103" i="7"/>
  <c r="D5104" i="7"/>
  <c r="D5105" i="7"/>
  <c r="D5106" i="7"/>
  <c r="D5107" i="7"/>
  <c r="D5108" i="7"/>
  <c r="D5109" i="7"/>
  <c r="D5110" i="7"/>
  <c r="D5111" i="7"/>
  <c r="D5112" i="7"/>
  <c r="D5113" i="7"/>
  <c r="D5114" i="7"/>
  <c r="D5115" i="7"/>
  <c r="D5116" i="7"/>
  <c r="D5117" i="7"/>
  <c r="D5118" i="7"/>
  <c r="D5119" i="7"/>
  <c r="D5120" i="7"/>
  <c r="D5121" i="7"/>
  <c r="D5122" i="7"/>
  <c r="D5123" i="7"/>
  <c r="D5124" i="7"/>
  <c r="D5125" i="7"/>
  <c r="D5126" i="7"/>
  <c r="D5127" i="7"/>
  <c r="D5128" i="7"/>
  <c r="D5129" i="7"/>
  <c r="D5130" i="7"/>
  <c r="D5131" i="7"/>
  <c r="D5132" i="7"/>
  <c r="D5133" i="7"/>
  <c r="D5142" i="7"/>
  <c r="D5136" i="7"/>
  <c r="D5138" i="7"/>
  <c r="D5137" i="7"/>
  <c r="D5139" i="7"/>
  <c r="D5140" i="7"/>
  <c r="D5141" i="7"/>
  <c r="D5143" i="7"/>
  <c r="D5144" i="7"/>
  <c r="D5145" i="7"/>
  <c r="D5244" i="7"/>
  <c r="D5245" i="7"/>
  <c r="D5246" i="7"/>
  <c r="D5247" i="7"/>
  <c r="D5248" i="7"/>
  <c r="D5249" i="7"/>
  <c r="D5250" i="7"/>
  <c r="D5251" i="7"/>
  <c r="D5252" i="7"/>
  <c r="D5253" i="7"/>
  <c r="D5254" i="7"/>
  <c r="D5255" i="7"/>
  <c r="D5256" i="7"/>
  <c r="D5257" i="7"/>
  <c r="D5258" i="7"/>
  <c r="D5259" i="7"/>
  <c r="D5260" i="7"/>
  <c r="D5261" i="7"/>
  <c r="D5262" i="7"/>
  <c r="D5263" i="7"/>
  <c r="D5264" i="7"/>
  <c r="D5265" i="7"/>
  <c r="D5266" i="7"/>
  <c r="D5267" i="7"/>
  <c r="D5268" i="7"/>
  <c r="D5269" i="7"/>
  <c r="D5270" i="7"/>
  <c r="D5271" i="7"/>
  <c r="D5272" i="7"/>
  <c r="D5273" i="7"/>
  <c r="D5274" i="7"/>
  <c r="D5275" i="7"/>
  <c r="D5276" i="7"/>
  <c r="D5277" i="7"/>
  <c r="D5278" i="7"/>
  <c r="D5279" i="7"/>
  <c r="D5280" i="7"/>
  <c r="D5281" i="7"/>
  <c r="D5282" i="7"/>
  <c r="D5283" i="7"/>
  <c r="D5284" i="7"/>
  <c r="D5285" i="7"/>
  <c r="D5286" i="7"/>
  <c r="D5287" i="7"/>
  <c r="D5288" i="7"/>
  <c r="D5289" i="7"/>
  <c r="D5290" i="7"/>
  <c r="D5291" i="7"/>
  <c r="D5292" i="7"/>
  <c r="D5293" i="7"/>
  <c r="D5294" i="7"/>
  <c r="D5295" i="7"/>
  <c r="D5296" i="7"/>
  <c r="D5297" i="7"/>
  <c r="D5298" i="7"/>
  <c r="D4903" i="7"/>
  <c r="D4904" i="7"/>
  <c r="D4905" i="7"/>
  <c r="D4906" i="7"/>
  <c r="D4907" i="7"/>
  <c r="D4908" i="7"/>
  <c r="D4909" i="7"/>
  <c r="D4910" i="7"/>
  <c r="D4911" i="7"/>
  <c r="D4912" i="7"/>
  <c r="D4913" i="7"/>
  <c r="D4914" i="7"/>
  <c r="D4915" i="7"/>
  <c r="D4916" i="7"/>
  <c r="D4917" i="7"/>
  <c r="D4918" i="7"/>
  <c r="D4919" i="7"/>
  <c r="D4920" i="7"/>
  <c r="D4921" i="7"/>
  <c r="D4922" i="7"/>
  <c r="D4923" i="7"/>
  <c r="D4924" i="7"/>
  <c r="D4925" i="7"/>
  <c r="D4926" i="7"/>
  <c r="D4927" i="7"/>
  <c r="D4928" i="7"/>
  <c r="D4929" i="7"/>
  <c r="D4930" i="7"/>
  <c r="D4931" i="7"/>
  <c r="D4932" i="7"/>
  <c r="D4933" i="7"/>
  <c r="D4934" i="7"/>
  <c r="D4935" i="7"/>
  <c r="D4936" i="7"/>
  <c r="D4937" i="7"/>
  <c r="D4938" i="7"/>
  <c r="D4939" i="7"/>
  <c r="D4940" i="7"/>
  <c r="D4941" i="7"/>
  <c r="D4942" i="7"/>
  <c r="D4943" i="7"/>
  <c r="D4944" i="7"/>
  <c r="D4945" i="7"/>
  <c r="D4946" i="7"/>
  <c r="D4947" i="7"/>
  <c r="D4948" i="7"/>
  <c r="D4949" i="7"/>
  <c r="D4950" i="7"/>
  <c r="D4951" i="7"/>
  <c r="D4952" i="7"/>
  <c r="D4953" i="7"/>
  <c r="D4954" i="7"/>
  <c r="D4955" i="7"/>
  <c r="D4956" i="7"/>
  <c r="D4957" i="7"/>
  <c r="D3931" i="7"/>
  <c r="D3930" i="7"/>
  <c r="D3929" i="7"/>
  <c r="D3928" i="7"/>
  <c r="D3932" i="7"/>
  <c r="D3933" i="7"/>
  <c r="D3934" i="7"/>
  <c r="D3935" i="7"/>
  <c r="D3936" i="7"/>
  <c r="D3937" i="7"/>
  <c r="D3938" i="7"/>
  <c r="D3939" i="7"/>
  <c r="D3940" i="7"/>
  <c r="D3941" i="7"/>
  <c r="D3942" i="7"/>
  <c r="D3943" i="7"/>
  <c r="D3944" i="7"/>
  <c r="D3945" i="7"/>
  <c r="D3946" i="7"/>
  <c r="D3947" i="7"/>
  <c r="D3948" i="7"/>
  <c r="D3949" i="7"/>
  <c r="D3950" i="7"/>
  <c r="D3951" i="7"/>
  <c r="D3952" i="7"/>
  <c r="D3953" i="7"/>
  <c r="D3954" i="7"/>
  <c r="D3955" i="7"/>
  <c r="D3956" i="7"/>
  <c r="D3957" i="7"/>
  <c r="D3958" i="7"/>
  <c r="D3959" i="7"/>
  <c r="D3960" i="7"/>
  <c r="D3961" i="7"/>
  <c r="D3962" i="7"/>
  <c r="D3963" i="7"/>
  <c r="D3964" i="7"/>
  <c r="D3965" i="7"/>
  <c r="D3966" i="7"/>
  <c r="D3967" i="7"/>
  <c r="D3968" i="7"/>
  <c r="D3969" i="7"/>
  <c r="D3970" i="7"/>
  <c r="D3971" i="7"/>
  <c r="D3972" i="7"/>
  <c r="D3973" i="7"/>
  <c r="D3974" i="7"/>
  <c r="D3975" i="7"/>
  <c r="D3976" i="7"/>
  <c r="D3977" i="7"/>
  <c r="D3978" i="7"/>
  <c r="D3979" i="7"/>
  <c r="D3980" i="7"/>
  <c r="D3981" i="7"/>
  <c r="D3982" i="7"/>
  <c r="D3983" i="7"/>
  <c r="D3984" i="7"/>
  <c r="D3985" i="7"/>
  <c r="D3986" i="7"/>
  <c r="D3987" i="7"/>
  <c r="D3988" i="7"/>
  <c r="D3989" i="7"/>
  <c r="D3990" i="7"/>
  <c r="D3991" i="7"/>
  <c r="D3992" i="7"/>
  <c r="D3993" i="7"/>
  <c r="D3994" i="7"/>
  <c r="D3995" i="7"/>
  <c r="D3996" i="7"/>
  <c r="D3997" i="7"/>
  <c r="D3998" i="7"/>
  <c r="D3999" i="7"/>
  <c r="D4000" i="7"/>
  <c r="D4001" i="7"/>
  <c r="D4002" i="7"/>
  <c r="D4003" i="7"/>
  <c r="D4004" i="7"/>
  <c r="D4005" i="7"/>
  <c r="D4006" i="7"/>
  <c r="D4007" i="7"/>
  <c r="D4008" i="7"/>
  <c r="D4009" i="7"/>
  <c r="D3157" i="7"/>
  <c r="D3125" i="7"/>
  <c r="D3126" i="7"/>
  <c r="D3127" i="7"/>
  <c r="D3128" i="7"/>
  <c r="D3129" i="7"/>
  <c r="D3130" i="7"/>
  <c r="D3131" i="7"/>
  <c r="D3132" i="7"/>
  <c r="D3133" i="7"/>
  <c r="D3134" i="7"/>
  <c r="D3135" i="7"/>
  <c r="D3136" i="7"/>
  <c r="D3137" i="7"/>
  <c r="D3138" i="7"/>
  <c r="D3139" i="7"/>
  <c r="D3140" i="7"/>
  <c r="D3141" i="7"/>
  <c r="D3142" i="7"/>
  <c r="D3143" i="7"/>
  <c r="D3144" i="7"/>
  <c r="D3145" i="7"/>
  <c r="D3146" i="7"/>
  <c r="D3147" i="7"/>
  <c r="D3148" i="7"/>
  <c r="D3149" i="7"/>
  <c r="D3150" i="7"/>
  <c r="D3151" i="7"/>
  <c r="D3152" i="7"/>
  <c r="D3153" i="7"/>
  <c r="D3154" i="7"/>
  <c r="D3155" i="7"/>
  <c r="D3156" i="7"/>
  <c r="D3158" i="7"/>
  <c r="D3159" i="7"/>
  <c r="D3160" i="7"/>
  <c r="D3161" i="7"/>
  <c r="D3162" i="7"/>
  <c r="D3163" i="7"/>
  <c r="D3164" i="7"/>
  <c r="D3165" i="7"/>
  <c r="D3166" i="7"/>
  <c r="D3167" i="7"/>
  <c r="D3168" i="7"/>
  <c r="D3169" i="7"/>
  <c r="D3170" i="7"/>
  <c r="D3171" i="7"/>
  <c r="D3172" i="7"/>
  <c r="D3173" i="7"/>
  <c r="D3174" i="7"/>
  <c r="D3175" i="7"/>
  <c r="D3176" i="7"/>
  <c r="D3177" i="7"/>
  <c r="D3178" i="7"/>
  <c r="D3179" i="7"/>
  <c r="D3180" i="7"/>
  <c r="D3181" i="7"/>
  <c r="D3182" i="7"/>
  <c r="D3183" i="7"/>
  <c r="D3184" i="7"/>
  <c r="D3185" i="7"/>
  <c r="D3186" i="7"/>
  <c r="D3187" i="7"/>
  <c r="D3188" i="7"/>
  <c r="D3189" i="7"/>
  <c r="D3190" i="7"/>
  <c r="D3191" i="7"/>
  <c r="D3192" i="7"/>
  <c r="D3193" i="7"/>
  <c r="D3194" i="7"/>
  <c r="D3195" i="7"/>
  <c r="D3196" i="7"/>
  <c r="D3197" i="7"/>
  <c r="D3198" i="7"/>
  <c r="D3199" i="7"/>
  <c r="D1405" i="7"/>
  <c r="D1407" i="7"/>
  <c r="D1408" i="7"/>
  <c r="D1409" i="7"/>
  <c r="D1410" i="7"/>
  <c r="D1411" i="7"/>
  <c r="D1412" i="7"/>
  <c r="D1413" i="7"/>
  <c r="D1414" i="7"/>
  <c r="D1415" i="7"/>
  <c r="D1416" i="7"/>
  <c r="D1417" i="7"/>
  <c r="D1418" i="7"/>
  <c r="D1419" i="7"/>
  <c r="D1420" i="7"/>
  <c r="D1421" i="7"/>
  <c r="D1422" i="7"/>
  <c r="D1423" i="7"/>
  <c r="D1424" i="7"/>
  <c r="D1425" i="7"/>
  <c r="D1426" i="7"/>
  <c r="D1427" i="7"/>
  <c r="D1428" i="7"/>
  <c r="D1430" i="7"/>
  <c r="D1431" i="7"/>
  <c r="D1432" i="7"/>
  <c r="D1433" i="7"/>
  <c r="D1434" i="7"/>
  <c r="D1435" i="7"/>
  <c r="D1436" i="7"/>
  <c r="D1437" i="7"/>
  <c r="D1438" i="7"/>
  <c r="D1439" i="7"/>
  <c r="D1440" i="7"/>
  <c r="D1441" i="7"/>
  <c r="D1442" i="7"/>
  <c r="D1443" i="7"/>
  <c r="D1444" i="7"/>
  <c r="D1445" i="7"/>
  <c r="D1447" i="7"/>
  <c r="D1448" i="7"/>
  <c r="D1449" i="7"/>
  <c r="D1450" i="7"/>
  <c r="D1451" i="7"/>
  <c r="D1452" i="7"/>
  <c r="D1453" i="7"/>
  <c r="D1454" i="7"/>
  <c r="D1455" i="7"/>
  <c r="D1456" i="7"/>
  <c r="D1457" i="7"/>
  <c r="D1458" i="7"/>
  <c r="D1459" i="7"/>
  <c r="D1460" i="7"/>
  <c r="D1461" i="7"/>
  <c r="D1462" i="7"/>
  <c r="D1463" i="7"/>
  <c r="D1464" i="7"/>
  <c r="D1465" i="7"/>
  <c r="D1466" i="7"/>
  <c r="D1467" i="7"/>
  <c r="D1401" i="7"/>
  <c r="D1400" i="7"/>
  <c r="D1399" i="7"/>
  <c r="D1398" i="7"/>
  <c r="D1397" i="7"/>
  <c r="D1396" i="7"/>
  <c r="D1395" i="7"/>
  <c r="D1394" i="7"/>
  <c r="D1393" i="7"/>
  <c r="D1392" i="7"/>
  <c r="D1391" i="7"/>
  <c r="D1390" i="7"/>
  <c r="D1389" i="7"/>
  <c r="D1388" i="7"/>
  <c r="D1387" i="7"/>
  <c r="D1386" i="7"/>
  <c r="D1385" i="7"/>
  <c r="D1384" i="7"/>
  <c r="D1383" i="7"/>
  <c r="D1382" i="7"/>
  <c r="D1381" i="7"/>
  <c r="D1380" i="7"/>
  <c r="D1379" i="7"/>
  <c r="D1378" i="7"/>
  <c r="D1377" i="7"/>
  <c r="D1376" i="7"/>
  <c r="D1375" i="7"/>
  <c r="D1374" i="7"/>
  <c r="D1373" i="7"/>
  <c r="D1372" i="7"/>
  <c r="D1371" i="7"/>
  <c r="D1370" i="7"/>
  <c r="D1369" i="7"/>
  <c r="D1368" i="7"/>
  <c r="D1367" i="7"/>
  <c r="D1366" i="7"/>
  <c r="D1365" i="7"/>
  <c r="D1364" i="7"/>
  <c r="D1363" i="7"/>
  <c r="D1362" i="7"/>
  <c r="D1361" i="7"/>
  <c r="D1360" i="7"/>
  <c r="D1359" i="7"/>
  <c r="D1358" i="7"/>
  <c r="D1357" i="7"/>
  <c r="D1356" i="7"/>
  <c r="D1355" i="7"/>
  <c r="D1354" i="7"/>
  <c r="D1353" i="7"/>
  <c r="D1352" i="7"/>
  <c r="D1351" i="7"/>
  <c r="D1350" i="7"/>
  <c r="D1349" i="7"/>
  <c r="D1348" i="7"/>
  <c r="D1347" i="7"/>
  <c r="D1346" i="7"/>
  <c r="D1345" i="7"/>
  <c r="D1344" i="7"/>
  <c r="D1343" i="7"/>
  <c r="D1342" i="7"/>
  <c r="D1341" i="7"/>
  <c r="D1340" i="7"/>
  <c r="D1339" i="7"/>
  <c r="D1338" i="7"/>
  <c r="D1337" i="7"/>
  <c r="D1336" i="7"/>
  <c r="D1335" i="7"/>
  <c r="D1334" i="7"/>
  <c r="D1333" i="7"/>
  <c r="D1332" i="7"/>
  <c r="D1331" i="7"/>
  <c r="D1330" i="7"/>
  <c r="D1329" i="7"/>
  <c r="D1328" i="7"/>
  <c r="D1327" i="7"/>
  <c r="D1326" i="7"/>
  <c r="D1325" i="7"/>
  <c r="D1324" i="7"/>
  <c r="D1323" i="7"/>
  <c r="D1322" i="7"/>
  <c r="D1321" i="7"/>
  <c r="D1320" i="7"/>
  <c r="D1319" i="7"/>
  <c r="D1318" i="7"/>
  <c r="D1317" i="7"/>
  <c r="D1316" i="7"/>
  <c r="D1315" i="7"/>
  <c r="D1314" i="7"/>
  <c r="D1313" i="7"/>
  <c r="D1312" i="7"/>
  <c r="D1311" i="7"/>
  <c r="D1310" i="7"/>
  <c r="D1309" i="7"/>
  <c r="D1308" i="7"/>
  <c r="D1307" i="7"/>
  <c r="D1306" i="7"/>
  <c r="D1305" i="7"/>
  <c r="D1304" i="7"/>
  <c r="D1303" i="7"/>
  <c r="D1302" i="7"/>
  <c r="D1301" i="7"/>
  <c r="D1300" i="7"/>
  <c r="D1299" i="7"/>
  <c r="D1298" i="7"/>
  <c r="D1297" i="7"/>
  <c r="D1296" i="7"/>
  <c r="D1295" i="7"/>
  <c r="D1294" i="7"/>
  <c r="D1293" i="7"/>
  <c r="D1292" i="7"/>
  <c r="D1291" i="7"/>
  <c r="D1290" i="7"/>
  <c r="D1289" i="7"/>
  <c r="D1288" i="7"/>
  <c r="D1287" i="7"/>
  <c r="D1286" i="7"/>
  <c r="D1285" i="7"/>
  <c r="D1284" i="7"/>
  <c r="D1283" i="7"/>
  <c r="D1282" i="7"/>
  <c r="D1281" i="7"/>
  <c r="D1280" i="7"/>
  <c r="D1279" i="7"/>
  <c r="D1278" i="7"/>
  <c r="D1277" i="7"/>
  <c r="D1276" i="7"/>
  <c r="D1275" i="7"/>
  <c r="D1274" i="7"/>
  <c r="D1273" i="7"/>
  <c r="D1272" i="7"/>
  <c r="D1271" i="7"/>
  <c r="D1270" i="7"/>
  <c r="D1269" i="7"/>
  <c r="D1268" i="7"/>
  <c r="D1267" i="7"/>
  <c r="D1266" i="7"/>
  <c r="D1265" i="7"/>
  <c r="D1264" i="7"/>
  <c r="D1263" i="7"/>
  <c r="D1262" i="7"/>
  <c r="D1261" i="7"/>
  <c r="D1260" i="7"/>
  <c r="D1259" i="7"/>
  <c r="D1258" i="7"/>
  <c r="D1257" i="7"/>
  <c r="D1256" i="7"/>
  <c r="D1255" i="7"/>
  <c r="D1254" i="7"/>
  <c r="D1253" i="7"/>
  <c r="D1252" i="7"/>
  <c r="D1251" i="7"/>
  <c r="D1250" i="7"/>
  <c r="D1249" i="7"/>
  <c r="D1248" i="7"/>
  <c r="D1247" i="7"/>
  <c r="D1246" i="7"/>
  <c r="D1245" i="7"/>
  <c r="D1244" i="7"/>
  <c r="D1243" i="7"/>
  <c r="D1242" i="7"/>
  <c r="D1241" i="7"/>
  <c r="D1240" i="7"/>
  <c r="D1239" i="7"/>
  <c r="D1238" i="7"/>
  <c r="D1237" i="7"/>
  <c r="D1236" i="7"/>
  <c r="D1235" i="7"/>
  <c r="D1234" i="7"/>
  <c r="D1233" i="7"/>
  <c r="D1232" i="7"/>
  <c r="D1231" i="7"/>
  <c r="D1230" i="7"/>
  <c r="D1229" i="7"/>
  <c r="D1228" i="7"/>
  <c r="D1227" i="7"/>
  <c r="D1226" i="7"/>
  <c r="D1225" i="7"/>
  <c r="D1224" i="7"/>
  <c r="D1223" i="7"/>
  <c r="D1222" i="7"/>
  <c r="D1221" i="7"/>
  <c r="D1220" i="7"/>
  <c r="D1219" i="7"/>
  <c r="D1218" i="7"/>
  <c r="D1217" i="7"/>
  <c r="D1216" i="7"/>
  <c r="D1215" i="7"/>
  <c r="D1214" i="7"/>
  <c r="D1213" i="7"/>
  <c r="D1212" i="7"/>
  <c r="D1211" i="7"/>
  <c r="D1210" i="7"/>
  <c r="D1209" i="7"/>
  <c r="D1208" i="7"/>
  <c r="D1207" i="7"/>
  <c r="D1206" i="7"/>
  <c r="D1205" i="7"/>
  <c r="D1204" i="7"/>
  <c r="D1203" i="7"/>
  <c r="D1202" i="7"/>
  <c r="D1201" i="7"/>
  <c r="D1200" i="7"/>
  <c r="D1199" i="7"/>
  <c r="D1198" i="7"/>
  <c r="D1197" i="7"/>
  <c r="D1196" i="7"/>
  <c r="D1195" i="7"/>
  <c r="D1194" i="7"/>
  <c r="D1193" i="7"/>
  <c r="D1192" i="7"/>
  <c r="D1191" i="7"/>
  <c r="D1190" i="7"/>
  <c r="D1189" i="7"/>
  <c r="D1188" i="7"/>
  <c r="D1187" i="7"/>
  <c r="D1186" i="7"/>
  <c r="D1185" i="7"/>
  <c r="D1184" i="7"/>
  <c r="D1183" i="7"/>
  <c r="D1182" i="7"/>
  <c r="D1181" i="7"/>
  <c r="D1180" i="7"/>
  <c r="D1179" i="7"/>
  <c r="D1178" i="7"/>
  <c r="D1177" i="7"/>
  <c r="D1176" i="7"/>
  <c r="D1175" i="7"/>
  <c r="D1174" i="7"/>
  <c r="D1173" i="7"/>
  <c r="D1172" i="7"/>
  <c r="D1171" i="7"/>
  <c r="D1170" i="7"/>
  <c r="D1169" i="7"/>
  <c r="D1168" i="7"/>
  <c r="D1167" i="7"/>
  <c r="D1166" i="7"/>
  <c r="D1165" i="7"/>
  <c r="D1164" i="7"/>
  <c r="D1163" i="7"/>
  <c r="D1162" i="7"/>
  <c r="D1161" i="7"/>
  <c r="D1160" i="7"/>
  <c r="D1159" i="7"/>
  <c r="D1158" i="7"/>
  <c r="D1157" i="7"/>
  <c r="D1156" i="7"/>
  <c r="D1155" i="7"/>
  <c r="D1154" i="7"/>
  <c r="D1153" i="7"/>
  <c r="D1152" i="7"/>
  <c r="D1151" i="7"/>
  <c r="D1150" i="7"/>
  <c r="D1149" i="7"/>
  <c r="D1148" i="7"/>
  <c r="D1147" i="7"/>
  <c r="D1146" i="7"/>
  <c r="D1145" i="7"/>
  <c r="D1144" i="7"/>
  <c r="D1143" i="7"/>
  <c r="D1142" i="7"/>
  <c r="D1141" i="7"/>
  <c r="D1140" i="7"/>
  <c r="D1139" i="7"/>
  <c r="D1138" i="7"/>
  <c r="D1137" i="7"/>
  <c r="D1136" i="7"/>
  <c r="D1135" i="7"/>
  <c r="D1134" i="7"/>
  <c r="D1133" i="7"/>
  <c r="D1132" i="7"/>
  <c r="D1131" i="7"/>
  <c r="D1130" i="7"/>
  <c r="D1129" i="7"/>
  <c r="D1128" i="7"/>
  <c r="D1127" i="7"/>
  <c r="D1126" i="7"/>
  <c r="D1125" i="7"/>
  <c r="D1124" i="7"/>
  <c r="D1123" i="7"/>
  <c r="D1122" i="7"/>
  <c r="D1121" i="7"/>
  <c r="D1120" i="7"/>
  <c r="D1119" i="7"/>
  <c r="D1118" i="7"/>
  <c r="D1117" i="7"/>
  <c r="D1116" i="7"/>
  <c r="D1115" i="7"/>
  <c r="D1114" i="7"/>
  <c r="D1113" i="7"/>
  <c r="D1112" i="7"/>
  <c r="D1111" i="7"/>
  <c r="D1110" i="7"/>
  <c r="D1109" i="7"/>
  <c r="D1108" i="7"/>
  <c r="D1107" i="7"/>
  <c r="D1106" i="7"/>
  <c r="D1105" i="7"/>
  <c r="D1104" i="7"/>
  <c r="D1103" i="7"/>
  <c r="D1102" i="7"/>
  <c r="D1101" i="7"/>
  <c r="D1100" i="7"/>
  <c r="D1099" i="7"/>
  <c r="D1098" i="7"/>
  <c r="D1097" i="7"/>
  <c r="D1096" i="7"/>
  <c r="D1095" i="7"/>
  <c r="D1094" i="7"/>
  <c r="D1093" i="7"/>
  <c r="D1092" i="7"/>
  <c r="D1091" i="7"/>
  <c r="D1090" i="7"/>
  <c r="D1089" i="7"/>
  <c r="D1088" i="7"/>
  <c r="D1087" i="7"/>
  <c r="D1086" i="7"/>
  <c r="D1085" i="7"/>
  <c r="D1084" i="7"/>
  <c r="D1083" i="7"/>
  <c r="D1082" i="7"/>
  <c r="D1081" i="7"/>
  <c r="D1080" i="7"/>
  <c r="D1079" i="7"/>
  <c r="D1078" i="7"/>
  <c r="D1077" i="7"/>
  <c r="D1076" i="7"/>
  <c r="D1075" i="7"/>
  <c r="D1049" i="7"/>
  <c r="D1050" i="7"/>
  <c r="D1051" i="7"/>
  <c r="D1052" i="7"/>
  <c r="D1053" i="7"/>
  <c r="D1054" i="7"/>
  <c r="D1055" i="7"/>
  <c r="D1056" i="7"/>
  <c r="D1057" i="7"/>
  <c r="D1058" i="7"/>
  <c r="D1059" i="7"/>
  <c r="D1060" i="7"/>
  <c r="D1061" i="7"/>
  <c r="D1062" i="7"/>
  <c r="D1063" i="7"/>
  <c r="D1064" i="7"/>
  <c r="D1065" i="7"/>
  <c r="D1066" i="7"/>
  <c r="D1067" i="7"/>
  <c r="D1068" i="7"/>
  <c r="D1069" i="7"/>
  <c r="D1070" i="7"/>
  <c r="D1032" i="7"/>
  <c r="D1033" i="7"/>
  <c r="D1034" i="7"/>
  <c r="D1035" i="7"/>
  <c r="D1036" i="7"/>
  <c r="D1037" i="7"/>
  <c r="D1038" i="7"/>
  <c r="D1039" i="7"/>
  <c r="D1040" i="7"/>
  <c r="D1041" i="7"/>
  <c r="D1042" i="7"/>
  <c r="D1043" i="7"/>
  <c r="D1044" i="7"/>
  <c r="D1045" i="7"/>
  <c r="D806" i="7"/>
  <c r="D807" i="7"/>
  <c r="D808" i="7"/>
  <c r="D809" i="7"/>
  <c r="D810" i="7"/>
  <c r="D811" i="7"/>
  <c r="D812" i="7"/>
  <c r="D813" i="7"/>
  <c r="D814" i="7"/>
  <c r="D815" i="7"/>
  <c r="D816" i="7"/>
  <c r="D817" i="7"/>
  <c r="D818" i="7"/>
  <c r="D819" i="7"/>
  <c r="D820" i="7"/>
  <c r="D821" i="7"/>
  <c r="D822" i="7"/>
  <c r="D823" i="7"/>
  <c r="D824" i="7"/>
  <c r="D825" i="7"/>
  <c r="D826" i="7"/>
  <c r="D827" i="7"/>
  <c r="D828" i="7"/>
  <c r="D829" i="7"/>
  <c r="D830" i="7"/>
  <c r="D831" i="7"/>
  <c r="D832" i="7"/>
  <c r="D833" i="7"/>
  <c r="D834" i="7"/>
  <c r="D835" i="7"/>
  <c r="D836" i="7"/>
  <c r="D837" i="7"/>
  <c r="D838" i="7"/>
  <c r="D839" i="7"/>
  <c r="D840" i="7"/>
  <c r="D841" i="7"/>
  <c r="D842" i="7"/>
  <c r="D843" i="7"/>
  <c r="D844" i="7"/>
  <c r="D845" i="7"/>
  <c r="D846" i="7"/>
  <c r="D847" i="7"/>
  <c r="D848" i="7"/>
  <c r="D849" i="7"/>
  <c r="D850" i="7"/>
  <c r="D851" i="7"/>
  <c r="D852" i="7"/>
  <c r="D853" i="7"/>
  <c r="D854" i="7"/>
  <c r="D855" i="7"/>
  <c r="D856" i="7"/>
  <c r="D857" i="7"/>
  <c r="D858" i="7"/>
  <c r="D859" i="7"/>
  <c r="D860" i="7"/>
  <c r="D861" i="7"/>
  <c r="D862" i="7"/>
  <c r="D863" i="7"/>
  <c r="D864" i="7"/>
  <c r="D865" i="7"/>
  <c r="D866" i="7"/>
  <c r="D867" i="7"/>
  <c r="D868" i="7"/>
  <c r="D869" i="7"/>
  <c r="D870" i="7"/>
  <c r="D871" i="7"/>
  <c r="D872" i="7"/>
  <c r="D873" i="7"/>
  <c r="D874" i="7"/>
  <c r="D875" i="7"/>
  <c r="D876" i="7"/>
  <c r="D877" i="7"/>
  <c r="D878" i="7"/>
  <c r="D879" i="7"/>
  <c r="D880" i="7"/>
  <c r="D881" i="7"/>
  <c r="D882" i="7"/>
  <c r="D883" i="7"/>
  <c r="D884" i="7"/>
  <c r="D885" i="7"/>
  <c r="D886" i="7"/>
  <c r="D887" i="7"/>
  <c r="D888" i="7"/>
  <c r="D889" i="7"/>
  <c r="D890" i="7"/>
  <c r="D891" i="7"/>
  <c r="D892" i="7"/>
  <c r="D893" i="7"/>
  <c r="D894" i="7"/>
  <c r="D895" i="7"/>
  <c r="D896" i="7"/>
  <c r="D897" i="7"/>
  <c r="D898" i="7"/>
  <c r="D899" i="7"/>
  <c r="D900" i="7"/>
  <c r="D901" i="7"/>
  <c r="D902" i="7"/>
  <c r="D903" i="7"/>
  <c r="D904" i="7"/>
  <c r="D905" i="7"/>
  <c r="D906" i="7"/>
  <c r="D907" i="7"/>
  <c r="D908" i="7"/>
  <c r="D909" i="7"/>
  <c r="D910" i="7"/>
  <c r="D911" i="7"/>
  <c r="D912" i="7"/>
  <c r="D913" i="7"/>
  <c r="D914" i="7"/>
  <c r="D915" i="7"/>
  <c r="D916" i="7"/>
  <c r="D917" i="7"/>
  <c r="D918" i="7"/>
  <c r="D919" i="7"/>
  <c r="D920" i="7"/>
  <c r="D921" i="7"/>
  <c r="D922" i="7"/>
  <c r="D923" i="7"/>
  <c r="D924" i="7"/>
  <c r="D925" i="7"/>
  <c r="D926" i="7"/>
  <c r="D927" i="7"/>
  <c r="D928" i="7"/>
  <c r="D929" i="7"/>
  <c r="D930" i="7"/>
  <c r="D931" i="7"/>
  <c r="D932" i="7"/>
  <c r="D933" i="7"/>
  <c r="D934" i="7"/>
  <c r="D935" i="7"/>
  <c r="D936" i="7"/>
  <c r="D937" i="7"/>
  <c r="D938" i="7"/>
  <c r="D939" i="7"/>
  <c r="D940" i="7"/>
  <c r="D941" i="7"/>
  <c r="D942" i="7"/>
  <c r="D943" i="7"/>
  <c r="D944" i="7"/>
  <c r="D945" i="7"/>
  <c r="D946" i="7"/>
  <c r="D947" i="7"/>
  <c r="D948" i="7"/>
  <c r="D949" i="7"/>
  <c r="D950" i="7"/>
  <c r="D951" i="7"/>
  <c r="D952" i="7"/>
  <c r="D953" i="7"/>
  <c r="D954" i="7"/>
  <c r="D955" i="7"/>
  <c r="D956" i="7"/>
  <c r="D957" i="7"/>
  <c r="D958" i="7"/>
  <c r="D959" i="7"/>
  <c r="D960" i="7"/>
  <c r="D961" i="7"/>
  <c r="D962" i="7"/>
  <c r="D963" i="7"/>
  <c r="D964" i="7"/>
  <c r="D965" i="7"/>
  <c r="D966" i="7"/>
  <c r="D967" i="7"/>
  <c r="D968" i="7"/>
  <c r="D969" i="7"/>
  <c r="D970" i="7"/>
  <c r="D971" i="7"/>
  <c r="D972" i="7"/>
  <c r="D973" i="7"/>
  <c r="D974" i="7"/>
  <c r="D975" i="7"/>
  <c r="D976" i="7"/>
  <c r="D977" i="7"/>
  <c r="D978" i="7"/>
  <c r="D979" i="7"/>
  <c r="D980" i="7"/>
  <c r="D981" i="7"/>
  <c r="D982" i="7"/>
  <c r="D983" i="7"/>
  <c r="D984" i="7"/>
  <c r="D985" i="7"/>
  <c r="D986" i="7"/>
  <c r="D987" i="7"/>
  <c r="D988" i="7"/>
  <c r="D989" i="7"/>
  <c r="D990" i="7"/>
  <c r="D991" i="7"/>
  <c r="D992" i="7"/>
  <c r="D993" i="7"/>
  <c r="D994" i="7"/>
  <c r="D995" i="7"/>
  <c r="D996" i="7"/>
  <c r="D997" i="7"/>
  <c r="D998" i="7"/>
  <c r="D999" i="7"/>
  <c r="D1000" i="7"/>
  <c r="D1001" i="7"/>
  <c r="D1002" i="7"/>
  <c r="D1003" i="7"/>
  <c r="D1004" i="7"/>
  <c r="D1005" i="7"/>
  <c r="D1006" i="7"/>
  <c r="D1007" i="7"/>
  <c r="D1008" i="7"/>
  <c r="D1009" i="7"/>
  <c r="D1010" i="7"/>
  <c r="D1011" i="7"/>
  <c r="D1012" i="7"/>
  <c r="D1013" i="7"/>
  <c r="D1014" i="7"/>
  <c r="D1015" i="7"/>
  <c r="D1016" i="7"/>
  <c r="D1017" i="7"/>
  <c r="D1018" i="7"/>
  <c r="D1019" i="7"/>
  <c r="D1020" i="7"/>
  <c r="D1021" i="7"/>
  <c r="D1022" i="7"/>
  <c r="D1023" i="7"/>
  <c r="D1024" i="7"/>
  <c r="D1025" i="7"/>
  <c r="D1026" i="7"/>
  <c r="D1027" i="7"/>
  <c r="D1028" i="7"/>
  <c r="D1029" i="7"/>
  <c r="D717" i="7"/>
  <c r="D718" i="7"/>
  <c r="D719" i="7"/>
  <c r="D721" i="7"/>
  <c r="D722" i="7"/>
  <c r="D723" i="7"/>
  <c r="D725" i="7"/>
  <c r="D726" i="7"/>
  <c r="D727" i="7"/>
  <c r="D728" i="7"/>
  <c r="D729" i="7"/>
  <c r="D730" i="7"/>
  <c r="D731" i="7"/>
  <c r="D733" i="7"/>
  <c r="D734" i="7"/>
  <c r="D735" i="7"/>
  <c r="D736" i="7"/>
  <c r="D738" i="7"/>
  <c r="D739" i="7"/>
  <c r="D740" i="7"/>
  <c r="D741" i="7"/>
  <c r="D742" i="7"/>
  <c r="D744" i="7"/>
  <c r="D745" i="7"/>
  <c r="D746" i="7"/>
  <c r="D747" i="7"/>
  <c r="D748" i="7"/>
  <c r="D750" i="7"/>
  <c r="D751" i="7"/>
  <c r="D752" i="7"/>
  <c r="D754" i="7"/>
  <c r="D755" i="7"/>
  <c r="D756" i="7"/>
  <c r="D757" i="7"/>
  <c r="D759" i="7"/>
  <c r="D760" i="7"/>
  <c r="D762" i="7"/>
  <c r="D763" i="7"/>
  <c r="D764" i="7"/>
  <c r="D766" i="7"/>
  <c r="D767" i="7"/>
  <c r="D770" i="7"/>
  <c r="D771" i="7"/>
  <c r="D773" i="7"/>
  <c r="D775" i="7"/>
  <c r="D776" i="7"/>
  <c r="D778" i="7"/>
  <c r="D779" i="7"/>
  <c r="D780" i="7"/>
  <c r="D782" i="7"/>
  <c r="D783" i="7"/>
  <c r="D785" i="7"/>
  <c r="D786" i="7"/>
  <c r="D787" i="7"/>
  <c r="D789" i="7"/>
  <c r="D790" i="7"/>
  <c r="D791" i="7"/>
  <c r="D793" i="7"/>
  <c r="D795" i="7"/>
  <c r="D796" i="7"/>
  <c r="D798" i="7"/>
  <c r="D799" i="7"/>
  <c r="D800" i="7"/>
  <c r="D802" i="7"/>
  <c r="D803" i="7"/>
  <c r="D382" i="7"/>
  <c r="D383" i="7"/>
  <c r="D385" i="7"/>
  <c r="D386" i="7"/>
  <c r="D387" i="7"/>
  <c r="D388" i="7"/>
  <c r="D389" i="7"/>
  <c r="D390" i="7"/>
  <c r="D391" i="7"/>
  <c r="D392" i="7"/>
  <c r="D393" i="7"/>
  <c r="D394" i="7"/>
  <c r="D395" i="7"/>
  <c r="D396" i="7"/>
  <c r="D397" i="7"/>
  <c r="D398" i="7"/>
  <c r="D399" i="7"/>
  <c r="D401" i="7"/>
  <c r="D402" i="7"/>
  <c r="D403" i="7"/>
  <c r="D404" i="7"/>
  <c r="D405" i="7"/>
  <c r="D406" i="7"/>
  <c r="D407" i="7"/>
  <c r="D408" i="7"/>
  <c r="D409" i="7"/>
  <c r="D410" i="7"/>
  <c r="D411" i="7"/>
  <c r="D412" i="7"/>
  <c r="D413" i="7"/>
  <c r="D414" i="7"/>
  <c r="D415" i="7"/>
  <c r="D416" i="7"/>
  <c r="D417" i="7"/>
  <c r="D418" i="7"/>
  <c r="D419" i="7"/>
  <c r="D420" i="7"/>
  <c r="D421" i="7"/>
  <c r="D423" i="7"/>
  <c r="D424" i="7"/>
  <c r="D425" i="7"/>
  <c r="D426" i="7"/>
  <c r="D427" i="7"/>
  <c r="D428" i="7"/>
  <c r="D429" i="7"/>
  <c r="D430" i="7"/>
  <c r="D431" i="7"/>
  <c r="D432" i="7"/>
  <c r="D433" i="7"/>
  <c r="D434" i="7"/>
  <c r="D435" i="7"/>
  <c r="D436" i="7"/>
  <c r="D437" i="7"/>
  <c r="D438" i="7"/>
  <c r="D439" i="7"/>
  <c r="D440" i="7"/>
  <c r="D441" i="7"/>
  <c r="D442" i="7"/>
  <c r="D443" i="7"/>
  <c r="D445" i="7"/>
  <c r="D446" i="7"/>
  <c r="D447" i="7"/>
  <c r="D448" i="7"/>
  <c r="D449" i="7"/>
  <c r="D450" i="7"/>
  <c r="D451" i="7"/>
  <c r="D452" i="7"/>
  <c r="D453" i="7"/>
  <c r="D454" i="7"/>
  <c r="D455" i="7"/>
  <c r="D456" i="7"/>
  <c r="D457" i="7"/>
  <c r="D458" i="7"/>
  <c r="D459" i="7"/>
  <c r="D460" i="7"/>
  <c r="D461" i="7"/>
  <c r="D462" i="7"/>
  <c r="D464" i="7"/>
  <c r="D465" i="7"/>
  <c r="D466" i="7"/>
  <c r="D467" i="7"/>
  <c r="D468" i="7"/>
  <c r="D469" i="7"/>
  <c r="D470" i="7"/>
  <c r="D471" i="7"/>
  <c r="D472" i="7"/>
  <c r="D473" i="7"/>
  <c r="D474" i="7"/>
  <c r="D475" i="7"/>
  <c r="D476" i="7"/>
  <c r="D477" i="7"/>
  <c r="D478" i="7"/>
  <c r="D479" i="7"/>
  <c r="D480" i="7"/>
  <c r="D481" i="7"/>
  <c r="D482" i="7"/>
  <c r="D483" i="7"/>
  <c r="D485" i="7"/>
  <c r="D486" i="7"/>
  <c r="D487" i="7"/>
  <c r="D488" i="7"/>
  <c r="D489" i="7"/>
  <c r="D490" i="7"/>
  <c r="D491" i="7"/>
  <c r="D492" i="7"/>
  <c r="D494" i="7"/>
  <c r="D495" i="7"/>
  <c r="D496" i="7"/>
  <c r="D497" i="7"/>
  <c r="D498" i="7"/>
  <c r="D499" i="7"/>
  <c r="D500" i="7"/>
  <c r="D501" i="7"/>
  <c r="D502" i="7"/>
  <c r="D504" i="7"/>
  <c r="D505" i="7"/>
  <c r="D506" i="7"/>
  <c r="D507" i="7"/>
  <c r="D508" i="7"/>
  <c r="D509" i="7"/>
  <c r="D510" i="7"/>
  <c r="D511" i="7"/>
  <c r="D512" i="7"/>
  <c r="D513" i="7"/>
  <c r="D514" i="7"/>
  <c r="D515" i="7"/>
  <c r="D516" i="7"/>
  <c r="D517" i="7"/>
  <c r="D518" i="7"/>
  <c r="D519" i="7"/>
  <c r="D520" i="7"/>
  <c r="D521" i="7"/>
  <c r="D522" i="7"/>
  <c r="D524" i="7"/>
  <c r="D525" i="7"/>
  <c r="D526" i="7"/>
  <c r="D527" i="7"/>
  <c r="D528" i="7"/>
  <c r="D529" i="7"/>
  <c r="D530" i="7"/>
  <c r="D531" i="7"/>
  <c r="D532" i="7"/>
  <c r="D533" i="7"/>
  <c r="D534" i="7"/>
  <c r="D535" i="7"/>
  <c r="D536" i="7"/>
  <c r="D537" i="7"/>
  <c r="D538" i="7"/>
  <c r="D539" i="7"/>
  <c r="D540" i="7"/>
  <c r="D541" i="7"/>
  <c r="D542" i="7"/>
  <c r="D543" i="7"/>
  <c r="D544" i="7"/>
  <c r="D545" i="7"/>
  <c r="D546" i="7"/>
  <c r="D547" i="7"/>
  <c r="D548" i="7"/>
  <c r="D549" i="7"/>
  <c r="D550" i="7"/>
  <c r="D551" i="7"/>
  <c r="D552" i="7"/>
  <c r="D554" i="7"/>
  <c r="D555" i="7"/>
  <c r="D556" i="7"/>
  <c r="D557" i="7"/>
  <c r="D558" i="7"/>
  <c r="D559" i="7"/>
  <c r="D560" i="7"/>
  <c r="D561" i="7"/>
  <c r="D562" i="7"/>
  <c r="D563" i="7"/>
  <c r="D564" i="7"/>
  <c r="D565" i="7"/>
  <c r="D566" i="7"/>
  <c r="D567" i="7"/>
  <c r="D568" i="7"/>
  <c r="D569" i="7"/>
  <c r="D570" i="7"/>
  <c r="D571" i="7"/>
  <c r="D572" i="7"/>
  <c r="D573" i="7"/>
  <c r="D575" i="7"/>
  <c r="D576" i="7"/>
  <c r="D577" i="7"/>
  <c r="D578" i="7"/>
  <c r="D579" i="7"/>
  <c r="D580" i="7"/>
  <c r="D581" i="7"/>
  <c r="D582" i="7"/>
  <c r="D583" i="7"/>
  <c r="D584" i="7"/>
  <c r="D585" i="7"/>
  <c r="D586" i="7"/>
  <c r="D587" i="7"/>
  <c r="D588" i="7"/>
  <c r="D589" i="7"/>
  <c r="D590" i="7"/>
  <c r="D591" i="7"/>
  <c r="D592" i="7"/>
  <c r="D593" i="7"/>
  <c r="D594" i="7"/>
  <c r="D595" i="7"/>
  <c r="D596" i="7"/>
  <c r="D597" i="7"/>
  <c r="D598" i="7"/>
  <c r="D599" i="7"/>
  <c r="D600" i="7"/>
  <c r="D601" i="7"/>
  <c r="D603" i="7"/>
  <c r="D604" i="7"/>
  <c r="D605" i="7"/>
  <c r="D606" i="7"/>
  <c r="D607" i="7"/>
  <c r="D608" i="7"/>
  <c r="D609" i="7"/>
  <c r="D610" i="7"/>
  <c r="D611" i="7"/>
  <c r="D612" i="7"/>
  <c r="D613" i="7"/>
  <c r="D614" i="7"/>
  <c r="D615" i="7"/>
  <c r="D616" i="7"/>
  <c r="D617" i="7"/>
  <c r="D619" i="7"/>
  <c r="D620" i="7"/>
  <c r="D621" i="7"/>
  <c r="D622" i="7"/>
  <c r="D623" i="7"/>
  <c r="D624" i="7"/>
  <c r="D625" i="7"/>
  <c r="D626" i="7"/>
  <c r="D627" i="7"/>
  <c r="D628" i="7"/>
  <c r="D629" i="7"/>
  <c r="D630" i="7"/>
  <c r="D631" i="7"/>
  <c r="D633" i="7"/>
  <c r="D634" i="7"/>
  <c r="D635" i="7"/>
  <c r="D636" i="7"/>
  <c r="D637" i="7"/>
  <c r="D638" i="7"/>
  <c r="D639" i="7"/>
  <c r="D640" i="7"/>
  <c r="D641" i="7"/>
  <c r="D643" i="7"/>
  <c r="D644" i="7"/>
  <c r="D645" i="7"/>
  <c r="D646" i="7"/>
  <c r="D647" i="7"/>
  <c r="D648" i="7"/>
  <c r="D649" i="7"/>
  <c r="D650" i="7"/>
  <c r="D651" i="7"/>
  <c r="D652" i="7"/>
  <c r="D653" i="7"/>
  <c r="D654" i="7"/>
  <c r="D655" i="7"/>
  <c r="D657" i="7"/>
  <c r="D658" i="7"/>
  <c r="D659" i="7"/>
  <c r="D660" i="7"/>
  <c r="D661" i="7"/>
  <c r="D662" i="7"/>
  <c r="D663" i="7"/>
  <c r="D664" i="7"/>
  <c r="D665" i="7"/>
  <c r="D666" i="7"/>
  <c r="D667" i="7"/>
  <c r="D668" i="7"/>
  <c r="D669" i="7"/>
  <c r="D670" i="7"/>
  <c r="D671" i="7"/>
  <c r="D673" i="7"/>
  <c r="D674" i="7"/>
  <c r="D675" i="7"/>
  <c r="D676" i="7"/>
  <c r="D677" i="7"/>
  <c r="D678" i="7"/>
  <c r="D679" i="7"/>
  <c r="D680" i="7"/>
  <c r="D681" i="7"/>
  <c r="D682" i="7"/>
  <c r="D683" i="7"/>
  <c r="D684" i="7"/>
  <c r="D685" i="7"/>
  <c r="D686" i="7"/>
  <c r="D687" i="7"/>
  <c r="D688" i="7"/>
  <c r="D690" i="7"/>
  <c r="D691" i="7"/>
  <c r="D692" i="7"/>
  <c r="D693" i="7"/>
  <c r="D694" i="7"/>
  <c r="D695" i="7"/>
  <c r="D696" i="7"/>
  <c r="D697" i="7"/>
  <c r="D698" i="7"/>
  <c r="D699" i="7"/>
  <c r="D700" i="7"/>
  <c r="D701" i="7"/>
  <c r="D702" i="7"/>
  <c r="D703" i="7"/>
  <c r="D704" i="7"/>
  <c r="D705" i="7"/>
  <c r="D706" i="7"/>
  <c r="D707" i="7"/>
  <c r="D708" i="7"/>
  <c r="D709" i="7"/>
  <c r="D710" i="7"/>
  <c r="D711" i="7"/>
  <c r="D712" i="7"/>
  <c r="D713" i="7"/>
  <c r="D379" i="7"/>
  <c r="D378" i="7"/>
  <c r="D377" i="7"/>
  <c r="D376" i="7"/>
  <c r="D375" i="7"/>
  <c r="D374" i="7"/>
  <c r="D373" i="7"/>
  <c r="D372" i="7"/>
  <c r="D371" i="7"/>
  <c r="D370" i="7"/>
  <c r="D369" i="7"/>
  <c r="D368" i="7"/>
  <c r="D367" i="7"/>
  <c r="D366" i="7"/>
  <c r="D365" i="7"/>
  <c r="D364" i="7"/>
  <c r="D363" i="7"/>
  <c r="D362" i="7"/>
  <c r="D361" i="7"/>
  <c r="D360" i="7"/>
  <c r="D359" i="7"/>
  <c r="D358" i="7"/>
  <c r="D357" i="7"/>
  <c r="D356" i="7"/>
  <c r="D355" i="7"/>
  <c r="D354" i="7"/>
  <c r="D353" i="7"/>
  <c r="D352" i="7"/>
  <c r="D351" i="7"/>
  <c r="D350" i="7"/>
  <c r="D349" i="7"/>
  <c r="D348" i="7"/>
  <c r="D347" i="7"/>
  <c r="D346" i="7"/>
  <c r="D345" i="7"/>
  <c r="D344" i="7"/>
  <c r="D343" i="7"/>
  <c r="D342" i="7"/>
  <c r="D341" i="7"/>
  <c r="D340" i="7"/>
  <c r="D339" i="7"/>
  <c r="D338" i="7"/>
  <c r="D337" i="7"/>
  <c r="D336" i="7"/>
  <c r="D335" i="7"/>
  <c r="D334" i="7"/>
  <c r="D333" i="7"/>
  <c r="D332" i="7"/>
  <c r="D331" i="7"/>
  <c r="D330" i="7"/>
  <c r="D329" i="7"/>
  <c r="D328" i="7"/>
  <c r="D327" i="7"/>
  <c r="D326" i="7"/>
  <c r="D325" i="7"/>
  <c r="D324" i="7"/>
  <c r="D323" i="7"/>
  <c r="D322" i="7"/>
  <c r="D321" i="7"/>
  <c r="D320" i="7"/>
  <c r="D319" i="7"/>
  <c r="D318" i="7"/>
  <c r="D317" i="7"/>
  <c r="D316" i="7"/>
  <c r="D315" i="7"/>
  <c r="D314" i="7"/>
  <c r="D313" i="7"/>
  <c r="D312" i="7"/>
  <c r="D311" i="7"/>
  <c r="D310" i="7"/>
  <c r="D309" i="7"/>
  <c r="D308" i="7"/>
  <c r="D307" i="7"/>
  <c r="D306" i="7"/>
  <c r="D305" i="7"/>
  <c r="D304" i="7"/>
  <c r="D303" i="7"/>
  <c r="D302" i="7"/>
  <c r="D301" i="7"/>
  <c r="D300" i="7"/>
  <c r="D299" i="7"/>
  <c r="D298" i="7"/>
  <c r="D297" i="7"/>
  <c r="D296" i="7"/>
  <c r="D295" i="7"/>
  <c r="D294" i="7"/>
  <c r="D293" i="7"/>
  <c r="D292" i="7"/>
  <c r="D291" i="7"/>
  <c r="D290" i="7"/>
  <c r="D289" i="7"/>
  <c r="D288" i="7"/>
  <c r="D287" i="7"/>
  <c r="D286" i="7"/>
  <c r="D285" i="7"/>
  <c r="D284" i="7"/>
  <c r="D283" i="7"/>
  <c r="D282" i="7"/>
  <c r="D281" i="7"/>
  <c r="D280" i="7"/>
  <c r="D279" i="7"/>
  <c r="D278" i="7"/>
  <c r="D277" i="7"/>
  <c r="D276" i="7"/>
  <c r="D275" i="7"/>
  <c r="D274" i="7"/>
  <c r="D273" i="7"/>
  <c r="D272" i="7"/>
  <c r="D271" i="7"/>
  <c r="D270" i="7"/>
  <c r="D269" i="7"/>
  <c r="D268" i="7"/>
  <c r="D267" i="7"/>
  <c r="D266" i="7"/>
  <c r="D265" i="7"/>
  <c r="D264" i="7"/>
  <c r="D263" i="7"/>
  <c r="D262" i="7"/>
  <c r="D261" i="7"/>
  <c r="D260" i="7"/>
  <c r="D259" i="7"/>
  <c r="D258" i="7"/>
  <c r="D257" i="7"/>
  <c r="D256" i="7"/>
  <c r="D255" i="7"/>
  <c r="D254" i="7"/>
  <c r="D253" i="7"/>
  <c r="D252" i="7"/>
  <c r="D251" i="7"/>
  <c r="D250" i="7"/>
  <c r="D249" i="7"/>
  <c r="D248" i="7"/>
  <c r="D247" i="7"/>
  <c r="D246" i="7"/>
  <c r="D245" i="7"/>
  <c r="D244" i="7"/>
  <c r="D243" i="7"/>
  <c r="D242" i="7"/>
  <c r="D241" i="7"/>
  <c r="D240" i="7"/>
  <c r="D239" i="7"/>
  <c r="D238" i="7"/>
  <c r="D237" i="7"/>
  <c r="D236" i="7"/>
  <c r="D235" i="7"/>
  <c r="D234" i="7"/>
  <c r="D233" i="7"/>
  <c r="D232" i="7"/>
  <c r="D231" i="7"/>
  <c r="D230" i="7"/>
  <c r="D229" i="7"/>
  <c r="D228" i="7"/>
  <c r="D227" i="7"/>
  <c r="D226" i="7"/>
  <c r="D225" i="7"/>
  <c r="D224" i="7"/>
  <c r="D223" i="7"/>
  <c r="D222" i="7"/>
  <c r="D221" i="7"/>
  <c r="D220" i="7"/>
  <c r="D219" i="7"/>
  <c r="D218" i="7"/>
  <c r="D217" i="7"/>
  <c r="D216" i="7"/>
  <c r="D215" i="7"/>
  <c r="D214" i="7"/>
  <c r="D213" i="7"/>
  <c r="D212" i="7"/>
  <c r="D211" i="7"/>
  <c r="D210" i="7"/>
  <c r="D209" i="7"/>
  <c r="D208" i="7"/>
  <c r="D207" i="7"/>
  <c r="D206" i="7"/>
  <c r="D205" i="7"/>
  <c r="D204" i="7"/>
  <c r="D203" i="7"/>
  <c r="D202" i="7"/>
  <c r="D201" i="7"/>
  <c r="D200" i="7"/>
  <c r="D199" i="7"/>
  <c r="D198" i="7"/>
  <c r="D197" i="7"/>
  <c r="D196" i="7"/>
  <c r="D195" i="7"/>
  <c r="D194" i="7"/>
  <c r="D193" i="7"/>
  <c r="D192" i="7"/>
  <c r="D191" i="7"/>
  <c r="D190" i="7"/>
  <c r="D189" i="7"/>
  <c r="D188" i="7"/>
  <c r="D187" i="7"/>
  <c r="D186" i="7"/>
  <c r="D185" i="7"/>
  <c r="D184" i="7"/>
  <c r="D183" i="7"/>
  <c r="D182" i="7"/>
  <c r="D181" i="7"/>
  <c r="D180" i="7"/>
  <c r="D179" i="7"/>
  <c r="D178" i="7"/>
  <c r="D177" i="7"/>
  <c r="D176" i="7"/>
  <c r="D175" i="7"/>
  <c r="D174" i="7"/>
  <c r="D173" i="7"/>
  <c r="D172" i="7"/>
  <c r="D171" i="7"/>
  <c r="D170" i="7"/>
  <c r="D169" i="7"/>
  <c r="D168" i="7"/>
  <c r="D167" i="7"/>
  <c r="D166" i="7"/>
  <c r="D165" i="7"/>
  <c r="D164" i="7"/>
  <c r="D163" i="7"/>
  <c r="D162" i="7"/>
  <c r="D161" i="7"/>
  <c r="D160" i="7"/>
  <c r="D159" i="7"/>
  <c r="D158" i="7"/>
  <c r="D157" i="7"/>
  <c r="D156" i="7"/>
  <c r="D155" i="7"/>
  <c r="D154" i="7"/>
  <c r="D153" i="7"/>
  <c r="D152" i="7"/>
  <c r="D151" i="7"/>
  <c r="D150" i="7"/>
  <c r="D149" i="7"/>
  <c r="D148" i="7"/>
  <c r="D147" i="7"/>
  <c r="D146" i="7"/>
  <c r="D145" i="7"/>
  <c r="D144" i="7"/>
  <c r="D143" i="7"/>
  <c r="D142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E132" i="2" l="1"/>
  <c r="I124" i="2" l="1"/>
  <c r="F289" i="3" l="1"/>
  <c r="F205" i="3"/>
  <c r="F103" i="3" l="1"/>
  <c r="F102" i="3"/>
  <c r="F44" i="3"/>
  <c r="F43" i="3"/>
  <c r="F42" i="3"/>
  <c r="F41" i="3"/>
  <c r="F40" i="3"/>
  <c r="F37" i="3"/>
  <c r="F36" i="3"/>
  <c r="F35" i="3"/>
  <c r="F39" i="3"/>
  <c r="F38" i="3"/>
  <c r="F32" i="3"/>
  <c r="F31" i="3"/>
  <c r="F284" i="3"/>
  <c r="F283" i="3"/>
  <c r="F282" i="3"/>
  <c r="F286" i="3"/>
  <c r="F285" i="3"/>
  <c r="F99" i="3"/>
  <c r="F100" i="3"/>
  <c r="F101" i="3"/>
  <c r="F150" i="3"/>
  <c r="F149" i="3"/>
  <c r="F151" i="3"/>
  <c r="F152" i="3"/>
  <c r="F167" i="3"/>
  <c r="F166" i="3"/>
  <c r="F165" i="3"/>
  <c r="F164" i="3"/>
  <c r="F163" i="3"/>
  <c r="F162" i="3"/>
  <c r="F161" i="3"/>
  <c r="F157" i="3"/>
  <c r="F156" i="3"/>
  <c r="F155" i="3"/>
  <c r="F154" i="3"/>
  <c r="F153" i="3"/>
  <c r="F208" i="3"/>
  <c r="F206" i="3"/>
  <c r="F204" i="3"/>
  <c r="F210" i="3"/>
  <c r="F209" i="3"/>
  <c r="F257" i="3"/>
  <c r="F256" i="3"/>
  <c r="F255" i="3"/>
  <c r="F254" i="3"/>
  <c r="F253" i="3"/>
  <c r="F252" i="3"/>
  <c r="F259" i="3"/>
  <c r="F258" i="3"/>
  <c r="F261" i="3"/>
  <c r="F260" i="3"/>
  <c r="F262" i="3"/>
  <c r="F297" i="3"/>
  <c r="F296" i="3"/>
  <c r="F295" i="3"/>
  <c r="F294" i="3"/>
  <c r="F280" i="3"/>
  <c r="F279" i="3"/>
  <c r="F278" i="3"/>
  <c r="F277" i="3"/>
  <c r="F270" i="3"/>
  <c r="F269" i="3"/>
  <c r="F268" i="3"/>
  <c r="F291" i="3"/>
  <c r="F288" i="3"/>
  <c r="F287" i="3"/>
  <c r="F94" i="3"/>
  <c r="F93" i="3"/>
  <c r="F92" i="3"/>
  <c r="F91" i="3"/>
  <c r="F90" i="3"/>
  <c r="F89" i="3"/>
  <c r="F87" i="3"/>
  <c r="F86" i="3"/>
  <c r="F85" i="3"/>
  <c r="F84" i="3"/>
  <c r="F83" i="3"/>
  <c r="F82" i="3"/>
  <c r="F81" i="3"/>
  <c r="F80" i="3"/>
  <c r="F79" i="3"/>
  <c r="F78" i="3"/>
  <c r="F76" i="3"/>
  <c r="F75" i="3"/>
  <c r="F74" i="3"/>
  <c r="F73" i="3"/>
  <c r="F72" i="3"/>
  <c r="F68" i="3"/>
  <c r="F67" i="3"/>
  <c r="F66" i="3"/>
  <c r="F65" i="3"/>
  <c r="F50" i="3"/>
  <c r="F49" i="3"/>
  <c r="F52" i="3"/>
  <c r="F51" i="3"/>
  <c r="F54" i="3"/>
  <c r="F57" i="3"/>
  <c r="F56" i="3"/>
  <c r="F61" i="3"/>
  <c r="F60" i="3"/>
  <c r="F59" i="3"/>
  <c r="F58" i="3"/>
  <c r="F300" i="3"/>
  <c r="F299" i="3"/>
  <c r="F305" i="3"/>
  <c r="F304" i="3"/>
  <c r="F303" i="3"/>
  <c r="F309" i="3"/>
  <c r="F306" i="3"/>
  <c r="F313" i="3"/>
  <c r="F312" i="3"/>
  <c r="F310" i="3"/>
  <c r="F318" i="3"/>
  <c r="F317" i="3"/>
  <c r="F319" i="3"/>
  <c r="F266" i="3"/>
  <c r="F251" i="3"/>
  <c r="F250" i="3"/>
  <c r="F249" i="3"/>
  <c r="F248" i="3"/>
  <c r="F247" i="3"/>
  <c r="F246" i="3"/>
  <c r="F245" i="3"/>
  <c r="F244" i="3"/>
  <c r="F243" i="3"/>
  <c r="F241" i="3"/>
  <c r="F240" i="3"/>
  <c r="F238" i="3"/>
  <c r="F237" i="3"/>
  <c r="F236" i="3"/>
  <c r="F235" i="3"/>
  <c r="F231" i="3"/>
  <c r="F230" i="3"/>
  <c r="F229" i="3"/>
  <c r="F228" i="3"/>
  <c r="F226" i="3"/>
  <c r="F225" i="3"/>
  <c r="F224" i="3"/>
  <c r="F223" i="3"/>
  <c r="F216" i="3"/>
  <c r="F215" i="3"/>
  <c r="F214" i="3"/>
  <c r="F213" i="3"/>
  <c r="F203" i="3"/>
  <c r="F202" i="3"/>
  <c r="F197" i="3"/>
  <c r="F196" i="3"/>
  <c r="F198" i="3"/>
  <c r="F201" i="3"/>
  <c r="F200" i="3"/>
  <c r="F195" i="3"/>
  <c r="F192" i="3"/>
  <c r="F191" i="3"/>
  <c r="F190" i="3"/>
  <c r="F189" i="3"/>
  <c r="F188" i="3"/>
  <c r="F182" i="3"/>
  <c r="F181" i="3"/>
  <c r="F180" i="3"/>
  <c r="F175" i="3"/>
  <c r="F172" i="3"/>
  <c r="F171" i="3"/>
  <c r="F170" i="3"/>
  <c r="F168" i="3"/>
  <c r="F145" i="3"/>
  <c r="F144" i="3"/>
  <c r="F143" i="3"/>
  <c r="F142" i="3"/>
  <c r="F141" i="3"/>
  <c r="F140" i="3"/>
  <c r="F139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1" i="3"/>
  <c r="F120" i="3"/>
  <c r="F119" i="3"/>
  <c r="F118" i="3"/>
  <c r="F117" i="3"/>
  <c r="F116" i="3"/>
  <c r="F115" i="3"/>
  <c r="F114" i="3"/>
  <c r="F113" i="3"/>
  <c r="F112" i="3"/>
  <c r="F30" i="3"/>
  <c r="F29" i="3"/>
  <c r="F27" i="3"/>
  <c r="F26" i="3"/>
  <c r="F25" i="3"/>
  <c r="F24" i="3"/>
  <c r="F23" i="3"/>
  <c r="F21" i="3"/>
  <c r="F20" i="3"/>
  <c r="F19" i="3"/>
  <c r="F15" i="3"/>
  <c r="F14" i="3"/>
  <c r="F13" i="3"/>
  <c r="F12" i="3"/>
  <c r="F9" i="3"/>
  <c r="F8" i="3"/>
  <c r="F7" i="3"/>
  <c r="F6" i="3"/>
  <c r="F5" i="3"/>
  <c r="F4" i="3"/>
  <c r="I246" i="2" l="1"/>
  <c r="I245" i="2"/>
  <c r="I243" i="2"/>
  <c r="J242" i="2"/>
  <c r="I242" i="2"/>
  <c r="J241" i="2"/>
  <c r="I241" i="2"/>
  <c r="I240" i="2"/>
  <c r="J235" i="2"/>
  <c r="I235" i="2"/>
  <c r="I234" i="2"/>
  <c r="I233" i="2"/>
  <c r="I232" i="2"/>
  <c r="I230" i="2"/>
  <c r="I229" i="2"/>
  <c r="J226" i="2"/>
  <c r="I226" i="2"/>
  <c r="I225" i="2"/>
  <c r="I224" i="2"/>
  <c r="J222" i="2"/>
  <c r="I222" i="2"/>
  <c r="I221" i="2"/>
  <c r="I220" i="2"/>
  <c r="I219" i="2"/>
  <c r="I218" i="2"/>
  <c r="I217" i="2"/>
  <c r="I215" i="2"/>
  <c r="I213" i="2"/>
  <c r="I212" i="2"/>
  <c r="J211" i="2"/>
  <c r="I211" i="2"/>
  <c r="I210" i="2"/>
  <c r="I208" i="2"/>
  <c r="I207" i="2"/>
  <c r="I205" i="2"/>
  <c r="I204" i="2"/>
  <c r="J202" i="2"/>
  <c r="I202" i="2"/>
  <c r="I201" i="2"/>
  <c r="I200" i="2"/>
  <c r="J199" i="2"/>
  <c r="I199" i="2"/>
  <c r="I197" i="2"/>
  <c r="I196" i="2"/>
  <c r="I194" i="2"/>
  <c r="I192" i="2"/>
  <c r="I191" i="2"/>
  <c r="I190" i="2"/>
  <c r="I187" i="2"/>
  <c r="I186" i="2"/>
  <c r="I185" i="2"/>
  <c r="J184" i="2"/>
  <c r="I184" i="2"/>
  <c r="I182" i="2"/>
  <c r="I181" i="2"/>
  <c r="I179" i="2"/>
  <c r="J177" i="2"/>
  <c r="I177" i="2"/>
  <c r="I176" i="2"/>
  <c r="I175" i="2"/>
  <c r="J169" i="2"/>
  <c r="I169" i="2"/>
  <c r="I167" i="2"/>
  <c r="I166" i="2"/>
  <c r="I163" i="2"/>
  <c r="J161" i="2"/>
  <c r="I161" i="2"/>
  <c r="I160" i="2"/>
  <c r="I159" i="2"/>
  <c r="J157" i="2"/>
  <c r="I157" i="2"/>
  <c r="I155" i="2"/>
  <c r="I154" i="2"/>
  <c r="J148" i="2"/>
  <c r="I148" i="2"/>
  <c r="I146" i="2"/>
  <c r="I145" i="2"/>
  <c r="J135" i="2"/>
  <c r="I135" i="2"/>
  <c r="I134" i="2"/>
  <c r="I133" i="2"/>
  <c r="I132" i="2"/>
  <c r="I131" i="2"/>
  <c r="J127" i="2"/>
  <c r="I127" i="2"/>
  <c r="I125" i="2"/>
  <c r="I113" i="2"/>
  <c r="I108" i="2"/>
  <c r="I107" i="2"/>
  <c r="I106" i="2"/>
  <c r="J104" i="2"/>
  <c r="I104" i="2"/>
  <c r="I103" i="2"/>
  <c r="I102" i="2"/>
  <c r="I101" i="2"/>
  <c r="J100" i="2"/>
  <c r="I100" i="2"/>
  <c r="I98" i="2"/>
  <c r="I97" i="2"/>
  <c r="J96" i="2"/>
  <c r="I96" i="2"/>
  <c r="I95" i="2"/>
  <c r="I94" i="2"/>
  <c r="I93" i="2"/>
  <c r="I92" i="2"/>
  <c r="J90" i="2"/>
  <c r="I90" i="2"/>
  <c r="J89" i="2"/>
  <c r="I89" i="2"/>
  <c r="I88" i="2"/>
  <c r="J87" i="2"/>
  <c r="I87" i="2"/>
  <c r="J86" i="2"/>
  <c r="I86" i="2"/>
  <c r="J85" i="2"/>
  <c r="I85" i="2"/>
  <c r="J84" i="2"/>
  <c r="I84" i="2"/>
  <c r="J83" i="2"/>
  <c r="I83" i="2"/>
  <c r="J81" i="2"/>
  <c r="I81" i="2"/>
  <c r="J80" i="2"/>
  <c r="I80" i="2"/>
  <c r="I78" i="2"/>
  <c r="I76" i="2"/>
  <c r="I75" i="2"/>
  <c r="J74" i="2"/>
  <c r="I74" i="2"/>
  <c r="I72" i="2"/>
  <c r="I71" i="2"/>
  <c r="I70" i="2"/>
  <c r="J67" i="2"/>
  <c r="I67" i="2"/>
  <c r="I66" i="2"/>
  <c r="I65" i="2"/>
  <c r="J63" i="2"/>
  <c r="I63" i="2"/>
  <c r="I61" i="2"/>
  <c r="I60" i="2"/>
  <c r="J50" i="2"/>
  <c r="I50" i="2"/>
  <c r="I49" i="2"/>
  <c r="I48" i="2"/>
  <c r="J45" i="2"/>
  <c r="I45" i="2"/>
  <c r="I44" i="2"/>
  <c r="I43" i="2"/>
  <c r="J41" i="2"/>
  <c r="I41" i="2"/>
  <c r="I39" i="2"/>
  <c r="I38" i="2"/>
  <c r="J37" i="2"/>
  <c r="I37" i="2"/>
  <c r="J35" i="2"/>
  <c r="I35" i="2"/>
  <c r="I34" i="2"/>
  <c r="I33" i="2"/>
  <c r="J31" i="2"/>
  <c r="I31" i="2"/>
  <c r="I30" i="2"/>
  <c r="I29" i="2"/>
  <c r="I28" i="2"/>
  <c r="J26" i="2"/>
  <c r="I26" i="2"/>
  <c r="I24" i="2"/>
  <c r="I23" i="2"/>
  <c r="J21" i="2"/>
  <c r="I21" i="2"/>
  <c r="I20" i="2"/>
  <c r="I19" i="2"/>
  <c r="J15" i="2"/>
  <c r="I15" i="2"/>
  <c r="I14" i="2"/>
  <c r="I13" i="2"/>
  <c r="I12" i="2"/>
  <c r="J11" i="2"/>
  <c r="I11" i="2"/>
  <c r="I10" i="2"/>
  <c r="I9" i="2"/>
  <c r="I3" i="2"/>
</calcChain>
</file>

<file path=xl/sharedStrings.xml><?xml version="1.0" encoding="utf-8"?>
<sst xmlns="http://schemas.openxmlformats.org/spreadsheetml/2006/main" count="13334" uniqueCount="6515">
  <si>
    <t>近世漢方医学書集成</t>
  </si>
  <si>
    <t>大塚敬節, 矢数道明責任編集</t>
  </si>
  <si>
    <t>全4期116冊</t>
  </si>
  <si>
    <t>第Ⅰ期</t>
  </si>
  <si>
    <t>全３０巻 別冊総目次付</t>
  </si>
  <si>
    <t>田代三喜</t>
  </si>
  <si>
    <t>三帰廻翁医書</t>
  </si>
  <si>
    <t>曲直瀬道三</t>
  </si>
  <si>
    <t>曲直瀬玄朔</t>
  </si>
  <si>
    <t>岡本一抱</t>
  </si>
  <si>
    <t>吉益東洞</t>
  </si>
  <si>
    <t>後藤艮山・山脇東洋</t>
  </si>
  <si>
    <t>永富独嘯庵・山脇東門・亀井南冥</t>
  </si>
  <si>
    <t>和田東郭</t>
  </si>
  <si>
    <t>中神琴渓</t>
  </si>
  <si>
    <t>原南陽</t>
  </si>
  <si>
    <t>本間棗軒</t>
  </si>
  <si>
    <t>宇津木昆台</t>
  </si>
  <si>
    <t>古訓医伝</t>
  </si>
  <si>
    <t>華岡青洲</t>
  </si>
  <si>
    <t>第Ⅱ期</t>
  </si>
  <si>
    <t>村井琴山</t>
  </si>
  <si>
    <t>中西深斎</t>
  </si>
  <si>
    <t>吉益南涯</t>
  </si>
  <si>
    <t>和田元庸</t>
  </si>
  <si>
    <t>黒川道祐・奈須恒徳</t>
  </si>
  <si>
    <t>多紀元簡</t>
  </si>
  <si>
    <t>多紀元堅</t>
  </si>
  <si>
    <t>森立之</t>
  </si>
  <si>
    <t>福井楓亭</t>
  </si>
  <si>
    <t>方読弁解</t>
  </si>
  <si>
    <t>松岡恕庵</t>
  </si>
  <si>
    <t>内藤尚賢</t>
  </si>
  <si>
    <t>古方薬品考</t>
  </si>
  <si>
    <t>尾台榕堂</t>
  </si>
  <si>
    <t>山本鹿洲・村瀬豆洲</t>
  </si>
  <si>
    <t>第Ⅲ期</t>
  </si>
  <si>
    <t>全４０巻 別冊総目次付</t>
  </si>
  <si>
    <t>香月牛山</t>
  </si>
  <si>
    <t>長沢道寿</t>
  </si>
  <si>
    <t>医方口訣集</t>
  </si>
  <si>
    <t>蘆川桂洲</t>
  </si>
  <si>
    <t>病名彙解</t>
  </si>
  <si>
    <t>香川修庵</t>
  </si>
  <si>
    <t>内藤希哲</t>
  </si>
  <si>
    <t>津田玄仙</t>
  </si>
  <si>
    <t>山田正珍</t>
  </si>
  <si>
    <t>川越衡山</t>
  </si>
  <si>
    <t>傷寒論脈証式</t>
  </si>
  <si>
    <t>浅井貞庵</t>
  </si>
  <si>
    <t>方彙口訣</t>
  </si>
  <si>
    <t>北尾春圃</t>
  </si>
  <si>
    <t>片倉鶴陵</t>
  </si>
  <si>
    <t>稲葉文礼・和久田叔虎</t>
  </si>
  <si>
    <t>有持桂里</t>
  </si>
  <si>
    <t>校正方輿輗</t>
  </si>
  <si>
    <t>喜多村直寛</t>
  </si>
  <si>
    <t>山田業広</t>
  </si>
  <si>
    <t>浅田宗伯</t>
  </si>
  <si>
    <t>第Ⅳ期</t>
  </si>
  <si>
    <t>全１６巻 別冊総目次付</t>
  </si>
  <si>
    <t>岡本玄冶</t>
  </si>
  <si>
    <t>102～105</t>
  </si>
  <si>
    <t>名古屋玄医</t>
  </si>
  <si>
    <t>賀川玄悦・賀川玄迪</t>
  </si>
  <si>
    <t>目黒道琢</t>
  </si>
  <si>
    <t>108～109</t>
  </si>
  <si>
    <t>110～111</t>
  </si>
  <si>
    <t>中川修亭</t>
  </si>
  <si>
    <t>古矢知白</t>
  </si>
  <si>
    <t>114～116</t>
  </si>
  <si>
    <t>冊数</t>
    <rPh sb="0" eb="1">
      <t>サツ</t>
    </rPh>
    <rPh sb="1" eb="2">
      <t>スウ</t>
    </rPh>
    <phoneticPr fontId="2"/>
  </si>
  <si>
    <t>書名</t>
  </si>
  <si>
    <t>編著者</t>
    <rPh sb="0" eb="3">
      <t>ヘンチョシャ</t>
    </rPh>
    <phoneticPr fontId="2"/>
  </si>
  <si>
    <t>リンク1</t>
    <phoneticPr fontId="2"/>
  </si>
  <si>
    <t>解説</t>
    <rPh sb="0" eb="2">
      <t>カイセツ</t>
    </rPh>
    <phoneticPr fontId="2"/>
  </si>
  <si>
    <t>text link</t>
    <phoneticPr fontId="2"/>
  </si>
  <si>
    <t>01-01</t>
  </si>
  <si>
    <t>素問入式運気論奥</t>
  </si>
  <si>
    <t>劉温舒 撰</t>
    <rPh sb="4" eb="5">
      <t>セン</t>
    </rPh>
    <phoneticPr fontId="2"/>
  </si>
  <si>
    <t>http://www.wul.waseda.ac.jp/kotenseki/html/ya09/ya09_00900/index.html</t>
    <phoneticPr fontId="2"/>
  </si>
  <si>
    <t>　　　目次</t>
    <rPh sb="3" eb="5">
      <t>モクジ</t>
    </rPh>
    <phoneticPr fontId="2"/>
  </si>
  <si>
    <t>　　　解説</t>
    <rPh sb="3" eb="5">
      <t>カイセツ</t>
    </rPh>
    <phoneticPr fontId="2"/>
  </si>
  <si>
    <t>真柳誠</t>
    <rPh sb="0" eb="3">
      <t>マヤナギマコト</t>
    </rPh>
    <phoneticPr fontId="2"/>
  </si>
  <si>
    <t>http://square.umin.ac.jp/mayanagi/paper01/unkioukaidai.htm</t>
    <phoneticPr fontId="2"/>
  </si>
  <si>
    <t>01-02</t>
  </si>
  <si>
    <t>傷寒明理論</t>
  </si>
  <si>
    <t>成無己 撰</t>
    <rPh sb="4" eb="5">
      <t>セン</t>
    </rPh>
    <phoneticPr fontId="2"/>
  </si>
  <si>
    <t>http://www.wul.waseda.ac.jp/kotenseki/html/ya09/ya09_00099/index.html</t>
    <phoneticPr fontId="2"/>
  </si>
  <si>
    <t>01-03</t>
  </si>
  <si>
    <t>傷寒明理薬方論</t>
  </si>
  <si>
    <t>http://square.umin.ac.jp/mayanagi/paper01/meirironkaidai.html</t>
    <phoneticPr fontId="2"/>
  </si>
  <si>
    <t>01-04</t>
  </si>
  <si>
    <t>小児薬証直訣</t>
  </si>
  <si>
    <t>銭乙撰、　閻季忠編</t>
    <rPh sb="2" eb="3">
      <t>セン</t>
    </rPh>
    <rPh sb="8" eb="9">
      <t>ヘン</t>
    </rPh>
    <phoneticPr fontId="2"/>
  </si>
  <si>
    <t>小曽戸洋</t>
    <rPh sb="0" eb="4">
      <t>コソトヒロシ</t>
    </rPh>
    <phoneticPr fontId="2"/>
  </si>
  <si>
    <t>01-05</t>
  </si>
  <si>
    <t>三因極一病証方論</t>
  </si>
  <si>
    <t>陳言 撰</t>
    <rPh sb="3" eb="4">
      <t>セン</t>
    </rPh>
    <phoneticPr fontId="2"/>
  </si>
  <si>
    <t>http://www.wul.waseda.ac.jp/kotenseki/html/ya09/ya09_00528/index.html</t>
    <phoneticPr fontId="2"/>
  </si>
  <si>
    <t>02-01</t>
  </si>
  <si>
    <t>普済本事方</t>
    <phoneticPr fontId="2"/>
  </si>
  <si>
    <t>許叔微 撰</t>
    <rPh sb="4" eb="5">
      <t>セン</t>
    </rPh>
    <phoneticPr fontId="2"/>
  </si>
  <si>
    <t>02-02</t>
  </si>
  <si>
    <t>普済本事方続集</t>
  </si>
  <si>
    <t>02-03</t>
  </si>
  <si>
    <t>儒門事親</t>
  </si>
  <si>
    <t>張子和 撰</t>
    <rPh sb="4" eb="5">
      <t>セン</t>
    </rPh>
    <phoneticPr fontId="2"/>
  </si>
  <si>
    <t>http://www.wul.waseda.ac.jp/kotenseki/html/ya09/ya09_00127/index.html</t>
    <phoneticPr fontId="2"/>
  </si>
  <si>
    <t>http://square.umin.ac.jp/mayanagi/paper01/jumonjishin.html</t>
    <phoneticPr fontId="2"/>
  </si>
  <si>
    <t>02-04</t>
  </si>
  <si>
    <t>素問玄機原病式</t>
  </si>
  <si>
    <t>劉完素 撰</t>
    <rPh sb="4" eb="5">
      <t>セン</t>
    </rPh>
    <phoneticPr fontId="2"/>
  </si>
  <si>
    <t>http://www.wul.waseda.ac.jp/kotenseki/html/ya09/ya09_00042/index.html</t>
    <phoneticPr fontId="2"/>
  </si>
  <si>
    <t>02-05</t>
  </si>
  <si>
    <t>宣明論方</t>
  </si>
  <si>
    <t>http://square.umin.ac.jp/mayanagi/paper01/liuwansu.html</t>
    <phoneticPr fontId="2"/>
  </si>
  <si>
    <t>第３輯</t>
  </si>
  <si>
    <t>03-01</t>
  </si>
  <si>
    <t>婦人大全良方</t>
  </si>
  <si>
    <t>陳自明 撰</t>
    <rPh sb="4" eb="5">
      <t>セン</t>
    </rPh>
    <phoneticPr fontId="2"/>
  </si>
  <si>
    <t>03-02</t>
  </si>
  <si>
    <t>外科精要</t>
  </si>
  <si>
    <t>http://www.wul.waseda.ac.jp/kotenseki/html/ya09/ya09_00584_0038/index.html</t>
    <phoneticPr fontId="2"/>
  </si>
  <si>
    <t>03-03</t>
  </si>
  <si>
    <t>察病指南</t>
  </si>
  <si>
    <t>施発 撰</t>
    <rPh sb="3" eb="4">
      <t>セン</t>
    </rPh>
    <phoneticPr fontId="2"/>
  </si>
  <si>
    <t>http://www.wul.waseda.ac.jp/kotenseki/html/ya09/ya09_00412/index.html</t>
    <phoneticPr fontId="2"/>
  </si>
  <si>
    <t>第４輯</t>
  </si>
  <si>
    <t>04-01</t>
  </si>
  <si>
    <t>増広太平恵民和剤局方</t>
  </si>
  <si>
    <t>陳師文 等撰</t>
    <rPh sb="4" eb="5">
      <t>ナド</t>
    </rPh>
    <rPh sb="5" eb="6">
      <t>セン</t>
    </rPh>
    <phoneticPr fontId="2"/>
  </si>
  <si>
    <t>04-02</t>
  </si>
  <si>
    <t>厳氏済生方</t>
  </si>
  <si>
    <t>厳用和 撰</t>
    <rPh sb="4" eb="5">
      <t>セン</t>
    </rPh>
    <phoneticPr fontId="2"/>
  </si>
  <si>
    <t>http://www.wul.waseda.ac.jp/kotenseki/html/ya09/ya09_00558/index.html</t>
    <phoneticPr fontId="2"/>
  </si>
  <si>
    <t>04-03</t>
  </si>
  <si>
    <t>厳氏済生続方</t>
  </si>
  <si>
    <t>http://www.wul.waseda.ac.jp/kotenseki/html/ya09/ya09_00413/index.html</t>
    <phoneticPr fontId="2"/>
  </si>
  <si>
    <t>http://square.umin.ac.jp/mayanagi/paper01/saiseihou.html</t>
    <phoneticPr fontId="2"/>
  </si>
  <si>
    <t>第５輯</t>
  </si>
  <si>
    <t>05-01</t>
  </si>
  <si>
    <t>玉機微義</t>
  </si>
  <si>
    <t>劉純 編</t>
    <rPh sb="3" eb="4">
      <t>ヘン</t>
    </rPh>
    <phoneticPr fontId="2"/>
  </si>
  <si>
    <t>第６輯</t>
  </si>
  <si>
    <t>06-00</t>
  </si>
  <si>
    <t>東垣十書序</t>
    <rPh sb="4" eb="5">
      <t>ジョ</t>
    </rPh>
    <phoneticPr fontId="2"/>
  </si>
  <si>
    <t>http://square.umin.ac.jp/mayanagi/paper01/touen10sho.html</t>
    <phoneticPr fontId="2"/>
  </si>
  <si>
    <t>http://www.wul.waseda.ac.jp/kotenseki/html/ya09/ya09_00133/index.html</t>
    <phoneticPr fontId="2"/>
  </si>
  <si>
    <t>06-01</t>
  </si>
  <si>
    <t>脈訣（東垣十書）</t>
  </si>
  <si>
    <t>崔嘉彦 撰</t>
    <rPh sb="4" eb="5">
      <t>セン</t>
    </rPh>
    <phoneticPr fontId="2"/>
  </si>
  <si>
    <t>06-02</t>
  </si>
  <si>
    <t>李東垣 撰</t>
    <rPh sb="0" eb="3">
      <t>リトウエン</t>
    </rPh>
    <rPh sb="4" eb="5">
      <t>セン</t>
    </rPh>
    <phoneticPr fontId="2"/>
  </si>
  <si>
    <t>http://square.umin.ac.jp/mayanagi/paper01/toenkaidai.html</t>
    <phoneticPr fontId="2"/>
  </si>
  <si>
    <t>http://www.wul.waseda.ac.jp/kotenseki/html/ya09/ya09_00208/index.html</t>
  </si>
  <si>
    <t>06-03</t>
  </si>
  <si>
    <t>脾胃論（東垣十書）</t>
  </si>
  <si>
    <t>06-04</t>
  </si>
  <si>
    <t>蘭室秘蔵（東垣十書）</t>
  </si>
  <si>
    <t>06-05</t>
  </si>
  <si>
    <t>湯液本草（東垣十書）</t>
  </si>
  <si>
    <t>王好古 撰</t>
    <rPh sb="0" eb="3">
      <t>オウコウコ</t>
    </rPh>
    <rPh sb="4" eb="5">
      <t>セン</t>
    </rPh>
    <phoneticPr fontId="2"/>
  </si>
  <si>
    <t>http://square.umin.ac.jp/mayanagi/paper01/okoko.html</t>
    <phoneticPr fontId="2"/>
  </si>
  <si>
    <t>06-06</t>
  </si>
  <si>
    <t>此事難知（東垣十書）</t>
  </si>
  <si>
    <t>06-07</t>
  </si>
  <si>
    <t>格致余論（東垣十書）</t>
  </si>
  <si>
    <t>朱丹渓 撰</t>
    <rPh sb="0" eb="3">
      <t>シュタンケイ</t>
    </rPh>
    <rPh sb="4" eb="5">
      <t>セン</t>
    </rPh>
    <phoneticPr fontId="2"/>
  </si>
  <si>
    <t>http://square.umin.ac.jp/mayanagi/paper01/kakuchikaidai.html</t>
    <phoneticPr fontId="2"/>
  </si>
  <si>
    <t>06-08</t>
  </si>
  <si>
    <t>局方発揮（東垣十書）</t>
  </si>
  <si>
    <t>06-09</t>
  </si>
  <si>
    <t>外科精義（東垣十書）</t>
  </si>
  <si>
    <t>斉徳之 撰</t>
    <rPh sb="0" eb="1">
      <t>セイ</t>
    </rPh>
    <rPh sb="1" eb="2">
      <t>トク</t>
    </rPh>
    <rPh sb="2" eb="3">
      <t>ノ</t>
    </rPh>
    <rPh sb="4" eb="5">
      <t>セン</t>
    </rPh>
    <phoneticPr fontId="2"/>
  </si>
  <si>
    <t>http://www.wul.waseda.ac.jp/kotenseki/html/ya09/ya09_01177/index.html</t>
    <phoneticPr fontId="2"/>
  </si>
  <si>
    <t>06-10</t>
  </si>
  <si>
    <t>医経溯洄集（東垣十書）</t>
  </si>
  <si>
    <t>王履 撰</t>
    <rPh sb="0" eb="2">
      <t>オウリ</t>
    </rPh>
    <rPh sb="3" eb="4">
      <t>セン</t>
    </rPh>
    <phoneticPr fontId="2"/>
  </si>
  <si>
    <t>http://www.wul.waseda.ac.jp/kotenseki/html/ya09/ya09_00188/index.html</t>
    <phoneticPr fontId="2"/>
  </si>
  <si>
    <t>06-12-01</t>
  </si>
  <si>
    <t>頭注・格致余論</t>
  </si>
  <si>
    <t>06-12-02</t>
  </si>
  <si>
    <t>頭注・局方発揮</t>
  </si>
  <si>
    <t>06-12-03</t>
  </si>
  <si>
    <t>06-11</t>
  </si>
  <si>
    <t>脈訣刊誤集解</t>
  </si>
  <si>
    <t>戴起宗 撰</t>
  </si>
  <si>
    <t>小曽戸洋・真柳誠</t>
    <rPh sb="0" eb="4">
      <t>コソトヒロシ</t>
    </rPh>
    <rPh sb="5" eb="8">
      <t>マヤナギアキラ</t>
    </rPh>
    <phoneticPr fontId="2"/>
  </si>
  <si>
    <t>第７輯</t>
  </si>
  <si>
    <t>07-01</t>
  </si>
  <si>
    <t>証治要訣</t>
  </si>
  <si>
    <t>（伝）戴元礼 撰</t>
    <rPh sb="1" eb="2">
      <t>デン</t>
    </rPh>
    <rPh sb="7" eb="8">
      <t>セン</t>
    </rPh>
    <phoneticPr fontId="2"/>
  </si>
  <si>
    <t>07-02</t>
  </si>
  <si>
    <t>証治類方</t>
  </si>
  <si>
    <t>http://square.umin.ac.jp/mayanagi/paper01/syouchi.html</t>
    <phoneticPr fontId="2"/>
  </si>
  <si>
    <t>07-03</t>
  </si>
  <si>
    <t>傷寒六書</t>
  </si>
  <si>
    <t>陶華 撰</t>
    <rPh sb="3" eb="4">
      <t>セン</t>
    </rPh>
    <phoneticPr fontId="2"/>
  </si>
  <si>
    <t>http://www.wul.waseda.ac.jp/kotenseki/html/ya09/ya09_00165/index.html</t>
    <phoneticPr fontId="2"/>
  </si>
  <si>
    <t>http://square.umin.ac.jp/mayanagi/paper01/rikusho.html</t>
    <phoneticPr fontId="2"/>
  </si>
  <si>
    <t>07-04</t>
  </si>
  <si>
    <t>医書大全</t>
  </si>
  <si>
    <t>熊宗立 編</t>
    <rPh sb="4" eb="5">
      <t>ヘン</t>
    </rPh>
    <phoneticPr fontId="2"/>
  </si>
  <si>
    <t>http://www.wul.waseda.ac.jp/kotenseki/html/ya09/ya09_01168/index.html</t>
    <phoneticPr fontId="2"/>
  </si>
  <si>
    <t>07-05</t>
  </si>
  <si>
    <t>医方大成論</t>
  </si>
  <si>
    <t>編者不祥</t>
    <rPh sb="0" eb="2">
      <t>ヘンジャ</t>
    </rPh>
    <rPh sb="2" eb="4">
      <t>フショウ</t>
    </rPh>
    <phoneticPr fontId="2"/>
  </si>
  <si>
    <t>http://www.wul.waseda.ac.jp/kotenseki/html/ya09/ya09_00410/index.html</t>
    <phoneticPr fontId="2"/>
  </si>
  <si>
    <t>http://www.wul.waseda.ac.jp/kotenseki/html/ya09/ya09_00591/index.html</t>
    <phoneticPr fontId="2"/>
  </si>
  <si>
    <t>小曽戸洋</t>
    <rPh sb="0" eb="4">
      <t>コソドヒロシ</t>
    </rPh>
    <phoneticPr fontId="2"/>
  </si>
  <si>
    <t>第８輯</t>
  </si>
  <si>
    <t>08-01</t>
  </si>
  <si>
    <t>明医雑著</t>
  </si>
  <si>
    <t>王綸 撰</t>
  </si>
  <si>
    <t>http://www.wul.waseda.ac.jp/kotenseki/html/ya09/ya09_00355/index.html</t>
    <phoneticPr fontId="2"/>
  </si>
  <si>
    <t>08-02</t>
  </si>
  <si>
    <t>補注明医雑著</t>
  </si>
  <si>
    <t>http://square.umin.ac.jp/mayanagi/paper01/meii.html</t>
    <phoneticPr fontId="2"/>
  </si>
  <si>
    <t>08-03</t>
  </si>
  <si>
    <t>医学正伝</t>
  </si>
  <si>
    <t>虞摶 撰</t>
    <rPh sb="3" eb="4">
      <t>セン</t>
    </rPh>
    <phoneticPr fontId="2"/>
  </si>
  <si>
    <t>http://www.wul.waseda.ac.jp/kotenseki/html/ya09/ya09_01114/index.html</t>
    <phoneticPr fontId="2"/>
  </si>
  <si>
    <t>第９輯</t>
  </si>
  <si>
    <t>09-01</t>
  </si>
  <si>
    <t>医学入門</t>
  </si>
  <si>
    <t>李梴 撰</t>
    <rPh sb="0" eb="2">
      <t>リテン</t>
    </rPh>
    <rPh sb="3" eb="4">
      <t>セン</t>
    </rPh>
    <phoneticPr fontId="2"/>
  </si>
  <si>
    <t>http://www.wul.waseda.ac.jp/kotenseki/html/ya09/ya09_00617/index.html</t>
    <phoneticPr fontId="2"/>
  </si>
  <si>
    <t>第10輯</t>
  </si>
  <si>
    <t>10-01</t>
  </si>
  <si>
    <t>名医類案</t>
  </si>
  <si>
    <t>江瓘 撰</t>
    <rPh sb="3" eb="4">
      <t>セン</t>
    </rPh>
    <phoneticPr fontId="2"/>
  </si>
  <si>
    <t>http://www.wul.waseda.ac.jp/kotenseki/html/ya09/ya09_00517/index.html</t>
    <phoneticPr fontId="2"/>
  </si>
  <si>
    <t>http://square.umin.ac.jp/mayanagi/paper01/ruian.html</t>
    <phoneticPr fontId="2"/>
  </si>
  <si>
    <t>10-02</t>
  </si>
  <si>
    <t>医方考</t>
  </si>
  <si>
    <t>呉昆 撰</t>
    <rPh sb="3" eb="4">
      <t>セン</t>
    </rPh>
    <phoneticPr fontId="2"/>
  </si>
  <si>
    <t>http://www.wul.waseda.ac.jp/kotenseki/html/ya09/ya09_00458/index.html</t>
    <phoneticPr fontId="2"/>
  </si>
  <si>
    <t>脈語</t>
  </si>
  <si>
    <t>第11輯</t>
  </si>
  <si>
    <t>11-01</t>
  </si>
  <si>
    <t>万病回春</t>
  </si>
  <si>
    <t>龔廷賢 撰</t>
    <rPh sb="4" eb="5">
      <t>セン</t>
    </rPh>
    <phoneticPr fontId="2"/>
  </si>
  <si>
    <t>http://www.wul.waseda.ac.jp/kotenseki/html/ya09/ya09_00613/index.html</t>
    <phoneticPr fontId="2"/>
  </si>
  <si>
    <t>11-02</t>
  </si>
  <si>
    <t>古今医鑑</t>
  </si>
  <si>
    <t>龔信、龔廷賢 撰</t>
    <phoneticPr fontId="2"/>
  </si>
  <si>
    <t>11-03</t>
  </si>
  <si>
    <t>種杏仙方</t>
  </si>
  <si>
    <t>龔廷賢 撰</t>
  </si>
  <si>
    <t>第12輯</t>
  </si>
  <si>
    <t>12-01</t>
  </si>
  <si>
    <t>寿世保元</t>
  </si>
  <si>
    <t>12-02</t>
  </si>
  <si>
    <t>済世全書</t>
  </si>
  <si>
    <t>http://www.wul.waseda.ac.jp/kotenseki/html/ya09/ya09_00308/index.html</t>
    <phoneticPr fontId="2"/>
  </si>
  <si>
    <t>12-03</t>
  </si>
  <si>
    <t>雲林神彀</t>
    <phoneticPr fontId="2"/>
  </si>
  <si>
    <t>12-04</t>
  </si>
  <si>
    <t>魯府禁方</t>
  </si>
  <si>
    <t>第13輯</t>
  </si>
  <si>
    <t>13-01</t>
  </si>
  <si>
    <t>傷寒論条弁</t>
  </si>
  <si>
    <t>方有執 撰</t>
  </si>
  <si>
    <t>http://www.wul.waseda.ac.jp/kotenseki/html/ya09/ya09_00233/index.html</t>
    <phoneticPr fontId="2"/>
  </si>
  <si>
    <t>http://square.umin.ac.jp/mayanagi/paper01/jouben.html</t>
    <phoneticPr fontId="2"/>
  </si>
  <si>
    <t>13-02</t>
  </si>
  <si>
    <t>外科正宗</t>
  </si>
  <si>
    <t>陳実功 撰</t>
    <rPh sb="4" eb="5">
      <t>セン</t>
    </rPh>
    <phoneticPr fontId="2"/>
  </si>
  <si>
    <t>http://www.wul.waseda.ac.jp/kotenseki/html/ya09/ya09_00238/index.html</t>
    <phoneticPr fontId="2"/>
  </si>
  <si>
    <t>第14輯</t>
  </si>
  <si>
    <t>14-01</t>
  </si>
  <si>
    <t>医宗必読</t>
  </si>
  <si>
    <t>李中梓(1588-1655)撰</t>
  </si>
  <si>
    <t>14-02</t>
  </si>
  <si>
    <t>医貫</t>
  </si>
  <si>
    <t>趙献可 撰</t>
    <rPh sb="4" eb="5">
      <t>セン</t>
    </rPh>
    <phoneticPr fontId="2"/>
  </si>
  <si>
    <t>http://square.umin.ac.jp/mayanagi/paper01/ikan.html</t>
    <phoneticPr fontId="2"/>
  </si>
  <si>
    <t>第15輯</t>
  </si>
  <si>
    <t>15-01</t>
  </si>
  <si>
    <t>傷寒尚論篇</t>
  </si>
  <si>
    <t>喩嘉言 撰</t>
    <rPh sb="1" eb="2">
      <t>ヨシミ</t>
    </rPh>
    <rPh sb="2" eb="3">
      <t>ゲン</t>
    </rPh>
    <rPh sb="4" eb="5">
      <t>セン</t>
    </rPh>
    <phoneticPr fontId="2"/>
  </si>
  <si>
    <t>http://www.wul.waseda.ac.jp/kotenseki/html/ya09/ya09_00239/index.html</t>
    <phoneticPr fontId="2"/>
  </si>
  <si>
    <t>15-02</t>
    <phoneticPr fontId="2"/>
  </si>
  <si>
    <t>尚論篇編次仲景原文</t>
  </si>
  <si>
    <t>徐彬 撰</t>
    <rPh sb="3" eb="4">
      <t>セン</t>
    </rPh>
    <phoneticPr fontId="2"/>
  </si>
  <si>
    <t>15-03</t>
    <phoneticPr fontId="2"/>
  </si>
  <si>
    <t>傷寒一百十三方発明</t>
    <rPh sb="4" eb="6">
      <t>13</t>
    </rPh>
    <phoneticPr fontId="2"/>
  </si>
  <si>
    <t>15-04</t>
    <phoneticPr fontId="2"/>
  </si>
  <si>
    <t>傷寒抉疑</t>
  </si>
  <si>
    <t>程雲来 撰</t>
    <rPh sb="0" eb="1">
      <t>ホド</t>
    </rPh>
    <rPh sb="1" eb="3">
      <t>ウンライ</t>
    </rPh>
    <rPh sb="4" eb="5">
      <t>セン</t>
    </rPh>
    <phoneticPr fontId="2"/>
  </si>
  <si>
    <t>15-05</t>
  </si>
  <si>
    <t>傷寒図論</t>
  </si>
  <si>
    <t>15-06</t>
    <phoneticPr fontId="2"/>
  </si>
  <si>
    <t>医門法律</t>
  </si>
  <si>
    <t>http://www.wul.waseda.ac.jp/kotenseki/html/ya09/ya09_00007/index.html</t>
    <phoneticPr fontId="2"/>
  </si>
  <si>
    <t>http://square.umin.ac.jp/mayanagi/paper01/yukagen.html</t>
    <phoneticPr fontId="2"/>
  </si>
  <si>
    <t>15-07</t>
  </si>
  <si>
    <t>温疫論</t>
  </si>
  <si>
    <t>呉有性 撰</t>
    <rPh sb="4" eb="5">
      <t>セン</t>
    </rPh>
    <phoneticPr fontId="2"/>
  </si>
  <si>
    <t>http://www.wul.waseda.ac.jp/kotenseki/html/ya09/ya09_00205/index.html</t>
    <phoneticPr fontId="2"/>
  </si>
  <si>
    <t>http://www.wul.waseda.ac.jp/kotenseki/html/ya09/ya09_00180/index.html</t>
    <phoneticPr fontId="2"/>
  </si>
  <si>
    <t>http://square.umin.ac.jp/mayanagi/paper01/uneki.html</t>
    <phoneticPr fontId="2"/>
  </si>
  <si>
    <t>第16輯</t>
  </si>
  <si>
    <t>16-01</t>
  </si>
  <si>
    <t>傷寒論後条弁</t>
  </si>
  <si>
    <t>程応旄 撰</t>
    <rPh sb="4" eb="5">
      <t>セン</t>
    </rPh>
    <phoneticPr fontId="2"/>
  </si>
  <si>
    <t>http://www.wul.waseda.ac.jp/kotenseki/html/ya09/ya09_01104/index.html</t>
    <phoneticPr fontId="2"/>
  </si>
  <si>
    <t>16-02</t>
  </si>
  <si>
    <t>注解傷寒論</t>
  </si>
  <si>
    <t>16-03</t>
  </si>
  <si>
    <t>仲景全書</t>
  </si>
  <si>
    <t>http://square.umin.ac.jp/mayanagi/paper01/chukei.html</t>
    <phoneticPr fontId="2"/>
  </si>
  <si>
    <t>16-03-01</t>
  </si>
  <si>
    <t>　集注傷寒論（仲景全書）</t>
    <phoneticPr fontId="2"/>
  </si>
  <si>
    <t>16-03-02</t>
  </si>
  <si>
    <t>　金匱要略（仲景全書）</t>
    <phoneticPr fontId="2"/>
  </si>
  <si>
    <t>16-03-03</t>
  </si>
  <si>
    <t>　傷寒類証（仲景全書）</t>
    <phoneticPr fontId="2"/>
  </si>
  <si>
    <t>http://www.wul.waseda.ac.jp/kotenseki/html/ya09/ya09_01164/index.html</t>
    <phoneticPr fontId="2"/>
  </si>
  <si>
    <t>http://square.umin.ac.jp/mayanagi/paper01/chukai.html</t>
    <phoneticPr fontId="2"/>
  </si>
  <si>
    <t>2～5</t>
  </si>
  <si>
    <t>啓迪集</t>
  </si>
  <si>
    <t>切紙</t>
  </si>
  <si>
    <t>薬性能毒</t>
  </si>
  <si>
    <t>出証配剤</t>
  </si>
  <si>
    <t>遐齢小児方</t>
  </si>
  <si>
    <t>涙墨紙</t>
  </si>
  <si>
    <t>雲陣夜話</t>
  </si>
  <si>
    <t>医療衆方規矩</t>
  </si>
  <si>
    <t>医学天正記</t>
  </si>
  <si>
    <t>十五指南篇</t>
  </si>
  <si>
    <t>延寿撮要</t>
  </si>
  <si>
    <t>7～9</t>
  </si>
  <si>
    <t>和語本草綱目</t>
  </si>
  <si>
    <t>方意弁義</t>
  </si>
  <si>
    <t>医方大成論諺解</t>
  </si>
  <si>
    <t>10～12</t>
  </si>
  <si>
    <t>薬徴</t>
  </si>
  <si>
    <t>薬徴（異本）</t>
  </si>
  <si>
    <t>薬徴（南涯本）</t>
  </si>
  <si>
    <t>薬徴続編</t>
  </si>
  <si>
    <t>建殊録</t>
  </si>
  <si>
    <t>医事或問</t>
  </si>
  <si>
    <t>東洞先生投剤証録</t>
  </si>
  <si>
    <t>医断</t>
  </si>
  <si>
    <t>類方</t>
  </si>
  <si>
    <t>方極</t>
  </si>
  <si>
    <t>方機</t>
  </si>
  <si>
    <t>師説筆記</t>
  </si>
  <si>
    <t>艮山先生医説</t>
  </si>
  <si>
    <t>遺教</t>
  </si>
  <si>
    <t>養浩堂方矩</t>
  </si>
  <si>
    <t>艮山後藤先生往復書簡</t>
  </si>
  <si>
    <t>養寿院医則</t>
  </si>
  <si>
    <t>東洋洛語</t>
  </si>
  <si>
    <t>蔵志</t>
  </si>
  <si>
    <t>漫遊雑記</t>
  </si>
  <si>
    <t>吐方考</t>
  </si>
  <si>
    <t>東門先生随筆</t>
  </si>
  <si>
    <t>古今斎以呂波歌</t>
  </si>
  <si>
    <t>南冥問答</t>
  </si>
  <si>
    <t>15～16</t>
  </si>
  <si>
    <t>蕉窓雑話</t>
  </si>
  <si>
    <t>蕉窓方意解</t>
  </si>
  <si>
    <t>導水瑣言</t>
  </si>
  <si>
    <t>東郭医談</t>
  </si>
  <si>
    <t>生々堂医譚</t>
  </si>
  <si>
    <t>生々堂雑記</t>
  </si>
  <si>
    <t>生々堂治験</t>
  </si>
  <si>
    <t>生々堂養生論</t>
  </si>
  <si>
    <t>生々堂中神家方書</t>
  </si>
  <si>
    <t>18～20</t>
  </si>
  <si>
    <t>叢桂亭医事小言</t>
  </si>
  <si>
    <t>医事小言補正</t>
  </si>
  <si>
    <t>叢桂偶記</t>
  </si>
  <si>
    <t>砦草</t>
  </si>
  <si>
    <t>21～23</t>
  </si>
  <si>
    <t>内科秘録</t>
  </si>
  <si>
    <t>療治知要</t>
  </si>
  <si>
    <t>種痘活人十全弁</t>
  </si>
  <si>
    <t>24～28</t>
  </si>
  <si>
    <t>29～30</t>
  </si>
  <si>
    <t>外科神書</t>
  </si>
  <si>
    <t>瘍科瑣言</t>
  </si>
  <si>
    <t>燈下医談</t>
  </si>
  <si>
    <t>青洲先生治験録</t>
  </si>
  <si>
    <t>産科瑣言</t>
  </si>
  <si>
    <t>青嚢秘録</t>
  </si>
  <si>
    <t>春林軒丸散方</t>
  </si>
  <si>
    <t>膏方便覧</t>
  </si>
  <si>
    <t>貼膏攷</t>
  </si>
  <si>
    <t>瘍科方筌</t>
  </si>
  <si>
    <t>春林軒撮要方筌</t>
  </si>
  <si>
    <t>医道二千年眼目編</t>
  </si>
  <si>
    <t>和方一万方</t>
  </si>
  <si>
    <t>傷寒論弁正</t>
  </si>
  <si>
    <t>傷寒名数解</t>
  </si>
  <si>
    <t>気血水薬徴</t>
  </si>
  <si>
    <t>続医断</t>
  </si>
  <si>
    <t>医範</t>
  </si>
  <si>
    <t>観證弁疑抄</t>
  </si>
  <si>
    <t>続建殊録</t>
  </si>
  <si>
    <t>成蹟録</t>
  </si>
  <si>
    <t>好生緒言</t>
  </si>
  <si>
    <t>険証百問</t>
  </si>
  <si>
    <t>（附）険証百問注</t>
  </si>
  <si>
    <t>三世医譚</t>
  </si>
  <si>
    <t>本朝医考</t>
  </si>
  <si>
    <t>本朝医考補遺</t>
  </si>
  <si>
    <t>本朝医談</t>
  </si>
  <si>
    <t>傷寒論輯義</t>
  </si>
  <si>
    <t>観聚方要補</t>
  </si>
  <si>
    <t>雑病広要</t>
  </si>
  <si>
    <t>時還読我書</t>
  </si>
  <si>
    <t>時還読我書続録</t>
  </si>
  <si>
    <t>神農本草経</t>
  </si>
  <si>
    <t>遊相医話</t>
  </si>
  <si>
    <t>経籍訪古志</t>
  </si>
  <si>
    <t>用薬須知</t>
  </si>
  <si>
    <t>類聚方広義</t>
  </si>
  <si>
    <t>橘黄医談</t>
  </si>
  <si>
    <t>方伎雑誌</t>
  </si>
  <si>
    <t>重校薬徴</t>
  </si>
  <si>
    <t>医余</t>
  </si>
  <si>
    <t>幼幼家則</t>
  </si>
  <si>
    <t>牛山方考</t>
  </si>
  <si>
    <t>牛山活套</t>
  </si>
  <si>
    <t>籠本草</t>
  </si>
  <si>
    <t>一本堂行余医言</t>
  </si>
  <si>
    <t>一本堂薬選</t>
  </si>
  <si>
    <t>医経解惑論</t>
  </si>
  <si>
    <t>療治茶談</t>
  </si>
  <si>
    <t>療治経験筆記</t>
  </si>
  <si>
    <t>傷寒論集成</t>
  </si>
  <si>
    <t>傷寒考</t>
  </si>
  <si>
    <t>提耳談</t>
  </si>
  <si>
    <t>青嚢瑣探</t>
  </si>
  <si>
    <t>静倹堂治験</t>
  </si>
  <si>
    <t>保嬰須知</t>
  </si>
  <si>
    <t>産科発蒙</t>
  </si>
  <si>
    <t>腹証奇覧</t>
  </si>
  <si>
    <t>腹証奇覧翼</t>
  </si>
  <si>
    <t>傷寒論疏義</t>
  </si>
  <si>
    <t>金匱要略疏義</t>
  </si>
  <si>
    <t>九折堂読書記</t>
  </si>
  <si>
    <t>椿庭先生夜話</t>
  </si>
  <si>
    <t>経方弁</t>
  </si>
  <si>
    <t>勿誤薬室方函</t>
  </si>
  <si>
    <t>勿誤薬室方函口訣</t>
  </si>
  <si>
    <t>傷寒論識</t>
  </si>
  <si>
    <t>雑病論識</t>
  </si>
  <si>
    <t>皇国名医伝</t>
  </si>
  <si>
    <t>先哲医話</t>
  </si>
  <si>
    <t>橘窓書影</t>
  </si>
  <si>
    <t>脈法私言</t>
  </si>
  <si>
    <t>玄冶薬方口解</t>
  </si>
  <si>
    <t>玄冶方考</t>
  </si>
  <si>
    <t>医方問余</t>
  </si>
  <si>
    <t>医方規矩</t>
  </si>
  <si>
    <t>薬品規矩</t>
  </si>
  <si>
    <t>丹水家訓</t>
  </si>
  <si>
    <t>医学愚得</t>
  </si>
  <si>
    <t>産論</t>
  </si>
  <si>
    <t>産論翼</t>
  </si>
  <si>
    <t>救偏産言</t>
  </si>
  <si>
    <t>賀川方轂</t>
  </si>
  <si>
    <t>餐英館療治雑話</t>
  </si>
  <si>
    <t>驪家医言</t>
  </si>
  <si>
    <t>驪家医言抄書</t>
  </si>
  <si>
    <t>医賸</t>
  </si>
  <si>
    <t>脈学輯要</t>
  </si>
  <si>
    <t>広恵済急方</t>
  </si>
  <si>
    <t>傷寒論述義</t>
  </si>
  <si>
    <t>金匱要略述義</t>
  </si>
  <si>
    <t>薬治通義</t>
  </si>
  <si>
    <t>医方新古弁</t>
  </si>
  <si>
    <t>真庵漫筆</t>
  </si>
  <si>
    <t>医道</t>
  </si>
  <si>
    <t>症因問答</t>
  </si>
  <si>
    <t>傷寒論正文復聖解</t>
  </si>
  <si>
    <t>正文傷寒論復聖弁</t>
  </si>
  <si>
    <t>瘍科秘録</t>
  </si>
  <si>
    <t>続瘍科秘録</t>
  </si>
  <si>
    <t>31～34</t>
  </si>
  <si>
    <t>35～36</t>
  </si>
  <si>
    <t>37～38</t>
  </si>
  <si>
    <t>41～47</t>
  </si>
  <si>
    <t>48～52</t>
  </si>
  <si>
    <t>57～59</t>
  </si>
  <si>
    <t>61～62</t>
  </si>
  <si>
    <t>65～69</t>
  </si>
  <si>
    <t>70～71</t>
  </si>
  <si>
    <t>72～73</t>
  </si>
  <si>
    <t>74～75</t>
  </si>
  <si>
    <t>77～78</t>
  </si>
  <si>
    <t>79～80</t>
  </si>
  <si>
    <t>81～82</t>
  </si>
  <si>
    <t>83～84</t>
  </si>
  <si>
    <t>85～87</t>
  </si>
  <si>
    <t>88～91</t>
  </si>
  <si>
    <t>92～94</t>
  </si>
  <si>
    <t>95～100</t>
  </si>
  <si>
    <t>啓迪集 8巻</t>
  </si>
  <si>
    <t>曲直瀬道三(正慶)著</t>
  </si>
  <si>
    <t>けいてきしゅう</t>
  </si>
  <si>
    <t>道三先生切紙 1巻のみ(天のみ)</t>
  </si>
  <si>
    <t>どうさんせんせいきりがみ</t>
  </si>
  <si>
    <t>切紙 2巻</t>
  </si>
  <si>
    <t>きりがみ</t>
  </si>
  <si>
    <t>(増補)切紙伝</t>
  </si>
  <si>
    <t>曲直瀬道三(正慶)伝</t>
  </si>
  <si>
    <t>きりがみでん</t>
  </si>
  <si>
    <t>かれいしょうにほう</t>
  </si>
  <si>
    <t>-</t>
    <phoneticPr fontId="2"/>
  </si>
  <si>
    <t>るいぼくし</t>
  </si>
  <si>
    <t>医学天正記 2巻</t>
  </si>
  <si>
    <t>曲直瀬玄朔(正紹)著</t>
  </si>
  <si>
    <t>いがくてんしょうき</t>
  </si>
  <si>
    <t>えんじゅさつよう</t>
  </si>
  <si>
    <t>方意弁義 6巻</t>
  </si>
  <si>
    <t>ほういべんぎ</t>
  </si>
  <si>
    <t>医方大成論諺解 5巻</t>
  </si>
  <si>
    <t>岡本一抱</t>
    <rPh sb="0" eb="4">
      <t>オカモトイッポウ</t>
    </rPh>
    <phoneticPr fontId="2"/>
  </si>
  <si>
    <t>いほうたいせいろんげんかい</t>
  </si>
  <si>
    <t>華岡青洲(震)著</t>
  </si>
  <si>
    <t>ようかさげん</t>
  </si>
  <si>
    <t>瘍科瑣言 2巻</t>
  </si>
  <si>
    <t>幼科瑣言 上巻のみ</t>
  </si>
  <si>
    <t>ようかさげんこうこう</t>
  </si>
  <si>
    <t>華岡瘍科瑣言</t>
  </si>
  <si>
    <t>はなおかようかさげん</t>
  </si>
  <si>
    <t>華岡青洲(震)口授</t>
  </si>
  <si>
    <t>さんかさげん</t>
  </si>
  <si>
    <t>せいのうひろく</t>
  </si>
  <si>
    <t>しゅんりんけんがんさんほう</t>
  </si>
  <si>
    <t>こうほうべんらん</t>
  </si>
  <si>
    <t>春林軒膏方便覧</t>
  </si>
  <si>
    <t>花岡青洲(震)著</t>
  </si>
  <si>
    <t>しゅんりんけんこうほうべんらん</t>
  </si>
  <si>
    <t>春林軒膏方便覧 抄録</t>
  </si>
  <si>
    <t>ようかほうせん</t>
  </si>
  <si>
    <t>春林軒瘍科方筌</t>
  </si>
  <si>
    <t>しゅんりんけんようかほうせん</t>
  </si>
  <si>
    <r>
      <t>瘍科</t>
    </r>
    <r>
      <rPr>
        <sz val="11"/>
        <color rgb="FFFF0000"/>
        <rFont val="ＭＳ Ｐゴシック"/>
        <family val="3"/>
        <charset val="128"/>
        <scheme val="minor"/>
      </rPr>
      <t>鎖</t>
    </r>
    <r>
      <rPr>
        <sz val="11"/>
        <color theme="1"/>
        <rFont val="ＭＳ Ｐゴシック"/>
        <family val="2"/>
        <charset val="128"/>
        <scheme val="minor"/>
      </rPr>
      <t>言校考</t>
    </r>
    <phoneticPr fontId="2"/>
  </si>
  <si>
    <t>医学警悟 6巻(第3巻欠)</t>
  </si>
  <si>
    <t>https://rmda.kulib.kyoto-u.ac.jp/item/rb00000446</t>
    <phoneticPr fontId="2"/>
  </si>
  <si>
    <t>風寒熱病方緯篇 7巻(巻14-20)</t>
  </si>
  <si>
    <t>https://rmda.kulib.kyoto-u.ac.jp/item/rb00000725</t>
    <phoneticPr fontId="2"/>
  </si>
  <si>
    <t>風寒熱病方経篇 7巻(巻7-13)</t>
  </si>
  <si>
    <t>https://rmda.kulib.kyoto-u.ac.jp/item/rb00000724</t>
    <phoneticPr fontId="2"/>
  </si>
  <si>
    <t>薬能方法弁 5巻</t>
  </si>
  <si>
    <t>https://rmda.kulib.kyoto-u.ac.jp/item/rb00005452</t>
    <phoneticPr fontId="2"/>
  </si>
  <si>
    <t>https://rmda.kulib.kyoto-u.ac.jp/item/rb00005451</t>
    <phoneticPr fontId="2"/>
  </si>
  <si>
    <t>三世医譚 2巻</t>
  </si>
  <si>
    <t>和田元庸著</t>
  </si>
  <si>
    <t>さんせいいたん</t>
  </si>
  <si>
    <t>本朝医考 3巻</t>
  </si>
  <si>
    <t>黒川道祐編</t>
  </si>
  <si>
    <t>ほんちょういこう</t>
  </si>
  <si>
    <t>ほんちょういこうほい</t>
  </si>
  <si>
    <t>本朝医談 1巻</t>
  </si>
  <si>
    <t>奈須恒徳著</t>
  </si>
  <si>
    <t>傷寒論輯義 7巻</t>
  </si>
  <si>
    <t>多紀元簡(櫟窓)著</t>
  </si>
  <si>
    <t>しょうかんろんしゅうぎ</t>
  </si>
  <si>
    <t>雑病広要 存27巻(巻3～19、21～29)</t>
  </si>
  <si>
    <t>多紀(丹波)元堅著</t>
  </si>
  <si>
    <t>ざつびょうこうよう</t>
  </si>
  <si>
    <t>雑病広要校正筆記 1巻</t>
  </si>
  <si>
    <t>森立之(枳園)筆録</t>
  </si>
  <si>
    <t>ざつびょうこうようこうせいひっき</t>
  </si>
  <si>
    <t>時還読我書 2巻</t>
  </si>
  <si>
    <t>多紀元堅著</t>
  </si>
  <si>
    <t>じかんどくがしょ</t>
  </si>
  <si>
    <t>(明)盧復編・森立之(枳園)校</t>
  </si>
  <si>
    <t>しんのうほんぞうきょう</t>
  </si>
  <si>
    <t>神農本草経 3巻</t>
  </si>
  <si>
    <t>神農本草経 3巻攷異</t>
  </si>
  <si>
    <t>森立之著</t>
  </si>
  <si>
    <t>ゆうそういわ</t>
  </si>
  <si>
    <t>方読弁解 4巻</t>
  </si>
  <si>
    <t>福井楓亭纂</t>
  </si>
  <si>
    <t>ほうとくべんかい</t>
  </si>
  <si>
    <t>用薬須知　後編</t>
    <phoneticPr fontId="2"/>
  </si>
  <si>
    <t>用薬須知　後編正誤</t>
    <phoneticPr fontId="2"/>
  </si>
  <si>
    <t>用薬須知　続編</t>
    <phoneticPr fontId="2"/>
  </si>
  <si>
    <t>用薬須知 続編(3巻)</t>
  </si>
  <si>
    <t>松岡玄達(恕庵)著</t>
  </si>
  <si>
    <t>ようやくすち</t>
  </si>
  <si>
    <t>用薬須知 後編(4巻)</t>
  </si>
  <si>
    <t>用薬須知 前編5巻・後編4巻・続編2巻</t>
  </si>
  <si>
    <t>用薬須知 正編(5巻)・附1巻</t>
  </si>
  <si>
    <t>(増補)古方薬品考 5巻</t>
  </si>
  <si>
    <t>内藤尚賢(蕉園)著・篠原篤慶等校</t>
  </si>
  <si>
    <t>こほうやくひんこう</t>
  </si>
  <si>
    <t>(増補)古方薬品考 3巻(存巻1-3)</t>
  </si>
  <si>
    <t>牛山方考 3巻</t>
  </si>
  <si>
    <t>香月牛山(則真)著</t>
  </si>
  <si>
    <t>ぎゅうざんほうこう</t>
  </si>
  <si>
    <t>牛山活套 3巻</t>
  </si>
  <si>
    <t>ぎゅうさんかっとう</t>
  </si>
  <si>
    <t>薬籠本草 3巻</t>
  </si>
  <si>
    <t>香月牛山(啓益)著</t>
  </si>
  <si>
    <t>やくろうほんぞう</t>
  </si>
  <si>
    <t>一本堂薬選 4巻</t>
  </si>
  <si>
    <t>香川修庵(修徳、太沖)著</t>
  </si>
  <si>
    <t>いっぽんどうやくせん</t>
  </si>
  <si>
    <t>医経解惑論 2巻</t>
  </si>
  <si>
    <t>内藤希哲(師道)著・内藤繹(泉菴)等校</t>
  </si>
  <si>
    <t>いけいかいわくろん</t>
  </si>
  <si>
    <t>医経解惑論 3巻</t>
  </si>
  <si>
    <t>療治茶談 1-6巻・続編・続編附録</t>
  </si>
  <si>
    <t>津田(田村)玄仙著</t>
  </si>
  <si>
    <t>りょうじさだん</t>
  </si>
  <si>
    <t>療治茶談 7巻附1巻</t>
  </si>
  <si>
    <t>療治茶談翼</t>
  </si>
  <si>
    <t>りょうじさだんよく</t>
  </si>
  <si>
    <t>療治経験筆記 巻1のみ</t>
  </si>
  <si>
    <t>田村玄仙(津田兼詮)著</t>
  </si>
  <si>
    <t>りょうじけいけんひっき</t>
  </si>
  <si>
    <t>山田正珍(宗俊)著</t>
  </si>
  <si>
    <t>しょうかんこう</t>
  </si>
  <si>
    <t>浅井貞庵(正封)著</t>
  </si>
  <si>
    <t>ほういくけつ</t>
  </si>
  <si>
    <t>提耳談 5巻</t>
  </si>
  <si>
    <t>北尾春圃(当壮菴)著</t>
  </si>
  <si>
    <t>ていじだん</t>
  </si>
  <si>
    <t>(医学質験信集)青嚢瑣探 2巻</t>
  </si>
  <si>
    <t>片倉鶴陵(元周)著</t>
  </si>
  <si>
    <t>せいのうさたん</t>
  </si>
  <si>
    <t>静倹堂治験 3巻</t>
  </si>
  <si>
    <t>せいけんどうちけん</t>
  </si>
  <si>
    <t>保嬰須知 2巻</t>
  </si>
  <si>
    <t>ほえいすち</t>
  </si>
  <si>
    <t>保嬰須知 2巻附1巻</t>
  </si>
  <si>
    <t>産科発蒙 4巻</t>
  </si>
  <si>
    <t>さんかはつもう</t>
  </si>
  <si>
    <t>産科発蒙 5巻</t>
  </si>
  <si>
    <t>椿町先生経方弁</t>
  </si>
  <si>
    <t>山田椿庭(業広)著</t>
  </si>
  <si>
    <t>ちんちょうせんせいけいほうべん</t>
  </si>
  <si>
    <t>(続)瘍科秘録 5巻</t>
  </si>
  <si>
    <t>本間棗軒(救)口授・川又誠等筆記</t>
  </si>
  <si>
    <t>ようかひろく</t>
  </si>
  <si>
    <t>瘍科秘録 巻1-9(巻10欠)</t>
  </si>
  <si>
    <t>本間棗軒(救)著</t>
  </si>
  <si>
    <t>瘍科秘録鈔</t>
  </si>
  <si>
    <t>本間棗軒(救)</t>
  </si>
  <si>
    <t>ようかひろくしょう</t>
  </si>
  <si>
    <t>医方新古弁 2巻</t>
  </si>
  <si>
    <t>中川壺山([故]其徳)著</t>
  </si>
  <si>
    <t>いほうしんこべん</t>
  </si>
  <si>
    <t>いどう</t>
  </si>
  <si>
    <t>傷寒論述義 5巻</t>
  </si>
  <si>
    <t>しょうかんろんじゅつぎ</t>
  </si>
  <si>
    <t>薬治通義 12巻</t>
  </si>
  <si>
    <t>多紀元堅(茝庭)著</t>
    <rPh sb="5" eb="7">
      <t>サイテイ</t>
    </rPh>
    <phoneticPr fontId="2"/>
  </si>
  <si>
    <t>やくじつうぎ</t>
  </si>
  <si>
    <t>脈学輯要 3巻</t>
  </si>
  <si>
    <t>多紀元簡(擽窓)著</t>
  </si>
  <si>
    <t>みゃくがくしゅうよう</t>
  </si>
  <si>
    <t>広恵済急方 3巻</t>
  </si>
  <si>
    <t>多紀元徳(藍渓)編・多紀元簡(櫟窓)校</t>
  </si>
  <si>
    <t>こうけいさいきゅうほう</t>
  </si>
  <si>
    <t>餐英館療治雑話 4巻</t>
  </si>
  <si>
    <t>目黒道琢著</t>
  </si>
  <si>
    <t>さんえいかんりょうじざつわ</t>
  </si>
  <si>
    <t>目黒飯渓(恕公)著</t>
  </si>
  <si>
    <t>りかいげん</t>
  </si>
  <si>
    <t>養寿院医則 附録1巻</t>
  </si>
  <si>
    <t>山脇東洋(尚徳)著</t>
  </si>
  <si>
    <t>ようじゅいんいそく</t>
  </si>
  <si>
    <t>後藤艮山(達)</t>
  </si>
  <si>
    <t>こんざんごとうせんせいおうふくしょかん</t>
  </si>
  <si>
    <t>先師艮山後藤先生往復書簡</t>
  </si>
  <si>
    <t>せんしこんざんごとうせんせいおうふくしょかん</t>
  </si>
  <si>
    <t>後藤一著</t>
  </si>
  <si>
    <t>いきょういっかい</t>
  </si>
  <si>
    <t>合綴: 五極灸訣、一家藁 / 後藤椿庵(省)著</t>
  </si>
  <si>
    <t>しせつひっき</t>
  </si>
  <si>
    <t>師説筆記 2巻</t>
  </si>
  <si>
    <t>吉益南涯著</t>
  </si>
  <si>
    <t>ほうき</t>
  </si>
  <si>
    <t>永富独嘯庵(鳳)著</t>
  </si>
  <si>
    <t>とほうこう</t>
  </si>
  <si>
    <t>亀井南冥(魯)著</t>
  </si>
  <si>
    <t>なんめいもんどう</t>
  </si>
  <si>
    <t>蕉窓雑話 5巻</t>
  </si>
  <si>
    <t>和田東郭(璞)述・門人筆記</t>
  </si>
  <si>
    <t>しょうそうざつわ</t>
  </si>
  <si>
    <t>蕉窓雑話 2巻</t>
  </si>
  <si>
    <t>蕉窓雑話 3巻</t>
  </si>
  <si>
    <t>和田東郭(璞)口授・和田哲筆記</t>
  </si>
  <si>
    <t>どうすいさげん</t>
  </si>
  <si>
    <t>東郭先生導水瑣言</t>
  </si>
  <si>
    <t>和田東郭(璞)著</t>
  </si>
  <si>
    <t>とうかくいだん</t>
  </si>
  <si>
    <t>生生堂医譚</t>
  </si>
  <si>
    <t>中神琴渓(孚)口授・伊藤逑(王佐)述</t>
  </si>
  <si>
    <t>せいせいどういだん</t>
  </si>
  <si>
    <t>生生堂襍記 2巻</t>
  </si>
  <si>
    <t>中神琴渓(孚)口授・保木和(之光)述</t>
  </si>
  <si>
    <t>せいせいどうざっき</t>
  </si>
  <si>
    <t>生々堂治験 2巻</t>
  </si>
  <si>
    <t>小野遜(匡輔)輯</t>
  </si>
  <si>
    <t>せいせいどうちけん</t>
  </si>
  <si>
    <t>生生堂養生論</t>
  </si>
  <si>
    <t>中神琴渓(孚)口授・坂井貞(道仙)等述</t>
  </si>
  <si>
    <t>せいせどうようじょうろん</t>
  </si>
  <si>
    <t>名古屋玄医著</t>
  </si>
  <si>
    <t>いほうもんよ</t>
  </si>
  <si>
    <t>医方規矩 3巻</t>
  </si>
  <si>
    <t>いほうきく</t>
  </si>
  <si>
    <t>医学愚得提要至論 2巻</t>
  </si>
  <si>
    <t>いがくぐとくていようしろん</t>
  </si>
  <si>
    <t>勿誤薬室方函 2巻</t>
  </si>
  <si>
    <t>安井玄叔・三浦宗春編</t>
  </si>
  <si>
    <t>こつごやくしつほうかん</t>
  </si>
  <si>
    <t>浅田宗伯(惟常)口授</t>
  </si>
  <si>
    <t>こつごやくしつほうかんくけつ</t>
  </si>
  <si>
    <t>傷寒論識 6巻(巻1欠)</t>
  </si>
  <si>
    <t>浅田宗伯(惟常)著</t>
  </si>
  <si>
    <t>しょうかんろんしき</t>
  </si>
  <si>
    <t>先哲医話 2巻</t>
  </si>
  <si>
    <t>せんてついわ</t>
  </si>
  <si>
    <t>橘窓書影 4巻</t>
  </si>
  <si>
    <t>きっそうしょえい</t>
  </si>
  <si>
    <t>みゃくほうしげん</t>
  </si>
  <si>
    <t>産論脩飾 4巻、附録</t>
  </si>
  <si>
    <t>賀川玄悦著・嶋田泰夫注</t>
  </si>
  <si>
    <t>さんろんしゅうしょく</t>
  </si>
  <si>
    <t>(校正)産論翼 2巻、附録</t>
  </si>
  <si>
    <t>賀川子啓著</t>
  </si>
  <si>
    <t>さんろんよく</t>
  </si>
  <si>
    <t>産論翼 2巻</t>
  </si>
  <si>
    <t>賀川玄迪(子啓)著</t>
  </si>
  <si>
    <t>富士谷成基(弘之)著</t>
  </si>
  <si>
    <t>きゅうへんさんげん</t>
  </si>
  <si>
    <t>？？？？？？？</t>
    <phoneticPr fontId="2"/>
  </si>
  <si>
    <t>傷寒論疏義 7巻(第3冊本欠、巻2の42～85丁相当)</t>
  </si>
  <si>
    <t>喜多村栲窓(直寛)著</t>
  </si>
  <si>
    <t>しょうかんろんそぎ</t>
  </si>
  <si>
    <t>好生緒言 2巻</t>
  </si>
  <si>
    <t>賀屋敬(恭安)著</t>
  </si>
  <si>
    <t>こうせいしょげん</t>
  </si>
  <si>
    <t>校正方輿輗 存巻5-14</t>
  </si>
  <si>
    <t>有持希藻(浩斎)口授・八谷文恭筆記</t>
  </si>
  <si>
    <t>コウセイ ホウヨゲイ</t>
  </si>
  <si>
    <t>腹証奇覧翼 初編2巻</t>
  </si>
  <si>
    <t>和久田寅著</t>
  </si>
  <si>
    <t>ふくしょうきらんよく</t>
  </si>
  <si>
    <t>腹証奇覧翼 二編2巻</t>
  </si>
  <si>
    <t>腹証奇覧 正編2巻</t>
  </si>
  <si>
    <t>稲葉文礼(克)著</t>
  </si>
  <si>
    <t>ふくしょうきらん</t>
  </si>
  <si>
    <t>腹証奇覧 正編2巻・後編2巻</t>
  </si>
  <si>
    <t>腹証奇覧 正編2巻・後編2巻中2巻のみ</t>
  </si>
  <si>
    <t>腹証奇覧 後編2巻</t>
  </si>
  <si>
    <t>山本正(貞惇)著</t>
  </si>
  <si>
    <t>きっこういだん</t>
  </si>
  <si>
    <t>橘黄医談 1巻(巻上のみ)</t>
  </si>
  <si>
    <t>幼幼家則 5巻</t>
  </si>
  <si>
    <t>村瀬皓著</t>
  </si>
  <si>
    <t>ようようけそく</t>
  </si>
  <si>
    <t>尾台逸(榕堂)著</t>
  </si>
  <si>
    <t>るいじゅほうこうぎ</t>
  </si>
  <si>
    <t>？？？？？？？</t>
    <phoneticPr fontId="2"/>
  </si>
  <si>
    <t>方伎雑誌 3巻</t>
  </si>
  <si>
    <t>ほうぎざっし</t>
  </si>
  <si>
    <t>医余 3巻</t>
  </si>
  <si>
    <t>いよ</t>
  </si>
  <si>
    <t>気血水薬徴 1巻</t>
  </si>
  <si>
    <t>吉益南涯(猷)著</t>
  </si>
  <si>
    <t>きけつすいやくちょう</t>
  </si>
  <si>
    <t>続医断 2巻</t>
  </si>
  <si>
    <t>ぞくいだん</t>
  </si>
  <si>
    <t>医範 1巻合6巻</t>
  </si>
  <si>
    <t>いはん</t>
  </si>
  <si>
    <t>成蹟録 2巻</t>
  </si>
  <si>
    <t>中川壺山(故)著</t>
  </si>
  <si>
    <t>セイセキロク</t>
  </si>
  <si>
    <t>中川壺山(故)問・華岡青洲(震)・吉益南涯(猷)答</t>
  </si>
  <si>
    <t>けんしょうひゃくもん</t>
  </si>
  <si>
    <t>傷寒名数解 5巻</t>
  </si>
  <si>
    <t>中西深斎(惟忠)著</t>
  </si>
  <si>
    <t>しょうかんめいすうかい</t>
  </si>
  <si>
    <t>傷寒論弁正 6巻凡例1巻</t>
  </si>
  <si>
    <t>しょうかんろんべんせい</t>
  </si>
  <si>
    <t>和方一万方 巻1-36・39-41</t>
  </si>
  <si>
    <t>村井琴山著</t>
  </si>
  <si>
    <t>わほういちまんほう</t>
  </si>
  <si>
    <t>和方一万方 序目・巻9-12・16-20</t>
  </si>
  <si>
    <t>砦艸</t>
  </si>
  <si>
    <t>原南陽(昌克)著</t>
  </si>
  <si>
    <t>とりでぐさ</t>
  </si>
  <si>
    <t>寄奇方記</t>
  </si>
  <si>
    <t>ききほうき</t>
  </si>
  <si>
    <t>叢桂偶記 2巻</t>
  </si>
  <si>
    <t>そうけいぐうき</t>
  </si>
  <si>
    <t>玄冶方考 3巻</t>
  </si>
  <si>
    <t>岡本玄冶著</t>
  </si>
  <si>
    <t>げんやほうこう</t>
  </si>
  <si>
    <t>げんややくほうくかい</t>
  </si>
  <si>
    <t>薬徴 3巻</t>
  </si>
  <si>
    <t>吉益東洞(為則)著</t>
  </si>
  <si>
    <t>やくちょう</t>
  </si>
  <si>
    <t>薬徴続編 3巻</t>
  </si>
  <si>
    <t>やくちょうぞくへん</t>
  </si>
  <si>
    <t>薬徴百問</t>
  </si>
  <si>
    <t>吉益南涯口授</t>
  </si>
  <si>
    <t>やくちょうひゃくもん</t>
  </si>
  <si>
    <t>薬徴本功 1巻</t>
  </si>
  <si>
    <t>吉益南涯口授・石橋玄隆筆記</t>
  </si>
  <si>
    <t>やくちょうほんこう</t>
  </si>
  <si>
    <t>薬徴考</t>
  </si>
  <si>
    <t>吉備南涯口授</t>
  </si>
  <si>
    <t>やくちょうこう</t>
  </si>
  <si>
    <t>吉益東洞(為則)述・厳恭編</t>
  </si>
  <si>
    <t>けんしゅろく</t>
  </si>
  <si>
    <t>医事或問 2巻</t>
  </si>
  <si>
    <t>いじわくもん</t>
  </si>
  <si>
    <t>内科秘録 13巻</t>
  </si>
  <si>
    <t>ないかひろく</t>
  </si>
  <si>
    <t>増訂療治知要</t>
  </si>
  <si>
    <t>本間棗軒(救)口授・大江義利訂正</t>
  </si>
  <si>
    <t>ぞうていりょうじちよう</t>
  </si>
  <si>
    <t>●</t>
    <phoneticPr fontId="2"/>
  </si>
  <si>
    <t>国文学研究資料館　</t>
    <rPh sb="0" eb="8">
      <t>コクブンガクケンキュウシリョウカン</t>
    </rPh>
    <phoneticPr fontId="2"/>
  </si>
  <si>
    <t>https://www.nijl.ac.jp/</t>
  </si>
  <si>
    <t>新日本古典籍総合データベース</t>
  </si>
  <si>
    <t>https://kotenseki.nijl.ac.jp/</t>
    <phoneticPr fontId="2"/>
  </si>
  <si>
    <t>国文学研究資料館　日本古典籍総合目録データベース</t>
    <rPh sb="0" eb="8">
      <t>コクブンガクケンキュウシリョウカン</t>
    </rPh>
    <rPh sb="9" eb="11">
      <t>ニホン</t>
    </rPh>
    <rPh sb="11" eb="12">
      <t>コ</t>
    </rPh>
    <rPh sb="12" eb="14">
      <t>テンセキ</t>
    </rPh>
    <rPh sb="14" eb="16">
      <t>ソウゴウ</t>
    </rPh>
    <rPh sb="16" eb="18">
      <t>モクロク</t>
    </rPh>
    <phoneticPr fontId="2"/>
  </si>
  <si>
    <t>https://base1.nijl.ac.jp/~tkoten/</t>
  </si>
  <si>
    <t>国文学研究資料館 電子資料館 日本古典籍総合目録DB 館蔵和古書目録DB</t>
  </si>
  <si>
    <t>http://base1.nijl.ac.jp/infolib/meta_pub/G0001401KTG</t>
  </si>
  <si>
    <t>国文研・デジタル公開所蔵者一覧表</t>
  </si>
  <si>
    <t>http://base1.nijl.ac.jp/~tkoten/owners/syuusyuu_list.html</t>
    <phoneticPr fontId="2"/>
  </si>
  <si>
    <t>国立国会図書館デジタルコレクション</t>
    <phoneticPr fontId="2"/>
  </si>
  <si>
    <t>http://dl.ndl.go.jp/</t>
    <phoneticPr fontId="2"/>
  </si>
  <si>
    <t>早稲田大学図書館　古典籍総合データベース</t>
    <rPh sb="0" eb="20">
      <t>ワセダ@</t>
    </rPh>
    <phoneticPr fontId="2"/>
  </si>
  <si>
    <t>http://www.wul.waseda.ac.jp/kotenseki/</t>
  </si>
  <si>
    <t>京都大学貴重資料デジタルアーカイブ</t>
    <phoneticPr fontId="2"/>
  </si>
  <si>
    <t>https://rmda.kulib.kyoto-u.ac.jp/</t>
    <phoneticPr fontId="2"/>
  </si>
  <si>
    <t>●●</t>
    <phoneticPr fontId="2"/>
  </si>
  <si>
    <t>富士川文庫</t>
    <rPh sb="0" eb="3">
      <t>フジカワ</t>
    </rPh>
    <rPh sb="3" eb="5">
      <t>ブンコ</t>
    </rPh>
    <phoneticPr fontId="2"/>
  </si>
  <si>
    <t>https://rmda.kulib.kyoto-u.ac.jp/search</t>
    <phoneticPr fontId="2"/>
  </si>
  <si>
    <t>https://rmda.kulib.kyoto-u.ac.jp/collection/fujikawa</t>
    <phoneticPr fontId="2"/>
  </si>
  <si>
    <t>東大富士川文庫資料</t>
    <rPh sb="0" eb="2">
      <t>トウダイ</t>
    </rPh>
    <rPh sb="2" eb="9">
      <t>フジカワブンコシリョウ</t>
    </rPh>
    <phoneticPr fontId="2"/>
  </si>
  <si>
    <t>https://iiif.dl.itc.u-tokyo.ac.jp/repo/s/fujikawa/page/home</t>
  </si>
  <si>
    <t>慶應義塾大学メディアセンター デジタルコレクション</t>
  </si>
  <si>
    <t>http://dcollections.lib.keio.ac.jp/ja/koisho</t>
  </si>
  <si>
    <t>富士川文庫デジタル連携プロジェクト試行版</t>
  </si>
  <si>
    <t>http://www.kulib.kyoto-u.ac.jp/rdl/digital_fujikawa/</t>
  </si>
  <si>
    <t>九州大学</t>
    <rPh sb="0" eb="4">
      <t>キュウシュウダイガク</t>
    </rPh>
    <phoneticPr fontId="2"/>
  </si>
  <si>
    <t>https://catalog.lib.kyushu-u.ac.jp/opac_browse/rare/?lang=0</t>
  </si>
  <si>
    <t>国立公文書館デジタルアーカイブ　内閣文庫</t>
    <rPh sb="0" eb="2">
      <t>コクリツ</t>
    </rPh>
    <rPh sb="2" eb="6">
      <t>コウブンショカン</t>
    </rPh>
    <rPh sb="16" eb="20">
      <t>ナイカクブンコ</t>
    </rPh>
    <phoneticPr fontId="2"/>
  </si>
  <si>
    <t>https://www.digital.archives.go.jp/</t>
  </si>
  <si>
    <t>宮内庁書陵部収蔵漢籍集覧</t>
  </si>
  <si>
    <t>http://db.sido.keio.ac.jp/kanseki/T_bib_search.php</t>
  </si>
  <si>
    <t>　　　書誌書影・全文影像データベース</t>
    <phoneticPr fontId="2"/>
  </si>
  <si>
    <t>書陵部所蔵資料目録・画像公開システム</t>
  </si>
  <si>
    <t>https://shoryobu.kunaicho.go.jp/</t>
    <phoneticPr fontId="2"/>
  </si>
  <si>
    <t>国立博物館所蔵　国宝・重要文化財</t>
    <rPh sb="0" eb="2">
      <t>コクリツ</t>
    </rPh>
    <rPh sb="2" eb="5">
      <t>ハクブツカン</t>
    </rPh>
    <rPh sb="5" eb="7">
      <t>ショゾウ</t>
    </rPh>
    <rPh sb="8" eb="10">
      <t>コクホウ</t>
    </rPh>
    <rPh sb="11" eb="13">
      <t>ジュウヨウ</t>
    </rPh>
    <rPh sb="13" eb="16">
      <t>ブンカザイ</t>
    </rPh>
    <phoneticPr fontId="2"/>
  </si>
  <si>
    <t>http://www.emuseum.jp/</t>
  </si>
  <si>
    <t>https://webarchives.tnm.jp/dlib/</t>
  </si>
  <si>
    <t>近世漢方医学書集成</t>
    <phoneticPr fontId="2"/>
  </si>
  <si>
    <t>-</t>
    <phoneticPr fontId="2"/>
  </si>
  <si>
    <t>https://rmda.kulib.kyoto-u.ac.jp/item/rb00000730</t>
  </si>
  <si>
    <t>https://rmda.kulib.kyoto-u.ac.jp/item/rb00000400</t>
  </si>
  <si>
    <t>広益本草大成 22巻序目1巻　外題:(図画)和語本草綱目</t>
    <phoneticPr fontId="2"/>
  </si>
  <si>
    <t>https://rmda.kulib.kyoto-u.ac.jp/item/rb00000483</t>
  </si>
  <si>
    <t>医断 1巻</t>
  </si>
  <si>
    <t>吉益東洞(為則)著・鶴田元逸(逸)編</t>
  </si>
  <si>
    <t>諸方抜書　合綴: 漫游雑記方</t>
    <phoneticPr fontId="2"/>
  </si>
  <si>
    <t>https://rmda.kulib.kyoto-u.ac.jp/item/rb00000639</t>
  </si>
  <si>
    <t>方意解 2巻　外題:蕉窓方意解</t>
    <phoneticPr fontId="2"/>
  </si>
  <si>
    <t>https://rmda.kulib.kyoto-u.ac.jp/item/rb00002049</t>
  </si>
  <si>
    <t>金瘡口授 1巻　別名:外科神書</t>
    <phoneticPr fontId="2"/>
  </si>
  <si>
    <t>京都は鎖に誤る</t>
    <rPh sb="0" eb="2">
      <t>キョウト</t>
    </rPh>
    <rPh sb="3" eb="4">
      <t>クサリ</t>
    </rPh>
    <rPh sb="5" eb="6">
      <t>アヤマ</t>
    </rPh>
    <phoneticPr fontId="2"/>
  </si>
  <si>
    <t>https://rmda.kulib.kyoto-u.ac.jp/item/rb00004046</t>
  </si>
  <si>
    <t>橘諸悳雑録　合綴:甲戌雑録、乙丑瑣録、庚午雑識、観聚方要補巻</t>
    <phoneticPr fontId="2"/>
  </si>
  <si>
    <t>https://rmda.kulib.kyoto-u.ac.jp/item/rb00013363</t>
    <phoneticPr fontId="2"/>
  </si>
  <si>
    <t>同一書名だが？</t>
    <rPh sb="0" eb="2">
      <t>ドウイツ</t>
    </rPh>
    <rPh sb="2" eb="4">
      <t>ショメイ</t>
    </rPh>
    <phoneticPr fontId="2"/>
  </si>
  <si>
    <t>合綴: 薬品規矩 / 名護屋玄医著</t>
  </si>
  <si>
    <t>https://rmda.kulib.kyoto-u.ac.jp/item/rb00000220</t>
  </si>
  <si>
    <t>金匱玉函要略述義 3巻</t>
  </si>
  <si>
    <t>外題:金匱要略述義</t>
  </si>
  <si>
    <t>https://kotenseki.nijl.ac.jp/biblio/100232337/viewer/6</t>
  </si>
  <si>
    <t>研医会図書館</t>
  </si>
  <si>
    <t>医学指南篇</t>
  </si>
  <si>
    <t>https://kotenseki.nijl.ac.jp/biblio/100243584/viewer/</t>
  </si>
  <si>
    <t>https://kotenseki.nijl.ac.jp/biblio/100243600/viewer</t>
  </si>
  <si>
    <t>慶応富士川</t>
    <rPh sb="0" eb="2">
      <t>ケイオウ</t>
    </rPh>
    <rPh sb="2" eb="5">
      <t>フジカワ</t>
    </rPh>
    <phoneticPr fontId="2"/>
  </si>
  <si>
    <t>原／南陽：述，大河内／政存等</t>
    <phoneticPr fontId="2"/>
  </si>
  <si>
    <t>https://kotenseki.nijl.ac.jp/biblio/100243410/viewer</t>
    <phoneticPr fontId="2"/>
  </si>
  <si>
    <t>https://kotenseki.nijl.ac.jp/biblio/100243432/viewer</t>
    <phoneticPr fontId="2"/>
  </si>
  <si>
    <t>https://kotenseki.nijl.ac.jp/biblio/100260985/viewer</t>
  </si>
  <si>
    <t>燈下醫談(とうかいだん)</t>
  </si>
  <si>
    <t>華岡 青洲</t>
  </si>
  <si>
    <t>神戸大学附属図書館 一般 砂治文庫</t>
  </si>
  <si>
    <t>https://kotenseki.nijl.ac.jp/biblio/100259589/viewer</t>
  </si>
  <si>
    <t>医道二千年眼目編</t>
    <phoneticPr fontId="2"/>
  </si>
  <si>
    <t>いどうにせんねんがんもくへん</t>
    <phoneticPr fontId="2"/>
  </si>
  <si>
    <t>村井琴山（邨井 杶）</t>
    <phoneticPr fontId="2"/>
  </si>
  <si>
    <t>九州大学医学図書館</t>
  </si>
  <si>
    <t>吉益／南涯：述，武貞／恒徳：編</t>
    <phoneticPr fontId="2"/>
  </si>
  <si>
    <t>https://kotenseki.nijl.ac.jp/biblio/100242531/viewer</t>
    <phoneticPr fontId="2"/>
  </si>
  <si>
    <t>https://kotenseki.nijl.ac.jp/biblio/100242533/viewer</t>
  </si>
  <si>
    <t>https://kotenseki.nijl.ac.jp/biblio/100241932/viewer</t>
  </si>
  <si>
    <t>精義外傳(せいぎがいでん)</t>
  </si>
  <si>
    <t>傷寒論精義外伝</t>
    <phoneticPr fontId="2"/>
  </si>
  <si>
    <t>精義外伝</t>
  </si>
  <si>
    <t>https://kotenseki.nijl.ac.jp/biblio/200005551/viewer</t>
    <phoneticPr fontId="2"/>
  </si>
  <si>
    <t>https://kotenseki.nijl.ac.jp/biblio/100252844/viewer</t>
  </si>
  <si>
    <t>京大</t>
    <rPh sb="0" eb="2">
      <t>キョウダイ</t>
    </rPh>
    <phoneticPr fontId="2"/>
  </si>
  <si>
    <t>本朝医談</t>
    <phoneticPr fontId="2"/>
  </si>
  <si>
    <t>本朝醫談二編</t>
  </si>
  <si>
    <t>国文学研究資料館</t>
  </si>
  <si>
    <t>https://kotenseki.nijl.ac.jp/biblio/100252254/viewer</t>
  </si>
  <si>
    <t>大阪大学適塾記念センター</t>
  </si>
  <si>
    <t>https://kotenseki.nijl.ac.jp/biblio/100260394/viewer</t>
  </si>
  <si>
    <t>神戸大学附属図書館</t>
  </si>
  <si>
    <t>觀聚方</t>
  </si>
  <si>
    <t>https://kotenseki.nijl.ac.jp/biblio/100253478/viewer</t>
  </si>
  <si>
    <t>https://kotenseki.nijl.ac.jp/biblio/100252849/viewer</t>
  </si>
  <si>
    <t>https://kotenseki.nijl.ac.jp/biblio/100252580/viewer</t>
  </si>
  <si>
    <t>新增愚按口訣</t>
  </si>
  <si>
    <t>東北大学附属図書館</t>
  </si>
  <si>
    <t>蘆川／桂洲</t>
  </si>
  <si>
    <t>https://kotenseki.nijl.ac.jp/biblio/100232367/viewer</t>
    <phoneticPr fontId="2"/>
  </si>
  <si>
    <t>https://kotenseki.nijl.ac.jp/biblio/100229660/viewer</t>
  </si>
  <si>
    <t>香川修徳</t>
    <phoneticPr fontId="2"/>
  </si>
  <si>
    <t>いっぽんどうこうよいげん</t>
  </si>
  <si>
    <t>https://kotenseki.nijl.ac.jp/biblio/100229682/viewer</t>
  </si>
  <si>
    <t>https://kotenseki.nijl.ac.jp/biblio/100229690/viewer</t>
  </si>
  <si>
    <t>https://kotenseki.nijl.ac.jp/biblio/100229691/viewer</t>
  </si>
  <si>
    <t>山田 正珍/(宗俊/圖南)</t>
  </si>
  <si>
    <t>当壮庵家方口解</t>
  </si>
  <si>
    <t>https://kotenseki.nijl.ac.jp/biblio/100245393/viewer</t>
  </si>
  <si>
    <t>https://kotenseki.nijl.ac.jp/biblio/100079278/viewer</t>
    <phoneticPr fontId="2"/>
  </si>
  <si>
    <t>浅田 宗伯</t>
  </si>
  <si>
    <t>静岡県立中央図書館 葵文庫</t>
  </si>
  <si>
    <t>https://kotenseki.nijl.ac.jp/biblio/200007941/viewer</t>
    <phoneticPr fontId="2"/>
  </si>
  <si>
    <t>皇國名醫傳</t>
  </si>
  <si>
    <t>https://kotenseki.nijl.ac.jp/biblio/100229687/viewer</t>
    <phoneticPr fontId="2"/>
  </si>
  <si>
    <t>浅田 宗伯/(栗園)</t>
  </si>
  <si>
    <t xml:space="preserve">研医会図書館 </t>
  </si>
  <si>
    <t>https://kotenseki.nijl.ac.jp/biblio/100229685/viewer</t>
    <phoneticPr fontId="2"/>
  </si>
  <si>
    <t>https://kotenseki.nijl.ac.jp/biblio/100229677/viewer</t>
    <phoneticPr fontId="2"/>
  </si>
  <si>
    <t>皇国名医伝 前編</t>
  </si>
  <si>
    <t>皇国名医伝 後編</t>
  </si>
  <si>
    <t>皇国名医伝</t>
    <phoneticPr fontId="2"/>
  </si>
  <si>
    <t>https://kotenseki.nijl.ac.jp/biblio/100257466/viewer</t>
  </si>
  <si>
    <t>丹水家訓</t>
    <phoneticPr fontId="2"/>
  </si>
  <si>
    <t>https://kotenseki.nijl.ac.jp/biblio/100239270/viewer/6</t>
  </si>
  <si>
    <t>東京大学総合図書館 一般 鴎</t>
  </si>
  <si>
    <t>いしょう</t>
  </si>
  <si>
    <t>https://kotenseki.nijl.ac.jp/biblio/100241806/viewer</t>
  </si>
  <si>
    <t>しょういんもんどう</t>
  </si>
  <si>
    <t>医学指南篇</t>
    <phoneticPr fontId="2"/>
  </si>
  <si>
    <t>https://rmda.kulib.kyoto-u.ac.jp/item/rb00003367</t>
    <phoneticPr fontId="2"/>
  </si>
  <si>
    <t>http://www.wul.waseda.ac.jp/kotenseki/html/ya09/ya09_00053/index.html</t>
  </si>
  <si>
    <t>http://dl.ndl.go.jp/info:ndljp/pid/1765936/9</t>
  </si>
  <si>
    <t>http://dl.ndl.go.jp/info:ndljp/pid/1243127/17</t>
  </si>
  <si>
    <t>http://dl.ndl.go.jp/info:ndljp/pid/2536404</t>
  </si>
  <si>
    <t>http://dl.ndl.go.jp/info:ndljp/pid/2536404</t>
    <phoneticPr fontId="2"/>
  </si>
  <si>
    <t>『雲陣夜話』のなかに「日用薬性能毒」</t>
    <phoneticPr fontId="2"/>
  </si>
  <si>
    <t>http://dl.ndl.go.jp/info:ndljp/pid/2539521</t>
  </si>
  <si>
    <t>種痘活人十全辯</t>
  </si>
  <si>
    <t>http://dl.ndl.go.jp/info:ndljp/pid/901902</t>
  </si>
  <si>
    <t>棗軒本間玄調 誌</t>
    <phoneticPr fontId="2"/>
  </si>
  <si>
    <t>本間玄調 著[他]</t>
    <phoneticPr fontId="2"/>
  </si>
  <si>
    <t>金匱要略輯義</t>
    <phoneticPr fontId="2"/>
  </si>
  <si>
    <t>http://dl.ndl.go.jp/info:ndljp/pid/2536125</t>
  </si>
  <si>
    <t>http://dl.ndl.go.jp/info:ndljp/pid/833215</t>
  </si>
  <si>
    <t>http://dl.ndl.go.jp/info:ndljp/pid/2605599?tocOpened=1</t>
  </si>
  <si>
    <t>森立之写</t>
    <rPh sb="0" eb="3">
      <t>モリリッシ</t>
    </rPh>
    <rPh sb="3" eb="4">
      <t>シャ</t>
    </rPh>
    <phoneticPr fontId="2"/>
  </si>
  <si>
    <t>http://dl.ndl.go.jp/info:ndljp/pid/2557211?tocOpened=1</t>
  </si>
  <si>
    <t>http://dl.ndl.go.jp/info:ndljp/pid/833235</t>
  </si>
  <si>
    <t>時還読我書. 乾</t>
  </si>
  <si>
    <t>http://dl.ndl.go.jp/info:ndljp/pid/833236</t>
  </si>
  <si>
    <t>時還読我書. 坤</t>
  </si>
  <si>
    <t>苣庭多紀 著</t>
  </si>
  <si>
    <t>http://dl.ndl.go.jp/info:ndljp/pid/935250</t>
  </si>
  <si>
    <t>杏林叢書. 第2輯</t>
  </si>
  <si>
    <t>富士川游 等編</t>
  </si>
  <si>
    <t>http://dl.ndl.go.jp/info:ndljp/pid/2605882</t>
  </si>
  <si>
    <t>用薬須知後篇正誤 2巻</t>
  </si>
  <si>
    <t>和田, 春庵[他]</t>
  </si>
  <si>
    <t>https://www.digital.archives.go.jp/das/meta/M2015070810584355759</t>
  </si>
  <si>
    <t>https://www.digital.archives.go.jp/das/meta/M2015070810585455760</t>
  </si>
  <si>
    <t>https://www.digital.archives.go.jp/das/meta/M2015070810591655762</t>
  </si>
  <si>
    <t>金匱玉函要略方論輯義</t>
  </si>
  <si>
    <t>金匱玉函要略方論疏義</t>
  </si>
  <si>
    <t>第一期全30巻　第二期全30巻　第三期全40巻　第四期全16巻</t>
    <phoneticPr fontId="2"/>
  </si>
  <si>
    <t>全３０巻</t>
    <phoneticPr fontId="2"/>
  </si>
  <si>
    <t>名著出版, 1979～84</t>
    <phoneticPr fontId="2"/>
  </si>
  <si>
    <t>https://rmda.kulib.kyoto-u.ac.jp/item/rb00000994</t>
  </si>
  <si>
    <t>とうもんずいひつ</t>
    <phoneticPr fontId="2"/>
  </si>
  <si>
    <t>広益本草大成</t>
  </si>
  <si>
    <t>ウンジン ヤワ</t>
  </si>
  <si>
    <t xml:space="preserve">弁致秘書 1巻　合綴: 雲陣夜話 </t>
    <phoneticPr fontId="2"/>
  </si>
  <si>
    <t>医方大成論諺解</t>
    <phoneticPr fontId="2"/>
  </si>
  <si>
    <t>方意弁義</t>
    <phoneticPr fontId="2"/>
  </si>
  <si>
    <t>薬徴</t>
    <phoneticPr fontId="2"/>
  </si>
  <si>
    <t>遺教一解</t>
    <phoneticPr fontId="2"/>
  </si>
  <si>
    <t>和田泰庵（泰純）方函</t>
    <phoneticPr fontId="2"/>
  </si>
  <si>
    <t>（わだたいあん［たいじゅん］ほうかん）</t>
  </si>
  <si>
    <t>和田泰庵方函</t>
  </si>
  <si>
    <t>● 第01巻 田代三喜　三帰廻翁医書〔解説矢数道明〕</t>
  </si>
  <si>
    <t>● 第20巻 原南陽（３）叢桂偶記，寄奇右記，砦草</t>
  </si>
  <si>
    <t>● 第23巻 本間棗軒（３）療治知要，種痘活人十全弁</t>
  </si>
  <si>
    <t>● 第31巻 村井琴山（１）医道二千年眼目編（１）〔解説大塚恭男〕</t>
  </si>
  <si>
    <t>● 第32巻 村井琴山（２）医道二千年眼目編（２）</t>
  </si>
  <si>
    <t>● 第33巻 村井琴山（３）和方一万方（１）</t>
  </si>
  <si>
    <t>● 第39巻 和田元庸　三世医譚，傷寒論精義外伝〔解説山田光胤〕</t>
  </si>
  <si>
    <t>● 第40巻 黒川道祐・奈須恒徳　本朝医考，本朝医考補遺，本朝医談，他</t>
  </si>
  <si>
    <t>● 第45巻 多紀元簡（５）観聚方要補（１）</t>
  </si>
  <si>
    <t>● 第47巻 多紀元簡（７）観聚方要補（３）</t>
  </si>
  <si>
    <t>● 第48巻 多紀元堅（１）雑病広要（１）〔解説矢数道明〕</t>
  </si>
  <si>
    <t>● 第50巻 多紀元堅（３）雑病広要（３）</t>
  </si>
  <si>
    <t>● 第51巻 多紀元堅（４）雑病広要（４）</t>
  </si>
  <si>
    <t>● 第52巻 多紀元堅（５）病広要（５），時還読我書時還読我書続録</t>
  </si>
  <si>
    <t>● 第55巻 松岡恕庵　用薬須知，用薬須知後編，用薬須知後編正誤，他</t>
  </si>
  <si>
    <t>● 第59巻 尾台榕堂（３）重校薬徴，医余</t>
  </si>
  <si>
    <t>● 第63巻 長沢道寿　医方口訣集〔解説大塚恭男〕</t>
  </si>
  <si>
    <t>● 第65巻 香川修庵（１）一本堂行余医言（１）〔解説山田光胤〕</t>
  </si>
  <si>
    <t>● 第66巻 香川修庵（２）一本堂行余医言（２）</t>
  </si>
  <si>
    <t>● 第67巻 香川修庵（３）一本堂行余医言（３）</t>
  </si>
  <si>
    <t>● 第68巻 香川修庵（４）一本堂行余医言（４），一本堂薬選（１）</t>
  </si>
  <si>
    <t>● 第69巻 香川修庵（５）一本堂薬選（２）</t>
  </si>
  <si>
    <t>● 第72巻 津田玄仙（１）療治茶談（１）〔解説藤井美樹〕</t>
  </si>
  <si>
    <t>● 第73巻 淳田玄仙（２）療治茶談（２），療治経験筆記</t>
  </si>
  <si>
    <t>● 第74巻 山田正珍（１）傷寒論集成（１）〔解説松田邦夫〕</t>
  </si>
  <si>
    <t>● 第75巻 山田正珍（２）傷寒論集成（２），傷寒考</t>
  </si>
  <si>
    <t>● 第76巻 川越衡山　傷寒論脈証式〔解説藤平健〕</t>
  </si>
  <si>
    <t>● 第79巻 北尾春圃（１）提耳談〔解説矢数圭道〕</t>
  </si>
  <si>
    <t>● 第80巻 北尾春圃（２）当荘庵家方口解</t>
  </si>
  <si>
    <t>● 第81巻 片倉鶴陵（１）青嚢瑣探，静倹堂治験〔解説室賀昭三〕</t>
  </si>
  <si>
    <t>● 第82巻 片倉鶴陵（２）保嬰須知，産科発蒙</t>
  </si>
  <si>
    <t>● 第83巻 稲葉文礼・和久田叔虎（１）腹證奇覧，腹證奇覧翼（１）〔解説松田邦夫〕</t>
  </si>
  <si>
    <t>● 第84巻 稲葉文礼・和久田叔虎（２）腹證奇覧翼（２）</t>
  </si>
  <si>
    <t>● 第86巻 有持桂里（２）校正方輿ゲイ（２）</t>
  </si>
  <si>
    <t>● 第87巻 有持桂里（３）校正方輿ゲイ（３）</t>
  </si>
  <si>
    <t>● 第89巻 喜多村直寛（２）傷寒論疏義（２）</t>
  </si>
  <si>
    <t>● 第90巻 喜多村直寛（３）金匱要略疏義（１）</t>
  </si>
  <si>
    <t>● 第91巻 喜多村直寛（４）金匱要略疏義（２）</t>
  </si>
  <si>
    <t>● 第92巻 山田業広（１）九折堂読書記（１）〔解説寺師睦宗〕</t>
  </si>
  <si>
    <t>● 第93巻 山田業広（２）九折堂読書記（２）</t>
  </si>
  <si>
    <t>● 第94巻 山田業広（３）九折堂読書記（３），椿庭先生夜話，経方弁</t>
  </si>
  <si>
    <t>● 第95巻 浅田宗伯（１）勿誤薬室方函〔解説矢数道明〕</t>
  </si>
  <si>
    <t>● 第96巻 浅田宗伯（２）勿誤薬室方函口訣</t>
  </si>
  <si>
    <t>● 第97巻 浅田宗伯（３）傷寒論識</t>
  </si>
  <si>
    <t>● 第98巻 浅田宗伯（４）雑病論識</t>
  </si>
  <si>
    <t>● 第99巻 浅田宗伯（５）皇国名医伝前編，皇国名医伝</t>
  </si>
  <si>
    <t>● 第53巻 神農本草経・遊相医話・経籍訪古志（森立之）</t>
  </si>
  <si>
    <t>● 第09巻 岡本一抱（方意弁義）</t>
  </si>
  <si>
    <t>● 第15巻 和田東郭（蕉窓雑話-解説・松田邦夫-）</t>
  </si>
  <si>
    <t>● 第16巻 和田東郭（蕉窓方意解，東郭医談，東郭医談-青洲副言-導水瑣言，和田泰庵方函）</t>
  </si>
  <si>
    <t>● 第24巻 宇津木昆台1（古訓医伝1-解説大塚敬節-）</t>
  </si>
  <si>
    <t>● 第25巻 宇津木昆台2（古訓医伝2）</t>
  </si>
  <si>
    <t>● 第26巻 宇津木昆台3（古訓医伝3）</t>
  </si>
  <si>
    <t>● 第27巻 宇津木昆台4（古訓医伝4）</t>
  </si>
  <si>
    <t>● 第28巻 宇津木昆台5（古訓医伝5）</t>
  </si>
  <si>
    <t>● 第41巻・第42巻 多紀元簡1（傷寒論輯義1-解説矢数道明-）多紀元簡2（傷寒論輯義2）</t>
  </si>
  <si>
    <t>● 第43巻・第44巻 多紀元簡3（金匱要略輯義1）　多紀元簡4（金匱要略輯義2）</t>
  </si>
  <si>
    <t>● 第56巻 内藤尚賢（古方薬品考-解説・難波恒雄-）</t>
  </si>
  <si>
    <t>● 第58巻 尾台榕堂2（方伎雑誌，橘黄医談）</t>
  </si>
  <si>
    <t>● 第61巻 香月牛山1（牛山方考，牛山活套-解説・難波恒雄-）</t>
  </si>
  <si>
    <t>● 第70巻 内藤希哲1（医経解惑論，傷寒雑病論類編1-解説・寺師睦宗-）</t>
  </si>
  <si>
    <t>● 第71巻 内藤希哲2（傷寒雑病論類編2）</t>
  </si>
  <si>
    <t>● 第18巻 原南陽（叢桂亭医事小言　１）</t>
  </si>
  <si>
    <t>● 第19巻 原南陽（叢桂亭医事小言　２・医事小言補正）</t>
  </si>
  <si>
    <t>● 第60巻 山本鹿洲（橘黄医談）、村瀬豆洲（幼幼家則・方彙続貂）</t>
  </si>
  <si>
    <t>● 第77巻 浅井貞庵（方彙口訣巻1～巻5）</t>
  </si>
  <si>
    <t>● 第78巻 浅井貞庵（方彙口訣巻6～巻10）</t>
  </si>
  <si>
    <t>● 第107巻 目黒道琢（餐英館療治雑話）</t>
  </si>
  <si>
    <t>瘍科瑣言 2巻</t>
    <phoneticPr fontId="2"/>
  </si>
  <si>
    <t>http://dl.ndl.go.jp/info:ndljp/pid/2532207</t>
  </si>
  <si>
    <t>http://dl.ndl.go.jp/info:ndljp/pid/2535939</t>
  </si>
  <si>
    <t>http://dl.ndl.go.jp/info:ndljp/pid/2606410</t>
  </si>
  <si>
    <t>http://dl.ndl.go.jp/info:ndljp/pid/2605826</t>
  </si>
  <si>
    <t>http://dl.ndl.go.jp/info:ndljp/pid/2535684</t>
  </si>
  <si>
    <t>http://dl.ndl.go.jp/info:ndljp/pid/2536095</t>
  </si>
  <si>
    <t>http://dl.ndl.go.jp/info:ndljp/pid/2608264</t>
  </si>
  <si>
    <t>http://dl.ndl.go.jp/info:ndljp/pid/2605298</t>
  </si>
  <si>
    <t>http://dl.ndl.go.jp/info:ndljp/pid/2605794</t>
  </si>
  <si>
    <t>http://dl.ndl.go.jp/info:ndljp/pid/2605556</t>
  </si>
  <si>
    <t>リンク2　公開Web画像</t>
    <rPh sb="5" eb="7">
      <t>コウカイ</t>
    </rPh>
    <rPh sb="10" eb="12">
      <t>ガゾウ</t>
    </rPh>
    <phoneticPr fontId="2"/>
  </si>
  <si>
    <t>https://rmda.kulib.kyoto-u.ac.jp/item/rb00003413</t>
  </si>
  <si>
    <t>https://rmda.kulib.kyoto-u.ac.jp/item/rb00003414</t>
  </si>
  <si>
    <t>https://rmda.kulib.kyoto-u.ac.jp/item/rb00003936</t>
  </si>
  <si>
    <t>https://rmda.kulib.kyoto-u.ac.jp/item/rb00002724</t>
  </si>
  <si>
    <t>https://rmda.kulib.kyoto-u.ac.jp/item/rb00005783</t>
  </si>
  <si>
    <t>https://rmda.kulib.kyoto-u.ac.jp/item/rb00004957</t>
  </si>
  <si>
    <t>https://rmda.kulib.kyoto-u.ac.jp/item/rb00003046</t>
  </si>
  <si>
    <t>https://rmda.kulib.kyoto-u.ac.jp/item/rb00003934</t>
  </si>
  <si>
    <t>https://rmda.kulib.kyoto-u.ac.jp/item/rb00002405</t>
  </si>
  <si>
    <t>https://rmda.kulib.kyoto-u.ac.jp/item/rb00002247</t>
  </si>
  <si>
    <t>https://rmda.kulib.kyoto-u.ac.jp/item/rb00002248</t>
  </si>
  <si>
    <t>https://rmda.kulib.kyoto-u.ac.jp/item/rb00002682</t>
  </si>
  <si>
    <t>https://rmda.kulib.kyoto-u.ac.jp/item/rb00002680</t>
  </si>
  <si>
    <t>https://rmda.kulib.kyoto-u.ac.jp/item/rb00002684</t>
  </si>
  <si>
    <t>https://rmda.kulib.kyoto-u.ac.jp/item/rb00002683</t>
  </si>
  <si>
    <t>https://rmda.kulib.kyoto-u.ac.jp/item/rb00002679</t>
  </si>
  <si>
    <t>https://rmda.kulib.kyoto-u.ac.jp/item/rb00002681</t>
  </si>
  <si>
    <t>https://rmda.kulib.kyoto-u.ac.jp/item/rb00002686</t>
  </si>
  <si>
    <t>察病指南抄 3巻</t>
  </si>
  <si>
    <t>https://rmda.kulib.kyoto-u.ac.jp/item/rb00019945</t>
  </si>
  <si>
    <t>[察病指南抜書] 不分卷 一冊</t>
  </si>
  <si>
    <t>https://rmda.kulib.kyoto-u.ac.jp/item/rb00002955</t>
  </si>
  <si>
    <t>重刻太平恵民和剤局方 10巻</t>
  </si>
  <si>
    <t>https://rmda.kulib.kyoto-u.ac.jp/item/rb00002310</t>
  </si>
  <si>
    <t>https://rmda.kulib.kyoto-u.ac.jp/item/rb00002309</t>
  </si>
  <si>
    <t>https://rmda.kulib.kyoto-u.ac.jp/item/rb00001995</t>
  </si>
  <si>
    <t>https://rmda.kulib.kyoto-u.ac.jp/item/rb00004306</t>
  </si>
  <si>
    <t>https://rmda.kulib.kyoto-u.ac.jp/item/rb00003208</t>
  </si>
  <si>
    <t>https://rmda.kulib.kyoto-u.ac.jp/item/rb00013649</t>
  </si>
  <si>
    <t>https://rmda.kulib.kyoto-u.ac.jp/item/rb00008737</t>
  </si>
  <si>
    <t>https://rmda.kulib.kyoto-u.ac.jp/item/rb00001027</t>
  </si>
  <si>
    <t>https://rmda.kulib.kyoto-u.ac.jp/item/rb00005393</t>
  </si>
  <si>
    <t>医書大全論</t>
  </si>
  <si>
    <t>(新編名方類証)医書大全 16巻</t>
  </si>
  <si>
    <t>名方類証医書大全 巻17-24</t>
  </si>
  <si>
    <t>https://rmda.kulib.kyoto-u.ac.jp/item/rb00013646</t>
  </si>
  <si>
    <t>https://rmda.kulib.kyoto-u.ac.jp/item/rb00001158</t>
  </si>
  <si>
    <t>https://rmda.kulib.kyoto-u.ac.jp/item/rb00000402</t>
  </si>
  <si>
    <t>https://rmda.kulib.kyoto-u.ac.jp/item/rb00001160</t>
  </si>
  <si>
    <t>https://rmda.kulib.kyoto-u.ac.jp/item/rb00001157</t>
  </si>
  <si>
    <t>https://rmda.kulib.kyoto-u.ac.jp/item/rb00001159</t>
  </si>
  <si>
    <t>https://rmda.kulib.kyoto-u.ac.jp/item/rb00008738</t>
  </si>
  <si>
    <t>医方大成論鈔 10巻</t>
  </si>
  <si>
    <t>(南北経験)医方大成論</t>
  </si>
  <si>
    <t>医方大成論抄 上、下巻</t>
  </si>
  <si>
    <t>https://rmda.kulib.kyoto-u.ac.jp/item/rb00005348</t>
  </si>
  <si>
    <t>https://rmda.kulib.kyoto-u.ac.jp/item/rb00008892</t>
  </si>
  <si>
    <t>https://rmda.kulib.kyoto-u.ac.jp/item/rb00003418</t>
  </si>
  <si>
    <t>明医雑著 6巻</t>
  </si>
  <si>
    <t>(新刊)明医雑著 1巻</t>
  </si>
  <si>
    <t>新刊明医雑著 巻1(上)</t>
  </si>
  <si>
    <t>https://rmda.kulib.kyoto-u.ac.jp/item/rb00000875</t>
  </si>
  <si>
    <t>(新編)医学正伝</t>
  </si>
  <si>
    <t>https://rmda.kulib.kyoto-u.ac.jp/item/rb00003583</t>
  </si>
  <si>
    <t>新編医学正伝</t>
  </si>
  <si>
    <t>https://rmda.kulib.kyoto-u.ac.jp/item/rb00003584</t>
  </si>
  <si>
    <t>https://rmda.kulib.kyoto-u.ac.jp/item/rb00000172</t>
  </si>
  <si>
    <t>医学正伝或問諺解 8巻</t>
  </si>
  <si>
    <t>https://rmda.kulib.kyoto-u.ac.jp/item/rb00000401</t>
  </si>
  <si>
    <t>(京板校正大字)医学正伝 8巻(巻1欠)</t>
  </si>
  <si>
    <t>https://rmda.kulib.kyoto-u.ac.jp/item/rb00008878</t>
  </si>
  <si>
    <t>(京板校正大字)医学正伝 8巻</t>
  </si>
  <si>
    <t>https://rmda.kulib.kyoto-u.ac.jp/item/rb00000883</t>
  </si>
  <si>
    <t>https://rmda.kulib.kyoto-u.ac.jp/item/rb00012807</t>
  </si>
  <si>
    <t>陰虚本病　※医学正伝抜き書き</t>
  </si>
  <si>
    <t>(編註)医学入門 2巻</t>
  </si>
  <si>
    <t>医学入門諺解 3巻</t>
  </si>
  <si>
    <t>(編註)医学入門 7巻首1巻</t>
  </si>
  <si>
    <t>医学入門諺解 10巻</t>
  </si>
  <si>
    <t>(編註)医学入門 首2巻・内外集7巻</t>
  </si>
  <si>
    <t>https://rmda.kulib.kyoto-u.ac.jp/item/rb00002504</t>
  </si>
  <si>
    <t>古今名医類案 12巻</t>
  </si>
  <si>
    <t>https://rmda.kulib.kyoto-u.ac.jp/item/rb00008882</t>
  </si>
  <si>
    <t>https://rmda.kulib.kyoto-u.ac.jp/item/rb00005304</t>
  </si>
  <si>
    <t>https://rmda.kulib.kyoto-u.ac.jp/item/rb00005305</t>
  </si>
  <si>
    <t>https://rmda.kulib.kyoto-u.ac.jp/item/rb00008891</t>
  </si>
  <si>
    <t>https://rmda.kulib.kyoto-u.ac.jp/item/rb00005275</t>
  </si>
  <si>
    <t>(新刊)万病回春 8巻</t>
  </si>
  <si>
    <t>https://rmda.kulib.kyoto-u.ac.jp/item/rb00005274</t>
  </si>
  <si>
    <t>(新刊)万病回春 巻1・2・7・8</t>
  </si>
  <si>
    <t>https://rmda.kulib.kyoto-u.ac.jp/item/rb00005276</t>
  </si>
  <si>
    <t>https://rmda.kulib.kyoto-u.ac.jp/item/rb00005277</t>
  </si>
  <si>
    <t>(新刊)万病回春 存巻1-4</t>
  </si>
  <si>
    <t>https://rmda.kulib.kyoto-u.ac.jp/item/rb00008739</t>
  </si>
  <si>
    <t>https://rmda.kulib.kyoto-u.ac.jp/item/rb00003410</t>
  </si>
  <si>
    <t>https://rmda.kulib.kyoto-u.ac.jp/item/rb00003411</t>
  </si>
  <si>
    <t>https://rmda.kulib.kyoto-u.ac.jp/item/rb00013388</t>
  </si>
  <si>
    <t>https://rmda.kulib.kyoto-u.ac.jp/item/rb00000410</t>
  </si>
  <si>
    <t>新刊医林状元済世全書 8巻</t>
  </si>
  <si>
    <t>魯府禁方 巻3・4のみ</t>
  </si>
  <si>
    <t>新刊魯府禁方 巻1・2のみ</t>
  </si>
  <si>
    <t>https://rmda.kulib.kyoto-u.ac.jp/item/rb00005836</t>
    <phoneticPr fontId="2"/>
  </si>
  <si>
    <t>https://rmda.kulib.kyoto-u.ac.jp/item/rb00003419</t>
    <phoneticPr fontId="2"/>
  </si>
  <si>
    <t>https://rmda.kulib.kyoto-u.ac.jp/item/rb00000562</t>
  </si>
  <si>
    <t>https://rmda.kulib.kyoto-u.ac.jp/item/rb00002477</t>
  </si>
  <si>
    <t>刻医無閭子医貫 6巻</t>
  </si>
  <si>
    <t>https://rmda.kulib.kyoto-u.ac.jp/item/rb00003179</t>
  </si>
  <si>
    <t>https://rmda.kulib.kyoto-u.ac.jp/item/rb00003286</t>
  </si>
  <si>
    <t>尚論篇方論 7巻序目1巻</t>
  </si>
  <si>
    <t>https://rmda.kulib.kyoto-u.ac.jp/item/rb00001187</t>
  </si>
  <si>
    <t>https://rmda.kulib.kyoto-u.ac.jp/item/rb00001444</t>
  </si>
  <si>
    <t>温疫論発揮 2巻　(明)呉又可著・小畑行簡(良卓)訂正</t>
  </si>
  <si>
    <t>校定温疫論 2巻　呉有性(明)著・百々俊徳校定・百々綯筆録</t>
  </si>
  <si>
    <t>参考</t>
    <rPh sb="0" eb="2">
      <t>サンコウ</t>
    </rPh>
    <phoneticPr fontId="2"/>
  </si>
  <si>
    <t>https://www.digital.archives.go.jp/das/image-j/M1000000000000092119</t>
  </si>
  <si>
    <t>https://www.digital.archives.go.jp/das/image-j/M1000000000000092120</t>
  </si>
  <si>
    <t>https://www.digital.archives.go.jp/das/image-j/M1000000000000092121</t>
  </si>
  <si>
    <t>https://kotenseki.nijl.ac.jp/biblio/100232443/viewer</t>
  </si>
  <si>
    <t>https://kotenseki.nijl.ac.jp/biblio/100242000/viewer</t>
  </si>
  <si>
    <t>https://kotenseki.nijl.ac.jp/biblio/100222524/viewer</t>
  </si>
  <si>
    <t>https://kotenseki.nijl.ac.jp/biblio/100244243/viewer</t>
  </si>
  <si>
    <t>https://rmda.kulib.kyoto-u.ac.jp/item/rb00000426</t>
  </si>
  <si>
    <t>大医院校註婦人良方大全 24巻</t>
  </si>
  <si>
    <t>https://rmda.kulib.kyoto-u.ac.jp/item/rb00004972</t>
  </si>
  <si>
    <t>婦人良方 24巻</t>
  </si>
  <si>
    <t>頭注・医経溯洄集</t>
    <phoneticPr fontId="2"/>
  </si>
  <si>
    <t>https://rmda.kulib.kyoto-u.ac.jp/item/rb00000950</t>
  </si>
  <si>
    <t>第２輯</t>
    <phoneticPr fontId="2"/>
  </si>
  <si>
    <r>
      <t xml:space="preserve">ファイルNO
</t>
    </r>
    <r>
      <rPr>
        <sz val="9"/>
        <color rgb="FFFF0000"/>
        <rFont val="ＭＳ Ｐゴシック"/>
        <family val="3"/>
        <charset val="128"/>
        <scheme val="minor"/>
      </rPr>
      <t>オレンジ色はWeb未公開</t>
    </r>
    <rPh sb="11" eb="12">
      <t>イロ</t>
    </rPh>
    <rPh sb="16" eb="17">
      <t>ミ</t>
    </rPh>
    <rPh sb="17" eb="19">
      <t>コウカイ</t>
    </rPh>
    <phoneticPr fontId="2"/>
  </si>
  <si>
    <t>第１輯</t>
    <phoneticPr fontId="2"/>
  </si>
  <si>
    <t>2019/06/28　調査　小林健二</t>
    <rPh sb="11" eb="13">
      <t>チョウサ</t>
    </rPh>
    <rPh sb="14" eb="18">
      <t>@コ</t>
    </rPh>
    <phoneticPr fontId="2"/>
  </si>
  <si>
    <t>Web書名</t>
    <rPh sb="3" eb="5">
      <t>ショメイ</t>
    </rPh>
    <phoneticPr fontId="2"/>
  </si>
  <si>
    <t>Web編著者</t>
    <rPh sb="3" eb="6">
      <t>ヘンチョシャ</t>
    </rPh>
    <phoneticPr fontId="2"/>
  </si>
  <si>
    <t>書名よみ</t>
    <rPh sb="0" eb="2">
      <t>ショメイ</t>
    </rPh>
    <phoneticPr fontId="2"/>
  </si>
  <si>
    <t>参考1</t>
    <rPh sb="0" eb="2">
      <t>サンコウ</t>
    </rPh>
    <phoneticPr fontId="2"/>
  </si>
  <si>
    <t>参考2</t>
    <rPh sb="0" eb="2">
      <t>サンコウ</t>
    </rPh>
    <phoneticPr fontId="2"/>
  </si>
  <si>
    <t>書名　（青色はWeb未公開）</t>
    <rPh sb="0" eb="2">
      <t>ショメイ</t>
    </rPh>
    <rPh sb="4" eb="6">
      <t>アオイロ</t>
    </rPh>
    <rPh sb="10" eb="13">
      <t>ミコウカイ</t>
    </rPh>
    <phoneticPr fontId="2"/>
  </si>
  <si>
    <t>リンク　↓　Web公開図書館で色分け（オレンジは京都富士川等）</t>
    <rPh sb="9" eb="11">
      <t>コウカイ</t>
    </rPh>
    <rPh sb="11" eb="14">
      <t>トショカン</t>
    </rPh>
    <rPh sb="15" eb="17">
      <t>イロワ</t>
    </rPh>
    <rPh sb="24" eb="26">
      <t>キョウト</t>
    </rPh>
    <rPh sb="26" eb="29">
      <t>フジカワ</t>
    </rPh>
    <rPh sb="29" eb="30">
      <t>ナド</t>
    </rPh>
    <phoneticPr fontId="2"/>
  </si>
  <si>
    <t>著者</t>
    <rPh sb="0" eb="2">
      <t>チョシャ</t>
    </rPh>
    <phoneticPr fontId="2"/>
  </si>
  <si>
    <t>期・巻</t>
    <rPh sb="2" eb="3">
      <t>マキ</t>
    </rPh>
    <phoneticPr fontId="2"/>
  </si>
  <si>
    <t>2019/06/28　調査</t>
    <rPh sb="11" eb="13">
      <t>チョウサ</t>
    </rPh>
    <phoneticPr fontId="2"/>
  </si>
  <si>
    <t>近世漢方医学書集成 002 (曲直瀬道三 1)</t>
  </si>
  <si>
    <t>近世漢方医学書集成 003 (曲直瀬道三 2)</t>
  </si>
  <si>
    <t>近世漢方医学書集成 004 (曲直瀬道三 3)</t>
  </si>
  <si>
    <t>近世漢方医学書集成 005 (曲直瀬道三 4)</t>
  </si>
  <si>
    <t>近世漢方医学書集成 006 (曲直瀬玄朔)</t>
  </si>
  <si>
    <t>近世漢方医学書集成 007 (岡本一抱 1)</t>
  </si>
  <si>
    <t>近世漢方医学書集成 008 (岡本一抱 2)</t>
  </si>
  <si>
    <t>近世漢方医学書集成 009 (岡本一抱 3)</t>
  </si>
  <si>
    <t>近世漢方医学書集成 010 (吉益東洞 1)</t>
  </si>
  <si>
    <t>近世漢方医学書集成 011 (吉益東洞 2)</t>
  </si>
  <si>
    <t>近世漢方医学書集成 012 (吉益東洞 3)</t>
  </si>
  <si>
    <t>近世漢方医学書集成 013 (後藤艮山.山脇東洋)</t>
  </si>
  <si>
    <t>近世漢方医学書集成 014 (永富独嘯庵.山脇東門.亀井南冥)</t>
  </si>
  <si>
    <t>近世漢方医学書集成 015 (和田東郭 1)</t>
  </si>
  <si>
    <t>近世漢方医学書集成 016 (和田東郭 2)</t>
  </si>
  <si>
    <t>近世漢方医学書集成 017 (中神琴渓)</t>
  </si>
  <si>
    <t>近世漢方医学書集成 018 (原南陽 1)</t>
  </si>
  <si>
    <t>近世漢方医学書集成 019 (原南陽 2)</t>
  </si>
  <si>
    <t>近世漢方医学書集成 020 (原南陽 3)</t>
  </si>
  <si>
    <t>近世漢方医学書集成 021 (本間棗軒 1)</t>
  </si>
  <si>
    <t>近世漢方医学書集成 022 (本間棗軒 2)</t>
  </si>
  <si>
    <t>近世漢方医学書集成 023 (本間棗軒 3)</t>
  </si>
  <si>
    <t>近世漢方医学書集成 024 (宇津木昆台 1)</t>
  </si>
  <si>
    <t>近世漢方医学書集成 025 (宇津木昆台 2)</t>
  </si>
  <si>
    <t>近世漢方医学書集成 026 (宇津木昆台 3)</t>
  </si>
  <si>
    <t>近世漢方医学書集成 027 (宇津木昆台 4)</t>
  </si>
  <si>
    <t>近世漢方医学書集成 028 (宇津木昆台 5)</t>
  </si>
  <si>
    <t>近世漢方医学書集成 029 (華岡青洲 1)</t>
  </si>
  <si>
    <t>近世漢方医学書集成 030 (華岡青洲 2)</t>
  </si>
  <si>
    <t>近世漢方医学書集成 031 (村井琴山 1)</t>
  </si>
  <si>
    <t>近世漢方医学書集成 032 (村井琴山 2)</t>
  </si>
  <si>
    <t>近世漢方医学書集成 033 (村井琴山 3)</t>
  </si>
  <si>
    <t>近世漢方医学書集成 034 (村井琴山 4)</t>
  </si>
  <si>
    <t>近世漢方医学書集成 035 (中西深斎 1)</t>
  </si>
  <si>
    <t>近世漢方医学書集成 036 (中西深斎 2)</t>
  </si>
  <si>
    <t>近世漢方医学書集成 037 (吉益南涯 1)</t>
  </si>
  <si>
    <t>近世漢方医学書集成 038 (吉益南涯 2)</t>
  </si>
  <si>
    <t>近世漢方医学書集成 039 (和田元庸)</t>
  </si>
  <si>
    <t>近世漢方医学書集成 040 (黒川道祐.奈須恒徳)</t>
  </si>
  <si>
    <t>近世漢方医学書集成 041 (多紀元簡 1)</t>
  </si>
  <si>
    <t>近世漢方医学書集成 042 (多紀元簡 2)</t>
  </si>
  <si>
    <t>近世漢方医学書集成 043 (多紀元簡 3)</t>
  </si>
  <si>
    <t>近世漢方医学書集成 044 (多紀元簡 4)</t>
  </si>
  <si>
    <t>近世漢方医学書集成 045 (多紀元簡 5)</t>
  </si>
  <si>
    <t>近世漢方医学書集成 046 (多紀元簡 6)</t>
  </si>
  <si>
    <t>近世漢方医学書集成 047 (多紀元簡 7)</t>
  </si>
  <si>
    <t>近世漢方医学書集成 048 (多紀元堅 1)</t>
  </si>
  <si>
    <t>近世漢方医学書集成 049 (多紀元堅 2)</t>
  </si>
  <si>
    <t>近世漢方医学書集成 050 (多紀元堅 3)</t>
  </si>
  <si>
    <t>近世漢方医学書集成 051 (多紀元堅 4)</t>
  </si>
  <si>
    <t>近世漢方医学書集成 052 (多紀元堅 5)</t>
  </si>
  <si>
    <t>近世漢方医学書集成 053 (森立之)</t>
  </si>
  <si>
    <t>近世漢方医学書集成 054 (福井楓亭)</t>
  </si>
  <si>
    <t>近世漢方医学書集成 055 (松岡恕庵)</t>
  </si>
  <si>
    <t>近世漢方医学書集成 056 (内藤尚賢)</t>
  </si>
  <si>
    <t>近世漢方医学書集成 057 (尾台榕堂 1)</t>
  </si>
  <si>
    <t>近世漢方医学書集成 058 (尾台榕堂 2)</t>
  </si>
  <si>
    <t>近世漢方医学書集成 059 (尾台榕堂 3)</t>
  </si>
  <si>
    <t>近世漢方医学書集成 060 (山本鹿洲.村瀬豆洲)</t>
  </si>
  <si>
    <t>近世漢方医学書集成 061 (香月牛山 1)</t>
  </si>
  <si>
    <t>近世漢方医学書集成 062 (香月牛山 2)</t>
  </si>
  <si>
    <t>近世漢方医学書集成 063 (長沢道寿)</t>
  </si>
  <si>
    <t>近世漢方医学書集成 064 (蘆川桂洲)</t>
  </si>
  <si>
    <t>近世漢方医学書集成 065 (香川修庵 1)</t>
  </si>
  <si>
    <t>近世漢方医学書集成 066 (香川修庵 2)</t>
  </si>
  <si>
    <t>近世漢方医学書集成 067 (香川修庵 3)</t>
  </si>
  <si>
    <t>近世漢方医学書集成 068 (香川修庵 4)</t>
  </si>
  <si>
    <t>近世漢方医学書集成 069 (香川修庵 5)</t>
  </si>
  <si>
    <t>近世漢方医学書集成 070 (内藤希哲 1)</t>
    <phoneticPr fontId="2"/>
  </si>
  <si>
    <t>近世漢方医学書集成 071 (内藤希哲 2)</t>
  </si>
  <si>
    <t>近世漢方医学書集成 072 (津田玄仙 1)</t>
  </si>
  <si>
    <t>近世漢方医学書集成 073 (津田玄仙 2)</t>
  </si>
  <si>
    <t>近世漢方医学書集成 074 (山田正珍 1)</t>
  </si>
  <si>
    <t>近世漢方医学書集成 075 (山田正珍 2)</t>
  </si>
  <si>
    <t>近世漢方医学書集成 076 (川越衡山)</t>
  </si>
  <si>
    <t>近世漢方医学書集成 077 (浅井貞庵 1)</t>
  </si>
  <si>
    <t>近世漢方医学書集成 078 (浅井貞庵 2)</t>
  </si>
  <si>
    <t>近世漢方医学書集成 079 (北尾春圃 1)</t>
  </si>
  <si>
    <t>近世漢方医学書集成 080 (北尾春圃 2)</t>
  </si>
  <si>
    <t>近世漢方医学書集成 081 (片倉鶴陵 1)</t>
  </si>
  <si>
    <t>近世漢方医学書集成 082 (片倉鶴陵 2)</t>
  </si>
  <si>
    <t>近世漢方医学書集成 083 (稲葉文礼・和久田叔虎 1)</t>
  </si>
  <si>
    <t>近世漢方医学書集成 084 (稲葉文礼・和久田叔虎 2)</t>
  </si>
  <si>
    <t>近世漢方医学書集成 085 (有持桂里 1)</t>
  </si>
  <si>
    <t>近世漢方医学書集成 086 (有持桂里 2)</t>
  </si>
  <si>
    <t>近世漢方医学書集成 087 (有持桂里 3)</t>
  </si>
  <si>
    <t>近世漢方医学書集成 088 (喜多村直寛 1)</t>
  </si>
  <si>
    <t>近世漢方医学書集成 089 (喜多村直寛 2)</t>
  </si>
  <si>
    <t>近世漢方医学書集成 090 (喜多村直寛 3)</t>
  </si>
  <si>
    <t>近世漢方医学書集成 091 (喜多村直寛 4)</t>
  </si>
  <si>
    <t>近世漢方医学書集成 092 (山田業広 1)</t>
  </si>
  <si>
    <t>近世漢方医学書集成 093 (山田業広 2)</t>
  </si>
  <si>
    <t>近世漢方医学書集成 094 (山田業広 3)</t>
  </si>
  <si>
    <t>近世漢方医学書集成 095 (浅田宗伯 1)</t>
  </si>
  <si>
    <t>近世漢方医学書集成 096 (浅田宗伯 2)</t>
  </si>
  <si>
    <t>近世漢方医学書集成 097 (浅田宗伯 3)</t>
  </si>
  <si>
    <t>近世漢方医学書集成 098 (浅田宗伯 4)</t>
  </si>
  <si>
    <t>近世漢方医学書集成 099 (浅田宗伯 5)</t>
  </si>
  <si>
    <t>近世漢方医学書集成 100 (浅田宗伯 6)</t>
  </si>
  <si>
    <t>近世漢方医学書集成 101 (岡本玄冶)</t>
  </si>
  <si>
    <t>近世漢方医学書集成 102 (名古屋玄医 1)</t>
  </si>
  <si>
    <t>近世漢方医学書集成 103 (名古屋玄医 2)</t>
  </si>
  <si>
    <t>近世漢方医学書集成 104 (名古屋玄医 3)</t>
  </si>
  <si>
    <t>近世漢方医学書集成 105 (名古屋玄医 4)</t>
  </si>
  <si>
    <t>近世漢方医学書集成 106 (賀川玄悦.賀川玄迪)</t>
  </si>
  <si>
    <t>近世漢方医学書集成 107 (目黒道琢)</t>
  </si>
  <si>
    <t>近世漢方医学書集成 108 (多紀元簡 8)</t>
  </si>
  <si>
    <t>近世漢方医学書集成 109 (多紀元簡 9)</t>
  </si>
  <si>
    <t>近世漢方医学書集成 110 (多紀元堅 6)</t>
  </si>
  <si>
    <t>近世漢方医学書集成 111 (多紀元堅 7)</t>
  </si>
  <si>
    <t>近世漢方医学書集成 112 (中川修亭)</t>
  </si>
  <si>
    <t>近世漢方医学書集成 113 (古矢知白)</t>
  </si>
  <si>
    <t>近世漢方医学書集成 114 (本間棗軒 4)</t>
  </si>
  <si>
    <t>近世漢方医学書集成 115 (本間棗軒 5)</t>
  </si>
  <si>
    <t>近世漢方医学書集成 116 (本間棗軒 6)</t>
  </si>
  <si>
    <t>近世漢方医学書集成 001 (田代三喜)</t>
    <phoneticPr fontId="2"/>
  </si>
  <si>
    <t>https://rmda.kulib.kyoto-u.ac.jp/item/rb00005041</t>
    <phoneticPr fontId="2"/>
  </si>
  <si>
    <t>方彙続貂</t>
  </si>
  <si>
    <t>村瀬皓(豆洲)著</t>
  </si>
  <si>
    <t>ホウイ ゾクチョウ</t>
  </si>
  <si>
    <t>https://rmda.kulib.kyoto-u.ac.jp/item/rb00003094</t>
    <phoneticPr fontId="2"/>
  </si>
  <si>
    <t>ショウカン ザツビョウロン ルイヘン</t>
  </si>
  <si>
    <t>内藤希哲(師道、泉庵)編註・小島瑞(盛菴)纂註</t>
  </si>
  <si>
    <t>傷寒雑病論類編</t>
    <rPh sb="4" eb="5">
      <t>ロン</t>
    </rPh>
    <phoneticPr fontId="2"/>
  </si>
  <si>
    <t>http://libir.josai.ac.jp/contents/josai/kanpou/JOS-5201153482/index.html</t>
    <phoneticPr fontId="2"/>
  </si>
  <si>
    <t>傷寒論脉證式</t>
  </si>
  <si>
    <t>川越衡山著 ; 渋谷貞光, [川越]有邦, 妻木直[同校]</t>
  </si>
  <si>
    <t>城西大学水田記念図書館漢方古書資料</t>
  </si>
  <si>
    <t>http://libir.josai.ac.jp/contents/josai/kanpou/</t>
    <phoneticPr fontId="2"/>
  </si>
  <si>
    <t>城西大学の漢方コレクション</t>
    <phoneticPr fontId="2"/>
  </si>
  <si>
    <t>●</t>
    <phoneticPr fontId="2"/>
  </si>
  <si>
    <t>当壮菴家方口解</t>
  </si>
  <si>
    <t>https://rmda.kulib.kyoto-u.ac.jp/item/rb00004393</t>
    <phoneticPr fontId="2"/>
  </si>
  <si>
    <t>北尾春圃口授</t>
  </si>
  <si>
    <t>トウソウアン カホウ クゲ</t>
  </si>
  <si>
    <t>京都富士川では「庵」と「菴」のちがいで検索結果が違う</t>
    <rPh sb="0" eb="2">
      <t>キョウト</t>
    </rPh>
    <rPh sb="2" eb="5">
      <t>フジカワ</t>
    </rPh>
    <rPh sb="19" eb="21">
      <t>ケンサク</t>
    </rPh>
    <rPh sb="21" eb="23">
      <t>ケッカ</t>
    </rPh>
    <rPh sb="24" eb="25">
      <t>チガ</t>
    </rPh>
    <phoneticPr fontId="2"/>
  </si>
  <si>
    <t>子玄子産論</t>
  </si>
  <si>
    <t>賀川玄悦 著 ; [賀川]玄迪,山脇叔光 校</t>
  </si>
  <si>
    <t>http://www.wul.waseda.ac.jp/kotenseki/html/ya09/ya09_00488/index.html</t>
    <phoneticPr fontId="2"/>
  </si>
  <si>
    <t>http://libir.josai.ac.jp/contents/josai/kanpou/5201020265-20276.html</t>
    <phoneticPr fontId="2"/>
  </si>
  <si>
    <t>シゲンシサンロン</t>
  </si>
  <si>
    <t>116冊中27冊Web未公開</t>
    <rPh sb="3" eb="4">
      <t>サツ</t>
    </rPh>
    <rPh sb="4" eb="5">
      <t>ナカ</t>
    </rPh>
    <rPh sb="7" eb="8">
      <t>サツ</t>
    </rPh>
    <rPh sb="11" eb="14">
      <t>ミコウカイ</t>
    </rPh>
    <phoneticPr fontId="2"/>
  </si>
  <si>
    <t>https://kotenseki.nijl.ac.jp/biblio/200011886/viewer</t>
    <phoneticPr fontId="2"/>
  </si>
  <si>
    <t>運気論口義（回生庵 玄璞）寛永12刊</t>
  </si>
  <si>
    <t>新刊素問入式運気論奥 3巻(下巻2欠)　回生菴玄璞著　寛永12年</t>
  </si>
  <si>
    <t>新刊素問入式運気論奥 3巻　回生菴玄璞著　寛永12年</t>
    <phoneticPr fontId="2"/>
  </si>
  <si>
    <t>外題:運気論口義</t>
  </si>
  <si>
    <t>素問入式運気論奥纂要全解 三屋元仲(閑流子)著</t>
    <phoneticPr fontId="2"/>
  </si>
  <si>
    <t>新刊素問入式運氣論奥</t>
  </si>
  <si>
    <t>タイトル</t>
  </si>
  <si>
    <t>序</t>
  </si>
  <si>
    <t>目録</t>
  </si>
  <si>
    <t>巻上</t>
  </si>
  <si>
    <t>論五行生死順逆</t>
  </si>
  <si>
    <t>論十干</t>
  </si>
  <si>
    <t>論十二支</t>
  </si>
  <si>
    <t>論納音</t>
  </si>
  <si>
    <t>論六化</t>
  </si>
  <si>
    <t>論四時気候</t>
  </si>
  <si>
    <t>論交六気時日</t>
  </si>
  <si>
    <t>論日刻</t>
  </si>
  <si>
    <t>論標本</t>
  </si>
  <si>
    <t>論生成数</t>
  </si>
  <si>
    <t>巻中</t>
  </si>
  <si>
    <t>論五天之気</t>
  </si>
  <si>
    <t>論五音建運</t>
  </si>
  <si>
    <t>論月建</t>
  </si>
  <si>
    <t>論天地六気</t>
  </si>
  <si>
    <t>論主気</t>
  </si>
  <si>
    <t>論客気</t>
  </si>
  <si>
    <t>論天符</t>
  </si>
  <si>
    <t>論歳会</t>
  </si>
  <si>
    <t>論同天符同歳会</t>
  </si>
  <si>
    <t>論南北政</t>
  </si>
  <si>
    <t>巻下</t>
  </si>
  <si>
    <t>論大小気運相臨同化</t>
  </si>
  <si>
    <t>論紀運</t>
  </si>
  <si>
    <t>論歳中五運</t>
  </si>
  <si>
    <t>論手足経</t>
  </si>
  <si>
    <t>論勝復</t>
  </si>
  <si>
    <t>論九宮分野</t>
  </si>
  <si>
    <t>論六十年客気</t>
  </si>
  <si>
    <t>論六病</t>
  </si>
  <si>
    <t>論六脈</t>
  </si>
  <si>
    <t>論治法</t>
  </si>
  <si>
    <t>五行勝復論</t>
  </si>
  <si>
    <t>http://dl.ndl.go.jp/info:ndljp/pid/2532207</t>
    <phoneticPr fontId="2"/>
  </si>
  <si>
    <t>発熱</t>
  </si>
  <si>
    <t>悪寒</t>
  </si>
  <si>
    <t>悪風</t>
  </si>
  <si>
    <t>寒熱</t>
  </si>
  <si>
    <t>潮熱</t>
  </si>
  <si>
    <t>自汗</t>
  </si>
  <si>
    <t>盗汗</t>
  </si>
  <si>
    <t>頭汗</t>
  </si>
  <si>
    <t>手足汗</t>
  </si>
  <si>
    <t>無汗</t>
  </si>
  <si>
    <t>頭痛</t>
  </si>
  <si>
    <t>項強</t>
  </si>
  <si>
    <t>頭眩</t>
  </si>
  <si>
    <t>胸脇満</t>
  </si>
  <si>
    <t>心下満</t>
  </si>
  <si>
    <t>腹満</t>
  </si>
  <si>
    <t>少腹満</t>
  </si>
  <si>
    <t>煩熱</t>
  </si>
  <si>
    <t>虚煩</t>
  </si>
  <si>
    <t>煩躁</t>
  </si>
  <si>
    <t>舌上苔</t>
  </si>
  <si>
    <t>衄血</t>
  </si>
  <si>
    <t>噦</t>
  </si>
  <si>
    <t>咳</t>
  </si>
  <si>
    <t>喘</t>
  </si>
  <si>
    <t>嘔吐</t>
  </si>
  <si>
    <t>悸</t>
  </si>
  <si>
    <t>渇</t>
  </si>
  <si>
    <t>振</t>
  </si>
  <si>
    <t>戦慄</t>
  </si>
  <si>
    <t>四逆</t>
  </si>
  <si>
    <t>厥</t>
  </si>
  <si>
    <t>鄭声</t>
  </si>
  <si>
    <t>譫語</t>
  </si>
  <si>
    <t>短気</t>
  </si>
  <si>
    <t>揺頭</t>
  </si>
  <si>
    <t>不仁</t>
  </si>
  <si>
    <t>直視</t>
  </si>
  <si>
    <t>動気</t>
  </si>
  <si>
    <t>自利</t>
  </si>
  <si>
    <t>熱入血室</t>
  </si>
  <si>
    <t>発黄</t>
  </si>
  <si>
    <t>発狂</t>
  </si>
  <si>
    <t>霍乱</t>
  </si>
  <si>
    <t>労復</t>
  </si>
  <si>
    <t>桂枝湯方</t>
  </si>
  <si>
    <t>麻黄湯方</t>
  </si>
  <si>
    <t>大青龍湯方</t>
  </si>
  <si>
    <t>小青龍湯方</t>
  </si>
  <si>
    <t>大承気湯方</t>
  </si>
  <si>
    <t>大柴胡湯方</t>
  </si>
  <si>
    <t>小柴胡湯方</t>
  </si>
  <si>
    <t>梔子豉湯方</t>
  </si>
  <si>
    <t>大陥胸湯方</t>
  </si>
  <si>
    <t>半夏瀉心湯方</t>
  </si>
  <si>
    <t>白虎湯方</t>
  </si>
  <si>
    <t>五苓散方</t>
  </si>
  <si>
    <t>理中丸方</t>
  </si>
  <si>
    <t>四逆湯方</t>
  </si>
  <si>
    <t>真武湯方</t>
  </si>
  <si>
    <t>建中湯方</t>
  </si>
  <si>
    <t>脾約丸方</t>
  </si>
  <si>
    <t>抵当湯方</t>
  </si>
  <si>
    <t>■第二巻</t>
    <rPh sb="1" eb="2">
      <t>ダイ</t>
    </rPh>
    <rPh sb="2" eb="3">
      <t>2</t>
    </rPh>
    <rPh sb="3" eb="4">
      <t>マキ</t>
    </rPh>
    <phoneticPr fontId="2"/>
  </si>
  <si>
    <t>■第一巻</t>
    <rPh sb="1" eb="2">
      <t>ダイ</t>
    </rPh>
    <rPh sb="2" eb="3">
      <t>1</t>
    </rPh>
    <rPh sb="3" eb="4">
      <t>マキ</t>
    </rPh>
    <phoneticPr fontId="2"/>
  </si>
  <si>
    <t>■第三巻</t>
    <rPh sb="1" eb="2">
      <t>ダイ</t>
    </rPh>
    <rPh sb="2" eb="3">
      <t>3</t>
    </rPh>
    <rPh sb="3" eb="4">
      <t>マキ</t>
    </rPh>
    <phoneticPr fontId="2"/>
  </si>
  <si>
    <t>■■傷寒明理論薬方論</t>
    <rPh sb="2" eb="4">
      <t>ショウカン</t>
    </rPh>
    <rPh sb="4" eb="5">
      <t>ミン</t>
    </rPh>
    <rPh sb="5" eb="7">
      <t>リロン</t>
    </rPh>
    <rPh sb="7" eb="9">
      <t>ヤクホウ</t>
    </rPh>
    <phoneticPr fontId="2"/>
  </si>
  <si>
    <t>http://www.wul.waseda.ac.jp/kotenseki/html/ya09/ya09_00099/index.html</t>
  </si>
  <si>
    <t>目録</t>
    <rPh sb="0" eb="2">
      <t>モクロク</t>
    </rPh>
    <phoneticPr fontId="2"/>
  </si>
  <si>
    <t>懊憹</t>
    <rPh sb="1" eb="2">
      <t>ノウ</t>
    </rPh>
    <phoneticPr fontId="2"/>
  </si>
  <si>
    <t>瘈瘲</t>
    <rPh sb="0" eb="2">
      <t>ケイショウ</t>
    </rPh>
    <phoneticPr fontId="2"/>
  </si>
  <si>
    <t>鬱冒</t>
    <rPh sb="0" eb="1">
      <t>ウツ</t>
    </rPh>
    <phoneticPr fontId="2"/>
  </si>
  <si>
    <t>筋惕肉瞤</t>
    <rPh sb="3" eb="4">
      <t>ジュン</t>
    </rPh>
    <phoneticPr fontId="2"/>
  </si>
  <si>
    <t>畜血</t>
    <rPh sb="0" eb="1">
      <t>チク</t>
    </rPh>
    <rPh sb="1" eb="2">
      <t>ケツ</t>
    </rPh>
    <phoneticPr fontId="2"/>
  </si>
  <si>
    <t>瓜蔕散方</t>
    <phoneticPr fontId="2"/>
  </si>
  <si>
    <t>茵蔯蒿湯方</t>
    <phoneticPr fontId="2"/>
  </si>
  <si>
    <t>小児脈法</t>
  </si>
  <si>
    <t>変蒸</t>
  </si>
  <si>
    <t>五臓所主</t>
  </si>
  <si>
    <t>面上証</t>
  </si>
  <si>
    <t>目内証</t>
  </si>
  <si>
    <t>急驚</t>
  </si>
  <si>
    <t>慢驚</t>
  </si>
  <si>
    <t>五癇</t>
  </si>
  <si>
    <t>瘡疹候</t>
  </si>
  <si>
    <t>傷風</t>
  </si>
  <si>
    <t>傷寒瘡疹同異</t>
  </si>
  <si>
    <t>咳嗽</t>
  </si>
  <si>
    <t>諸疳</t>
  </si>
  <si>
    <t>積痛</t>
  </si>
  <si>
    <t>蟲痛</t>
  </si>
  <si>
    <t>気不和</t>
  </si>
  <si>
    <t>食不消</t>
  </si>
  <si>
    <t>腹中有癖</t>
  </si>
  <si>
    <t>夜啼</t>
  </si>
  <si>
    <t>弄舌</t>
  </si>
  <si>
    <t>丹瘤</t>
  </si>
  <si>
    <t>解顱</t>
  </si>
  <si>
    <t>胎肥</t>
  </si>
  <si>
    <t>胎怯</t>
  </si>
  <si>
    <t>胎熱</t>
  </si>
  <si>
    <t>急欲乳不能食</t>
  </si>
  <si>
    <t>五臓相勝軽重</t>
  </si>
  <si>
    <t>不治証</t>
  </si>
  <si>
    <t>大青膏</t>
  </si>
  <si>
    <t>涼驚丸</t>
  </si>
  <si>
    <t>粉紅丸</t>
  </si>
  <si>
    <t>瀉青丸</t>
  </si>
  <si>
    <t>地黄丸</t>
  </si>
  <si>
    <t>瀉白散</t>
  </si>
  <si>
    <t>阿膠散</t>
  </si>
  <si>
    <t>導赤散</t>
  </si>
  <si>
    <t>益黄散</t>
  </si>
  <si>
    <t>瀉黄散</t>
  </si>
  <si>
    <t>白朮散</t>
  </si>
  <si>
    <t>浴体法</t>
  </si>
  <si>
    <t>甘桔湯</t>
  </si>
  <si>
    <t>安神丸</t>
  </si>
  <si>
    <t>瀉心湯</t>
  </si>
  <si>
    <t>生犀散</t>
  </si>
  <si>
    <t>白餅子</t>
  </si>
  <si>
    <t>利驚丸</t>
  </si>
  <si>
    <t>栝蔞湯</t>
  </si>
  <si>
    <t>五色丸</t>
  </si>
  <si>
    <t>調中丸</t>
  </si>
  <si>
    <t>塌気丸</t>
  </si>
  <si>
    <t>木香丸</t>
  </si>
  <si>
    <t>胡黄連丸</t>
  </si>
  <si>
    <t>蘭香散</t>
  </si>
  <si>
    <t>白粉散</t>
  </si>
  <si>
    <t>消積丸</t>
  </si>
  <si>
    <t>紫霜丸</t>
  </si>
  <si>
    <t>止汗散</t>
  </si>
  <si>
    <t>香瓜丸</t>
  </si>
  <si>
    <t>花火膏</t>
  </si>
  <si>
    <t>牛黄膏</t>
  </si>
  <si>
    <t>牛黄丸</t>
  </si>
  <si>
    <t>百祥丸</t>
  </si>
  <si>
    <t>牛李膏</t>
  </si>
  <si>
    <t>宣風散</t>
  </si>
  <si>
    <t>麝香丸</t>
  </si>
  <si>
    <t>大惺惺丸</t>
  </si>
  <si>
    <t>銀砂丸</t>
  </si>
  <si>
    <t>蛇黄丸</t>
  </si>
  <si>
    <t>三聖丸</t>
  </si>
  <si>
    <t>小青丸</t>
  </si>
  <si>
    <t>小紅丸</t>
  </si>
  <si>
    <t>小黄丸</t>
  </si>
  <si>
    <t>鉄粉丸</t>
  </si>
  <si>
    <t>銀液丸</t>
  </si>
  <si>
    <t>鎮心丸</t>
  </si>
  <si>
    <t>金箔丸</t>
  </si>
  <si>
    <t>辰砂丸</t>
  </si>
  <si>
    <t>剪刀股丸</t>
  </si>
  <si>
    <t>麝蟾丸</t>
  </si>
  <si>
    <t>軟金丹</t>
  </si>
  <si>
    <t>桃枝丸</t>
  </si>
  <si>
    <t>鈎藤飲子</t>
  </si>
  <si>
    <t>抱龍丸</t>
  </si>
  <si>
    <t>豆巻散</t>
  </si>
  <si>
    <t>龍脳散</t>
  </si>
  <si>
    <t>褊銀丸</t>
  </si>
  <si>
    <t>五福化毒丹</t>
  </si>
  <si>
    <t>羌活膏</t>
  </si>
  <si>
    <t>郁李仁丸</t>
  </si>
  <si>
    <t>犀角丸</t>
  </si>
  <si>
    <t>異功散</t>
  </si>
  <si>
    <t>藿香散</t>
  </si>
  <si>
    <t>如聖丸</t>
  </si>
  <si>
    <t>白附子香連丸</t>
  </si>
  <si>
    <t>小香連丸</t>
  </si>
  <si>
    <t>二聖丸</t>
  </si>
  <si>
    <t>没石子丸</t>
  </si>
  <si>
    <t>当帰散</t>
  </si>
  <si>
    <t>温白丸</t>
  </si>
  <si>
    <t>温中丸</t>
  </si>
  <si>
    <t>胡黄連麝香丸</t>
  </si>
  <si>
    <t>大胡黄連丸</t>
  </si>
  <si>
    <t>楡仁丸</t>
  </si>
  <si>
    <t>大芦薈丸</t>
  </si>
  <si>
    <t>龍骨散</t>
  </si>
  <si>
    <t>橘連丸</t>
  </si>
  <si>
    <t>龍粉丸</t>
  </si>
  <si>
    <t>香銀丸</t>
  </si>
  <si>
    <t>金華散</t>
  </si>
  <si>
    <t>蕪荑散</t>
  </si>
  <si>
    <t>胆礬丸</t>
  </si>
  <si>
    <t>真珠丸</t>
  </si>
  <si>
    <t>消堅丸</t>
  </si>
  <si>
    <t>百部丸</t>
  </si>
  <si>
    <t>紫草散</t>
  </si>
  <si>
    <t>秦艽散</t>
  </si>
  <si>
    <t>地骨皮散</t>
  </si>
  <si>
    <t>人参生犀散</t>
  </si>
  <si>
    <t>三黄丸</t>
  </si>
  <si>
    <t>虎杖散</t>
  </si>
  <si>
    <t>捻頭散</t>
  </si>
  <si>
    <t>羊肝散</t>
  </si>
  <si>
    <t>烏薬散</t>
  </si>
  <si>
    <t>二気散</t>
  </si>
  <si>
    <t>葶藶丸</t>
  </si>
  <si>
    <t>麻黄湯</t>
  </si>
  <si>
    <t>生犀磨汁</t>
  </si>
  <si>
    <t>大黄丸</t>
  </si>
  <si>
    <t>青金丹</t>
  </si>
  <si>
    <t>焼青丸</t>
  </si>
  <si>
    <t>敗毒散</t>
  </si>
  <si>
    <t>附方</t>
  </si>
  <si>
    <t>人参散</t>
  </si>
  <si>
    <t>檳榔散</t>
  </si>
  <si>
    <t>脈経序</t>
  </si>
  <si>
    <t>学診例</t>
  </si>
  <si>
    <t>総論脈式</t>
  </si>
  <si>
    <t>三部分位</t>
  </si>
  <si>
    <t>六経所属</t>
  </si>
  <si>
    <t>五臓所属</t>
  </si>
  <si>
    <t>五臓本脈体</t>
  </si>
  <si>
    <t>六経本脈体</t>
  </si>
  <si>
    <t>五臓伝変病脈</t>
  </si>
  <si>
    <t>六経中傷病脈</t>
  </si>
  <si>
    <t>五用乖違病脈</t>
  </si>
  <si>
    <t>脈偶名状</t>
  </si>
  <si>
    <t>七表病脈</t>
  </si>
  <si>
    <t>九道病脈</t>
  </si>
  <si>
    <t>太医習業</t>
  </si>
  <si>
    <t>五科凡例</t>
  </si>
  <si>
    <t>紀用備論</t>
  </si>
  <si>
    <t>臓腑配天地論</t>
  </si>
  <si>
    <t>三因論</t>
  </si>
  <si>
    <t>外所因論</t>
  </si>
  <si>
    <t>叙中風論</t>
  </si>
  <si>
    <t>五臓中風証</t>
  </si>
  <si>
    <t>排風湯</t>
  </si>
  <si>
    <t>小続命湯</t>
  </si>
  <si>
    <t>烏薬順気散</t>
  </si>
  <si>
    <t>不内外因中風凡例</t>
  </si>
  <si>
    <t>叙中寒論</t>
  </si>
  <si>
    <t>中暑凡例</t>
  </si>
  <si>
    <t>四気兼中証論</t>
  </si>
  <si>
    <t>防風湯</t>
  </si>
  <si>
    <t>叙痺論</t>
  </si>
  <si>
    <t>独活寄生湯</t>
  </si>
  <si>
    <t>叙《千金》論</t>
  </si>
  <si>
    <t>紫蘇子湯</t>
  </si>
  <si>
    <t>叙傷風論</t>
  </si>
  <si>
    <t>傷風証治</t>
  </si>
  <si>
    <t>桂枝湯</t>
  </si>
  <si>
    <t>杏子湯</t>
  </si>
  <si>
    <t>叙傷寒論</t>
  </si>
  <si>
    <t>傷寒弁正</t>
  </si>
  <si>
    <t>傷寒証治</t>
  </si>
  <si>
    <t>小青龍湯</t>
  </si>
  <si>
    <t>大柴胡湯</t>
  </si>
  <si>
    <t>小柴胡湯</t>
  </si>
  <si>
    <t>治中湯</t>
  </si>
  <si>
    <t>五積散</t>
  </si>
  <si>
    <t>傷寒伝変次序</t>
  </si>
  <si>
    <t>料簡</t>
  </si>
  <si>
    <t>六経傷寒用薬格法</t>
  </si>
  <si>
    <t>三陽合病脈証治</t>
  </si>
  <si>
    <t>葛根湯</t>
  </si>
  <si>
    <t>四逆湯</t>
  </si>
  <si>
    <t>両感治法料簡</t>
  </si>
  <si>
    <t>陰毒証治</t>
  </si>
  <si>
    <t>附子散</t>
  </si>
  <si>
    <t>陽毒証治</t>
  </si>
  <si>
    <t>結胸証治</t>
  </si>
  <si>
    <t>胸痞証治</t>
  </si>
  <si>
    <t>労復証治</t>
  </si>
  <si>
    <t>陰陽易証治</t>
  </si>
  <si>
    <t>発斑証治</t>
  </si>
  <si>
    <t>玄参升麻湯</t>
  </si>
  <si>
    <t>壊傷寒証治</t>
  </si>
  <si>
    <t>無憂散</t>
  </si>
  <si>
    <t>狐惑証治</t>
  </si>
  <si>
    <t>譫語証治</t>
  </si>
  <si>
    <t>病後虚煩証治</t>
  </si>
  <si>
    <t>橘皮湯</t>
  </si>
  <si>
    <t>傷暑叙論</t>
  </si>
  <si>
    <t>傷暑証治</t>
  </si>
  <si>
    <t>五苓散</t>
  </si>
  <si>
    <t>傷湿叙論</t>
  </si>
  <si>
    <t>傷湿証治</t>
  </si>
  <si>
    <t>滲湿湯</t>
  </si>
  <si>
    <t>寒湿証治</t>
  </si>
  <si>
    <t>風湿証治</t>
  </si>
  <si>
    <t>風湿寒証治</t>
  </si>
  <si>
    <t>風湿温証治</t>
  </si>
  <si>
    <t>暑湿風温証治</t>
  </si>
  <si>
    <t>君火論</t>
  </si>
  <si>
    <t>五運論</t>
  </si>
  <si>
    <t>五運時気民病証治</t>
  </si>
  <si>
    <t>麦門冬湯</t>
  </si>
  <si>
    <t>紫菀湯</t>
  </si>
  <si>
    <t>六気叙論</t>
  </si>
  <si>
    <t>本気論</t>
  </si>
  <si>
    <t>六気時行民病証治</t>
  </si>
  <si>
    <t>六気凡例</t>
  </si>
  <si>
    <t>叙疫論</t>
  </si>
  <si>
    <t>四季疫証治</t>
  </si>
  <si>
    <t>料簡諸疫証治</t>
  </si>
  <si>
    <t>凡例</t>
  </si>
  <si>
    <t>瘧叙論</t>
  </si>
  <si>
    <t>瘧病外所因証治</t>
  </si>
  <si>
    <t>瘧病内所因証治</t>
  </si>
  <si>
    <t>七棗湯</t>
  </si>
  <si>
    <t>草果飲</t>
  </si>
  <si>
    <t>瘧病不内外因証治</t>
  </si>
  <si>
    <t>大正気散</t>
  </si>
  <si>
    <t>清脾湯</t>
  </si>
  <si>
    <t>常山飲</t>
  </si>
  <si>
    <t>妙応丹</t>
  </si>
  <si>
    <t>疝叙論</t>
  </si>
  <si>
    <t>諸疝証治</t>
  </si>
  <si>
    <t>失笑散</t>
  </si>
  <si>
    <t>叙厥論</t>
  </si>
  <si>
    <t>陰陽厥脈証治</t>
  </si>
  <si>
    <t>白虎湯</t>
  </si>
  <si>
    <t>眩暈証治</t>
  </si>
  <si>
    <t>三五七散</t>
  </si>
  <si>
    <t>黒錫丹</t>
  </si>
  <si>
    <t>牡蛎散</t>
  </si>
  <si>
    <t>内所因論</t>
  </si>
  <si>
    <t>内所因治説</t>
  </si>
  <si>
    <t>温胆湯</t>
  </si>
  <si>
    <t>平胃散</t>
  </si>
  <si>
    <t>養胃湯</t>
  </si>
  <si>
    <t>安中散</t>
  </si>
  <si>
    <t>三焦精腑弁正</t>
  </si>
  <si>
    <t>痼冷積熱証治</t>
  </si>
  <si>
    <t>金液丹</t>
  </si>
  <si>
    <t>震霊丹</t>
  </si>
  <si>
    <t>涼膈散</t>
  </si>
  <si>
    <t>洗心散</t>
  </si>
  <si>
    <t>五積証治</t>
  </si>
  <si>
    <t>六聚証治</t>
  </si>
  <si>
    <t>息積証治</t>
  </si>
  <si>
    <t>化気湯</t>
  </si>
  <si>
    <t>五労証治</t>
  </si>
  <si>
    <t>半夏湯</t>
  </si>
  <si>
    <t>五加皮湯</t>
  </si>
  <si>
    <t>六極証治</t>
  </si>
  <si>
    <t>地黄湯</t>
  </si>
  <si>
    <t>前胡湯</t>
  </si>
  <si>
    <t>竹葉湯</t>
  </si>
  <si>
    <t>七気叙論</t>
  </si>
  <si>
    <t>七気証治</t>
  </si>
  <si>
    <t>七気湯</t>
  </si>
  <si>
    <t>大七気湯</t>
  </si>
  <si>
    <t>五噎証治</t>
  </si>
  <si>
    <t>五噎散</t>
  </si>
  <si>
    <t>嘉禾散</t>
  </si>
  <si>
    <t>五膈証治</t>
  </si>
  <si>
    <t>健忘証治</t>
  </si>
  <si>
    <t>虚煩証治</t>
  </si>
  <si>
    <t>五痿叙論</t>
  </si>
  <si>
    <t>五痿証例</t>
  </si>
  <si>
    <t>五痿治法</t>
  </si>
  <si>
    <t>上丹</t>
  </si>
  <si>
    <t>失血叙論</t>
  </si>
  <si>
    <t>外因衄血証治</t>
  </si>
  <si>
    <t>内因衄血証治</t>
  </si>
  <si>
    <t>不内外因証治</t>
  </si>
  <si>
    <t>三因吐血証治</t>
  </si>
  <si>
    <t>傷胃吐血証治</t>
  </si>
  <si>
    <t>理中湯</t>
  </si>
  <si>
    <t>肺疽吐血証治</t>
  </si>
  <si>
    <t>折傷吐血証治</t>
  </si>
  <si>
    <t>折傷瘀血証治</t>
  </si>
  <si>
    <t>病餘瘀血証治</t>
  </si>
  <si>
    <t>汗血証治</t>
  </si>
  <si>
    <t>便血証治</t>
  </si>
  <si>
    <t>風痢下血証治</t>
  </si>
  <si>
    <t>胃風湯</t>
  </si>
  <si>
    <t>尿血証治</t>
  </si>
  <si>
    <t>癲癇叙論</t>
  </si>
  <si>
    <t>癲癇証治</t>
  </si>
  <si>
    <t>狂証論</t>
  </si>
  <si>
    <t>九痛叙論</t>
  </si>
  <si>
    <t>外所因心痛証治</t>
  </si>
  <si>
    <t>内所因心痛証治</t>
  </si>
  <si>
    <t>不内外因心痛証</t>
  </si>
  <si>
    <t>雞舌香散</t>
  </si>
  <si>
    <t>労瘵叙論</t>
  </si>
  <si>
    <t>労瘵諸証</t>
  </si>
  <si>
    <t>神授散</t>
  </si>
  <si>
    <t>疰忤中悪証治</t>
  </si>
  <si>
    <t>蠱毒叙論</t>
  </si>
  <si>
    <t>中蠱証治</t>
  </si>
  <si>
    <t>礬灰散</t>
  </si>
  <si>
    <t>五絶治法</t>
  </si>
  <si>
    <t>半夏散</t>
  </si>
  <si>
    <t>接骨散</t>
  </si>
  <si>
    <t>驚悸証治</t>
  </si>
  <si>
    <t>自汗証治</t>
  </si>
  <si>
    <t>正元散</t>
  </si>
  <si>
    <t>麦煎散</t>
  </si>
  <si>
    <t>消渇叙論</t>
  </si>
  <si>
    <t>三消脈証</t>
  </si>
  <si>
    <t>烏金散</t>
  </si>
  <si>
    <t>五疸叙論</t>
  </si>
  <si>
    <t>黄汗証治</t>
  </si>
  <si>
    <t>黄胆証治</t>
  </si>
  <si>
    <t>谷疸証治</t>
  </si>
  <si>
    <t>酒疸証治</t>
  </si>
  <si>
    <t>如神散</t>
  </si>
  <si>
    <t>女労疸証治</t>
  </si>
  <si>
    <t>雑労疸証治</t>
  </si>
  <si>
    <t>脹満叙論</t>
  </si>
  <si>
    <t>脹満証治</t>
  </si>
  <si>
    <t>霍乱叙論</t>
  </si>
  <si>
    <t>霍乱諸証</t>
  </si>
  <si>
    <t>霍乱外因証治</t>
  </si>
  <si>
    <t>外因料簡</t>
  </si>
  <si>
    <t>霍乱内因証治</t>
  </si>
  <si>
    <t>真珠散</t>
  </si>
  <si>
    <t>胡椒湯</t>
  </si>
  <si>
    <t>霍乱凡例</t>
  </si>
  <si>
    <t>水浸丹</t>
  </si>
  <si>
    <t>嘔吐叙論</t>
  </si>
  <si>
    <t>寒嘔証治</t>
  </si>
  <si>
    <t>熱嘔証治</t>
  </si>
  <si>
    <t>痰嘔証治</t>
  </si>
  <si>
    <t>食嘔証治</t>
  </si>
  <si>
    <t>血嘔証治</t>
  </si>
  <si>
    <t>茯苓湯</t>
  </si>
  <si>
    <t>気嘔証治</t>
  </si>
  <si>
    <t>漏気証治</t>
  </si>
  <si>
    <t>走哺証治</t>
  </si>
  <si>
    <t>噦逆論証</t>
  </si>
  <si>
    <t>橘皮竹茹湯</t>
  </si>
  <si>
    <t>羌活散</t>
  </si>
  <si>
    <t>丁香散</t>
  </si>
  <si>
    <t>酢咽証治</t>
  </si>
  <si>
    <t>KT気叙論</t>
  </si>
  <si>
    <t>泄瀉叙論</t>
  </si>
  <si>
    <t>実熱泄瀉治法</t>
  </si>
  <si>
    <t>滞下叙論</t>
  </si>
  <si>
    <t>滞下三因証治</t>
  </si>
  <si>
    <t>秘結証治</t>
  </si>
  <si>
    <t>脱肛証治</t>
  </si>
  <si>
    <t>淋閉叙論</t>
  </si>
  <si>
    <t>淋証治</t>
  </si>
  <si>
    <t>地膚子湯</t>
  </si>
  <si>
    <t>立効散</t>
  </si>
  <si>
    <t>遺尿失禁証治</t>
  </si>
  <si>
    <t>咳嗽叙論</t>
  </si>
  <si>
    <t>外因咳嗽証</t>
  </si>
  <si>
    <t>内因咳嗽証</t>
  </si>
  <si>
    <t>華蓋散</t>
  </si>
  <si>
    <t>白朮湯</t>
  </si>
  <si>
    <t>款冬花散</t>
  </si>
  <si>
    <t>痰飲叙論</t>
  </si>
  <si>
    <t>痰飲証論</t>
  </si>
  <si>
    <t>参蘇飲</t>
  </si>
  <si>
    <t>喘脈証治</t>
  </si>
  <si>
    <t>杏参散</t>
  </si>
  <si>
    <t>肺痿肺癰叙論</t>
  </si>
  <si>
    <t>肺痿証治</t>
  </si>
  <si>
    <t>肺癰証治</t>
  </si>
  <si>
    <t>如聖湯</t>
  </si>
  <si>
    <t>腰痛叙論</t>
  </si>
  <si>
    <t>外因腰痛論</t>
  </si>
  <si>
    <t>内因腰痛論</t>
  </si>
  <si>
    <t>不内外因腰痛論</t>
  </si>
  <si>
    <t>虚損証治</t>
  </si>
  <si>
    <t>参香散</t>
  </si>
  <si>
    <t>水腫叙論</t>
  </si>
  <si>
    <t>水腫証治脈例</t>
  </si>
  <si>
    <t>復元丹</t>
  </si>
  <si>
    <t>麻黄甘草湯</t>
  </si>
  <si>
    <t>気分証治</t>
  </si>
  <si>
    <t>三白散</t>
  </si>
  <si>
    <t>牡丹散</t>
  </si>
  <si>
    <t>癰疽叙論</t>
  </si>
  <si>
    <t>癰疽証治</t>
  </si>
  <si>
    <t>独聖湯</t>
  </si>
  <si>
    <t>五香連翹湯</t>
  </si>
  <si>
    <t>生肌散</t>
  </si>
  <si>
    <t>猪蹄湯</t>
  </si>
  <si>
    <t>瘡漏脈例</t>
  </si>
  <si>
    <t>癰疽灸法</t>
  </si>
  <si>
    <t>四聖散</t>
  </si>
  <si>
    <t>癭瘤証治</t>
  </si>
  <si>
    <t>附骨疽証治</t>
  </si>
  <si>
    <t>疔腫証治</t>
  </si>
  <si>
    <t>蒼耳散</t>
  </si>
  <si>
    <t>腸癰証治</t>
  </si>
  <si>
    <t>薏苡仁湯</t>
  </si>
  <si>
    <t>五痔証治</t>
  </si>
  <si>
    <t>洗法</t>
  </si>
  <si>
    <t>弁腸風論</t>
  </si>
  <si>
    <t>荊芥散</t>
  </si>
  <si>
    <t>瘡瘍証治</t>
  </si>
  <si>
    <t>升麻和気飲</t>
  </si>
  <si>
    <t>四生散</t>
  </si>
  <si>
    <t>癬証治</t>
  </si>
  <si>
    <t>蒲黄散</t>
  </si>
  <si>
    <t>大風叙論</t>
  </si>
  <si>
    <t>大風治法</t>
  </si>
  <si>
    <t>斑瘡証治</t>
  </si>
  <si>
    <t>龍脳膏</t>
  </si>
  <si>
    <t>丹毒叙論</t>
  </si>
  <si>
    <t>丹毒証治</t>
  </si>
  <si>
    <t>伏龍肝散</t>
  </si>
  <si>
    <t>癮疹証治</t>
  </si>
  <si>
    <t>胡臭漏腋証治</t>
  </si>
  <si>
    <t>頭痛証治</t>
  </si>
  <si>
    <t>芎辛湯</t>
  </si>
  <si>
    <t>惺惺散</t>
  </si>
  <si>
    <t>救生散</t>
  </si>
  <si>
    <t>葫芦巴散</t>
  </si>
  <si>
    <t>如聖餅子</t>
  </si>
  <si>
    <t>眼叙論</t>
  </si>
  <si>
    <t>三因証治</t>
  </si>
  <si>
    <t>洗肝散</t>
  </si>
  <si>
    <t>鼻病証治</t>
  </si>
  <si>
    <t>唇病証治</t>
  </si>
  <si>
    <t>口病証治</t>
  </si>
  <si>
    <t>龍石散</t>
  </si>
  <si>
    <t>赴筵散</t>
  </si>
  <si>
    <t>歯病証治</t>
  </si>
  <si>
    <t>玉池散</t>
  </si>
  <si>
    <t>舌病証候(附失欠)</t>
  </si>
  <si>
    <t>金沸草散</t>
  </si>
  <si>
    <t>烙腫法</t>
  </si>
  <si>
    <t>咽喉病証治(附哽)</t>
  </si>
  <si>
    <t>玉屑無憂散</t>
  </si>
  <si>
    <t>耳病証治</t>
  </si>
  <si>
    <t>菖蒲丸</t>
  </si>
  <si>
    <t>婦人論</t>
  </si>
  <si>
    <t>求子論</t>
  </si>
  <si>
    <t>脈例</t>
  </si>
  <si>
    <t>悪阻</t>
  </si>
  <si>
    <t>竹茹湯</t>
  </si>
  <si>
    <t>半夏茯苓湯</t>
  </si>
  <si>
    <t>養胎大論</t>
  </si>
  <si>
    <t>避忌法</t>
  </si>
  <si>
    <t>転女為男法</t>
  </si>
  <si>
    <t>安胎飲</t>
  </si>
  <si>
    <t>漏阻例</t>
  </si>
  <si>
    <t>膠艾湯</t>
  </si>
  <si>
    <t>当帰芍薬散</t>
  </si>
  <si>
    <t>小便病証治</t>
  </si>
  <si>
    <t>胎水証治</t>
  </si>
  <si>
    <t>鯉魚湯</t>
  </si>
  <si>
    <t>滑胎例</t>
  </si>
  <si>
    <t>楡白皮散</t>
  </si>
  <si>
    <t>産難証治</t>
  </si>
  <si>
    <t>産科論序</t>
  </si>
  <si>
    <t>産科二十一論評</t>
  </si>
  <si>
    <t>黒神散</t>
  </si>
  <si>
    <t>勝金散</t>
  </si>
  <si>
    <t>奪命丹</t>
  </si>
  <si>
    <t>牛膝湯</t>
  </si>
  <si>
    <t>調経散</t>
  </si>
  <si>
    <t>調中湯</t>
  </si>
  <si>
    <t>旋復花湯</t>
  </si>
  <si>
    <t>済危上丹</t>
  </si>
  <si>
    <t>蓐労証治</t>
  </si>
  <si>
    <t>陰脱証治</t>
  </si>
  <si>
    <t>熨法</t>
  </si>
  <si>
    <t>下乳治法</t>
  </si>
  <si>
    <t>漏芦散</t>
  </si>
  <si>
    <t>悪露証治</t>
  </si>
  <si>
    <t>黒龍丹</t>
  </si>
  <si>
    <t>虚渇証治</t>
  </si>
  <si>
    <t>淋閉証治</t>
  </si>
  <si>
    <t>四神散</t>
  </si>
  <si>
    <t>調補法</t>
  </si>
  <si>
    <t>当帰建中湯</t>
  </si>
  <si>
    <t>婦人女子衆病論証治法</t>
  </si>
  <si>
    <t>白堊丹</t>
  </si>
  <si>
    <t>四物湯</t>
  </si>
  <si>
    <t>温経湯</t>
  </si>
  <si>
    <t>滋血湯</t>
  </si>
  <si>
    <t>木香散</t>
  </si>
  <si>
    <t>瘡証治</t>
  </si>
  <si>
    <t>小児論</t>
  </si>
  <si>
    <t>小児初生回気法</t>
  </si>
  <si>
    <t>小児初生所服薬法</t>
  </si>
  <si>
    <t>小児初生通大小便法</t>
  </si>
  <si>
    <t>小児臍風撮口証</t>
  </si>
  <si>
    <t>《千金》変蒸論</t>
  </si>
  <si>
    <t>夜啼四証</t>
  </si>
  <si>
    <t>積熱証治</t>
  </si>
  <si>
    <t>銀白散</t>
  </si>
  <si>
    <t>急慢驚風証治</t>
  </si>
  <si>
    <t>魃病証治(魃音技)</t>
  </si>
  <si>
    <t>疳病証治</t>
  </si>
  <si>
    <t>普済本事方序</t>
  </si>
  <si>
    <t>拒風丹</t>
  </si>
  <si>
    <t>続断湯</t>
  </si>
  <si>
    <t>寧志膏</t>
  </si>
  <si>
    <t>温脾散</t>
  </si>
  <si>
    <t>羚羊角散</t>
  </si>
  <si>
    <t>養正丹</t>
  </si>
  <si>
    <t>麻黄散</t>
  </si>
  <si>
    <t>纏金丹</t>
  </si>
  <si>
    <t>枇杷葉散</t>
  </si>
  <si>
    <t>霊砂丹</t>
  </si>
  <si>
    <t>柴胡散</t>
  </si>
  <si>
    <t>妙香散</t>
  </si>
  <si>
    <t>菊花散</t>
  </si>
  <si>
    <t>地黄散</t>
  </si>
  <si>
    <t>内托散</t>
  </si>
  <si>
    <t>竹葉石膏湯</t>
  </si>
  <si>
    <t>来復丹</t>
  </si>
  <si>
    <t>琥珀散</t>
  </si>
  <si>
    <t>仏手散</t>
  </si>
  <si>
    <t>麦門冬散</t>
  </si>
  <si>
    <t>新刻《儒門事親》序</t>
  </si>
  <si>
    <t>重刊《儒門事親》序</t>
  </si>
  <si>
    <t>《儒門事親》後序</t>
  </si>
  <si>
    <t>撮要図</t>
  </si>
  <si>
    <t>六門病証薬方</t>
  </si>
  <si>
    <t>《金匱》十全之法</t>
  </si>
  <si>
    <t>《金匱》十全五洩法後論</t>
  </si>
  <si>
    <t>風論</t>
  </si>
  <si>
    <t>論火熱二門</t>
  </si>
  <si>
    <t>湿熱門</t>
  </si>
  <si>
    <t>風門</t>
  </si>
  <si>
    <t>湿門</t>
  </si>
  <si>
    <t>寒門</t>
  </si>
  <si>
    <t>内傷</t>
  </si>
  <si>
    <t>外傷治法</t>
  </si>
  <si>
    <t>婦人風門</t>
  </si>
  <si>
    <t>火類門</t>
  </si>
  <si>
    <t>半産</t>
  </si>
  <si>
    <t>小児風門</t>
  </si>
  <si>
    <t>二火類</t>
  </si>
  <si>
    <t>三聖散</t>
  </si>
  <si>
    <t>消風散</t>
  </si>
  <si>
    <t>神助散</t>
  </si>
  <si>
    <t>八正散</t>
  </si>
  <si>
    <t>清涼飲子</t>
  </si>
  <si>
    <t>姜附湯</t>
  </si>
  <si>
    <t>理中丸</t>
  </si>
  <si>
    <t>葛根散</t>
  </si>
  <si>
    <t>抜毒散</t>
  </si>
  <si>
    <t>消毒散</t>
  </si>
  <si>
    <t>香薷湯</t>
  </si>
  <si>
    <t>劉河間先生三消論</t>
  </si>
  <si>
    <t>胡粉散</t>
  </si>
  <si>
    <t>扁鵲華佗察声色定死生訣要</t>
  </si>
  <si>
    <t>診百病死生訣第七</t>
  </si>
  <si>
    <t>病機</t>
  </si>
  <si>
    <t>二聖散</t>
  </si>
  <si>
    <t>桔梗湯</t>
  </si>
  <si>
    <t>地龍散</t>
  </si>
  <si>
    <t>碧霞丹</t>
  </si>
  <si>
    <t>奪命散</t>
  </si>
  <si>
    <t>https://rmda.kulib.kyoto-u.ac.jp/item/rb00004957</t>
    <phoneticPr fontId="2"/>
  </si>
  <si>
    <t>普済本事方(正集・続集) 5巻</t>
  </si>
  <si>
    <t>https://rmda.kulib.kyoto-u.ac.jp/item/rb00003249</t>
    <phoneticPr fontId="2"/>
  </si>
  <si>
    <t>(銭氏)小児直訣 4巻</t>
  </si>
  <si>
    <t>https://rmda.kulib.kyoto-u.ac.jp/item/rb00003250</t>
    <phoneticPr fontId="2"/>
  </si>
  <si>
    <t>https://rmda.kulib.kyoto-u.ac.jp/item/rb00003251</t>
    <phoneticPr fontId="2"/>
  </si>
  <si>
    <t>(宋)銭仲陽撰・閻孝忠集・薛鎧註</t>
  </si>
  <si>
    <t>素問玄機原病式例</t>
    <rPh sb="7" eb="8">
      <t>レイ</t>
    </rPh>
    <phoneticPr fontId="2"/>
  </si>
  <si>
    <t>識語</t>
    <rPh sb="0" eb="2">
      <t>シキゴ</t>
    </rPh>
    <phoneticPr fontId="2"/>
  </si>
  <si>
    <t>五運主病　（一）諸風掉眩，皆属肝木</t>
  </si>
  <si>
    <t>五運主病　（二）諸痛痒瘡瘍，皆属心火</t>
  </si>
  <si>
    <t>五運主病　（三）諸湿腫満，皆属脾土</t>
  </si>
  <si>
    <t>五運主病　（五）諸寒収引，皆属腎水</t>
  </si>
  <si>
    <t>六気為病　（一）風類</t>
  </si>
  <si>
    <t>六気為病　（二）熱類</t>
  </si>
  <si>
    <t>六気為病　（三）湿類</t>
  </si>
  <si>
    <t>六気為病　（四）火類</t>
  </si>
  <si>
    <t>六気為病　（五）燥類</t>
  </si>
  <si>
    <t>六気為病　（六）寒類</t>
  </si>
  <si>
    <r>
      <t>五運主病　（四）諸気</t>
    </r>
    <r>
      <rPr>
        <sz val="11"/>
        <color theme="1"/>
        <rFont val="ＭＳ Ｐゴシック"/>
        <family val="3"/>
        <charset val="136"/>
        <scheme val="minor"/>
      </rPr>
      <t>膹</t>
    </r>
    <r>
      <rPr>
        <sz val="11"/>
        <color theme="1"/>
        <rFont val="ＭＳ Ｐゴシック"/>
        <family val="2"/>
        <charset val="128"/>
        <scheme val="minor"/>
      </rPr>
      <t>欝病痿，皆属肺金</t>
    </r>
    <phoneticPr fontId="2"/>
  </si>
  <si>
    <t>巻一　諸証門</t>
  </si>
  <si>
    <t>巻二　諸証門</t>
  </si>
  <si>
    <t>巻三　風門</t>
  </si>
  <si>
    <t>巻四　熱門</t>
  </si>
  <si>
    <t>巻五　傷寒門</t>
  </si>
  <si>
    <t>巻七　積聚門</t>
  </si>
  <si>
    <t>巻八　水湿門</t>
  </si>
  <si>
    <t>巻九　痰飲門</t>
  </si>
  <si>
    <t>巻十　燥門</t>
  </si>
  <si>
    <t>巻十　痢門</t>
  </si>
  <si>
    <t>巻十一　婦人門</t>
  </si>
  <si>
    <t>巻十二　補養門</t>
  </si>
  <si>
    <t>巻十三　諸痛門</t>
  </si>
  <si>
    <t>巻十三　痔瘻門</t>
  </si>
  <si>
    <t>巻十三　瘧疾門</t>
  </si>
  <si>
    <t>巻十四　眼目門</t>
  </si>
  <si>
    <t>巻十四　小児門</t>
  </si>
  <si>
    <t>巻十五　雑病門</t>
  </si>
  <si>
    <t>序</t>
    <rPh sb="0" eb="1">
      <t>ジョ</t>
    </rPh>
    <phoneticPr fontId="2"/>
  </si>
  <si>
    <t>巻六　傷寒方</t>
    <rPh sb="5" eb="6">
      <t>ホウ</t>
    </rPh>
    <phoneticPr fontId="2"/>
  </si>
  <si>
    <t>刊記</t>
    <rPh sb="0" eb="2">
      <t>カンキ</t>
    </rPh>
    <phoneticPr fontId="2"/>
  </si>
  <si>
    <t>朱丹渓 撰</t>
  </si>
  <si>
    <t>頭注・医経溯洄集</t>
  </si>
  <si>
    <t>王履 撰</t>
  </si>
  <si>
    <t>（伝）戴元礼 撰</t>
  </si>
  <si>
    <t>程雲来 撰</t>
  </si>
  <si>
    <t>徐彬 撰</t>
  </si>
  <si>
    <t>　集注傷寒論（仲景全書）</t>
  </si>
  <si>
    <t>　金匱要略（仲景全書）</t>
  </si>
  <si>
    <t>薛氏医按</t>
  </si>
  <si>
    <t>68冊中11冊がWeb未公開</t>
    <rPh sb="2" eb="3">
      <t>サツ</t>
    </rPh>
    <rPh sb="3" eb="4">
      <t>ナカ</t>
    </rPh>
    <rPh sb="6" eb="7">
      <t>サツ</t>
    </rPh>
    <rPh sb="11" eb="14">
      <t>ミコウカイ</t>
    </rPh>
    <phoneticPr fontId="2"/>
  </si>
  <si>
    <t>調経門</t>
  </si>
  <si>
    <t>精血篇第二</t>
  </si>
  <si>
    <t>《産宝方》序論第三</t>
  </si>
  <si>
    <t>王子亨方論第四</t>
  </si>
  <si>
    <t>月水不調方論第五</t>
  </si>
  <si>
    <t>室女月水不通方論第八</t>
  </si>
  <si>
    <t>室女経閉成労方論第九</t>
  </si>
  <si>
    <t>血枯方論第十</t>
  </si>
  <si>
    <t>月水不断方論第十三</t>
  </si>
  <si>
    <t>崩中漏下生死脈方論第十七</t>
  </si>
  <si>
    <t>衆疾門</t>
  </si>
  <si>
    <t>《産宝方》論第二</t>
  </si>
  <si>
    <t>《博済方》論第三</t>
  </si>
  <si>
    <t>通用方序論第五</t>
  </si>
  <si>
    <t>巻之三</t>
  </si>
  <si>
    <t>三生飲</t>
  </si>
  <si>
    <t>何首烏散</t>
  </si>
  <si>
    <t>追風散</t>
  </si>
  <si>
    <t>急風散</t>
  </si>
  <si>
    <t>大腹皮散</t>
  </si>
  <si>
    <t>桑白皮散</t>
  </si>
  <si>
    <t>薏苡仁散</t>
  </si>
  <si>
    <t>逍遙散</t>
  </si>
  <si>
    <t>人参荊芥散</t>
  </si>
  <si>
    <t>如聖散</t>
  </si>
  <si>
    <t>油煎散</t>
  </si>
  <si>
    <t>寡婦寒熱如瘧方論第四</t>
  </si>
  <si>
    <t>進食散</t>
  </si>
  <si>
    <t>四七湯</t>
  </si>
  <si>
    <t>香薷散</t>
  </si>
  <si>
    <t>雞蘇散</t>
  </si>
  <si>
    <t>滑石散</t>
  </si>
  <si>
    <t>桑螵蛸散</t>
  </si>
  <si>
    <t>五香散</t>
  </si>
  <si>
    <t>三建丹</t>
  </si>
  <si>
    <t>腸風黒散</t>
  </si>
  <si>
    <t>小戸嫁痛方第二十三</t>
  </si>
  <si>
    <t>求嗣門</t>
  </si>
  <si>
    <t>陳無択求子論第一</t>
  </si>
  <si>
    <t>《千金翼》求子方論第四</t>
  </si>
  <si>
    <t>胎教門</t>
  </si>
  <si>
    <t>妊娠総論第一</t>
  </si>
  <si>
    <t>脈例第一</t>
  </si>
  <si>
    <t>診婦人有妊歌第二</t>
  </si>
  <si>
    <t>験胎法第三</t>
  </si>
  <si>
    <t>胎殺避忌産前将護法第四</t>
  </si>
  <si>
    <t>食忌論第十</t>
  </si>
  <si>
    <t>孕婦薬忌歌第十一</t>
  </si>
  <si>
    <t>妊娠門</t>
  </si>
  <si>
    <t>胎動不安方論第四</t>
  </si>
  <si>
    <t>断産方論第六</t>
  </si>
  <si>
    <t>百合散</t>
  </si>
  <si>
    <t>升麻散</t>
  </si>
  <si>
    <t>加減四物湯</t>
  </si>
  <si>
    <t>地楡散</t>
  </si>
  <si>
    <t>赤石脂散</t>
  </si>
  <si>
    <t>葵子湯</t>
  </si>
  <si>
    <t>黄芩湯</t>
  </si>
  <si>
    <t>白薇散</t>
  </si>
  <si>
    <t>五皮散</t>
  </si>
  <si>
    <t>坐月門</t>
  </si>
  <si>
    <t>将護孕婦論第二</t>
  </si>
  <si>
    <t>滑胎例第三</t>
  </si>
  <si>
    <t>月空方位例第四</t>
  </si>
  <si>
    <t>逐月安産蔵衣忌向方位第五</t>
  </si>
  <si>
    <t>推婦人行年法第六</t>
  </si>
  <si>
    <t>体玄子借地法第七</t>
  </si>
  <si>
    <t>禁草法第八</t>
  </si>
  <si>
    <t>禁水法第九</t>
  </si>
  <si>
    <t>催生霊符第十一</t>
  </si>
  <si>
    <t>産難門</t>
  </si>
  <si>
    <t>産難論第一</t>
  </si>
  <si>
    <t>楊子建《十産論》第二</t>
  </si>
  <si>
    <t>催生方論第三</t>
  </si>
  <si>
    <t>郭稽中産難方論第四</t>
  </si>
  <si>
    <t>産難子死腹中方論第五</t>
  </si>
  <si>
    <t>産難生死訣第六</t>
  </si>
  <si>
    <t>胞衣不出方論第四</t>
  </si>
  <si>
    <t>香桂散</t>
  </si>
  <si>
    <t>熟乾地黄湯</t>
  </si>
  <si>
    <t>当帰羊肉湯</t>
  </si>
  <si>
    <t>高良姜散</t>
  </si>
  <si>
    <t>人参当帰散</t>
  </si>
  <si>
    <t>熟乾地黄散</t>
  </si>
  <si>
    <t>丹参膏</t>
  </si>
  <si>
    <t>癰疽経験雑方</t>
  </si>
  <si>
    <t>拾遺（附）</t>
  </si>
  <si>
    <t>瘡瘍隠括関鍵処治之法</t>
  </si>
  <si>
    <t>太平恵民和剤局方</t>
  </si>
  <si>
    <t>進表</t>
  </si>
  <si>
    <t>巻之一</t>
  </si>
  <si>
    <t>至宝丹</t>
  </si>
  <si>
    <t>霊宝丹</t>
  </si>
  <si>
    <t>透氷丹</t>
  </si>
  <si>
    <t>龍脳天麻煎</t>
  </si>
  <si>
    <t>龍虎丹</t>
  </si>
  <si>
    <t>銀液丹</t>
  </si>
  <si>
    <t>八風丹</t>
  </si>
  <si>
    <t>牛黄金虎丹</t>
  </si>
  <si>
    <t>大通聖白花蛇散</t>
  </si>
  <si>
    <t>八風散</t>
  </si>
  <si>
    <t>清神散</t>
  </si>
  <si>
    <t>虎骨散</t>
  </si>
  <si>
    <t>加減三五七散</t>
  </si>
  <si>
    <t>太陽丹</t>
  </si>
  <si>
    <t>没薬降聖丹</t>
  </si>
  <si>
    <t>七聖散</t>
  </si>
  <si>
    <t>通関散</t>
  </si>
  <si>
    <t>大聖一粒金丹</t>
  </si>
  <si>
    <t>省風湯</t>
  </si>
  <si>
    <t>大醒風湯</t>
  </si>
  <si>
    <t>五痺湯</t>
  </si>
  <si>
    <t>活絡丹</t>
  </si>
  <si>
    <t>川芎茶調散</t>
  </si>
  <si>
    <t>乳香趁痛散</t>
  </si>
  <si>
    <t>大聖保命丹</t>
  </si>
  <si>
    <t>大防風湯</t>
  </si>
  <si>
    <t>経進地仙丹</t>
  </si>
  <si>
    <t>伏虎丹</t>
  </si>
  <si>
    <t>胡麻散</t>
  </si>
  <si>
    <t>巻之二</t>
  </si>
  <si>
    <t>人参敗毒散</t>
  </si>
  <si>
    <t>林檎散</t>
  </si>
  <si>
    <t>柴胡石膏散</t>
  </si>
  <si>
    <t>聖散子</t>
  </si>
  <si>
    <t>升麻葛根湯</t>
  </si>
  <si>
    <t>葛根解肌湯</t>
  </si>
  <si>
    <t>大順散</t>
  </si>
  <si>
    <t>僧伽応夢人参散</t>
  </si>
  <si>
    <t>香蘇散</t>
  </si>
  <si>
    <t>和解散</t>
  </si>
  <si>
    <t>正気散</t>
  </si>
  <si>
    <t>十華散</t>
  </si>
  <si>
    <t>辰砂五苓散</t>
  </si>
  <si>
    <t>柴胡升麻湯</t>
  </si>
  <si>
    <t>縮脾飲</t>
  </si>
  <si>
    <t>解暑三白散</t>
  </si>
  <si>
    <t>保真湯</t>
  </si>
  <si>
    <t>人参順気散</t>
  </si>
  <si>
    <t>消風百解散</t>
  </si>
  <si>
    <t>人参養胃湯</t>
  </si>
  <si>
    <t>対金飲子</t>
  </si>
  <si>
    <t>劫労散</t>
  </si>
  <si>
    <t>人参軽骨散</t>
  </si>
  <si>
    <t>不換金正気散</t>
  </si>
  <si>
    <t>氷黄散</t>
  </si>
  <si>
    <t>神仙百解散</t>
  </si>
  <si>
    <t>八解散</t>
  </si>
  <si>
    <t>藿香正気散</t>
  </si>
  <si>
    <t>三拗湯</t>
  </si>
  <si>
    <t>来蘇散</t>
  </si>
  <si>
    <t>十神湯</t>
  </si>
  <si>
    <t>調中沈香湯</t>
  </si>
  <si>
    <t>勻気散</t>
  </si>
  <si>
    <t>烏沈湯</t>
  </si>
  <si>
    <t>五膈寬中散</t>
  </si>
  <si>
    <t>膈気散</t>
  </si>
  <si>
    <t>建中散</t>
  </si>
  <si>
    <t>三和散</t>
  </si>
  <si>
    <t>益智散</t>
  </si>
  <si>
    <t>藿香半夏散</t>
  </si>
  <si>
    <t>生気湯</t>
  </si>
  <si>
    <t>四柱散</t>
  </si>
  <si>
    <t>兪山人降気湯</t>
  </si>
  <si>
    <t>沈香降気湯</t>
  </si>
  <si>
    <t>小烏沈湯</t>
  </si>
  <si>
    <t>分気紫蘇飲</t>
  </si>
  <si>
    <t>四倍散</t>
  </si>
  <si>
    <t>木香餅子</t>
  </si>
  <si>
    <t>参苓白朮散</t>
  </si>
  <si>
    <t>蘇子降気湯</t>
  </si>
  <si>
    <t>分心気飲</t>
  </si>
  <si>
    <t>奪命抽刀散</t>
  </si>
  <si>
    <t>秘伝降気湯</t>
  </si>
  <si>
    <t>鉄刷湯</t>
  </si>
  <si>
    <t>焼脾散</t>
  </si>
  <si>
    <t>新法半夏湯</t>
  </si>
  <si>
    <t>塩煎散</t>
  </si>
  <si>
    <t>白沈香散</t>
  </si>
  <si>
    <t>丁香煮散</t>
  </si>
  <si>
    <t>和気散</t>
  </si>
  <si>
    <t>快気湯</t>
  </si>
  <si>
    <t>異香散</t>
  </si>
  <si>
    <t>四君子湯</t>
  </si>
  <si>
    <t>人参丁香散</t>
  </si>
  <si>
    <t>人参煮散</t>
  </si>
  <si>
    <t>棗肉平胃散</t>
  </si>
  <si>
    <t>木香流気飲</t>
  </si>
  <si>
    <t>十八味丁沈透膈湯</t>
  </si>
  <si>
    <t>廿四味流気飲</t>
  </si>
  <si>
    <t>巻之四</t>
  </si>
  <si>
    <t>二陳湯</t>
  </si>
  <si>
    <t>温肺湯</t>
  </si>
  <si>
    <t>養中湯</t>
  </si>
  <si>
    <t>人参款花膏</t>
  </si>
  <si>
    <t>橘皮半夏湯</t>
  </si>
  <si>
    <t>定喘瑞応丹</t>
  </si>
  <si>
    <t>人参清肺湯</t>
  </si>
  <si>
    <t>人参定喘湯</t>
  </si>
  <si>
    <t>細辛五味子湯</t>
  </si>
  <si>
    <t>茯苓半夏湯</t>
  </si>
  <si>
    <t>人参藿香湯</t>
  </si>
  <si>
    <t>巻之五</t>
  </si>
  <si>
    <t>養気丹</t>
  </si>
  <si>
    <t>川楝散</t>
  </si>
  <si>
    <t>双和湯</t>
  </si>
  <si>
    <t>平補鎮心丹</t>
  </si>
  <si>
    <t>十四味建中湯</t>
  </si>
  <si>
    <t>接気丹</t>
  </si>
  <si>
    <t>三仙丹</t>
  </si>
  <si>
    <t>楽令建中湯</t>
  </si>
  <si>
    <t>四神丹</t>
  </si>
  <si>
    <t>十全大補湯</t>
  </si>
  <si>
    <t>秦艽鱉甲散</t>
  </si>
  <si>
    <t>沈香鱉甲散</t>
  </si>
  <si>
    <t>伏火二気丹</t>
  </si>
  <si>
    <t>霊砂</t>
  </si>
  <si>
    <t>玄兎丹</t>
  </si>
  <si>
    <t>龍歯鎮心丹</t>
  </si>
  <si>
    <t>三建湯</t>
  </si>
  <si>
    <t>十全飲</t>
  </si>
  <si>
    <t>二気丹</t>
  </si>
  <si>
    <t>沈香蓽澄茄散</t>
  </si>
  <si>
    <t>清心蓮子飲</t>
  </si>
  <si>
    <t>人参養栄湯</t>
  </si>
  <si>
    <t>鹿茸大補湯</t>
  </si>
  <si>
    <t>養腎散</t>
  </si>
  <si>
    <t>玉華白丹</t>
  </si>
  <si>
    <t>金鎖正元丹</t>
  </si>
  <si>
    <t>秘伝玉鎖丹</t>
  </si>
  <si>
    <t>紫雪</t>
  </si>
  <si>
    <t>紅雪通中散</t>
  </si>
  <si>
    <t>龍脳飲子</t>
  </si>
  <si>
    <t>甘露飲</t>
  </si>
  <si>
    <t>五淋散</t>
  </si>
  <si>
    <t>消毒犀角飲</t>
  </si>
  <si>
    <t>碧雪</t>
  </si>
  <si>
    <t>勝氷丹</t>
  </si>
  <si>
    <t>霊液丹</t>
  </si>
  <si>
    <t>巻之六</t>
  </si>
  <si>
    <t>朝真丹</t>
  </si>
  <si>
    <t>訶黎勒散</t>
  </si>
  <si>
    <t>御米湯</t>
  </si>
  <si>
    <t>金粟湯</t>
  </si>
  <si>
    <t>斗門散</t>
  </si>
  <si>
    <t>痢聖散子</t>
  </si>
  <si>
    <r>
      <t>肉荳</t>
    </r>
    <r>
      <rPr>
        <sz val="11"/>
        <color theme="1"/>
        <rFont val="ＭＳ Ｐゴシック"/>
        <family val="3"/>
        <charset val="136"/>
        <scheme val="minor"/>
      </rPr>
      <t>蔻</t>
    </r>
    <r>
      <rPr>
        <sz val="11"/>
        <color theme="1"/>
        <rFont val="ＭＳ Ｐゴシック"/>
        <family val="2"/>
        <charset val="128"/>
        <scheme val="minor"/>
      </rPr>
      <t>散</t>
    </r>
  </si>
  <si>
    <t>神応黒玉丹</t>
  </si>
  <si>
    <t>罌粟湯</t>
  </si>
  <si>
    <t>固腸散</t>
  </si>
  <si>
    <t>遇仙立効散</t>
  </si>
  <si>
    <t>秘伝斗門散</t>
  </si>
  <si>
    <t>万金飲</t>
  </si>
  <si>
    <t>神効参香散</t>
  </si>
  <si>
    <t>密蒙花散</t>
  </si>
  <si>
    <t>秦皮散</t>
  </si>
  <si>
    <t>菩薩散</t>
  </si>
  <si>
    <t>撥雲散</t>
  </si>
  <si>
    <t>草龍胆散</t>
  </si>
  <si>
    <t>春雪膏</t>
  </si>
  <si>
    <t>流気飲</t>
  </si>
  <si>
    <t>明睛散</t>
  </si>
  <si>
    <t>洗眼紫金膏</t>
  </si>
  <si>
    <t>湯泡散</t>
  </si>
  <si>
    <t>麝臍散</t>
  </si>
  <si>
    <t>硼砂散</t>
  </si>
  <si>
    <t>吹喉散</t>
  </si>
  <si>
    <t>荊芥湯</t>
  </si>
  <si>
    <t>細辛散</t>
  </si>
  <si>
    <t>克効餅子</t>
  </si>
  <si>
    <t>必勝散</t>
  </si>
  <si>
    <t>法制熟艾</t>
  </si>
  <si>
    <t>雲母膏</t>
  </si>
  <si>
    <t>樺皮散</t>
  </si>
  <si>
    <t>玉龍膏</t>
  </si>
  <si>
    <t>千金漏芦湯</t>
  </si>
  <si>
    <t>滑肌散</t>
  </si>
  <si>
    <t>紅玉散</t>
  </si>
  <si>
    <t>万金膏</t>
  </si>
  <si>
    <t>油調立効散</t>
  </si>
  <si>
    <t>導滞散</t>
  </si>
  <si>
    <t>琥珀膏</t>
  </si>
  <si>
    <t>神効当帰膏</t>
  </si>
  <si>
    <t>膩粉膏</t>
  </si>
  <si>
    <t>烏蛇膏</t>
  </si>
  <si>
    <t>槐白皮膏</t>
  </si>
  <si>
    <t>神仙太一膏</t>
  </si>
  <si>
    <t>補損当帰散</t>
  </si>
  <si>
    <t>復元通気散</t>
  </si>
  <si>
    <t>巻之九</t>
  </si>
  <si>
    <t>呉茱萸湯</t>
  </si>
  <si>
    <t>催生丹</t>
  </si>
  <si>
    <t>大聖散</t>
  </si>
  <si>
    <t>琥珀沢蘭煎</t>
  </si>
  <si>
    <t>神仙聚宝丹</t>
  </si>
  <si>
    <t>琥珀黒龍丹</t>
  </si>
  <si>
    <t>琥珀黒散</t>
  </si>
  <si>
    <t>益陰丹</t>
  </si>
  <si>
    <t>紅花当帰散</t>
  </si>
  <si>
    <t>旋復湯</t>
  </si>
  <si>
    <t>加減呉茱萸湯</t>
  </si>
  <si>
    <t>入月安産図</t>
  </si>
  <si>
    <t>体玄子借地法</t>
  </si>
  <si>
    <t>禁草法</t>
  </si>
  <si>
    <t>禁水法</t>
  </si>
  <si>
    <t>産前将護法</t>
  </si>
  <si>
    <t>産後将護法</t>
  </si>
  <si>
    <t>胎神遊方</t>
  </si>
  <si>
    <t>催生符</t>
  </si>
  <si>
    <t>推婦人行年法</t>
  </si>
  <si>
    <t>逐日産母生子宜向方</t>
  </si>
  <si>
    <t>逐月産母忌向方</t>
  </si>
  <si>
    <t>蔵胎衣吉方</t>
  </si>
  <si>
    <t>逐日日游神</t>
  </si>
  <si>
    <t>巻之十</t>
  </si>
  <si>
    <t>返魂丹</t>
  </si>
  <si>
    <t>定命丹</t>
  </si>
  <si>
    <t>八珍丹</t>
  </si>
  <si>
    <t>太一銀朱丹</t>
  </si>
  <si>
    <t>鶴頂丹</t>
  </si>
  <si>
    <t>至聖丹</t>
  </si>
  <si>
    <t>定吐救生丹</t>
  </si>
  <si>
    <t>霊砂帰命丹</t>
  </si>
  <si>
    <t>金屑辰砂膏</t>
  </si>
  <si>
    <t>潤肺散</t>
  </si>
  <si>
    <t>人参羌活散</t>
  </si>
  <si>
    <t>辰砂金箔散</t>
  </si>
  <si>
    <t>天竺飲子</t>
  </si>
  <si>
    <t>和中散</t>
  </si>
  <si>
    <t>六神丹</t>
  </si>
  <si>
    <t>太一丹</t>
  </si>
  <si>
    <t>睡驚丹</t>
  </si>
  <si>
    <t>加減四君子湯</t>
  </si>
  <si>
    <t>至聖保命丹</t>
  </si>
  <si>
    <t>急風丹</t>
  </si>
  <si>
    <t>助胃膏</t>
  </si>
  <si>
    <t>観音散</t>
  </si>
  <si>
    <t>釣藤膏</t>
  </si>
  <si>
    <t>木香白朮散</t>
  </si>
  <si>
    <t>烏梅散</t>
  </si>
  <si>
    <t>朱礬散</t>
  </si>
  <si>
    <t>紫蘇子散</t>
  </si>
  <si>
    <t>犀角人参散</t>
  </si>
  <si>
    <t>銭氏白朮散</t>
  </si>
  <si>
    <t>鎮心至宝丹</t>
  </si>
  <si>
    <t>辰砂茯神膏</t>
  </si>
  <si>
    <t>木香湯</t>
  </si>
  <si>
    <t>桂花湯</t>
  </si>
  <si>
    <t>破気湯</t>
  </si>
  <si>
    <t>玉真湯</t>
  </si>
  <si>
    <t>薄荷湯</t>
  </si>
  <si>
    <t>紫蘇湯</t>
  </si>
  <si>
    <t>棗湯</t>
  </si>
  <si>
    <t>二宜湯</t>
  </si>
  <si>
    <t>五味湯</t>
  </si>
  <si>
    <t>杏霜湯</t>
  </si>
  <si>
    <t>生薑湯</t>
  </si>
  <si>
    <t>益智湯</t>
  </si>
  <si>
    <t>茴香湯</t>
  </si>
  <si>
    <t>檀香湯</t>
  </si>
  <si>
    <t>縮砂湯</t>
  </si>
  <si>
    <t>撾脾湯</t>
  </si>
  <si>
    <t>小理中湯</t>
  </si>
  <si>
    <t>白梅湯</t>
  </si>
  <si>
    <t>三倍湯</t>
  </si>
  <si>
    <t>快湯</t>
  </si>
  <si>
    <t>芬積香</t>
  </si>
  <si>
    <t>衙香</t>
  </si>
  <si>
    <t>降真香</t>
  </si>
  <si>
    <t>清遠香</t>
  </si>
  <si>
    <t>論服餌法</t>
  </si>
  <si>
    <t>論用薬法</t>
  </si>
  <si>
    <t>論三品薬畏悪相反</t>
  </si>
  <si>
    <t>論服薬食忌</t>
  </si>
  <si>
    <t>論瘴瘧証候</t>
  </si>
  <si>
    <t>傷寒十勧</t>
  </si>
  <si>
    <t>論諸気証候</t>
  </si>
  <si>
    <t>論痰飲咳嗽</t>
  </si>
  <si>
    <t>論諸虚証候</t>
  </si>
  <si>
    <t>論積熱証候</t>
  </si>
  <si>
    <t>論瀉痢証候</t>
  </si>
  <si>
    <t>論癰疽諸証</t>
  </si>
  <si>
    <t>論婦人諸疾</t>
  </si>
  <si>
    <t>論小児諸疾</t>
  </si>
  <si>
    <t>雑方</t>
  </si>
  <si>
    <t>灸法</t>
  </si>
  <si>
    <t>吐剤</t>
  </si>
  <si>
    <t>巻十二</t>
  </si>
  <si>
    <t>論傷寒両感</t>
  </si>
  <si>
    <t>傷寒合病並病論</t>
  </si>
  <si>
    <t>傷寒変温熱病論</t>
  </si>
  <si>
    <t>巻十七</t>
  </si>
  <si>
    <t>弁脈法</t>
  </si>
  <si>
    <t>消渇門</t>
  </si>
  <si>
    <t>傷寒瑣言序</t>
  </si>
  <si>
    <t>明理続論序</t>
  </si>
  <si>
    <t>刻陶節《傷寒六書》序</t>
  </si>
  <si>
    <t>弁張仲景傷寒論</t>
  </si>
  <si>
    <t>治傷寒用薬大略</t>
  </si>
  <si>
    <t>傷寒言証不言病</t>
  </si>
  <si>
    <t>厥分寒熱弁</t>
  </si>
  <si>
    <t>傷寒用浮中沈三脈法</t>
  </si>
  <si>
    <t>浮</t>
  </si>
  <si>
    <t>中</t>
  </si>
  <si>
    <t>沈</t>
  </si>
  <si>
    <t>傷寒伝足不伝手経弁</t>
  </si>
  <si>
    <t>結胸解</t>
  </si>
  <si>
    <t>傷寒寒熱論</t>
  </si>
  <si>
    <t>論傷寒少陰病発熱而反用薬不同</t>
  </si>
  <si>
    <t>温病弁</t>
  </si>
  <si>
    <t>死生脈候</t>
  </si>
  <si>
    <t>陰証</t>
  </si>
  <si>
    <t>傷暑</t>
  </si>
  <si>
    <t>急下急温</t>
  </si>
  <si>
    <t>諸方</t>
  </si>
  <si>
    <t>傷寒総論</t>
  </si>
  <si>
    <t>傷寒秘要脈証指法（与瑣言大略同）</t>
  </si>
  <si>
    <t>論浮脈形法主病</t>
  </si>
  <si>
    <t>論中脈形状指法主病</t>
  </si>
  <si>
    <t>論沈脈形状指法主病</t>
  </si>
  <si>
    <t>弁脈雖浮亦有可下者脈雖沈亦有可汗者</t>
  </si>
  <si>
    <t>論風傷衛気寒傷栄血弁</t>
  </si>
  <si>
    <t>用薬寒温弁</t>
  </si>
  <si>
    <t>正傷寒及温暑暴寒労力感冒時疫治各不同論</t>
  </si>
  <si>
    <t>両感傷寒誤治論（与瑣言同）</t>
  </si>
  <si>
    <t>傷寒少陰証似太陽太陽脈似少陰為反用薬不同論</t>
  </si>
  <si>
    <t>傷寒陰陽寒熱二厥弁</t>
  </si>
  <si>
    <t>傷寒結胸痞満弁（詳見瑣言中）</t>
  </si>
  <si>
    <t>傷寒伏陰脈大論用薬之誤</t>
  </si>
  <si>
    <t>傷寒伏脈弁</t>
  </si>
  <si>
    <t>傷寒言証不言病論（詳見瑣言中）</t>
  </si>
  <si>
    <t>傷寒伝足不伝手経論（詳見瑣言中）</t>
  </si>
  <si>
    <t>急下急温論（与瑣言互看）</t>
  </si>
  <si>
    <t>傷寒標本論</t>
  </si>
  <si>
    <t>治傷寒看証法則</t>
  </si>
  <si>
    <t>三陰無伝経論</t>
  </si>
  <si>
    <t>背悪寒</t>
  </si>
  <si>
    <t>似瘧</t>
  </si>
  <si>
    <t>身体痛</t>
  </si>
  <si>
    <t>拘急</t>
  </si>
  <si>
    <t>気逆</t>
  </si>
  <si>
    <t>口乾</t>
  </si>
  <si>
    <t>結胸</t>
  </si>
  <si>
    <t>痞</t>
  </si>
  <si>
    <t>腹痛</t>
  </si>
  <si>
    <t>小腹満</t>
  </si>
  <si>
    <t>乾嘔</t>
  </si>
  <si>
    <t>咳逆</t>
  </si>
  <si>
    <t>下利</t>
  </si>
  <si>
    <t>不大便</t>
  </si>
  <si>
    <t>小便不通</t>
  </si>
  <si>
    <t>小便難</t>
  </si>
  <si>
    <t>小便自利</t>
  </si>
  <si>
    <t>舌苔</t>
  </si>
  <si>
    <t>咽痛</t>
  </si>
  <si>
    <t>鼻衄</t>
  </si>
  <si>
    <t>吐血</t>
  </si>
  <si>
    <t>心悸</t>
  </si>
  <si>
    <t>発斑</t>
  </si>
  <si>
    <t>怫欝</t>
  </si>
  <si>
    <t>瘥後昏沈</t>
  </si>
  <si>
    <t>労復食復</t>
  </si>
  <si>
    <t>傷寒霍乱</t>
  </si>
  <si>
    <t>陰陽易</t>
  </si>
  <si>
    <t>不眠</t>
  </si>
  <si>
    <t>多眠</t>
  </si>
  <si>
    <t>狐惑</t>
  </si>
  <si>
    <t>百合</t>
  </si>
  <si>
    <t>蛔厥</t>
  </si>
  <si>
    <t>傷風見寒傷寒見風</t>
  </si>
  <si>
    <t>風温</t>
  </si>
  <si>
    <t>湿温</t>
  </si>
  <si>
    <t>風湿中湿</t>
  </si>
  <si>
    <t>劫病法</t>
  </si>
  <si>
    <t>製薬法</t>
  </si>
  <si>
    <t>解薬法</t>
  </si>
  <si>
    <t>煎薬法</t>
  </si>
  <si>
    <t>秘用三十七方就注三十七槌法</t>
  </si>
  <si>
    <t>太陽経見証法</t>
  </si>
  <si>
    <t>陽明経見証法</t>
  </si>
  <si>
    <t>少陽経見証法</t>
  </si>
  <si>
    <t>太陰経見証法</t>
  </si>
  <si>
    <t>少陰経見証法</t>
  </si>
  <si>
    <t>厥陰経見証法</t>
  </si>
  <si>
    <t>一提金脈要</t>
  </si>
  <si>
    <t>一提金貫珠数</t>
  </si>
  <si>
    <t>傷寒</t>
  </si>
  <si>
    <t>傷寒標本論治</t>
  </si>
  <si>
    <t>論傷寒正治逆治反攻寒熱弁</t>
  </si>
  <si>
    <t>論傷寒用薬法則</t>
  </si>
  <si>
    <t>傷寒統論受病之由</t>
  </si>
  <si>
    <t>傷寒無陰証弁</t>
  </si>
  <si>
    <t>論傷寒難拘日数弁</t>
  </si>
  <si>
    <t>傷寒陽厥陰厥弁</t>
  </si>
  <si>
    <t>看傷寒識証内外須知</t>
  </si>
  <si>
    <t>論傷寒伝足不伝手之誤</t>
  </si>
  <si>
    <t>論傷寒六経変正法</t>
  </si>
  <si>
    <t>論傷寒見証識病法</t>
  </si>
  <si>
    <t>論傷寒有証見之必死法</t>
  </si>
  <si>
    <t>論婦人傷寒与男子不同治法</t>
  </si>
  <si>
    <t>論妊婦傷寒又与前証有易法</t>
  </si>
  <si>
    <t>論産後傷寒与胎前有別法</t>
  </si>
  <si>
    <t>傷寒三陰三陽脈証論</t>
  </si>
  <si>
    <t>陰陽虚実用薬寒温弁</t>
  </si>
  <si>
    <t>六経用薬格法</t>
  </si>
  <si>
    <t>陰陽虚盛用薬寒温弁</t>
  </si>
  <si>
    <t>三陰三陽脈証</t>
  </si>
  <si>
    <t>汗下温正法</t>
  </si>
  <si>
    <t>傷風見寒傷寒見風脈証</t>
  </si>
  <si>
    <t>三陽合病</t>
  </si>
  <si>
    <t>春温変熱</t>
  </si>
  <si>
    <t>風温湿温</t>
  </si>
  <si>
    <t>身痛</t>
  </si>
  <si>
    <t>四肢拘急</t>
  </si>
  <si>
    <t>陽毒</t>
  </si>
  <si>
    <t>胸脇満痛</t>
  </si>
  <si>
    <t>咳逆噦</t>
  </si>
  <si>
    <t>便膿血</t>
  </si>
  <si>
    <t>厥逆</t>
  </si>
  <si>
    <t>譫語（鄭声附）</t>
  </si>
  <si>
    <t>小便不利（小便難附）</t>
  </si>
  <si>
    <t>小便自利（小便数遺溺附）</t>
  </si>
  <si>
    <t>多眠汗下（附霍乱）</t>
  </si>
  <si>
    <t>陰陽易陰陽交</t>
  </si>
  <si>
    <t>時行両感</t>
  </si>
  <si>
    <t>不得眠</t>
  </si>
  <si>
    <t>蛔厥狐惑</t>
  </si>
  <si>
    <t>百合病</t>
  </si>
  <si>
    <t>痰証</t>
  </si>
  <si>
    <t>傷食</t>
  </si>
  <si>
    <t>巻二　痿証門</t>
  </si>
  <si>
    <t>巻三　傷風門</t>
  </si>
  <si>
    <t>巻四　痰飲門</t>
  </si>
  <si>
    <t>巻五　滞下門</t>
  </si>
  <si>
    <t>巻六　泄瀉門</t>
  </si>
  <si>
    <t>巻七　瘧門</t>
  </si>
  <si>
    <t>巻八　咳嗽門</t>
  </si>
  <si>
    <t>巻九　熱門(発熱附)</t>
  </si>
  <si>
    <t>巻十　火門</t>
  </si>
  <si>
    <t>巻十一　暑門</t>
  </si>
  <si>
    <t>巻十二　湿門</t>
  </si>
  <si>
    <t>巻十三　燥門(結燥附)</t>
  </si>
  <si>
    <t>巻十四　寒門</t>
  </si>
  <si>
    <t>巻十五　瘡瘍門</t>
  </si>
  <si>
    <t>巻十六　気証門</t>
  </si>
  <si>
    <t>巻十七　血証門</t>
  </si>
  <si>
    <t>巻十八　内傷門</t>
  </si>
  <si>
    <t>巻十九　虚損門</t>
  </si>
  <si>
    <t>巻二十　積聚門</t>
  </si>
  <si>
    <t>巻二十一　消渇門</t>
  </si>
  <si>
    <t>巻二十二　水気門</t>
  </si>
  <si>
    <t>巻二十三　脚気門</t>
  </si>
  <si>
    <t>巻二十四　諸疝門(小腸気附)</t>
  </si>
  <si>
    <t>巻二十六　脹満門</t>
  </si>
  <si>
    <t>巻二十七　喉痺門</t>
  </si>
  <si>
    <t>巻二十八　淋門(小便不禁附胞痺附)</t>
  </si>
  <si>
    <t>巻二十九　眼目門</t>
  </si>
  <si>
    <t>巻三十一　腰痛門</t>
  </si>
  <si>
    <t>巻三十二　腹痛門</t>
  </si>
  <si>
    <t>巻三十三　心痛門(胃脘痛附)</t>
  </si>
  <si>
    <t>巻三十四　頭痛門</t>
  </si>
  <si>
    <t>巻三十五　頭眩門</t>
  </si>
  <si>
    <t>巻三十六　咳逆門</t>
  </si>
  <si>
    <t>巻三十七　心下痞満門</t>
  </si>
  <si>
    <t>巻三十八　吐酸門(呑酸附)</t>
  </si>
  <si>
    <t>巻三十九　痓門</t>
  </si>
  <si>
    <t>巻四十一　風癇門</t>
  </si>
  <si>
    <t>巻四十二　破傷風門</t>
  </si>
  <si>
    <t>巻四十三　損傷門</t>
  </si>
  <si>
    <t>巻四十六　霍乱門</t>
  </si>
  <si>
    <t>巻四十七　厥門</t>
  </si>
  <si>
    <t>巻四十八　痺証門</t>
  </si>
  <si>
    <t>巻四十九　婦人門</t>
  </si>
  <si>
    <t>巻之一·諸中門</t>
  </si>
  <si>
    <t>中風</t>
  </si>
  <si>
    <t>中気</t>
  </si>
  <si>
    <t>中寒</t>
  </si>
  <si>
    <t>中暑</t>
  </si>
  <si>
    <t>中湿</t>
  </si>
  <si>
    <t>中悪</t>
  </si>
  <si>
    <t>巻之二·諸傷門</t>
  </si>
  <si>
    <t>傷風寒</t>
  </si>
  <si>
    <t>傷湿</t>
  </si>
  <si>
    <t>傷酒</t>
  </si>
  <si>
    <t>傷食瀉</t>
  </si>
  <si>
    <t>巻之三·諸気門</t>
  </si>
  <si>
    <t>七気</t>
  </si>
  <si>
    <t>痞塞</t>
  </si>
  <si>
    <t>積聚</t>
  </si>
  <si>
    <t>腫</t>
  </si>
  <si>
    <t>蠱脹</t>
  </si>
  <si>
    <t>手気</t>
  </si>
  <si>
    <t>小腸気</t>
  </si>
  <si>
    <t>巻之四·諸血門</t>
  </si>
  <si>
    <t>舌衄</t>
  </si>
  <si>
    <t>肌衄</t>
  </si>
  <si>
    <t>牙宣</t>
  </si>
  <si>
    <t>喀血</t>
  </si>
  <si>
    <t>嗽血</t>
  </si>
  <si>
    <t>小便血</t>
  </si>
  <si>
    <t>巻之五·諸痛門</t>
  </si>
  <si>
    <t>眼眶骨痛</t>
  </si>
  <si>
    <t>牙痛</t>
  </si>
  <si>
    <t>咽喉痛</t>
  </si>
  <si>
    <t>膈痛（附心瘥）</t>
  </si>
  <si>
    <t>臂痛</t>
  </si>
  <si>
    <t>飲流入臂</t>
  </si>
  <si>
    <t>肩背痛</t>
  </si>
  <si>
    <t>心脾痛</t>
  </si>
  <si>
    <t>脇痛</t>
  </si>
  <si>
    <t>腰痛</t>
  </si>
  <si>
    <t>巻之六·諸嗽門</t>
  </si>
  <si>
    <t>嗽証</t>
  </si>
  <si>
    <t>哮喘</t>
  </si>
  <si>
    <t>翻胃</t>
  </si>
  <si>
    <t>不喜食</t>
  </si>
  <si>
    <t>噫気呑酸</t>
  </si>
  <si>
    <t>巻之七·寒熱門</t>
  </si>
  <si>
    <t>瘧寒熱</t>
  </si>
  <si>
    <t>独寒</t>
  </si>
  <si>
    <t>独熱</t>
  </si>
  <si>
    <t>巻之八·大小腑門</t>
  </si>
  <si>
    <t>小便多</t>
  </si>
  <si>
    <t>淋閉</t>
  </si>
  <si>
    <t>尿血</t>
  </si>
  <si>
    <t>白濁</t>
  </si>
  <si>
    <t>遺精</t>
  </si>
  <si>
    <t>三消</t>
  </si>
  <si>
    <t>溏洩</t>
  </si>
  <si>
    <t>交腸</t>
  </si>
  <si>
    <t>瀉血</t>
  </si>
  <si>
    <t>痢</t>
  </si>
  <si>
    <t>巻之九·虚損門</t>
  </si>
  <si>
    <t>五労</t>
  </si>
  <si>
    <t>盗汗自汗</t>
  </si>
  <si>
    <t>眩暈</t>
  </si>
  <si>
    <t>虚炎短乏</t>
  </si>
  <si>
    <t>怔忡</t>
  </si>
  <si>
    <t>癲狂</t>
  </si>
  <si>
    <t>不寐</t>
  </si>
  <si>
    <t>巻之十·拾遺門</t>
  </si>
  <si>
    <t>疸</t>
  </si>
  <si>
    <t>眼</t>
  </si>
  <si>
    <t>耳</t>
  </si>
  <si>
    <t>鼻</t>
  </si>
  <si>
    <t>口舌</t>
  </si>
  <si>
    <t>歯</t>
  </si>
  <si>
    <t>巻之十一·瘡毒門</t>
  </si>
  <si>
    <t>癰疽癤毒</t>
  </si>
  <si>
    <t>瘡癬疥</t>
  </si>
  <si>
    <t>風</t>
  </si>
  <si>
    <t>悪蟲蛇傷</t>
  </si>
  <si>
    <t>発丹</t>
  </si>
  <si>
    <t>瘰</t>
  </si>
  <si>
    <t>癢</t>
  </si>
  <si>
    <t>巻之十二·婦人門</t>
  </si>
  <si>
    <t>経事不調</t>
  </si>
  <si>
    <t>血疼</t>
  </si>
  <si>
    <t>血虚</t>
  </si>
  <si>
    <t>崩中</t>
  </si>
  <si>
    <t>赤白帯</t>
  </si>
  <si>
    <t>胎前産後</t>
  </si>
  <si>
    <t>集例</t>
  </si>
  <si>
    <t>天地人物気候相応図</t>
  </si>
  <si>
    <t>歴代医学姓氏</t>
  </si>
  <si>
    <t>原道統説（纂《紺珠経》）</t>
  </si>
  <si>
    <t>陰騭</t>
  </si>
  <si>
    <t>保養</t>
  </si>
  <si>
    <t>奇経八脈</t>
  </si>
  <si>
    <t>診脈</t>
  </si>
  <si>
    <t>婦人脈法</t>
  </si>
  <si>
    <t>鍼灸</t>
  </si>
  <si>
    <t>鍼灸禁忌</t>
  </si>
  <si>
    <t>本草引</t>
  </si>
  <si>
    <t>本草総括</t>
  </si>
  <si>
    <t>治風門</t>
  </si>
  <si>
    <t>治熱門</t>
  </si>
  <si>
    <t>治湿門</t>
  </si>
  <si>
    <t>治燥門</t>
  </si>
  <si>
    <t>治寒門</t>
  </si>
  <si>
    <t>治瘡門</t>
  </si>
  <si>
    <t>食治門</t>
  </si>
  <si>
    <t>傷寒序</t>
  </si>
  <si>
    <t>温暑</t>
  </si>
  <si>
    <t>傷寒用薬賦</t>
  </si>
  <si>
    <t>汗吐下滲和解温補総方</t>
  </si>
  <si>
    <t>内傷（飢飽労役飲食積聚）</t>
  </si>
  <si>
    <t>内外傷弁</t>
  </si>
  <si>
    <t>内傷弁（新纂）</t>
  </si>
  <si>
    <t>脾胃虚実伝変論</t>
  </si>
  <si>
    <t>丹渓朱先生雑病纂要</t>
  </si>
  <si>
    <t>外感</t>
  </si>
  <si>
    <t>崩漏</t>
  </si>
  <si>
    <t>帯下</t>
  </si>
  <si>
    <t>産後</t>
  </si>
  <si>
    <t>婦人小児外科用薬賦</t>
  </si>
  <si>
    <t>通用古方詩括</t>
  </si>
  <si>
    <t>水火分治</t>
  </si>
  <si>
    <t>標本分治</t>
  </si>
  <si>
    <t>標本論</t>
  </si>
  <si>
    <t>求本論</t>
  </si>
  <si>
    <t>雑治賦</t>
  </si>
  <si>
    <t>習医規格</t>
  </si>
  <si>
    <t>巻一</t>
  </si>
  <si>
    <t>巻二</t>
  </si>
  <si>
    <t>巻三</t>
  </si>
  <si>
    <t>巻四</t>
  </si>
  <si>
    <t>巻五</t>
  </si>
  <si>
    <t>巻六</t>
  </si>
  <si>
    <t>弁首</t>
  </si>
  <si>
    <t>内因脈</t>
  </si>
  <si>
    <t>外因脈</t>
  </si>
  <si>
    <t>不内不外因脈</t>
  </si>
  <si>
    <t>五運主病</t>
  </si>
  <si>
    <t>火証</t>
  </si>
  <si>
    <t>痰飲</t>
  </si>
  <si>
    <t>哮吼</t>
  </si>
  <si>
    <t>喘急</t>
  </si>
  <si>
    <t>瘧疾</t>
  </si>
  <si>
    <t>痢疾</t>
  </si>
  <si>
    <t>泄瀉</t>
  </si>
  <si>
    <t>呑酸</t>
  </si>
  <si>
    <t>附噯気</t>
  </si>
  <si>
    <t>嘈雑</t>
  </si>
  <si>
    <t>諸気</t>
  </si>
  <si>
    <t>青筋</t>
  </si>
  <si>
    <t>痞満</t>
  </si>
  <si>
    <t>脹満</t>
  </si>
  <si>
    <t>水腫</t>
  </si>
  <si>
    <t>五疸</t>
  </si>
  <si>
    <t>巻之七</t>
  </si>
  <si>
    <t>補益</t>
  </si>
  <si>
    <t>痼冷</t>
  </si>
  <si>
    <t>虚労</t>
  </si>
  <si>
    <t>失血</t>
  </si>
  <si>
    <t>麻木</t>
  </si>
  <si>
    <t>巻之八</t>
  </si>
  <si>
    <t>健忘</t>
  </si>
  <si>
    <t>怔忡、驚悸</t>
  </si>
  <si>
    <t>便濁</t>
  </si>
  <si>
    <t>関格</t>
  </si>
  <si>
    <t>閉結</t>
  </si>
  <si>
    <t>痔漏</t>
  </si>
  <si>
    <t>懸癰</t>
  </si>
  <si>
    <t>脱肛</t>
  </si>
  <si>
    <t>腋気</t>
  </si>
  <si>
    <t>諸蟲</t>
  </si>
  <si>
    <t>鬚髪</t>
  </si>
  <si>
    <t>面病</t>
  </si>
  <si>
    <t>耳病</t>
  </si>
  <si>
    <t>鼻病</t>
  </si>
  <si>
    <t>牙歯</t>
  </si>
  <si>
    <t>眼目</t>
  </si>
  <si>
    <t>咽喉</t>
  </si>
  <si>
    <t>結核</t>
  </si>
  <si>
    <t>梅核気</t>
  </si>
  <si>
    <t>癭瘤</t>
  </si>
  <si>
    <t>心痛</t>
  </si>
  <si>
    <t>疝</t>
  </si>
  <si>
    <t>脚気</t>
  </si>
  <si>
    <t>痿</t>
  </si>
  <si>
    <t>痺痛</t>
  </si>
  <si>
    <t>消渇</t>
  </si>
  <si>
    <t>婦人科</t>
  </si>
  <si>
    <t>経閉</t>
  </si>
  <si>
    <t>妊娠</t>
  </si>
  <si>
    <t>産育</t>
  </si>
  <si>
    <t>乳病</t>
  </si>
  <si>
    <t>入門審候歌</t>
  </si>
  <si>
    <t>虎口三関脈紋図</t>
  </si>
  <si>
    <t>巻之十三</t>
  </si>
  <si>
    <t>癖疾</t>
  </si>
  <si>
    <t>諸熱</t>
  </si>
  <si>
    <t>感冒</t>
  </si>
  <si>
    <t>吐瀉</t>
  </si>
  <si>
    <t>痢病</t>
  </si>
  <si>
    <t>痰嗽</t>
  </si>
  <si>
    <t>気喘</t>
  </si>
  <si>
    <t>臍風</t>
  </si>
  <si>
    <t>丹毒</t>
  </si>
  <si>
    <t>巻之十四</t>
  </si>
  <si>
    <t>口病</t>
  </si>
  <si>
    <t>牙疳</t>
  </si>
  <si>
    <t>眼病</t>
  </si>
  <si>
    <t>頭瘡</t>
  </si>
  <si>
    <t>小児諸方</t>
  </si>
  <si>
    <t>巻之十五</t>
  </si>
  <si>
    <t>癰疽（附腸癰、吐癰）</t>
  </si>
  <si>
    <t>疔瘡</t>
  </si>
  <si>
    <t>楊梅瘡</t>
  </si>
  <si>
    <t>瘡</t>
  </si>
  <si>
    <t>疥瘡</t>
  </si>
  <si>
    <t>癬瘡</t>
  </si>
  <si>
    <t>癜風</t>
  </si>
  <si>
    <t>諸瘡</t>
  </si>
  <si>
    <t>杖瘡</t>
  </si>
  <si>
    <t>折傷</t>
  </si>
  <si>
    <t>金瘡</t>
  </si>
  <si>
    <t>破傷風</t>
  </si>
  <si>
    <t>湯火傷</t>
  </si>
  <si>
    <t>中毒</t>
  </si>
  <si>
    <t>救荒</t>
  </si>
  <si>
    <t>膏薬</t>
  </si>
  <si>
    <t>通治</t>
  </si>
  <si>
    <t>勧善良方</t>
  </si>
  <si>
    <t>口占八絶</t>
  </si>
  <si>
    <t>医説</t>
  </si>
  <si>
    <t>五臓六腑脈病虚実</t>
  </si>
  <si>
    <t>巻一\五臓六腑脈病虚実</t>
  </si>
  <si>
    <t>肝臓脈病虚実</t>
  </si>
  <si>
    <t>心臓脈病虚実</t>
  </si>
  <si>
    <t>脾臓脈病虚実</t>
  </si>
  <si>
    <t>肺臓脈病虚実</t>
  </si>
  <si>
    <t>腎臓脈病虚実</t>
  </si>
  <si>
    <t>胆経虚実病候</t>
  </si>
  <si>
    <t>小腸虚実病候</t>
  </si>
  <si>
    <t>胃経虚実病候</t>
  </si>
  <si>
    <t>大腸虚実病候</t>
  </si>
  <si>
    <t>膀胱経虚実病候</t>
  </si>
  <si>
    <t>三焦虚実病候</t>
  </si>
  <si>
    <t>五臓補瀉主治例</t>
  </si>
  <si>
    <t>十二経絡</t>
  </si>
  <si>
    <t>七表八里総帰四脈</t>
  </si>
  <si>
    <t>論五臓見四脈応病詩</t>
  </si>
  <si>
    <t>定死脈形候歌</t>
  </si>
  <si>
    <t>脈弁生死</t>
  </si>
  <si>
    <t>診雑病生死脈歌</t>
  </si>
  <si>
    <t>診暴病歌</t>
  </si>
  <si>
    <t>諸脈宜忌生死</t>
  </si>
  <si>
    <t>扁鵲華佗察声色秘訣</t>
  </si>
  <si>
    <t>診五臓六腑気絶症候</t>
  </si>
  <si>
    <t>臓腑論</t>
  </si>
  <si>
    <t>血気論</t>
  </si>
  <si>
    <t>脾胃論</t>
  </si>
  <si>
    <t>五運六気論</t>
  </si>
  <si>
    <t>巻一\六気為病</t>
  </si>
  <si>
    <t>風類</t>
  </si>
  <si>
    <t>熱類</t>
  </si>
  <si>
    <t>湿類</t>
  </si>
  <si>
    <t>火類</t>
  </si>
  <si>
    <t>燥類</t>
  </si>
  <si>
    <t>寒類</t>
  </si>
  <si>
    <t>亢則害承乃制体用説</t>
  </si>
  <si>
    <t>医論</t>
  </si>
  <si>
    <t>巻一\本草</t>
  </si>
  <si>
    <t>薬論</t>
  </si>
  <si>
    <t>薬有五法</t>
  </si>
  <si>
    <t>薬性歌括</t>
  </si>
  <si>
    <t>巻二\中風</t>
  </si>
  <si>
    <t>中風悪症</t>
  </si>
  <si>
    <t>預防中風</t>
  </si>
  <si>
    <t>巻二\傷寒</t>
  </si>
  <si>
    <t>脈歌</t>
  </si>
  <si>
    <t>傷寒金口訣</t>
  </si>
  <si>
    <t>出汗良法</t>
  </si>
  <si>
    <t>傷寒諸方</t>
  </si>
  <si>
    <t>四時感冒</t>
  </si>
  <si>
    <t>瘟疫</t>
  </si>
  <si>
    <t>瘴気</t>
  </si>
  <si>
    <t>火症</t>
  </si>
  <si>
    <t>巻二\内傷</t>
  </si>
  <si>
    <t>飲食</t>
  </si>
  <si>
    <t>巻二\飲食</t>
  </si>
  <si>
    <t>嗜酒喪身</t>
  </si>
  <si>
    <t>欝症</t>
  </si>
  <si>
    <t>巻三\痢疾</t>
  </si>
  <si>
    <t>下痢不治症</t>
  </si>
  <si>
    <t>巻三\泄瀉</t>
  </si>
  <si>
    <t>補遺</t>
  </si>
  <si>
    <t>呃逆</t>
  </si>
  <si>
    <t>噯気</t>
  </si>
  <si>
    <t>鼓脹</t>
  </si>
  <si>
    <t>巻三\水腫</t>
  </si>
  <si>
    <t>巻四\補益</t>
  </si>
  <si>
    <t>呼吸静功妙訣</t>
  </si>
  <si>
    <t>老人</t>
  </si>
  <si>
    <t>巻四\老人</t>
  </si>
  <si>
    <t>保生雑誌</t>
  </si>
  <si>
    <t>斑疹</t>
  </si>
  <si>
    <t>労瘵</t>
  </si>
  <si>
    <t>巻四\労瘵</t>
  </si>
  <si>
    <t>摂養良箴</t>
  </si>
  <si>
    <t>巻四\吐血</t>
  </si>
  <si>
    <t>咳血</t>
  </si>
  <si>
    <t>嘔血</t>
  </si>
  <si>
    <t>唾血</t>
  </si>
  <si>
    <t>便血</t>
  </si>
  <si>
    <t>溺血</t>
  </si>
  <si>
    <t>悪熱</t>
  </si>
  <si>
    <t>汗症</t>
  </si>
  <si>
    <t>癇症</t>
  </si>
  <si>
    <t>驚悸</t>
  </si>
  <si>
    <t>厥症</t>
  </si>
  <si>
    <t>心胃痛</t>
  </si>
  <si>
    <t>巻五\腰痛</t>
  </si>
  <si>
    <t>痛風</t>
  </si>
  <si>
    <t>病</t>
  </si>
  <si>
    <t>巻五\病</t>
  </si>
  <si>
    <t>二歌</t>
  </si>
  <si>
    <t>濁症</t>
  </si>
  <si>
    <t>巻五\濁症</t>
  </si>
  <si>
    <t>諸淋</t>
  </si>
  <si>
    <t>巻五\諸淋</t>
  </si>
  <si>
    <t>遺溺</t>
  </si>
  <si>
    <t>小便閉</t>
  </si>
  <si>
    <t>大便閉</t>
  </si>
  <si>
    <t>二便閉</t>
  </si>
  <si>
    <t>巻五\痔漏</t>
  </si>
  <si>
    <t>体気</t>
  </si>
  <si>
    <t>巻五\諸蟲</t>
  </si>
  <si>
    <t>九蟲形状</t>
  </si>
  <si>
    <t>繭唇</t>
  </si>
  <si>
    <t>喉痺</t>
  </si>
  <si>
    <t>巻六\喉痺</t>
  </si>
  <si>
    <t>巻六\結核</t>
  </si>
  <si>
    <t>肺癰</t>
  </si>
  <si>
    <t>肺痿</t>
  </si>
  <si>
    <t>心漏</t>
  </si>
  <si>
    <t>巻七</t>
  </si>
  <si>
    <t>婦科総論</t>
  </si>
  <si>
    <t>調経諸方</t>
  </si>
  <si>
    <t>断産方</t>
  </si>
  <si>
    <t>求嗣</t>
  </si>
  <si>
    <t>巻七\妊娠</t>
  </si>
  <si>
    <t>妊娠傷寒治法</t>
  </si>
  <si>
    <t>小産</t>
  </si>
  <si>
    <t>巻七\乳病</t>
  </si>
  <si>
    <t>乳岩</t>
  </si>
  <si>
    <t>通乳</t>
  </si>
  <si>
    <t>断乳</t>
  </si>
  <si>
    <t>婦人通治</t>
  </si>
  <si>
    <t>婦人雑病</t>
  </si>
  <si>
    <t>茄病</t>
  </si>
  <si>
    <t>巻八\児科総論</t>
  </si>
  <si>
    <t>小児形色論</t>
  </si>
  <si>
    <t>観形察色面目図</t>
  </si>
  <si>
    <t>観面部</t>
  </si>
  <si>
    <t>手指脈紋式</t>
  </si>
  <si>
    <t>脈指歌</t>
  </si>
  <si>
    <t>小児脈理</t>
  </si>
  <si>
    <t>小児脈歌</t>
  </si>
  <si>
    <t>小児五臓主病脈歌</t>
  </si>
  <si>
    <t>小児死症真訣</t>
  </si>
  <si>
    <t>小児死候形症</t>
  </si>
  <si>
    <t>看児眼法</t>
  </si>
  <si>
    <t>相児命短長法</t>
  </si>
  <si>
    <t>巻八</t>
  </si>
  <si>
    <t>慢脾</t>
  </si>
  <si>
    <t>積癖</t>
  </si>
  <si>
    <t>熱症</t>
  </si>
  <si>
    <t>巻八\感冒</t>
  </si>
  <si>
    <t>出痘疹屢験絶妙</t>
  </si>
  <si>
    <t>脾胃</t>
  </si>
  <si>
    <t>巻八\吐瀉</t>
  </si>
  <si>
    <t>吐瀉不治症</t>
  </si>
  <si>
    <t>巻八\痢疾</t>
  </si>
  <si>
    <t>痢疾不治症</t>
  </si>
  <si>
    <t>痰喘</t>
  </si>
  <si>
    <t>発痧</t>
  </si>
  <si>
    <t>巻八\小児初生</t>
  </si>
  <si>
    <t>小児五宜</t>
  </si>
  <si>
    <t>洗児法</t>
  </si>
  <si>
    <t>断臍法</t>
  </si>
  <si>
    <t>変蒸論</t>
  </si>
  <si>
    <t>初生雑症論</t>
  </si>
  <si>
    <t>巻八\初生雑症論</t>
  </si>
  <si>
    <t>胎寒</t>
  </si>
  <si>
    <t>胎黄</t>
  </si>
  <si>
    <t>胎驚</t>
  </si>
  <si>
    <t>鎖肚</t>
  </si>
  <si>
    <t>不乳</t>
  </si>
  <si>
    <t>撮口</t>
  </si>
  <si>
    <t>噤風</t>
  </si>
  <si>
    <t>客忤</t>
  </si>
  <si>
    <t>不尿</t>
  </si>
  <si>
    <t>天吊</t>
  </si>
  <si>
    <t>鵝口</t>
  </si>
  <si>
    <t>口瘡</t>
  </si>
  <si>
    <t>重舌</t>
  </si>
  <si>
    <t>木舌</t>
  </si>
  <si>
    <t>吃泥土</t>
  </si>
  <si>
    <t>丹毒、赤游</t>
  </si>
  <si>
    <t>喉痺、乳蛾</t>
  </si>
  <si>
    <t>眼疾</t>
  </si>
  <si>
    <t>耳疾</t>
  </si>
  <si>
    <t>鼻瘡</t>
  </si>
  <si>
    <t>臍瘡</t>
  </si>
  <si>
    <t>尾骨痛</t>
  </si>
  <si>
    <t>陰腫疝気</t>
  </si>
  <si>
    <t>盤腸気痛</t>
  </si>
  <si>
    <t>遺尿</t>
  </si>
  <si>
    <t>尿濁</t>
  </si>
  <si>
    <t>下淋</t>
  </si>
  <si>
    <t>吐血、衄血</t>
  </si>
  <si>
    <t>大小便閉</t>
  </si>
  <si>
    <t>黄胆</t>
  </si>
  <si>
    <t>鶴節</t>
  </si>
  <si>
    <t>行遅</t>
  </si>
  <si>
    <t>語遅</t>
  </si>
  <si>
    <t>歯遅</t>
  </si>
  <si>
    <t>諸遅</t>
  </si>
  <si>
    <t>亀胸</t>
  </si>
  <si>
    <t>亀背</t>
  </si>
  <si>
    <t>滞頤</t>
  </si>
  <si>
    <t>囟陥</t>
  </si>
  <si>
    <t>囟填</t>
  </si>
  <si>
    <t>手拳</t>
  </si>
  <si>
    <t>脚拳</t>
  </si>
  <si>
    <t>痘瘡</t>
  </si>
  <si>
    <t>巻八\痘瘡</t>
  </si>
  <si>
    <t>視痘顔色軽重之法</t>
  </si>
  <si>
    <t>痘症弁疑賦</t>
  </si>
  <si>
    <t>神断秘訣</t>
  </si>
  <si>
    <t>預解胎毒免痘</t>
  </si>
  <si>
    <t>郷隣出痘預防禁方</t>
  </si>
  <si>
    <t>看耳後筋紋断法</t>
  </si>
  <si>
    <t>紙捻照法</t>
  </si>
  <si>
    <t>初起発熱治法</t>
  </si>
  <si>
    <t>出痘治法</t>
  </si>
  <si>
    <t>看痘不治法</t>
  </si>
  <si>
    <t>看痘軽重歌</t>
  </si>
  <si>
    <t>起脹治法</t>
  </si>
  <si>
    <t>貫膿治法</t>
  </si>
  <si>
    <t>収靨治法</t>
  </si>
  <si>
    <t>痘後餘毒</t>
  </si>
  <si>
    <t>疹</t>
  </si>
  <si>
    <t>巻八\疹</t>
  </si>
  <si>
    <t>巻九·外科諸症</t>
  </si>
  <si>
    <t>癰疽</t>
  </si>
  <si>
    <t>巻九·外科諸症\癰疽</t>
  </si>
  <si>
    <t>審症虚実訣</t>
  </si>
  <si>
    <t>雑忌須知</t>
  </si>
  <si>
    <t>用薬治法</t>
  </si>
  <si>
    <t>附骨疽</t>
  </si>
  <si>
    <t>臀癰</t>
  </si>
  <si>
    <t>腸癰</t>
  </si>
  <si>
    <t>囊癰</t>
  </si>
  <si>
    <t>便毒</t>
  </si>
  <si>
    <t>下疳</t>
  </si>
  <si>
    <t>禿瘡</t>
  </si>
  <si>
    <t>癘風</t>
  </si>
  <si>
    <t>巻九·外科諸症\膏薬</t>
  </si>
  <si>
    <t>貼諸腫毒疔瘡発背治諸病法列於後</t>
  </si>
  <si>
    <t>湯火</t>
  </si>
  <si>
    <t>蟲獣</t>
  </si>
  <si>
    <t>巻十\単品雑治</t>
  </si>
  <si>
    <t>食塩治験</t>
  </si>
  <si>
    <t>香油治験</t>
  </si>
  <si>
    <t>生薑治験</t>
  </si>
  <si>
    <t>蘿蔔治験</t>
  </si>
  <si>
    <t>大蒜治験</t>
  </si>
  <si>
    <t>苦参治験</t>
  </si>
  <si>
    <t>百草霜治験</t>
  </si>
  <si>
    <t>巻十</t>
  </si>
  <si>
    <t>巻十\雑方</t>
  </si>
  <si>
    <t>歌曰</t>
  </si>
  <si>
    <t>歯傷</t>
  </si>
  <si>
    <t>巻十\中毒</t>
  </si>
  <si>
    <t>骨鯁</t>
  </si>
  <si>
    <t>邪祟</t>
  </si>
  <si>
    <t>巻十\邪祟</t>
  </si>
  <si>
    <t>承祖灸鬼法</t>
  </si>
  <si>
    <t>論祟脈</t>
  </si>
  <si>
    <t>五絶</t>
  </si>
  <si>
    <t>井冢</t>
  </si>
  <si>
    <t>蠱毒</t>
  </si>
  <si>
    <t>救荒辟穀</t>
  </si>
  <si>
    <t>巻十\灸法</t>
  </si>
  <si>
    <t>定例</t>
  </si>
  <si>
    <t>取穴法</t>
  </si>
  <si>
    <t>灸諸病法</t>
  </si>
  <si>
    <t>灸諸瘡法</t>
  </si>
  <si>
    <t>傷寒論条弁引</t>
  </si>
  <si>
    <t>陽病在表之図</t>
  </si>
  <si>
    <t>陰病在裡之図</t>
  </si>
  <si>
    <t>陽病陰病図説</t>
  </si>
  <si>
    <t>弁太陽病脈証並治上編第一</t>
  </si>
  <si>
    <t>弁太陽病脈証並治中篇第二</t>
  </si>
  <si>
    <t>弁太陽病脈証並治下編第三</t>
  </si>
  <si>
    <t>弁陽明病脈証並治第四</t>
  </si>
  <si>
    <t>弁少陽病脈証並治第五</t>
  </si>
  <si>
    <t>弁太陰病脈証並治第六</t>
  </si>
  <si>
    <t>弁少陰病脈証並治第七</t>
  </si>
  <si>
    <t>弁厥陰病脈証並治第八</t>
  </si>
  <si>
    <t>弁温病風温雑病脈証並治第九</t>
  </si>
  <si>
    <t>弁霍乱病脈証並治第十</t>
  </si>
  <si>
    <t>弁陰陽易瘥後労復脈証並治第十一</t>
  </si>
  <si>
    <t>弁痙湿病証第十二</t>
  </si>
  <si>
    <t>弁脈法上編第十三</t>
  </si>
  <si>
    <t>弁脈法下編第十四</t>
  </si>
  <si>
    <t>弁不可発汗病脈証並治第十五</t>
  </si>
  <si>
    <t>弁可発汗病脈証並治第十六</t>
  </si>
  <si>
    <t>弁発汗後病脈証並治第十七</t>
  </si>
  <si>
    <t>弁不可吐病脈証並治第十八</t>
  </si>
  <si>
    <t>弁可吐病脈証並治第十九</t>
  </si>
  <si>
    <t>弁不可下病脈証並治第二十</t>
  </si>
  <si>
    <t>弁可下病脈証並治第二十一</t>
  </si>
  <si>
    <t>弁発汗吐下後脈証並治第二十二</t>
  </si>
  <si>
    <t>附廬山劉復真脈訣捷要</t>
  </si>
  <si>
    <t>附厳三点捷法</t>
  </si>
  <si>
    <t>神聖功巧括</t>
  </si>
  <si>
    <t>削傷寒例</t>
  </si>
  <si>
    <t>跋</t>
  </si>
  <si>
    <t>傷寒論条弁本草鈔</t>
  </si>
  <si>
    <t>傷寒論条弁或問</t>
  </si>
  <si>
    <t>痙書叙</t>
  </si>
  <si>
    <t>痙書</t>
  </si>
  <si>
    <t>痙書或問</t>
  </si>
  <si>
    <t>痙書跋</t>
  </si>
  <si>
    <t>後序</t>
  </si>
  <si>
    <t>自序</t>
  </si>
  <si>
    <t>中風論</t>
  </si>
  <si>
    <t>咳嗽論</t>
  </si>
  <si>
    <t>消渇論</t>
  </si>
  <si>
    <t>痢疾論</t>
  </si>
  <si>
    <t>申明《内経》法律</t>
  </si>
  <si>
    <t>申明仲景律書</t>
  </si>
  <si>
    <t>先哲格言</t>
  </si>
  <si>
    <t>中寒門</t>
  </si>
  <si>
    <t>陰病論</t>
  </si>
  <si>
    <t>比類仲景《傷寒論》陽虚陰盛治法並死証三十二則</t>
  </si>
  <si>
    <t>比類《金匱》水寒五則</t>
  </si>
  <si>
    <t>比類《金匱》胃寒四則</t>
  </si>
  <si>
    <t>中寒色脈六則</t>
  </si>
  <si>
    <t>比類《金匱》胸腹寒痛十七則</t>
  </si>
  <si>
    <t>比類《金匱》虚寒下利六則</t>
  </si>
  <si>
    <t>中寒門方</t>
  </si>
  <si>
    <t>中風門</t>
  </si>
  <si>
    <t>風門雑法七条</t>
  </si>
  <si>
    <t>中風門方</t>
  </si>
  <si>
    <t>附痺証諸方</t>
  </si>
  <si>
    <t>附風門雑方</t>
  </si>
  <si>
    <t>熱湿暑三気門</t>
  </si>
  <si>
    <t>痙病論</t>
  </si>
  <si>
    <t>痙脈論</t>
  </si>
  <si>
    <t>風湿論</t>
  </si>
  <si>
    <t>三気門方</t>
  </si>
  <si>
    <t>傷燥門</t>
  </si>
  <si>
    <t>秋燥論</t>
  </si>
  <si>
    <t>秋燥門方</t>
  </si>
  <si>
    <t>瘧証門</t>
  </si>
  <si>
    <t>瘧証論</t>
  </si>
  <si>
    <t>瘧証門方</t>
  </si>
  <si>
    <t>痢疾門方</t>
  </si>
  <si>
    <t>痰飲門</t>
  </si>
  <si>
    <t>痰飲論</t>
  </si>
  <si>
    <t>痰飲脈論</t>
  </si>
  <si>
    <t>痰飲留伏論</t>
  </si>
  <si>
    <t>痰飲門方</t>
  </si>
  <si>
    <t>咳嗽門</t>
  </si>
  <si>
    <t>咳嗽続論</t>
  </si>
  <si>
    <t>咳嗽門方</t>
  </si>
  <si>
    <t>関格門</t>
  </si>
  <si>
    <t>関格論</t>
  </si>
  <si>
    <t>進退黄連湯方論</t>
  </si>
  <si>
    <t>関格門方</t>
  </si>
  <si>
    <t>消渇続論</t>
  </si>
  <si>
    <t>消渇門方</t>
  </si>
  <si>
    <t>虚労門</t>
  </si>
  <si>
    <t>虚労論</t>
  </si>
  <si>
    <t>虚労脈論</t>
  </si>
  <si>
    <t>虚労門方</t>
  </si>
  <si>
    <t>水腫門</t>
  </si>
  <si>
    <t>水腫論</t>
  </si>
  <si>
    <t>水腫脈論</t>
  </si>
  <si>
    <t>水腫門方</t>
  </si>
  <si>
    <t>脹病論</t>
  </si>
  <si>
    <t>脹病諸方</t>
  </si>
  <si>
    <t>黄癉門</t>
  </si>
  <si>
    <t>黄癉門方</t>
  </si>
  <si>
    <t>肺癰肺痿門</t>
  </si>
  <si>
    <t>肺癰肺痿門方</t>
  </si>
  <si>
    <t>原病</t>
  </si>
  <si>
    <t>温疫初起</t>
  </si>
  <si>
    <t>伝変不常</t>
  </si>
  <si>
    <t>急証急攻</t>
  </si>
  <si>
    <t>熱邪散漫</t>
  </si>
  <si>
    <t>内壅不汗</t>
  </si>
  <si>
    <t>下後脈浮</t>
  </si>
  <si>
    <t>下後脈復沈</t>
  </si>
  <si>
    <t>邪気復聚</t>
  </si>
  <si>
    <t>下後身反熱</t>
  </si>
  <si>
    <t>下後脈反数</t>
  </si>
  <si>
    <t>因証数攻</t>
  </si>
  <si>
    <t>病癒結存</t>
  </si>
  <si>
    <t>注意逐邪勿拘結糞</t>
  </si>
  <si>
    <t>弁明傷寒時疫</t>
  </si>
  <si>
    <t>発斑戦汗合論</t>
  </si>
  <si>
    <t>戦汗</t>
  </si>
  <si>
    <t>狂汗</t>
  </si>
  <si>
    <t>数下亡陰</t>
  </si>
  <si>
    <t>用参宜忌有前利後害之不同</t>
  </si>
  <si>
    <t>下後間服緩剤</t>
  </si>
  <si>
    <t>下後反痞</t>
  </si>
  <si>
    <t>下後反嘔</t>
  </si>
  <si>
    <t>奪液無汗</t>
  </si>
  <si>
    <t>補瀉兼施</t>
  </si>
  <si>
    <t>薬煩</t>
  </si>
  <si>
    <t>停薬</t>
  </si>
  <si>
    <t>虚煩似狂</t>
  </si>
  <si>
    <t>神虚譫語</t>
  </si>
  <si>
    <t>奪気不語</t>
  </si>
  <si>
    <t>老少異治</t>
  </si>
  <si>
    <t>妄投破気薬論</t>
  </si>
  <si>
    <t>妄投補剤論</t>
  </si>
  <si>
    <t>妄投寒涼薬論</t>
  </si>
  <si>
    <t>大便</t>
  </si>
  <si>
    <t>小便</t>
  </si>
  <si>
    <t>前後虚実</t>
  </si>
  <si>
    <t>脈厥</t>
  </si>
  <si>
    <t>脈証不応</t>
  </si>
  <si>
    <t>乗除</t>
  </si>
  <si>
    <t>雑気論</t>
  </si>
  <si>
    <t>論気盛衰</t>
  </si>
  <si>
    <t>論気所傷不同</t>
  </si>
  <si>
    <t>論食</t>
  </si>
  <si>
    <t>論飲</t>
  </si>
  <si>
    <t>損復</t>
  </si>
  <si>
    <t>標本</t>
  </si>
  <si>
    <t>行邪伏邪之別</t>
  </si>
  <si>
    <t>応下諸証</t>
  </si>
  <si>
    <t>応補諸証</t>
  </si>
  <si>
    <t>論陰証世間罕有</t>
  </si>
  <si>
    <t>論陽証似陰</t>
  </si>
  <si>
    <t>論軽疫誤治毎成痼疾</t>
  </si>
  <si>
    <t>肢体浮腫</t>
  </si>
  <si>
    <t>服寒剤反熱</t>
  </si>
  <si>
    <t>知一</t>
  </si>
  <si>
    <t>四損不可正治</t>
  </si>
  <si>
    <t>労復、食復、自復</t>
  </si>
  <si>
    <t>瘧疫兼証</t>
  </si>
  <si>
    <t>温瘧</t>
  </si>
  <si>
    <t>疫痢兼証</t>
  </si>
  <si>
    <t>婦人時疫</t>
  </si>
  <si>
    <t>主客交</t>
  </si>
  <si>
    <t>調理法</t>
  </si>
  <si>
    <t>正名</t>
  </si>
  <si>
    <t>諸家温疫正誤</t>
  </si>
  <si>
    <t>傷寒卒病論集</t>
  </si>
  <si>
    <t>弁脈法第一</t>
  </si>
  <si>
    <t>平脈法第二</t>
  </si>
  <si>
    <t>傷寒例第三</t>
  </si>
  <si>
    <t>弁不可吐第十八</t>
  </si>
  <si>
    <t>弁可吐第十九</t>
  </si>
  <si>
    <t>巻九</t>
  </si>
  <si>
    <t>弁太陽病脈証並治上編</t>
  </si>
  <si>
    <t>弁太陽病脈証並治中篇</t>
  </si>
  <si>
    <t>弁太陽病脈証並治下編</t>
  </si>
  <si>
    <t>弁陽明病脈証並治全篇</t>
  </si>
  <si>
    <t>弁少陽病脈証並治全篇</t>
  </si>
  <si>
    <t>弁太陰病脈証並治全篇</t>
  </si>
  <si>
    <t>弁少陰病脈証並治全篇</t>
  </si>
  <si>
    <t>弁厥陰病脈証並治全篇</t>
  </si>
  <si>
    <t>弁合病並病脈証並治篇</t>
  </si>
  <si>
    <t>弁瘥後労復食復陰陽易病脈証並治篇</t>
  </si>
  <si>
    <t>巻十一</t>
  </si>
  <si>
    <t>弁壊病脈証並治篇</t>
  </si>
  <si>
    <t>弁温病脈証並治篇</t>
  </si>
  <si>
    <t>巻十三</t>
  </si>
  <si>
    <t>弁痙湿病脈証並治篇</t>
  </si>
  <si>
    <t>巻十四</t>
  </si>
  <si>
    <t>弁霍乱病脈証並治篇</t>
  </si>
  <si>
    <t>巻十五</t>
  </si>
  <si>
    <t>弁可汗病脈証篇</t>
  </si>
  <si>
    <t>弁不可汗病脈証篇</t>
  </si>
  <si>
    <t>弁可吐病脈証篇</t>
  </si>
  <si>
    <t>弁不可吐病脈証篇</t>
  </si>
  <si>
    <t>弁可下病脈証篇</t>
  </si>
  <si>
    <t>弁不可下病脈証篇</t>
  </si>
  <si>
    <t>巻十六</t>
  </si>
  <si>
    <t>平脈法</t>
  </si>
  <si>
    <t>正誤存疑篇</t>
  </si>
  <si>
    <t>臓腑経絡先後病脈証第一</t>
  </si>
  <si>
    <t>百合狐惑陰陽毒病脈証並治第三</t>
  </si>
  <si>
    <t>瘧病脈証並治第四</t>
  </si>
  <si>
    <t>中風歴節病脈証並治第五</t>
  </si>
  <si>
    <t>血痺虚労病脈証並治第六</t>
  </si>
  <si>
    <t>肺痿肺癰咳嗽上気病脈証並治第七</t>
  </si>
  <si>
    <t>奔豚気病脈証並治第八</t>
  </si>
  <si>
    <t>胸痺心痛短気病脈証並治第九</t>
  </si>
  <si>
    <t>腹満寒疝宿食病脈証並治第十</t>
  </si>
  <si>
    <t>五臓風寒積聚病脈証並治第十一</t>
  </si>
  <si>
    <t>驚悸吐衄下血胸満瘀血病脈証並治第十二</t>
  </si>
  <si>
    <t>痰飲咳嗽病脈証並治第十三</t>
  </si>
  <si>
    <t>消渇小便利淋病脈証並治第十四</t>
  </si>
  <si>
    <t>水気病脈証並治第十五</t>
  </si>
  <si>
    <t>黄胆病脈証並治第十六</t>
  </si>
  <si>
    <t>嘔吐噦下利病脈証並治第十七</t>
  </si>
  <si>
    <t>瘡癰腸癰浸淫病脈証並治第十八</t>
  </si>
  <si>
    <t>婦人妊娠病脈証並治第二十</t>
  </si>
  <si>
    <t>婦人産後病脈証並治第二十一</t>
  </si>
  <si>
    <t>婦人雑病脈証並治第二十二</t>
  </si>
  <si>
    <t>雑療方第二十三</t>
  </si>
  <si>
    <t>訂正仲景全書金匱要略注</t>
  </si>
  <si>
    <t>痓湿暍病脈証並治第二</t>
    <rPh sb="0" eb="1">
      <t>シ</t>
    </rPh>
    <phoneticPr fontId="2"/>
  </si>
  <si>
    <t>趺蹶手指臂腫転筋陰狐疝蚘虫病脈証並治第十九</t>
    <rPh sb="12" eb="13">
      <t>ムシ</t>
    </rPh>
    <phoneticPr fontId="2"/>
  </si>
  <si>
    <t>禽獣魚虫禁忌並治第二十四</t>
    <rPh sb="3" eb="4">
      <t>ムシ</t>
    </rPh>
    <phoneticPr fontId="2"/>
  </si>
  <si>
    <t>果実菜穀禁忌並治第二十五</t>
    <rPh sb="3" eb="4">
      <t>コク</t>
    </rPh>
    <rPh sb="4" eb="6">
      <t>キンキ</t>
    </rPh>
    <phoneticPr fontId="2"/>
  </si>
  <si>
    <t>臓腑経絡先後病脈証</t>
  </si>
  <si>
    <t>痓湿暍病脈証并治</t>
  </si>
  <si>
    <t>百合狐惑陰陽毒病脈証并治</t>
  </si>
  <si>
    <t>瘧病脈証并治</t>
  </si>
  <si>
    <t>中風歴節病脈証并治</t>
  </si>
  <si>
    <t>血痺虚労病脈証并治</t>
  </si>
  <si>
    <t>肺痿肺癰咳嗽上気病脈証并治</t>
  </si>
  <si>
    <t>奔豚気病脈証并治</t>
  </si>
  <si>
    <t>胸痺心痛短気病脈証并治</t>
  </si>
  <si>
    <t>腹満寒疝宿食病脈証并治</t>
  </si>
  <si>
    <t>五臓風寒積聚病脈証并治</t>
  </si>
  <si>
    <t>驚悸吐衄下血胸満瘀血病脈証并治</t>
  </si>
  <si>
    <t>痰飲咳嗽病脈証并治</t>
  </si>
  <si>
    <t>消渇小便利淋病脈証并治</t>
  </si>
  <si>
    <t>水気病脈証并治</t>
  </si>
  <si>
    <t>黄胆病脈証并治</t>
  </si>
  <si>
    <t>嘔吐噦下利病脈証并治</t>
  </si>
  <si>
    <t>瘡癰腸癰浸淫病脈証并治</t>
  </si>
  <si>
    <t>趺蹶手指臂腫転筋陰狐疝蚘虫病脈証并治</t>
  </si>
  <si>
    <t>婦人妊娠病脈証并治</t>
  </si>
  <si>
    <t>婦人産後病脈証并治</t>
  </si>
  <si>
    <t>婦人雑病脈証并治</t>
  </si>
  <si>
    <t>雑療方</t>
  </si>
  <si>
    <t>禽獣魚虫禁忌并治</t>
  </si>
  <si>
    <t>果実菜穀禁忌并治</t>
  </si>
  <si>
    <t>巻上</t>
    <rPh sb="0" eb="1">
      <t>マキ</t>
    </rPh>
    <rPh sb="1" eb="2">
      <t>ウエ</t>
    </rPh>
    <phoneticPr fontId="2"/>
  </si>
  <si>
    <t>嘔吐門</t>
    <rPh sb="0" eb="2">
      <t>オウト</t>
    </rPh>
    <rPh sb="2" eb="3">
      <t>モン</t>
    </rPh>
    <phoneticPr fontId="2"/>
  </si>
  <si>
    <t>頭痛門</t>
    <rPh sb="0" eb="2">
      <t>ズツウ</t>
    </rPh>
    <rPh sb="2" eb="3">
      <t>モン</t>
    </rPh>
    <phoneticPr fontId="2"/>
  </si>
  <si>
    <t>頭汗門</t>
    <rPh sb="0" eb="1">
      <t>アタマ</t>
    </rPh>
    <rPh sb="1" eb="2">
      <t>アセ</t>
    </rPh>
    <rPh sb="2" eb="3">
      <t>モン</t>
    </rPh>
    <phoneticPr fontId="2"/>
  </si>
  <si>
    <t>頭眩門</t>
    <rPh sb="0" eb="1">
      <t>アタマ</t>
    </rPh>
    <rPh sb="1" eb="2">
      <t>ゲン</t>
    </rPh>
    <rPh sb="2" eb="3">
      <t>モン</t>
    </rPh>
    <phoneticPr fontId="2"/>
  </si>
  <si>
    <t>目門</t>
  </si>
  <si>
    <t>衄血門</t>
  </si>
  <si>
    <t>口門</t>
  </si>
  <si>
    <t>白胎門</t>
  </si>
  <si>
    <t>身疼門</t>
  </si>
  <si>
    <t>自汗門</t>
  </si>
  <si>
    <t>悪風門</t>
  </si>
  <si>
    <t>悪寒門</t>
  </si>
  <si>
    <t>発熱門</t>
  </si>
  <si>
    <t>寒熱門</t>
  </si>
  <si>
    <t>潮熱門</t>
  </si>
  <si>
    <t>厥門</t>
  </si>
  <si>
    <t>喘門</t>
  </si>
  <si>
    <t>咳門</t>
  </si>
  <si>
    <t>渇門</t>
  </si>
  <si>
    <t>咽痛門</t>
  </si>
  <si>
    <t>項強門</t>
  </si>
  <si>
    <t>胸満門</t>
  </si>
  <si>
    <t>結胸門</t>
  </si>
  <si>
    <t>心下痞悶門</t>
  </si>
  <si>
    <t>心下満痛門</t>
  </si>
  <si>
    <t>心下悸門</t>
  </si>
  <si>
    <t>脇満門</t>
  </si>
  <si>
    <t>腹満門</t>
  </si>
  <si>
    <t>腹痛門</t>
  </si>
  <si>
    <t>少腹満門</t>
  </si>
  <si>
    <t>下利門</t>
  </si>
  <si>
    <t>下利膿血門</t>
  </si>
  <si>
    <t>大便硬門</t>
  </si>
  <si>
    <t>大便難門</t>
  </si>
  <si>
    <t>不大便門</t>
  </si>
  <si>
    <t>小便不利門</t>
  </si>
  <si>
    <t>小便難門</t>
  </si>
  <si>
    <t>小便数門</t>
  </si>
  <si>
    <t>小便自利門</t>
  </si>
  <si>
    <t>小便清門</t>
  </si>
  <si>
    <t>冒門</t>
  </si>
  <si>
    <t>煩門</t>
  </si>
  <si>
    <t>躁煩門</t>
  </si>
  <si>
    <t>発狂門</t>
  </si>
  <si>
    <t>心中懊憹門</t>
  </si>
  <si>
    <t>発黄門</t>
  </si>
  <si>
    <t>不得眠門</t>
  </si>
  <si>
    <t>身瞤門</t>
  </si>
  <si>
    <t>噦噫門</t>
  </si>
  <si>
    <t>雑門</t>
  </si>
  <si>
    <t>傷寒類証目録</t>
    <rPh sb="0" eb="2">
      <t>ショウカン</t>
    </rPh>
    <rPh sb="2" eb="3">
      <t>ルイ</t>
    </rPh>
    <rPh sb="3" eb="4">
      <t>アカシ</t>
    </rPh>
    <rPh sb="4" eb="6">
      <t>モクロク</t>
    </rPh>
    <phoneticPr fontId="2"/>
  </si>
  <si>
    <t>巻中</t>
    <rPh sb="0" eb="1">
      <t>マキ</t>
    </rPh>
    <rPh sb="1" eb="2">
      <t>ナカ</t>
    </rPh>
    <phoneticPr fontId="2"/>
  </si>
  <si>
    <t>巻下</t>
    <phoneticPr fontId="2"/>
  </si>
  <si>
    <t>目次</t>
    <rPh sb="0" eb="2">
      <t>モクジ</t>
    </rPh>
    <phoneticPr fontId="2"/>
  </si>
  <si>
    <t>上巻</t>
    <rPh sb="0" eb="1">
      <t>ウエ</t>
    </rPh>
    <rPh sb="1" eb="2">
      <t>マキ</t>
    </rPh>
    <phoneticPr fontId="2"/>
  </si>
  <si>
    <t>表裏分伝</t>
    <rPh sb="1" eb="2">
      <t>ウラ</t>
    </rPh>
    <phoneticPr fontId="2"/>
  </si>
  <si>
    <t>下巻</t>
    <rPh sb="0" eb="1">
      <t>シタ</t>
    </rPh>
    <rPh sb="1" eb="2">
      <t>マキ</t>
    </rPh>
    <phoneticPr fontId="2"/>
  </si>
  <si>
    <t>蚘厥</t>
    <rPh sb="0" eb="1">
      <t>ユウ</t>
    </rPh>
    <phoneticPr fontId="2"/>
  </si>
  <si>
    <t>似表非表，似裏非裏</t>
    <rPh sb="6" eb="7">
      <t>ウラ</t>
    </rPh>
    <rPh sb="8" eb="9">
      <t>ウラ</t>
    </rPh>
    <phoneticPr fontId="2"/>
  </si>
  <si>
    <t>《傷寒例》正誤</t>
    <phoneticPr fontId="2"/>
  </si>
  <si>
    <t>温疫論札記 / 山田業広 [撰]</t>
  </si>
  <si>
    <t>瘟疫論類編. 巻之1-5 / 呉有性 著 ; 劉奎 訂正 ; 劉秉錦 編釈 ; 劉嗣宗 参閲</t>
  </si>
  <si>
    <t>https://rmda.kulib.kyoto-u.ac.jp/item/rb00013381</t>
    <phoneticPr fontId="2"/>
  </si>
  <si>
    <t>https://rmda.kulib.kyoto-u.ac.jp/item/rb00013381</t>
    <phoneticPr fontId="2"/>
  </si>
  <si>
    <t>下格（※　下隔）</t>
    <rPh sb="5" eb="6">
      <t>シタ</t>
    </rPh>
    <rPh sb="6" eb="7">
      <t>カク</t>
    </rPh>
    <phoneticPr fontId="2"/>
  </si>
  <si>
    <t>蓄血（※　畜血）</t>
    <rPh sb="5" eb="6">
      <t>チク</t>
    </rPh>
    <rPh sb="6" eb="7">
      <t>チ</t>
    </rPh>
    <phoneticPr fontId="2"/>
  </si>
  <si>
    <t>邪在胸膈</t>
    <phoneticPr fontId="2"/>
  </si>
  <si>
    <t>解後宜養陰忌投参朮</t>
    <rPh sb="8" eb="9">
      <t>ジュツ</t>
    </rPh>
    <phoneticPr fontId="2"/>
  </si>
  <si>
    <t>体厥</t>
    <phoneticPr fontId="2"/>
  </si>
  <si>
    <t>舎病治薬</t>
    <phoneticPr fontId="2"/>
  </si>
  <si>
    <t>舎病治弊</t>
    <phoneticPr fontId="2"/>
  </si>
  <si>
    <t>妊娠時疫</t>
    <phoneticPr fontId="2"/>
  </si>
  <si>
    <t>医無閭子医貫序</t>
    <rPh sb="1" eb="2">
      <t>ム</t>
    </rPh>
    <phoneticPr fontId="2"/>
  </si>
  <si>
    <t>巻之一</t>
    <phoneticPr fontId="2"/>
  </si>
  <si>
    <t>巻之二</t>
    <phoneticPr fontId="2"/>
  </si>
  <si>
    <t>　主客弁疑</t>
    <phoneticPr fontId="2"/>
  </si>
  <si>
    <t>巻之三</t>
    <phoneticPr fontId="2"/>
  </si>
  <si>
    <t>　絳雪丹書</t>
    <phoneticPr fontId="2"/>
  </si>
  <si>
    <t>巻之四</t>
    <phoneticPr fontId="2"/>
  </si>
  <si>
    <t>　先天要論（上）</t>
    <phoneticPr fontId="2"/>
  </si>
  <si>
    <t>巻之五</t>
    <phoneticPr fontId="2"/>
  </si>
  <si>
    <t>先天要論（下)</t>
    <phoneticPr fontId="2"/>
  </si>
  <si>
    <t>巻之六</t>
    <phoneticPr fontId="2"/>
  </si>
  <si>
    <t>　後天要論</t>
    <phoneticPr fontId="2"/>
  </si>
  <si>
    <t>　　補中益気湯論</t>
    <phoneticPr fontId="2"/>
  </si>
  <si>
    <t>　　傷飲食論</t>
    <phoneticPr fontId="2"/>
  </si>
  <si>
    <t>　　中暑傷暑論</t>
    <phoneticPr fontId="2"/>
  </si>
  <si>
    <t>　　湿論</t>
    <phoneticPr fontId="2"/>
  </si>
  <si>
    <t>　　瘧論</t>
    <phoneticPr fontId="2"/>
  </si>
  <si>
    <t>　　痢疾論</t>
    <phoneticPr fontId="2"/>
  </si>
  <si>
    <t>　玄元膚論</t>
    <phoneticPr fontId="2"/>
  </si>
  <si>
    <t>　　内経十二官論</t>
    <phoneticPr fontId="2"/>
  </si>
  <si>
    <t>　　形影図説</t>
    <rPh sb="2" eb="3">
      <t>カタチ</t>
    </rPh>
    <rPh sb="3" eb="4">
      <t>カゲ</t>
    </rPh>
    <rPh sb="4" eb="6">
      <t>ズセツ</t>
    </rPh>
    <phoneticPr fontId="2"/>
  </si>
  <si>
    <t>　　陰陽論</t>
    <phoneticPr fontId="2"/>
  </si>
  <si>
    <t>　　五行論</t>
    <phoneticPr fontId="2"/>
  </si>
  <si>
    <t>　　中風論</t>
    <phoneticPr fontId="2"/>
  </si>
  <si>
    <t>　　傷寒論</t>
    <phoneticPr fontId="2"/>
  </si>
  <si>
    <t>　　温病論</t>
    <phoneticPr fontId="2"/>
  </si>
  <si>
    <t>　　論陽毒陰毒</t>
    <rPh sb="2" eb="3">
      <t>ロン</t>
    </rPh>
    <rPh sb="3" eb="4">
      <t>ヨウ</t>
    </rPh>
    <rPh sb="4" eb="5">
      <t>ドク</t>
    </rPh>
    <rPh sb="5" eb="6">
      <t>イン</t>
    </rPh>
    <rPh sb="6" eb="7">
      <t>ドク</t>
    </rPh>
    <phoneticPr fontId="2"/>
  </si>
  <si>
    <t>　　鬱病論</t>
    <rPh sb="2" eb="3">
      <t>ウツ</t>
    </rPh>
    <phoneticPr fontId="2"/>
  </si>
  <si>
    <t>　　論血症</t>
    <phoneticPr fontId="2"/>
  </si>
  <si>
    <t>　　八味丸方</t>
    <phoneticPr fontId="2"/>
  </si>
  <si>
    <t>　　張仲景八味丸用沢瀉論</t>
    <phoneticPr fontId="2"/>
  </si>
  <si>
    <t>　　水火論</t>
    <phoneticPr fontId="2"/>
  </si>
  <si>
    <t>　　六味丸説</t>
    <phoneticPr fontId="2"/>
  </si>
  <si>
    <t>　　八味丸説</t>
    <phoneticPr fontId="2"/>
  </si>
  <si>
    <t>　　滋陰降火論</t>
    <rPh sb="3" eb="4">
      <t>イン</t>
    </rPh>
    <phoneticPr fontId="2"/>
  </si>
  <si>
    <t>　　相火龍雷論</t>
    <phoneticPr fontId="2"/>
  </si>
  <si>
    <t>　　陰虚発熱論</t>
    <phoneticPr fontId="2"/>
  </si>
  <si>
    <t>　　痰論</t>
    <phoneticPr fontId="2"/>
  </si>
  <si>
    <t>　　咳嗽論</t>
    <phoneticPr fontId="2"/>
  </si>
  <si>
    <t>　　吐血論</t>
    <phoneticPr fontId="2"/>
  </si>
  <si>
    <t>　　喘論</t>
    <phoneticPr fontId="2"/>
  </si>
  <si>
    <t>　　喉咽痛論</t>
    <phoneticPr fontId="2"/>
  </si>
  <si>
    <t>　　眼目論</t>
    <phoneticPr fontId="2"/>
  </si>
  <si>
    <t>　　歯論</t>
    <phoneticPr fontId="2"/>
  </si>
  <si>
    <t>　　口瘡論</t>
    <phoneticPr fontId="2"/>
  </si>
  <si>
    <t>　　耳論</t>
    <phoneticPr fontId="2"/>
  </si>
  <si>
    <t>　　耳瘡論</t>
    <phoneticPr fontId="2"/>
  </si>
  <si>
    <t>　　消渇論</t>
    <phoneticPr fontId="2"/>
  </si>
  <si>
    <t>　　気虚中満論</t>
    <phoneticPr fontId="2"/>
  </si>
  <si>
    <t>　　噎膈論</t>
    <phoneticPr fontId="2"/>
  </si>
  <si>
    <t>　　瀉利并大便不通論</t>
    <rPh sb="4" eb="5">
      <t>ヘイ</t>
    </rPh>
    <phoneticPr fontId="2"/>
  </si>
  <si>
    <t>　　小便不通并不禁論</t>
    <rPh sb="6" eb="7">
      <t>ヘイ</t>
    </rPh>
    <phoneticPr fontId="2"/>
  </si>
  <si>
    <t>　　夢遺并精滑論</t>
    <phoneticPr fontId="2"/>
  </si>
  <si>
    <t>https://rmda.kulib.kyoto-u.ac.jp/item/rb00004134</t>
  </si>
  <si>
    <t>古今医統正脈全書</t>
    <rPh sb="0" eb="4">
      <t>ココンイトウ</t>
    </rPh>
    <rPh sb="4" eb="5">
      <t>タダ</t>
    </rPh>
    <rPh sb="5" eb="6">
      <t>ミャク</t>
    </rPh>
    <rPh sb="6" eb="8">
      <t>ゼンショ</t>
    </rPh>
    <phoneticPr fontId="2"/>
  </si>
  <si>
    <t>内閣文庫</t>
    <rPh sb="0" eb="4">
      <t>ナイカクブンコ</t>
    </rPh>
    <phoneticPr fontId="2"/>
  </si>
  <si>
    <t>　中風門</t>
  </si>
  <si>
    <t>　傷寒門</t>
  </si>
  <si>
    <t>　感冒門</t>
  </si>
  <si>
    <t>　暑門</t>
  </si>
  <si>
    <t>　湿門</t>
  </si>
  <si>
    <t>　瘟疫門</t>
  </si>
  <si>
    <t>　大頭瘟門</t>
  </si>
  <si>
    <t>　火門</t>
  </si>
  <si>
    <t>　瘧門</t>
  </si>
  <si>
    <t>　痢門</t>
  </si>
  <si>
    <t>　泄瀉門</t>
  </si>
  <si>
    <t>　秘結門</t>
  </si>
  <si>
    <t>　霍乱門</t>
  </si>
  <si>
    <t>　痰門</t>
  </si>
  <si>
    <t>　哮喘門</t>
  </si>
  <si>
    <t>　咳嗽門</t>
  </si>
  <si>
    <t>　虚損労瘵門</t>
  </si>
  <si>
    <t>　気門</t>
  </si>
  <si>
    <t>　血証門</t>
  </si>
  <si>
    <t>　脱肛門</t>
  </si>
  <si>
    <t>　嘔吐門</t>
  </si>
  <si>
    <t>　呃逆門</t>
  </si>
  <si>
    <t>　翻胃門</t>
  </si>
  <si>
    <t>　噎膈門</t>
  </si>
  <si>
    <t>　脾胃門</t>
  </si>
  <si>
    <t>　傷食門</t>
  </si>
  <si>
    <t>　呑酸門</t>
  </si>
  <si>
    <t>　痞門第</t>
  </si>
  <si>
    <t>　＠嘈雑門</t>
  </si>
  <si>
    <t>　鬱門</t>
  </si>
  <si>
    <t>　五疸門</t>
  </si>
  <si>
    <t>　消渇門</t>
  </si>
  <si>
    <t>　水腫門</t>
  </si>
  <si>
    <t>　鼓脹門</t>
  </si>
  <si>
    <t>　小便不通門</t>
  </si>
  <si>
    <t>　小便不禁門</t>
  </si>
  <si>
    <t>　淋渋門</t>
  </si>
  <si>
    <t>　精濁門</t>
  </si>
  <si>
    <t>　自汗門</t>
  </si>
  <si>
    <t>　盗汗門</t>
  </si>
  <si>
    <t>　積聚癥瘕門</t>
  </si>
  <si>
    <t>　痿痺門</t>
  </si>
  <si>
    <t>　厥証門</t>
  </si>
  <si>
    <t>　痓門第</t>
  </si>
  <si>
    <t>　癇門第</t>
  </si>
  <si>
    <t>　癲狂門</t>
  </si>
  <si>
    <t>　驚悸怔忡門</t>
  </si>
  <si>
    <t>　健忘門</t>
  </si>
  <si>
    <t>　痛風門</t>
  </si>
  <si>
    <t>　癘風門</t>
  </si>
  <si>
    <t>　喉閉門</t>
  </si>
  <si>
    <t>　頭痛門</t>
  </si>
  <si>
    <t>　腹痛門</t>
  </si>
  <si>
    <t>　脇痛門</t>
  </si>
  <si>
    <t>　腰痛門</t>
  </si>
  <si>
    <t>　七疝門</t>
  </si>
  <si>
    <t>　脚気門</t>
  </si>
  <si>
    <t>　眼疾門</t>
  </si>
  <si>
    <t>　耳疾門</t>
  </si>
  <si>
    <t>　鼻疾門</t>
  </si>
  <si>
    <t>　口歯舌疾門</t>
  </si>
  <si>
    <t>　虫門</t>
  </si>
  <si>
    <t>　痔漏門</t>
  </si>
  <si>
    <t>　疥瘡門</t>
  </si>
  <si>
    <t>　暴死門</t>
  </si>
  <si>
    <t>https://rmda.kulib.kyoto-u.ac.jp/item/rb00008882#?c=0&amp;m=0&amp;s=0&amp;cv=343</t>
  </si>
  <si>
    <t>巻一</t>
    <rPh sb="0" eb="1">
      <t>マキ</t>
    </rPh>
    <rPh sb="1" eb="2">
      <t>1</t>
    </rPh>
    <phoneticPr fontId="2"/>
  </si>
  <si>
    <t>　痘門</t>
    <phoneticPr fontId="2"/>
  </si>
  <si>
    <t>　婦人門</t>
    <phoneticPr fontId="2"/>
  </si>
  <si>
    <t>　広嗣門</t>
    <phoneticPr fontId="2"/>
  </si>
  <si>
    <t>　延年門</t>
    <phoneticPr fontId="2"/>
  </si>
  <si>
    <t>　斑疹門@@@@@@@@</t>
    <phoneticPr fontId="2"/>
  </si>
  <si>
    <t>　五尸伝疰門</t>
    <phoneticPr fontId="2"/>
  </si>
  <si>
    <t>　情志門</t>
    <rPh sb="1" eb="2">
      <t>ナサ</t>
    </rPh>
    <rPh sb="2" eb="3">
      <t>ココロザシ</t>
    </rPh>
    <rPh sb="3" eb="4">
      <t>モン</t>
    </rPh>
    <phoneticPr fontId="2"/>
  </si>
  <si>
    <t>脚気</t>
    <rPh sb="0" eb="2">
      <t>カッケ</t>
    </rPh>
    <phoneticPr fontId="2"/>
  </si>
  <si>
    <t>陰㿗気</t>
    <rPh sb="2" eb="3">
      <t>キ</t>
    </rPh>
    <phoneticPr fontId="2"/>
  </si>
  <si>
    <t>腸風蔵毒</t>
    <rPh sb="2" eb="3">
      <t>ゾウ</t>
    </rPh>
    <phoneticPr fontId="2"/>
  </si>
  <si>
    <t>癩風</t>
    <rPh sb="0" eb="1">
      <t>ライ</t>
    </rPh>
    <phoneticPr fontId="2"/>
  </si>
  <si>
    <t>瘰癧</t>
    <rPh sb="0" eb="2">
      <t>ルイレキ</t>
    </rPh>
    <phoneticPr fontId="2"/>
  </si>
  <si>
    <t>証治要訣伝 12巻　高階枳園(経宣)口授</t>
  </si>
  <si>
    <t>https://kotenseki.nijl.ac.jp/biblio/100245458/viewer/4</t>
  </si>
  <si>
    <t>証治要訣類方</t>
  </si>
  <si>
    <t>大便秘　（※大便閉）</t>
    <rPh sb="6" eb="8">
      <t>ダイベン</t>
    </rPh>
    <rPh sb="8" eb="9">
      <t>ヘイ</t>
    </rPh>
    <phoneticPr fontId="2"/>
  </si>
  <si>
    <t>驚季　（※驚悸）</t>
    <rPh sb="5" eb="6">
      <t>オドロ</t>
    </rPh>
    <rPh sb="6" eb="7">
      <t>キ</t>
    </rPh>
    <phoneticPr fontId="2"/>
  </si>
  <si>
    <t>https://kotenseki.nijl.ac.jp/biblio/100245458/viewer</t>
  </si>
  <si>
    <t>証治要訣類方　　内題は秘伝証治類方</t>
    <rPh sb="8" eb="9">
      <t>ウチ</t>
    </rPh>
    <rPh sb="9" eb="10">
      <t>ダイ</t>
    </rPh>
    <rPh sb="11" eb="13">
      <t>ヒデン</t>
    </rPh>
    <phoneticPr fontId="2"/>
  </si>
  <si>
    <t>目録</t>
    <rPh sb="0" eb="2">
      <t>モクロク</t>
    </rPh>
    <phoneticPr fontId="2"/>
  </si>
  <si>
    <t>刊記</t>
    <rPh sb="0" eb="2">
      <t>カンキ</t>
    </rPh>
    <phoneticPr fontId="2"/>
  </si>
  <si>
    <t>序</t>
    <rPh sb="0" eb="1">
      <t>ジョ</t>
    </rPh>
    <phoneticPr fontId="2"/>
  </si>
  <si>
    <t>痢疾門方</t>
    <phoneticPr fontId="2"/>
  </si>
  <si>
    <t>跋</t>
    <rPh sb="0" eb="1">
      <t>バツ</t>
    </rPh>
    <phoneticPr fontId="2"/>
  </si>
  <si>
    <t>脚気脈証</t>
  </si>
  <si>
    <t>叙太陽経脚気証</t>
  </si>
  <si>
    <t>陽明経脚気証</t>
  </si>
  <si>
    <t>少陽経脚気証</t>
  </si>
  <si>
    <t>太陰経脚気証兼治法</t>
  </si>
  <si>
    <t>少陰経脚気証兼治法</t>
  </si>
  <si>
    <t>厥陰経脚気証兼治法</t>
  </si>
  <si>
    <t>脚気総治</t>
  </si>
  <si>
    <t>三陽并合脚気証治法</t>
    <rPh sb="2" eb="3">
      <t>ヘイ</t>
    </rPh>
    <phoneticPr fontId="2"/>
  </si>
  <si>
    <t>両感証論并治法</t>
    <rPh sb="4" eb="5">
      <t>ヘイ</t>
    </rPh>
    <phoneticPr fontId="2"/>
  </si>
  <si>
    <t>https://rmda.kulib.kyoto-u.ac.jp/item/rb00000175</t>
    <phoneticPr fontId="2"/>
  </si>
  <si>
    <t>https://rmda.kulib.kyoto-u.ac.jp/item/rb00008736</t>
    <phoneticPr fontId="2"/>
  </si>
  <si>
    <t>https://rmda.kulib.kyoto-u.ac.jp/item/rb00000897</t>
    <phoneticPr fontId="2"/>
  </si>
  <si>
    <t>https://rmda.kulib.kyoto-u.ac.jp/item/rb00000899</t>
    <phoneticPr fontId="2"/>
  </si>
  <si>
    <t>https://rmda.kulib.kyoto-u.ac.jp/item/rb00000898</t>
    <phoneticPr fontId="2"/>
  </si>
  <si>
    <t>○傷寒六書</t>
    <phoneticPr fontId="2"/>
  </si>
  <si>
    <t>○寿世保元</t>
    <phoneticPr fontId="2"/>
  </si>
  <si>
    <t>○外科正宗</t>
    <phoneticPr fontId="2"/>
  </si>
  <si>
    <t>感冒兼疫</t>
    <phoneticPr fontId="2"/>
  </si>
  <si>
    <t>首巻上</t>
    <rPh sb="0" eb="1">
      <t>クビ</t>
    </rPh>
    <rPh sb="1" eb="2">
      <t>マキ</t>
    </rPh>
    <rPh sb="2" eb="3">
      <t>ウエ</t>
    </rPh>
    <phoneticPr fontId="2"/>
  </si>
  <si>
    <t>明堂仰伏臓腑図</t>
    <rPh sb="0" eb="2">
      <t>メイドウ</t>
    </rPh>
    <rPh sb="2" eb="3">
      <t>ギョウ</t>
    </rPh>
    <rPh sb="3" eb="4">
      <t>フク</t>
    </rPh>
    <rPh sb="4" eb="6">
      <t>ゾウフ</t>
    </rPh>
    <rPh sb="6" eb="7">
      <t>ズ</t>
    </rPh>
    <phoneticPr fontId="2"/>
  </si>
  <si>
    <t>用薬検方総目</t>
    <rPh sb="0" eb="1">
      <t>モチ</t>
    </rPh>
    <rPh sb="1" eb="2">
      <t>ヤク</t>
    </rPh>
    <rPh sb="2" eb="3">
      <t>ケン</t>
    </rPh>
    <rPh sb="3" eb="4">
      <t>カタ</t>
    </rPh>
    <rPh sb="4" eb="5">
      <t>ソウ</t>
    </rPh>
    <rPh sb="5" eb="6">
      <t>メ</t>
    </rPh>
    <phoneticPr fontId="2"/>
  </si>
  <si>
    <t>運気総論</t>
    <rPh sb="2" eb="4">
      <t>ソウロン</t>
    </rPh>
    <phoneticPr fontId="2"/>
  </si>
  <si>
    <t>一巻上</t>
    <rPh sb="0" eb="1">
      <t>1</t>
    </rPh>
    <rPh sb="1" eb="2">
      <t>マキ</t>
    </rPh>
    <rPh sb="2" eb="3">
      <t>ウエ</t>
    </rPh>
    <phoneticPr fontId="2"/>
  </si>
  <si>
    <t>一巻下</t>
    <rPh sb="0" eb="1">
      <t>1</t>
    </rPh>
    <rPh sb="1" eb="2">
      <t>マキ</t>
    </rPh>
    <rPh sb="2" eb="3">
      <t>シタ</t>
    </rPh>
    <phoneticPr fontId="2"/>
  </si>
  <si>
    <t>又二巻</t>
    <rPh sb="0" eb="1">
      <t>マタ</t>
    </rPh>
    <rPh sb="1" eb="2">
      <t>2</t>
    </rPh>
    <rPh sb="2" eb="3">
      <t>マキ</t>
    </rPh>
    <phoneticPr fontId="2"/>
  </si>
  <si>
    <t>二巻</t>
    <rPh sb="0" eb="1">
      <t>2</t>
    </rPh>
    <rPh sb="1" eb="2">
      <t>マキ</t>
    </rPh>
    <phoneticPr fontId="2"/>
  </si>
  <si>
    <t>附　食治方</t>
    <rPh sb="0" eb="1">
      <t>フ</t>
    </rPh>
    <rPh sb="4" eb="5">
      <t>ホウ</t>
    </rPh>
    <phoneticPr fontId="2"/>
  </si>
  <si>
    <t>三巻上</t>
    <rPh sb="0" eb="1">
      <t>3</t>
    </rPh>
    <rPh sb="1" eb="2">
      <t>マキ</t>
    </rPh>
    <rPh sb="2" eb="3">
      <t>ウエ</t>
    </rPh>
    <phoneticPr fontId="2"/>
  </si>
  <si>
    <t>三巻下</t>
    <rPh sb="0" eb="1">
      <t>3</t>
    </rPh>
    <rPh sb="1" eb="2">
      <t>マキ</t>
    </rPh>
    <rPh sb="2" eb="3">
      <t>シタ</t>
    </rPh>
    <phoneticPr fontId="2"/>
  </si>
  <si>
    <t>寒</t>
  </si>
  <si>
    <t>暑</t>
  </si>
  <si>
    <t>湿</t>
  </si>
  <si>
    <t>燥</t>
  </si>
  <si>
    <t>火</t>
  </si>
  <si>
    <t>内傷</t>
    <rPh sb="0" eb="2">
      <t>ナイショウ</t>
    </rPh>
    <phoneticPr fontId="2"/>
  </si>
  <si>
    <t>血</t>
  </si>
  <si>
    <t>痰</t>
  </si>
  <si>
    <t>雑病分類</t>
    <rPh sb="0" eb="2">
      <t>ザツビョウ</t>
    </rPh>
    <rPh sb="2" eb="4">
      <t>ブンルイ</t>
    </rPh>
    <phoneticPr fontId="2"/>
  </si>
  <si>
    <t>寒類</t>
    <rPh sb="0" eb="1">
      <t>サム</t>
    </rPh>
    <rPh sb="1" eb="2">
      <t>ルイ</t>
    </rPh>
    <phoneticPr fontId="2"/>
  </si>
  <si>
    <t>暑類</t>
    <rPh sb="0" eb="1">
      <t>ショ</t>
    </rPh>
    <rPh sb="1" eb="2">
      <t>ルイ</t>
    </rPh>
    <phoneticPr fontId="2"/>
  </si>
  <si>
    <t>湿類</t>
    <rPh sb="0" eb="1">
      <t>シツ</t>
    </rPh>
    <rPh sb="1" eb="2">
      <t>ルイ</t>
    </rPh>
    <phoneticPr fontId="2"/>
  </si>
  <si>
    <t>四巻下</t>
    <rPh sb="0" eb="1">
      <t>4</t>
    </rPh>
    <rPh sb="1" eb="2">
      <t>マキ</t>
    </rPh>
    <rPh sb="2" eb="3">
      <t>シタ</t>
    </rPh>
    <phoneticPr fontId="2"/>
  </si>
  <si>
    <t>燥類</t>
    <rPh sb="0" eb="1">
      <t>ソウ</t>
    </rPh>
    <rPh sb="1" eb="2">
      <t>ルイ</t>
    </rPh>
    <phoneticPr fontId="2"/>
  </si>
  <si>
    <t>火類</t>
    <rPh sb="0" eb="1">
      <t>ヒ</t>
    </rPh>
    <rPh sb="1" eb="2">
      <t>ルイ</t>
    </rPh>
    <phoneticPr fontId="2"/>
  </si>
  <si>
    <t>気類</t>
    <rPh sb="0" eb="1">
      <t>キ</t>
    </rPh>
    <rPh sb="1" eb="2">
      <t>ルイ</t>
    </rPh>
    <phoneticPr fontId="2"/>
  </si>
  <si>
    <t>血類</t>
    <rPh sb="0" eb="1">
      <t>チ</t>
    </rPh>
    <rPh sb="1" eb="2">
      <t>ルイ</t>
    </rPh>
    <phoneticPr fontId="2"/>
  </si>
  <si>
    <t>痰類</t>
    <rPh sb="0" eb="1">
      <t>タン</t>
    </rPh>
    <rPh sb="1" eb="2">
      <t>ルイ</t>
    </rPh>
    <phoneticPr fontId="2"/>
  </si>
  <si>
    <t>虚類</t>
    <rPh sb="0" eb="1">
      <t>キョ</t>
    </rPh>
    <rPh sb="1" eb="2">
      <t>ルイ</t>
    </rPh>
    <phoneticPr fontId="2"/>
  </si>
  <si>
    <t>五巻上</t>
    <rPh sb="0" eb="1">
      <t>5</t>
    </rPh>
    <rPh sb="1" eb="2">
      <t>マキ</t>
    </rPh>
    <rPh sb="2" eb="3">
      <t>ウエ</t>
    </rPh>
    <phoneticPr fontId="2"/>
  </si>
  <si>
    <t>婦人門</t>
    <rPh sb="0" eb="2">
      <t>フジン</t>
    </rPh>
    <rPh sb="2" eb="3">
      <t>モン</t>
    </rPh>
    <phoneticPr fontId="2"/>
  </si>
  <si>
    <t>五巻下</t>
    <rPh sb="0" eb="1">
      <t>5</t>
    </rPh>
    <rPh sb="1" eb="2">
      <t>マキ</t>
    </rPh>
    <rPh sb="2" eb="3">
      <t>シタ</t>
    </rPh>
    <phoneticPr fontId="2"/>
  </si>
  <si>
    <t>外科</t>
    <rPh sb="0" eb="2">
      <t>ゲカ</t>
    </rPh>
    <phoneticPr fontId="2"/>
  </si>
  <si>
    <t>癰疽総論</t>
    <rPh sb="0" eb="2">
      <t>ヨウソ</t>
    </rPh>
    <rPh sb="2" eb="4">
      <t>ソウロン</t>
    </rPh>
    <phoneticPr fontId="2"/>
  </si>
  <si>
    <t>手部</t>
    <rPh sb="0" eb="1">
      <t>テ</t>
    </rPh>
    <rPh sb="1" eb="2">
      <t>ブ</t>
    </rPh>
    <phoneticPr fontId="2"/>
  </si>
  <si>
    <t>胸腹部</t>
    <rPh sb="0" eb="1">
      <t>ムネ</t>
    </rPh>
    <rPh sb="1" eb="2">
      <t>ハラ</t>
    </rPh>
    <rPh sb="2" eb="3">
      <t>ブ</t>
    </rPh>
    <phoneticPr fontId="2"/>
  </si>
  <si>
    <t>背腰部</t>
    <rPh sb="0" eb="1">
      <t>セ</t>
    </rPh>
    <rPh sb="1" eb="2">
      <t>コシ</t>
    </rPh>
    <rPh sb="2" eb="3">
      <t>ブ</t>
    </rPh>
    <phoneticPr fontId="2"/>
  </si>
  <si>
    <t>臀腿部</t>
    <rPh sb="0" eb="1">
      <t>ドン</t>
    </rPh>
    <rPh sb="1" eb="2">
      <t>モモ</t>
    </rPh>
    <rPh sb="2" eb="3">
      <t>ブ</t>
    </rPh>
    <phoneticPr fontId="2"/>
  </si>
  <si>
    <t>足膝部</t>
    <rPh sb="0" eb="1">
      <t>アシ</t>
    </rPh>
    <rPh sb="1" eb="2">
      <t>ヒザ</t>
    </rPh>
    <rPh sb="2" eb="3">
      <t>ブ</t>
    </rPh>
    <phoneticPr fontId="2"/>
  </si>
  <si>
    <t>遍身部</t>
    <rPh sb="0" eb="1">
      <t>ヘン</t>
    </rPh>
    <rPh sb="1" eb="2">
      <t>ミ</t>
    </rPh>
    <rPh sb="2" eb="3">
      <t>ブ</t>
    </rPh>
    <phoneticPr fontId="2"/>
  </si>
  <si>
    <t>六巻</t>
    <rPh sb="0" eb="1">
      <t>6</t>
    </rPh>
    <rPh sb="1" eb="2">
      <t>マキ</t>
    </rPh>
    <phoneticPr fontId="2"/>
  </si>
  <si>
    <t>雑病用薬賦</t>
    <rPh sb="0" eb="2">
      <t>ザツビョウ</t>
    </rPh>
    <rPh sb="2" eb="4">
      <t>ヨウヤク</t>
    </rPh>
    <rPh sb="4" eb="5">
      <t>フ</t>
    </rPh>
    <phoneticPr fontId="2"/>
  </si>
  <si>
    <t>医学入門引</t>
    <rPh sb="0" eb="4">
      <t>イガクニュウモン</t>
    </rPh>
    <rPh sb="4" eb="5">
      <t>ヒ</t>
    </rPh>
    <phoneticPr fontId="2"/>
  </si>
  <si>
    <t>　　音字</t>
    <rPh sb="2" eb="3">
      <t>オト</t>
    </rPh>
    <rPh sb="3" eb="4">
      <t>ジ</t>
    </rPh>
    <phoneticPr fontId="2"/>
  </si>
  <si>
    <t>内傷脾胃</t>
    <rPh sb="0" eb="2">
      <t>ナイショウ</t>
    </rPh>
    <phoneticPr fontId="2"/>
  </si>
  <si>
    <t>陰虚</t>
    <rPh sb="0" eb="1">
      <t>イン</t>
    </rPh>
    <phoneticPr fontId="2"/>
  </si>
  <si>
    <t>陽虚</t>
    <rPh sb="0" eb="1">
      <t>ヨウ</t>
    </rPh>
    <rPh sb="1" eb="2">
      <t>キョ</t>
    </rPh>
    <phoneticPr fontId="2"/>
  </si>
  <si>
    <t>諸虚</t>
    <rPh sb="0" eb="1">
      <t>ショ</t>
    </rPh>
    <rPh sb="1" eb="2">
      <t>キョ</t>
    </rPh>
    <phoneticPr fontId="2"/>
  </si>
  <si>
    <t>外感　風類</t>
    <rPh sb="0" eb="2">
      <t>ガイカン</t>
    </rPh>
    <rPh sb="3" eb="4">
      <t>フウ</t>
    </rPh>
    <rPh sb="4" eb="5">
      <t>タグイ</t>
    </rPh>
    <phoneticPr fontId="2"/>
  </si>
  <si>
    <t>　天真節解</t>
    <rPh sb="1" eb="3">
      <t>テンシン</t>
    </rPh>
    <rPh sb="3" eb="4">
      <t>フシ</t>
    </rPh>
    <rPh sb="4" eb="5">
      <t>カイ</t>
    </rPh>
    <phoneticPr fontId="2"/>
  </si>
  <si>
    <t>　茹淡論</t>
    <rPh sb="1" eb="2">
      <t>ジョ</t>
    </rPh>
    <rPh sb="2" eb="3">
      <t>タン</t>
    </rPh>
    <rPh sb="3" eb="4">
      <t>ロン</t>
    </rPh>
    <phoneticPr fontId="2"/>
  </si>
  <si>
    <t>　陰火論</t>
    <rPh sb="1" eb="2">
      <t>イン</t>
    </rPh>
    <rPh sb="2" eb="3">
      <t>ヒ</t>
    </rPh>
    <rPh sb="3" eb="4">
      <t>ロン</t>
    </rPh>
    <phoneticPr fontId="2"/>
  </si>
  <si>
    <t>　保養説</t>
    <rPh sb="1" eb="2">
      <t>ホ</t>
    </rPh>
    <rPh sb="3" eb="4">
      <t>セツ</t>
    </rPh>
    <phoneticPr fontId="2"/>
  </si>
  <si>
    <t>　附 導引法</t>
    <rPh sb="1" eb="2">
      <t>フ</t>
    </rPh>
    <rPh sb="3" eb="5">
      <t>ドウイン</t>
    </rPh>
    <rPh sb="5" eb="6">
      <t>ホウ</t>
    </rPh>
    <phoneticPr fontId="2"/>
  </si>
  <si>
    <t>臓腑</t>
  </si>
  <si>
    <t>　問症</t>
    <rPh sb="2" eb="3">
      <t>ショウ</t>
    </rPh>
    <phoneticPr fontId="2"/>
  </si>
  <si>
    <t>観形察色問証</t>
  </si>
  <si>
    <t>　七表八裏九道脈名</t>
    <rPh sb="4" eb="5">
      <t>ウラ</t>
    </rPh>
    <phoneticPr fontId="2"/>
  </si>
  <si>
    <t>　癰疽脈法</t>
    <phoneticPr fontId="2"/>
  </si>
  <si>
    <t>　表裏陰陽汗吐下温解五法</t>
    <rPh sb="1" eb="3">
      <t>ヒョウリ</t>
    </rPh>
    <rPh sb="3" eb="5">
      <t>インヨウ</t>
    </rPh>
    <rPh sb="5" eb="6">
      <t>アセ</t>
    </rPh>
    <rPh sb="6" eb="7">
      <t>ハ</t>
    </rPh>
    <rPh sb="7" eb="8">
      <t>シタ</t>
    </rPh>
    <rPh sb="8" eb="9">
      <t>オン</t>
    </rPh>
    <rPh sb="9" eb="10">
      <t>カイ</t>
    </rPh>
    <rPh sb="10" eb="11">
      <t>ゴ</t>
    </rPh>
    <rPh sb="11" eb="12">
      <t>ホウ</t>
    </rPh>
    <phoneticPr fontId="2"/>
  </si>
  <si>
    <t>　正傷寒</t>
    <rPh sb="1" eb="2">
      <t>タダ</t>
    </rPh>
    <rPh sb="2" eb="4">
      <t>ショウカン</t>
    </rPh>
    <phoneticPr fontId="2"/>
  </si>
  <si>
    <t>　類傷寒</t>
    <rPh sb="1" eb="2">
      <t>ルイ</t>
    </rPh>
    <rPh sb="2" eb="4">
      <t>ショウカン</t>
    </rPh>
    <phoneticPr fontId="2"/>
  </si>
  <si>
    <t>　傷寒初症</t>
    <rPh sb="1" eb="3">
      <t>ショウカン</t>
    </rPh>
    <rPh sb="3" eb="4">
      <t>ショ</t>
    </rPh>
    <rPh sb="4" eb="5">
      <t>ショウ</t>
    </rPh>
    <phoneticPr fontId="2"/>
  </si>
  <si>
    <t>　傷寒雑症</t>
    <rPh sb="1" eb="3">
      <t>ショウカン</t>
    </rPh>
    <rPh sb="3" eb="4">
      <t>ザツ</t>
    </rPh>
    <rPh sb="4" eb="5">
      <t>ショウ</t>
    </rPh>
    <phoneticPr fontId="2"/>
  </si>
  <si>
    <t>　変病変法</t>
    <rPh sb="1" eb="2">
      <t>ヘン</t>
    </rPh>
    <rPh sb="2" eb="4">
      <t>ビョウヘン</t>
    </rPh>
    <rPh sb="4" eb="5">
      <t>ホウ</t>
    </rPh>
    <phoneticPr fontId="2"/>
  </si>
  <si>
    <t>七巻</t>
    <rPh sb="0" eb="1">
      <t>7</t>
    </rPh>
    <rPh sb="1" eb="2">
      <t>マキ</t>
    </rPh>
    <phoneticPr fontId="2"/>
  </si>
  <si>
    <t>　鬱類</t>
    <rPh sb="1" eb="2">
      <t>ウツ</t>
    </rPh>
    <phoneticPr fontId="2"/>
  </si>
  <si>
    <t>内傷類</t>
    <rPh sb="0" eb="2">
      <t>ウチキズ</t>
    </rPh>
    <rPh sb="2" eb="3">
      <t>ルイ</t>
    </rPh>
    <phoneticPr fontId="2"/>
  </si>
  <si>
    <t>　附悪寒</t>
    <rPh sb="2" eb="4">
      <t>オカン</t>
    </rPh>
    <phoneticPr fontId="2"/>
  </si>
  <si>
    <t>外感</t>
    <rPh sb="0" eb="2">
      <t>ガイカン</t>
    </rPh>
    <phoneticPr fontId="2"/>
  </si>
  <si>
    <t>脳頸部</t>
    <rPh sb="0" eb="1">
      <t>ノウ</t>
    </rPh>
    <rPh sb="1" eb="2">
      <t>クビ</t>
    </rPh>
    <rPh sb="2" eb="3">
      <t>ブ</t>
    </rPh>
    <phoneticPr fontId="2"/>
  </si>
  <si>
    <t>　脳発五種</t>
    <rPh sb="1" eb="2">
      <t>ノウ</t>
    </rPh>
    <rPh sb="2" eb="3">
      <t>ハツ</t>
    </rPh>
    <rPh sb="3" eb="4">
      <t>5</t>
    </rPh>
    <rPh sb="4" eb="5">
      <t>シュ</t>
    </rPh>
    <phoneticPr fontId="2"/>
  </si>
  <si>
    <t>(編註)医学入門 首2巻・内外集7巻　木活字版</t>
    <rPh sb="19" eb="20">
      <t>モク</t>
    </rPh>
    <rPh sb="20" eb="22">
      <t>カツジ</t>
    </rPh>
    <rPh sb="22" eb="23">
      <t>バン</t>
    </rPh>
    <phoneticPr fontId="2"/>
  </si>
  <si>
    <t>朝鮮本</t>
    <rPh sb="0" eb="3">
      <t>チョウセンボン</t>
    </rPh>
    <phoneticPr fontId="2"/>
  </si>
  <si>
    <t>万暦年間</t>
    <rPh sb="0" eb="2">
      <t>マンレキ</t>
    </rPh>
    <rPh sb="2" eb="4">
      <t>ネンカン</t>
    </rPh>
    <phoneticPr fontId="2"/>
  </si>
  <si>
    <t>先天図</t>
    <phoneticPr fontId="2"/>
  </si>
  <si>
    <t>天地人物気候相応説</t>
    <phoneticPr fontId="2"/>
  </si>
  <si>
    <t>　　釈方</t>
    <phoneticPr fontId="2"/>
  </si>
  <si>
    <t>スキャンの順序誤り</t>
    <rPh sb="5" eb="7">
      <t>ジュンジョ</t>
    </rPh>
    <rPh sb="7" eb="8">
      <t>アヤマ</t>
    </rPh>
    <phoneticPr fontId="2"/>
  </si>
  <si>
    <t>経絡</t>
    <phoneticPr fontId="2"/>
  </si>
  <si>
    <t>　経穴起止</t>
    <phoneticPr fontId="2"/>
  </si>
  <si>
    <t>　手太陰肺経</t>
    <phoneticPr fontId="2"/>
  </si>
  <si>
    <t>　手陽明大腸経</t>
    <phoneticPr fontId="2"/>
  </si>
  <si>
    <t>　足陽明胃経</t>
    <phoneticPr fontId="2"/>
  </si>
  <si>
    <t>　足太陰脾経</t>
    <phoneticPr fontId="2"/>
  </si>
  <si>
    <t>　手少陰心経</t>
    <phoneticPr fontId="2"/>
  </si>
  <si>
    <t>　手太陽小腸経</t>
    <phoneticPr fontId="2"/>
  </si>
  <si>
    <t>　足太陽膀胱経</t>
    <rPh sb="4" eb="7">
      <t>ボウコウケイ</t>
    </rPh>
    <phoneticPr fontId="2"/>
  </si>
  <si>
    <t>　足少陰腎経</t>
    <phoneticPr fontId="2"/>
  </si>
  <si>
    <t>　手厥陰心胞絡経</t>
    <phoneticPr fontId="2"/>
  </si>
  <si>
    <t>　手少陽三焦経</t>
    <phoneticPr fontId="2"/>
  </si>
  <si>
    <t>　足少陽胆経</t>
    <phoneticPr fontId="2"/>
  </si>
  <si>
    <t>　足厥陰肝経</t>
    <phoneticPr fontId="2"/>
  </si>
  <si>
    <t>　督脈</t>
    <phoneticPr fontId="2"/>
  </si>
  <si>
    <t>　任脈</t>
    <phoneticPr fontId="2"/>
  </si>
  <si>
    <t>　十五絡脈</t>
    <phoneticPr fontId="2"/>
  </si>
  <si>
    <t>　奇経八脈</t>
    <phoneticPr fontId="2"/>
  </si>
  <si>
    <t>　奇経主病</t>
    <phoneticPr fontId="2"/>
  </si>
  <si>
    <t>　臓腑総論</t>
    <phoneticPr fontId="2"/>
  </si>
  <si>
    <t>　臓腑条分</t>
    <phoneticPr fontId="2"/>
  </si>
  <si>
    <t>　観形察色</t>
    <phoneticPr fontId="2"/>
  </si>
  <si>
    <t>　聴声審音</t>
    <phoneticPr fontId="2"/>
  </si>
  <si>
    <t>　王叔和観病生死候歌</t>
    <phoneticPr fontId="2"/>
  </si>
  <si>
    <t>診脈（※脈訣）</t>
    <rPh sb="4" eb="5">
      <t>ミャク</t>
    </rPh>
    <rPh sb="5" eb="6">
      <t>ケツ</t>
    </rPh>
    <phoneticPr fontId="2"/>
  </si>
  <si>
    <t>　寸関尺定位</t>
    <phoneticPr fontId="2"/>
  </si>
  <si>
    <t>　臓腑定位</t>
    <phoneticPr fontId="2"/>
  </si>
  <si>
    <t>　諸脈体状</t>
    <phoneticPr fontId="2"/>
  </si>
  <si>
    <t>　諸脈相類</t>
    <phoneticPr fontId="2"/>
  </si>
  <si>
    <t>　諸脈主病</t>
    <phoneticPr fontId="2"/>
  </si>
  <si>
    <t>　諸脈相兼主病</t>
    <phoneticPr fontId="2"/>
  </si>
  <si>
    <t>　臓腑六脈診法</t>
    <phoneticPr fontId="2"/>
  </si>
  <si>
    <t>　気口人迎脈訣</t>
    <phoneticPr fontId="2"/>
  </si>
  <si>
    <t>　総看三部脈法</t>
    <phoneticPr fontId="2"/>
  </si>
  <si>
    <t>　傷寒脈法</t>
    <phoneticPr fontId="2"/>
  </si>
  <si>
    <t>　雑病脈法</t>
    <phoneticPr fontId="2"/>
  </si>
  <si>
    <t>　婦人脈法</t>
    <phoneticPr fontId="2"/>
  </si>
  <si>
    <t>　成童脈法</t>
    <phoneticPr fontId="2"/>
  </si>
  <si>
    <t>　死脈総訣</t>
    <phoneticPr fontId="2"/>
  </si>
  <si>
    <t>　形色脈相応総訣</t>
    <phoneticPr fontId="2"/>
  </si>
  <si>
    <t>　子午八法</t>
    <phoneticPr fontId="2"/>
  </si>
  <si>
    <t>　附　雑病穴法</t>
    <phoneticPr fontId="2"/>
  </si>
  <si>
    <t>　禁針穴</t>
    <phoneticPr fontId="2"/>
  </si>
  <si>
    <t>　造針法</t>
    <phoneticPr fontId="2"/>
  </si>
  <si>
    <t>　煮針法</t>
    <phoneticPr fontId="2"/>
  </si>
  <si>
    <t>　治病要穴</t>
    <phoneticPr fontId="2"/>
  </si>
  <si>
    <t>　治病奇穴</t>
    <phoneticPr fontId="2"/>
  </si>
  <si>
    <t>　禁灸穴</t>
    <phoneticPr fontId="2"/>
  </si>
  <si>
    <t>煉臍法</t>
    <phoneticPr fontId="2"/>
  </si>
  <si>
    <t>　彭祖固陽固蒂長生延寿丹</t>
    <phoneticPr fontId="2"/>
  </si>
  <si>
    <t>　接命丹</t>
    <phoneticPr fontId="2"/>
  </si>
  <si>
    <t>　温臍種子方</t>
    <phoneticPr fontId="2"/>
  </si>
  <si>
    <t>　温臍兜肚方</t>
    <phoneticPr fontId="2"/>
  </si>
  <si>
    <t>　鍼灸服薬吉日</t>
    <phoneticPr fontId="2"/>
  </si>
  <si>
    <t>　九宮尻神禁忌</t>
    <phoneticPr fontId="2"/>
  </si>
  <si>
    <t>　九部人神禁忌</t>
    <phoneticPr fontId="2"/>
  </si>
  <si>
    <t>　十二部人神禁忌</t>
    <phoneticPr fontId="2"/>
  </si>
  <si>
    <t>　四季人神禁忌</t>
    <phoneticPr fontId="2"/>
  </si>
  <si>
    <t>　逐月血忌</t>
    <phoneticPr fontId="2"/>
  </si>
  <si>
    <t>　逐月血支</t>
    <phoneticPr fontId="2"/>
  </si>
  <si>
    <t>　十二支人神所在禁忌</t>
    <phoneticPr fontId="2"/>
  </si>
  <si>
    <t>　逐日人神所在禁忌</t>
    <phoneticPr fontId="2"/>
  </si>
  <si>
    <t>　　本草分類</t>
    <phoneticPr fontId="2"/>
  </si>
  <si>
    <t>気（鬱同）</t>
    <rPh sb="2" eb="3">
      <t>ウツ</t>
    </rPh>
    <rPh sb="3" eb="4">
      <t>オナ</t>
    </rPh>
    <phoneticPr fontId="2"/>
  </si>
  <si>
    <t>病機　外感</t>
    <rPh sb="0" eb="1">
      <t>ビ</t>
    </rPh>
    <rPh sb="1" eb="2">
      <t>キ</t>
    </rPh>
    <rPh sb="3" eb="4">
      <t>ソト</t>
    </rPh>
    <phoneticPr fontId="2"/>
  </si>
  <si>
    <t>　陽症</t>
    <rPh sb="1" eb="2">
      <t>ヨウ</t>
    </rPh>
    <rPh sb="2" eb="3">
      <t>ショウ</t>
    </rPh>
    <phoneticPr fontId="2"/>
  </si>
  <si>
    <t>　陰症</t>
    <rPh sb="1" eb="2">
      <t>イン</t>
    </rPh>
    <rPh sb="2" eb="3">
      <t>ショウ</t>
    </rPh>
    <phoneticPr fontId="2"/>
  </si>
  <si>
    <t>　鬱</t>
    <rPh sb="1" eb="2">
      <t>ウツ</t>
    </rPh>
    <phoneticPr fontId="2"/>
  </si>
  <si>
    <t>　沈寒痼冷</t>
    <rPh sb="2" eb="3">
      <t>サム</t>
    </rPh>
    <rPh sb="4" eb="5">
      <t>ツメ</t>
    </rPh>
    <phoneticPr fontId="2"/>
  </si>
  <si>
    <t>　頭痛</t>
    <rPh sb="1" eb="3">
      <t>ズツウ</t>
    </rPh>
    <phoneticPr fontId="2"/>
  </si>
  <si>
    <t>　頭風</t>
    <rPh sb="1" eb="2">
      <t>アタマ</t>
    </rPh>
    <rPh sb="2" eb="3">
      <t>フウ</t>
    </rPh>
    <phoneticPr fontId="2"/>
  </si>
  <si>
    <t>　面風</t>
    <rPh sb="1" eb="2">
      <t>メン</t>
    </rPh>
    <rPh sb="2" eb="3">
      <t>カゼ</t>
    </rPh>
    <phoneticPr fontId="2"/>
  </si>
  <si>
    <t>　眼</t>
    <rPh sb="1" eb="2">
      <t>メ</t>
    </rPh>
    <phoneticPr fontId="2"/>
  </si>
  <si>
    <t>　耳</t>
    <rPh sb="1" eb="2">
      <t>ミミ</t>
    </rPh>
    <phoneticPr fontId="2"/>
  </si>
  <si>
    <t>　鼻</t>
    <rPh sb="1" eb="2">
      <t>ハナ</t>
    </rPh>
    <phoneticPr fontId="2"/>
  </si>
  <si>
    <t>　口舌唇</t>
    <rPh sb="1" eb="2">
      <t>クチ</t>
    </rPh>
    <rPh sb="2" eb="3">
      <t>シタ</t>
    </rPh>
    <rPh sb="3" eb="4">
      <t>クチビル</t>
    </rPh>
    <phoneticPr fontId="2"/>
  </si>
  <si>
    <t>　牙歯</t>
    <rPh sb="1" eb="2">
      <t>キバ</t>
    </rPh>
    <rPh sb="2" eb="3">
      <t>ハ</t>
    </rPh>
    <phoneticPr fontId="2"/>
  </si>
  <si>
    <t>　痛風</t>
    <rPh sb="1" eb="3">
      <t>ツウフウ</t>
    </rPh>
    <phoneticPr fontId="2"/>
  </si>
  <si>
    <t>　痺風</t>
    <rPh sb="1" eb="2">
      <t>ヒ</t>
    </rPh>
    <rPh sb="2" eb="3">
      <t>カゼ</t>
    </rPh>
    <phoneticPr fontId="2"/>
  </si>
  <si>
    <t>　斑疹</t>
    <rPh sb="1" eb="2">
      <t>ハン</t>
    </rPh>
    <rPh sb="2" eb="3">
      <t>シン</t>
    </rPh>
    <phoneticPr fontId="2"/>
  </si>
  <si>
    <t>　咳嗽</t>
    <rPh sb="1" eb="3">
      <t>ガイソウ</t>
    </rPh>
    <phoneticPr fontId="2"/>
  </si>
  <si>
    <t>　霍乱</t>
    <rPh sb="1" eb="3">
      <t>カクラン</t>
    </rPh>
    <phoneticPr fontId="2"/>
  </si>
  <si>
    <t>　心痛</t>
    <rPh sb="1" eb="3">
      <t>シンツウ</t>
    </rPh>
    <phoneticPr fontId="2"/>
  </si>
  <si>
    <t>　腹痛</t>
    <rPh sb="1" eb="3">
      <t>フクツウ</t>
    </rPh>
    <phoneticPr fontId="2"/>
  </si>
  <si>
    <t>　瘧</t>
    <rPh sb="1" eb="2">
      <t>ギャク</t>
    </rPh>
    <phoneticPr fontId="2"/>
  </si>
  <si>
    <t>　痢</t>
    <rPh sb="1" eb="2">
      <t>リ</t>
    </rPh>
    <phoneticPr fontId="2"/>
  </si>
  <si>
    <t>　痞満</t>
    <rPh sb="1" eb="3">
      <t>ヒマン</t>
    </rPh>
    <phoneticPr fontId="2"/>
  </si>
  <si>
    <t>　泄瀉</t>
    <rPh sb="1" eb="3">
      <t>セッシャ</t>
    </rPh>
    <phoneticPr fontId="2"/>
  </si>
  <si>
    <t>　呑酸</t>
    <rPh sb="1" eb="3">
      <t>ドンサン</t>
    </rPh>
    <phoneticPr fontId="2"/>
  </si>
  <si>
    <t>　黄疸</t>
    <rPh sb="1" eb="3">
      <t>オウダン</t>
    </rPh>
    <phoneticPr fontId="2"/>
  </si>
  <si>
    <t>　水腫</t>
    <rPh sb="1" eb="3">
      <t>スイシュ</t>
    </rPh>
    <phoneticPr fontId="2"/>
  </si>
  <si>
    <t>　鼓脹</t>
    <rPh sb="1" eb="3">
      <t>コチョウ</t>
    </rPh>
    <phoneticPr fontId="2"/>
  </si>
  <si>
    <t>　赤白濁</t>
    <rPh sb="1" eb="3">
      <t>アカシロ</t>
    </rPh>
    <rPh sb="3" eb="4">
      <t>ダク</t>
    </rPh>
    <phoneticPr fontId="2"/>
  </si>
  <si>
    <t>　腰痛</t>
    <rPh sb="1" eb="3">
      <t>ヨウツウ</t>
    </rPh>
    <phoneticPr fontId="2"/>
  </si>
  <si>
    <t>　疝気</t>
    <rPh sb="1" eb="3">
      <t>センキ</t>
    </rPh>
    <phoneticPr fontId="2"/>
  </si>
  <si>
    <t>　脚気</t>
    <rPh sb="1" eb="3">
      <t>カッケ</t>
    </rPh>
    <phoneticPr fontId="2"/>
  </si>
  <si>
    <t>　消渇</t>
    <rPh sb="1" eb="3">
      <t>ショウカツ</t>
    </rPh>
    <phoneticPr fontId="2"/>
  </si>
  <si>
    <t>　燥結</t>
    <rPh sb="1" eb="2">
      <t>ソウ</t>
    </rPh>
    <rPh sb="2" eb="3">
      <t>ケツ</t>
    </rPh>
    <phoneticPr fontId="2"/>
  </si>
  <si>
    <t>　脇痛</t>
    <rPh sb="1" eb="2">
      <t>ワキ</t>
    </rPh>
    <rPh sb="2" eb="3">
      <t>ツウ</t>
    </rPh>
    <phoneticPr fontId="2"/>
  </si>
  <si>
    <t>　夢遺</t>
    <rPh sb="1" eb="2">
      <t>ユメ</t>
    </rPh>
    <rPh sb="2" eb="3">
      <t>イ</t>
    </rPh>
    <phoneticPr fontId="2"/>
  </si>
  <si>
    <t>　淋</t>
    <rPh sb="1" eb="2">
      <t>リン</t>
    </rPh>
    <phoneticPr fontId="2"/>
  </si>
  <si>
    <t>　小便不通</t>
    <rPh sb="1" eb="3">
      <t>ショウベン</t>
    </rPh>
    <rPh sb="3" eb="5">
      <t>フツウ</t>
    </rPh>
    <phoneticPr fontId="2"/>
  </si>
  <si>
    <t>　小便不禁</t>
    <rPh sb="1" eb="3">
      <t>ショウベン</t>
    </rPh>
    <rPh sb="3" eb="4">
      <t>フ</t>
    </rPh>
    <rPh sb="4" eb="5">
      <t>キン</t>
    </rPh>
    <phoneticPr fontId="2"/>
  </si>
  <si>
    <t>　脱肛</t>
    <rPh sb="1" eb="3">
      <t>ダッコウ</t>
    </rPh>
    <phoneticPr fontId="2"/>
  </si>
  <si>
    <t>　傷食</t>
    <rPh sb="1" eb="2">
      <t>キズ</t>
    </rPh>
    <rPh sb="2" eb="3">
      <t>ショク</t>
    </rPh>
    <phoneticPr fontId="2"/>
  </si>
  <si>
    <t>　積聚</t>
    <rPh sb="1" eb="3">
      <t>シャクジュウ</t>
    </rPh>
    <phoneticPr fontId="2"/>
  </si>
  <si>
    <t>　蠱瘴</t>
    <rPh sb="2" eb="3">
      <t>ショウ</t>
    </rPh>
    <phoneticPr fontId="2"/>
  </si>
  <si>
    <t>　気滞</t>
    <rPh sb="1" eb="3">
      <t>キタイ</t>
    </rPh>
    <phoneticPr fontId="2"/>
  </si>
  <si>
    <t>　吐血</t>
    <rPh sb="1" eb="3">
      <t>トケツ</t>
    </rPh>
    <phoneticPr fontId="2"/>
  </si>
  <si>
    <t>　嘔血</t>
    <rPh sb="1" eb="2">
      <t>ハ</t>
    </rPh>
    <rPh sb="2" eb="3">
      <t>ケツ</t>
    </rPh>
    <phoneticPr fontId="2"/>
  </si>
  <si>
    <t>　衄血</t>
    <rPh sb="1" eb="3">
      <t>ジクケツ</t>
    </rPh>
    <phoneticPr fontId="2"/>
  </si>
  <si>
    <t>　嗽唾咯</t>
    <rPh sb="1" eb="2">
      <t>ウガイ</t>
    </rPh>
    <rPh sb="2" eb="3">
      <t>ツバ</t>
    </rPh>
    <rPh sb="3" eb="4">
      <t>ハ</t>
    </rPh>
    <phoneticPr fontId="2"/>
  </si>
  <si>
    <t>　便血</t>
    <phoneticPr fontId="2"/>
  </si>
  <si>
    <t>　喘</t>
    <phoneticPr fontId="2"/>
  </si>
  <si>
    <t>　哮</t>
    <rPh sb="1" eb="2">
      <t>コウ</t>
    </rPh>
    <phoneticPr fontId="2"/>
  </si>
  <si>
    <t>　悪心</t>
    <rPh sb="1" eb="3">
      <t>オシン</t>
    </rPh>
    <phoneticPr fontId="2"/>
  </si>
  <si>
    <t>　嘈囃</t>
    <phoneticPr fontId="2"/>
  </si>
  <si>
    <t>　噯気</t>
    <rPh sb="1" eb="3">
      <t>アイキ</t>
    </rPh>
    <phoneticPr fontId="2"/>
  </si>
  <si>
    <t>　嘔吐</t>
    <rPh sb="1" eb="3">
      <t>オウト</t>
    </rPh>
    <phoneticPr fontId="2"/>
  </si>
  <si>
    <t>　呃逆</t>
    <phoneticPr fontId="2"/>
  </si>
  <si>
    <t>　膈噎</t>
    <phoneticPr fontId="2"/>
  </si>
  <si>
    <t>　関格</t>
    <phoneticPr fontId="2"/>
  </si>
  <si>
    <t>　痓</t>
    <rPh sb="1" eb="2">
      <t>シ</t>
    </rPh>
    <phoneticPr fontId="2"/>
  </si>
  <si>
    <t>　癇</t>
    <rPh sb="1" eb="2">
      <t>カン</t>
    </rPh>
    <phoneticPr fontId="2"/>
  </si>
  <si>
    <t>　癲狂</t>
    <rPh sb="1" eb="3">
      <t>テンキョウ</t>
    </rPh>
    <phoneticPr fontId="2"/>
  </si>
  <si>
    <t>　驚悸、怔忡、健忘</t>
    <phoneticPr fontId="2"/>
  </si>
  <si>
    <t>　咽喉</t>
    <rPh sb="1" eb="3">
      <t>インコウ</t>
    </rPh>
    <phoneticPr fontId="2"/>
  </si>
  <si>
    <t>　附　失音骨鯁</t>
    <rPh sb="3" eb="5">
      <t>シツオン</t>
    </rPh>
    <rPh sb="5" eb="6">
      <t>ホネ</t>
    </rPh>
    <phoneticPr fontId="2"/>
  </si>
  <si>
    <t>　発熱</t>
    <rPh sb="1" eb="3">
      <t>ハツネツ</t>
    </rPh>
    <phoneticPr fontId="2"/>
  </si>
  <si>
    <t>　汗</t>
    <rPh sb="1" eb="2">
      <t>アセ</t>
    </rPh>
    <phoneticPr fontId="2"/>
  </si>
  <si>
    <t>　痿</t>
    <rPh sb="1" eb="2">
      <t>ナエル</t>
    </rPh>
    <phoneticPr fontId="2"/>
  </si>
  <si>
    <t>　厥</t>
    <rPh sb="1" eb="2">
      <t>ケツ</t>
    </rPh>
    <phoneticPr fontId="2"/>
  </si>
  <si>
    <t>　癆瘵</t>
    <rPh sb="1" eb="3">
      <t>ロウサイ</t>
    </rPh>
    <phoneticPr fontId="2"/>
  </si>
  <si>
    <t>　諸虫</t>
    <rPh sb="1" eb="2">
      <t>ショ</t>
    </rPh>
    <rPh sb="2" eb="3">
      <t>ムシ</t>
    </rPh>
    <phoneticPr fontId="2"/>
  </si>
  <si>
    <t>　求嗣</t>
    <rPh sb="1" eb="2">
      <t>モトム</t>
    </rPh>
    <rPh sb="2" eb="3">
      <t>ツグシ</t>
    </rPh>
    <phoneticPr fontId="2"/>
  </si>
  <si>
    <t>　養老　附鬚髪</t>
    <rPh sb="1" eb="3">
      <t>ヨウロウ</t>
    </rPh>
    <rPh sb="4" eb="5">
      <t>フ</t>
    </rPh>
    <phoneticPr fontId="2"/>
  </si>
  <si>
    <t>　経候</t>
    <phoneticPr fontId="2"/>
  </si>
  <si>
    <t>　崩漏</t>
    <phoneticPr fontId="2"/>
  </si>
  <si>
    <t>　帯下</t>
    <phoneticPr fontId="2"/>
  </si>
  <si>
    <t>　癥瘕（与男子積聚条参看）</t>
    <rPh sb="1" eb="2">
      <t>チョウ</t>
    </rPh>
    <rPh sb="2" eb="3">
      <t>キズ</t>
    </rPh>
    <phoneticPr fontId="2"/>
  </si>
  <si>
    <t>　胎前</t>
    <phoneticPr fontId="2"/>
  </si>
  <si>
    <t>　臨産</t>
    <phoneticPr fontId="2"/>
  </si>
  <si>
    <t>　産後</t>
    <phoneticPr fontId="2"/>
  </si>
  <si>
    <t>小児門</t>
    <rPh sb="0" eb="2">
      <t>ショウニ</t>
    </rPh>
    <rPh sb="2" eb="3">
      <t>モン</t>
    </rPh>
    <phoneticPr fontId="2"/>
  </si>
  <si>
    <t>　観形</t>
    <phoneticPr fontId="2"/>
  </si>
  <si>
    <t>　察脈</t>
    <phoneticPr fontId="2"/>
  </si>
  <si>
    <t>　五臓形症虚実相乗</t>
    <rPh sb="4" eb="5">
      <t>ショウ</t>
    </rPh>
    <phoneticPr fontId="2"/>
  </si>
  <si>
    <t>　死症</t>
    <rPh sb="2" eb="3">
      <t>ショウ</t>
    </rPh>
    <phoneticPr fontId="2"/>
  </si>
  <si>
    <t>　乳子調護</t>
    <phoneticPr fontId="2"/>
  </si>
  <si>
    <t>　初生</t>
    <phoneticPr fontId="2"/>
  </si>
  <si>
    <t>　撮口</t>
    <phoneticPr fontId="2"/>
  </si>
  <si>
    <t>　噤口</t>
    <phoneticPr fontId="2"/>
  </si>
  <si>
    <t>　臍風　附胎風</t>
    <phoneticPr fontId="2"/>
  </si>
  <si>
    <t>　胎驚夜啼</t>
    <phoneticPr fontId="2"/>
  </si>
  <si>
    <t>　諸驚</t>
    <phoneticPr fontId="2"/>
  </si>
  <si>
    <t>　癇痓</t>
    <rPh sb="2" eb="3">
      <t>シ</t>
    </rPh>
    <phoneticPr fontId="2"/>
  </si>
  <si>
    <t>　客忤</t>
    <phoneticPr fontId="2"/>
  </si>
  <si>
    <t>　天釣</t>
    <phoneticPr fontId="2"/>
  </si>
  <si>
    <t>　内釣</t>
    <phoneticPr fontId="2"/>
  </si>
  <si>
    <t>　疝気</t>
    <phoneticPr fontId="2"/>
  </si>
  <si>
    <t>　変蒸</t>
    <phoneticPr fontId="2"/>
  </si>
  <si>
    <t>　亀胸亀背</t>
    <phoneticPr fontId="2"/>
  </si>
  <si>
    <t>　五軟五硬</t>
    <phoneticPr fontId="2"/>
  </si>
  <si>
    <t>　丹毒　附胎瘡</t>
    <phoneticPr fontId="2"/>
  </si>
  <si>
    <t>内傷乳食類</t>
    <rPh sb="0" eb="2">
      <t>ナイショウ</t>
    </rPh>
    <rPh sb="2" eb="3">
      <t>チチ</t>
    </rPh>
    <rPh sb="3" eb="4">
      <t>ショク</t>
    </rPh>
    <rPh sb="4" eb="5">
      <t>ルイ</t>
    </rPh>
    <phoneticPr fontId="2"/>
  </si>
  <si>
    <t>　吐瀉</t>
    <rPh sb="1" eb="3">
      <t>トシャ</t>
    </rPh>
    <phoneticPr fontId="2"/>
  </si>
  <si>
    <t>　五疳</t>
    <phoneticPr fontId="2"/>
  </si>
  <si>
    <t>　諸積</t>
    <phoneticPr fontId="2"/>
  </si>
  <si>
    <t>　諸熱</t>
    <rPh sb="1" eb="3">
      <t>ショネツ</t>
    </rPh>
    <phoneticPr fontId="2"/>
  </si>
  <si>
    <t>　痘</t>
    <rPh sb="1" eb="2">
      <t>トウ</t>
    </rPh>
    <phoneticPr fontId="2"/>
  </si>
  <si>
    <t>　麻</t>
    <rPh sb="1" eb="2">
      <t>アサ</t>
    </rPh>
    <phoneticPr fontId="2"/>
  </si>
  <si>
    <t>序</t>
    <phoneticPr fontId="2"/>
  </si>
  <si>
    <t>門類目録</t>
    <rPh sb="0" eb="1">
      <t>モン</t>
    </rPh>
    <rPh sb="1" eb="2">
      <t>ルイ</t>
    </rPh>
    <rPh sb="2" eb="4">
      <t>モクロク</t>
    </rPh>
    <phoneticPr fontId="2"/>
  </si>
  <si>
    <t>目録</t>
    <rPh sb="0" eb="2">
      <t>モクロク</t>
    </rPh>
    <phoneticPr fontId="2"/>
  </si>
  <si>
    <t>　　　　灸法</t>
  </si>
  <si>
    <t>　　　　虚中有熱宜灸論</t>
  </si>
  <si>
    <t>　　　　　論瘡瘍宜灸</t>
  </si>
  <si>
    <t>巻二十五　反胃門</t>
  </si>
  <si>
    <t>　　　　灸雀目疳眼法</t>
  </si>
  <si>
    <t>巻三十　　牙歯門</t>
  </si>
  <si>
    <t>　　　　　　灸</t>
  </si>
  <si>
    <t>巻四十　　癘風門</t>
  </si>
  <si>
    <t>　　　　　　鍼</t>
  </si>
  <si>
    <r>
      <t>巻四十四　㿀疹門（※　</t>
    </r>
    <r>
      <rPr>
        <sz val="11"/>
        <color theme="1"/>
        <rFont val="ＭＳ Ｐゴシック"/>
        <family val="3"/>
        <charset val="134"/>
        <scheme val="minor"/>
      </rPr>
      <t>癍</t>
    </r>
    <r>
      <rPr>
        <sz val="11"/>
        <color theme="1"/>
        <rFont val="ＭＳ Ｐゴシック"/>
        <family val="2"/>
        <charset val="128"/>
        <scheme val="minor"/>
      </rPr>
      <t>疹門）</t>
    </r>
  </si>
  <si>
    <t>巻四十五　黄疸門</t>
  </si>
  <si>
    <t>　　　　　　灸法</t>
  </si>
  <si>
    <t>巻五十　　小児門</t>
  </si>
  <si>
    <t>　　　　　　灸驚風法</t>
  </si>
  <si>
    <t>　　　　　　灸癖積法</t>
  </si>
  <si>
    <t>灸に関するものだけ抜萃した</t>
    <rPh sb="0" eb="1">
      <t>キュウ</t>
    </rPh>
    <rPh sb="2" eb="3">
      <t>カン</t>
    </rPh>
    <rPh sb="9" eb="11">
      <t>バッスイ</t>
    </rPh>
    <phoneticPr fontId="2"/>
  </si>
  <si>
    <t>　　　　　　灸中風十二穴</t>
    <rPh sb="6" eb="7">
      <t>キュウ</t>
    </rPh>
    <rPh sb="7" eb="9">
      <t>チュウフウ</t>
    </rPh>
    <rPh sb="9" eb="11">
      <t>ジュウニ</t>
    </rPh>
    <rPh sb="11" eb="12">
      <t>アナ</t>
    </rPh>
    <phoneticPr fontId="2"/>
  </si>
  <si>
    <t>　　　　　　関元穴</t>
    <rPh sb="6" eb="8">
      <t>カンゲン</t>
    </rPh>
    <rPh sb="8" eb="9">
      <t>ケツ</t>
    </rPh>
    <phoneticPr fontId="2"/>
  </si>
  <si>
    <t>治薬制度</t>
    <rPh sb="0" eb="1">
      <t>チ</t>
    </rPh>
    <rPh sb="1" eb="2">
      <t>ヤク</t>
    </rPh>
    <rPh sb="2" eb="4">
      <t>セイド</t>
    </rPh>
    <phoneticPr fontId="2"/>
  </si>
  <si>
    <t>巻外　　　灸</t>
    <rPh sb="0" eb="1">
      <t>マキ</t>
    </rPh>
    <rPh sb="1" eb="2">
      <t>ソト</t>
    </rPh>
    <rPh sb="5" eb="6">
      <t>キュウ</t>
    </rPh>
    <phoneticPr fontId="2"/>
  </si>
  <si>
    <t>　　　　　　風府穴</t>
    <rPh sb="6" eb="7">
      <t>カゼ</t>
    </rPh>
    <rPh sb="7" eb="8">
      <t>フ</t>
    </rPh>
    <rPh sb="8" eb="9">
      <t>アナ</t>
    </rPh>
    <phoneticPr fontId="2"/>
  </si>
  <si>
    <t>　　　　　　腎兪穴</t>
    <rPh sb="6" eb="8">
      <t>ジンユ</t>
    </rPh>
    <rPh sb="8" eb="9">
      <t>アナ</t>
    </rPh>
    <phoneticPr fontId="2"/>
  </si>
  <si>
    <t>　　　　　　肝兪穴</t>
    <rPh sb="6" eb="8">
      <t>カンユ</t>
    </rPh>
    <rPh sb="8" eb="9">
      <t>アナ</t>
    </rPh>
    <phoneticPr fontId="2"/>
  </si>
  <si>
    <t>　　　　　　足陽明胃経</t>
    <rPh sb="6" eb="7">
      <t>アシ</t>
    </rPh>
    <rPh sb="7" eb="9">
      <t>ヨウメイ</t>
    </rPh>
    <rPh sb="9" eb="10">
      <t>イ</t>
    </rPh>
    <rPh sb="10" eb="11">
      <t>ケイ</t>
    </rPh>
    <phoneticPr fontId="2"/>
  </si>
  <si>
    <t>　　　　　　灸</t>
    <rPh sb="6" eb="7">
      <t>キュウ</t>
    </rPh>
    <phoneticPr fontId="2"/>
  </si>
  <si>
    <t>　　　　　灸</t>
    <rPh sb="5" eb="6">
      <t>キュウ</t>
    </rPh>
    <phoneticPr fontId="2"/>
  </si>
  <si>
    <t>　　　　　期門穴</t>
    <rPh sb="5" eb="7">
      <t>キモン</t>
    </rPh>
    <rPh sb="7" eb="8">
      <t>アナ</t>
    </rPh>
    <phoneticPr fontId="2"/>
  </si>
  <si>
    <t>　　　　　治結胸灸法</t>
    <phoneticPr fontId="2"/>
  </si>
  <si>
    <t>　　　　　気海穴</t>
    <phoneticPr fontId="2"/>
  </si>
  <si>
    <t>四因気動</t>
  </si>
  <si>
    <t>五鬱病</t>
  </si>
  <si>
    <t>六之気主治</t>
  </si>
  <si>
    <t>五気風暑湿燥寒主治</t>
  </si>
  <si>
    <t>大寒初気至終小雪為病</t>
  </si>
  <si>
    <t>十二経是動為病</t>
  </si>
  <si>
    <t>風暑湿火燥寒六淫為病并治</t>
  </si>
  <si>
    <t>　　　巻一</t>
  </si>
  <si>
    <t>　　　巻二</t>
  </si>
  <si>
    <t>　　　巻三</t>
  </si>
  <si>
    <t>　　　巻四</t>
  </si>
  <si>
    <t>　　　巻五</t>
  </si>
  <si>
    <t>　　　巻六</t>
  </si>
  <si>
    <t>風形</t>
  </si>
  <si>
    <t>暑形</t>
  </si>
  <si>
    <t>火形</t>
  </si>
  <si>
    <t>熱形</t>
  </si>
  <si>
    <t>湿形</t>
  </si>
  <si>
    <t>　　　巻七</t>
  </si>
  <si>
    <t>燥形</t>
  </si>
  <si>
    <t>寒形</t>
  </si>
  <si>
    <t>内傷形</t>
  </si>
  <si>
    <t>外傷形</t>
  </si>
  <si>
    <t>　　　巻八</t>
  </si>
  <si>
    <t>内積形</t>
  </si>
  <si>
    <t>外積形</t>
  </si>
  <si>
    <t>　　　巻九</t>
  </si>
  <si>
    <t>雑記九門</t>
  </si>
  <si>
    <t>　　　巻十</t>
  </si>
  <si>
    <t>《内経》湿変五泄</t>
  </si>
  <si>
    <t>　　　巻十一</t>
  </si>
  <si>
    <t>　　　巻十二</t>
  </si>
  <si>
    <t>汗剤</t>
  </si>
  <si>
    <t>下剤</t>
  </si>
  <si>
    <t>暑門（瘧附）</t>
  </si>
  <si>
    <t>湿門（嗽附）</t>
  </si>
  <si>
    <t>火門</t>
  </si>
  <si>
    <t>燥門</t>
  </si>
  <si>
    <t>兼治於内者</t>
  </si>
  <si>
    <t>兼治於外者</t>
  </si>
  <si>
    <t>独治於内者</t>
  </si>
  <si>
    <t>独治於外者</t>
  </si>
  <si>
    <t>調治</t>
  </si>
  <si>
    <t>　　　巻十三</t>
  </si>
  <si>
    <t>　　　巻十四</t>
  </si>
  <si>
    <t>　　　巻十五</t>
  </si>
  <si>
    <t>https://rmda.kulib.kyoto-u.ac.jp/item/rb00003046</t>
    <phoneticPr fontId="2"/>
  </si>
  <si>
    <t>寸関尺義</t>
  </si>
  <si>
    <t>六部所主</t>
  </si>
  <si>
    <t>五臓浮沈</t>
  </si>
  <si>
    <t>三部九候</t>
  </si>
  <si>
    <t>七診</t>
  </si>
  <si>
    <t>六残</t>
  </si>
  <si>
    <t>上下来去至止</t>
  </si>
  <si>
    <t>陰陽大法</t>
  </si>
  <si>
    <t>陰陽相乗相伏</t>
  </si>
  <si>
    <t>重陰重陽</t>
  </si>
  <si>
    <t>陰陽絶</t>
  </si>
  <si>
    <t>分析臓腑陰陽盛衰</t>
  </si>
  <si>
    <t>経絡虚実</t>
  </si>
  <si>
    <t>有力無力</t>
  </si>
  <si>
    <t>胃気為本</t>
  </si>
  <si>
    <t>丹渓候胃気法</t>
  </si>
  <si>
    <t>推法</t>
  </si>
  <si>
    <t>人迎寸口</t>
  </si>
  <si>
    <t>十二経不復朝於寸口</t>
  </si>
  <si>
    <t>一臓無気四歳死弁</t>
  </si>
  <si>
    <t>形肉已脱九候雖調猶死</t>
  </si>
  <si>
    <t>七診雖見九候皆従者不死</t>
  </si>
  <si>
    <t>跗陽太谿太衝</t>
  </si>
  <si>
    <t>小伝</t>
  </si>
  <si>
    <t>脱陰脱陽</t>
  </si>
  <si>
    <t>脈語　目録</t>
  </si>
  <si>
    <t>取脈入式</t>
  </si>
  <si>
    <t>取脈有権</t>
  </si>
  <si>
    <t>五臓経脈</t>
  </si>
  <si>
    <t>五臓病脈</t>
  </si>
  <si>
    <t>五臓死脈</t>
  </si>
  <si>
    <t>諸脈状主病</t>
  </si>
  <si>
    <t>諸病宜忌脈</t>
  </si>
  <si>
    <t>脈位法天論</t>
  </si>
  <si>
    <t>大小腸脈在両寸間</t>
  </si>
  <si>
    <t>三焦脈在右尺弁</t>
  </si>
  <si>
    <t>寸口者脈之大会（附　小児三関）</t>
  </si>
  <si>
    <t>脈有神機</t>
  </si>
  <si>
    <t>反関脈</t>
  </si>
  <si>
    <t>上魚脈</t>
  </si>
  <si>
    <t>脈無根</t>
  </si>
  <si>
    <t>上部有脈下部無脈下部有脈上部無脈</t>
  </si>
  <si>
    <t>傷寒脈大法</t>
  </si>
  <si>
    <t>脈不再見</t>
  </si>
  <si>
    <t>脈有亢制</t>
  </si>
  <si>
    <t>脈有乗侮</t>
  </si>
  <si>
    <t>男女脈異</t>
  </si>
  <si>
    <t>老少脈異</t>
  </si>
  <si>
    <t>脈合形性</t>
  </si>
  <si>
    <t>色脈</t>
  </si>
  <si>
    <t>脈知得病之期</t>
  </si>
  <si>
    <t>真蔵脈見訣死期</t>
  </si>
  <si>
    <t>霊枢脈法</t>
  </si>
  <si>
    <t>運気脈</t>
  </si>
  <si>
    <t>方宜脈</t>
  </si>
  <si>
    <t>奇経督脈衝脈任脈見於寸口</t>
  </si>
  <si>
    <t>手検図脈法</t>
  </si>
  <si>
    <t>従証不従脈</t>
  </si>
  <si>
    <t>従脈不従証</t>
  </si>
  <si>
    <t>太素脈論</t>
  </si>
  <si>
    <t>太素脈可採之句</t>
  </si>
  <si>
    <t>脈案格式</t>
  </si>
  <si>
    <t>　　　巻之下</t>
    <rPh sb="4" eb="5">
      <t>ノ</t>
    </rPh>
    <phoneticPr fontId="2"/>
  </si>
  <si>
    <t>　　　巻之上</t>
    <rPh sb="4" eb="5">
      <t>ノ</t>
    </rPh>
    <phoneticPr fontId="2"/>
  </si>
  <si>
    <t>脈語 上、下巻</t>
  </si>
  <si>
    <t>出版年（和暦）元和5重刊</t>
  </si>
  <si>
    <t>療発背癰疽灸法用薬　第一</t>
  </si>
  <si>
    <t>癰疽備論　第二</t>
  </si>
  <si>
    <t>癰疽灸法論　第三</t>
  </si>
  <si>
    <t>騎竹馬灸法　第四</t>
  </si>
  <si>
    <t>論隔蒜灸得効　第五</t>
  </si>
  <si>
    <t>背疽腫漫尋頭灸法　第六</t>
  </si>
  <si>
    <t>蒜餅施用分其軽重　第七</t>
  </si>
  <si>
    <t>灸法要論　第八</t>
  </si>
  <si>
    <t>癰疽灼艾痛癢論　第九</t>
  </si>
  <si>
    <t>脳疽灸法　第十</t>
  </si>
  <si>
    <t>癰疽既灸服薬護臓腑論　第十一</t>
  </si>
  <si>
    <t>馬益卿先生癰疽論　第十二</t>
  </si>
  <si>
    <t>癰疽叙論　第十三</t>
  </si>
  <si>
    <t>《素問》良用要論　第十四</t>
  </si>
  <si>
    <t>《千金》良用備要方論　第十五</t>
  </si>
  <si>
    <t>別脈弁証論　第十六</t>
  </si>
  <si>
    <t>癰疽脈症　第十七</t>
  </si>
  <si>
    <t>治癰疽用薬大綱　第十八</t>
  </si>
  <si>
    <t>論癰疽嘔逆症　第十九</t>
  </si>
  <si>
    <t>論癰疽之源　第二十</t>
  </si>
  <si>
    <t>華佗論癰疽瘡腫　第二十一</t>
  </si>
  <si>
    <t>論背疽其源有五　第二十二</t>
  </si>
  <si>
    <t>癰疽分表裡証論　第二十三</t>
  </si>
  <si>
    <t>察疽発有内外之別　第二十四</t>
  </si>
  <si>
    <t>弁癰疽陰陽浅深緩急治法　第二十五</t>
  </si>
  <si>
    <t>論善悪形症　第二十六</t>
  </si>
  <si>
    <t>論生死形症　第二十七</t>
  </si>
  <si>
    <t>形症逆順務在先明　第二十八</t>
  </si>
  <si>
    <t>発背治貴在早論　第二十九</t>
  </si>
  <si>
    <t>瘡出未弁用津潤墨囲論　第三十</t>
  </si>
  <si>
    <t>看色灼艾防蔓論　第三十一</t>
  </si>
  <si>
    <t>論瘡口冷渋難合　第三十二</t>
  </si>
  <si>
    <t>用薬温涼須防秘洩論　第三十三</t>
  </si>
  <si>
    <t>生白痂切護勿触論　第三十四</t>
  </si>
  <si>
    <t>体察愛護論　第三十五</t>
  </si>
  <si>
    <t>用香薬調治論　第三十六</t>
  </si>
  <si>
    <t>飲食居処戒忌　第三十七</t>
  </si>
  <si>
    <t>論医者更易良方　第三十八</t>
  </si>
  <si>
    <t>論癰疽用麦飯石膏治効　第三十九</t>
  </si>
  <si>
    <t>論癰疽敷神異膏功用　第四十</t>
  </si>
  <si>
    <t>論癰疽口緊小硬論　第四十一</t>
  </si>
  <si>
    <t>論癰疽喉舌生瘡如菌　第四十二</t>
  </si>
  <si>
    <t>論癰疽膿成用替針丸薬　第四十三</t>
  </si>
  <si>
    <t>論癰疽割傷　第四十四</t>
  </si>
  <si>
    <t>論癰疽寒熱多汗用薬　第四十五</t>
  </si>
  <si>
    <t>論癰疽食毒物発熱　第四十六</t>
  </si>
  <si>
    <t>論癰疽作渇当調補精気　第四十七</t>
  </si>
  <si>
    <t>論癰疽将安発熱作渇　第四十八</t>
  </si>
  <si>
    <t>論癰疽口乾作渇症不同　第四十九</t>
  </si>
  <si>
    <t>論癰疽発熱属腎虚　第五十</t>
  </si>
  <si>
    <t>論癰疽将安当補気血　第五十一</t>
  </si>
  <si>
    <t>論癰疽服薬快捷方式　第五十二</t>
  </si>
  <si>
    <t>調節飲食当平胃気論　第五十三</t>
  </si>
  <si>
    <t>論癰疽成漏脈例　第五十四</t>
  </si>
  <si>
    <t>洪丞相方用蜞針法　第五十五</t>
  </si>
  <si>
    <t>醫宗必讀序目,卷2-4</t>
  </si>
  <si>
    <t>中風治法</t>
  </si>
  <si>
    <t>料簡類例</t>
  </si>
  <si>
    <t>？？科</t>
    <rPh sb="2" eb="3">
      <t>カ</t>
    </rPh>
    <phoneticPr fontId="2"/>
  </si>
  <si>
    <t>五臓中寒証（？　論）</t>
  </si>
  <si>
    <t>中寒治法</t>
  </si>
  <si>
    <t>叙中暑論（？中暑論）</t>
    <phoneticPr fontId="2"/>
  </si>
  <si>
    <t>中暑治法</t>
  </si>
  <si>
    <t>叙中湿論</t>
    <phoneticPr fontId="2"/>
  </si>
  <si>
    <t>？？叙</t>
    <phoneticPr fontId="2"/>
  </si>
  <si>
    <t>中湿治法</t>
  </si>
  <si>
    <t>四気兼中治法</t>
  </si>
  <si>
    <t>合痺治法</t>
  </si>
  <si>
    <t>歴節論</t>
  </si>
  <si>
    <t>歴節治法</t>
  </si>
  <si>
    <t>叙脚気論</t>
  </si>
  <si>
    <t>太陽経脚気治法</t>
  </si>
  <si>
    <t>陽明経脚気治法</t>
  </si>
  <si>
    <t>少陽経脚気治法</t>
  </si>
  <si>
    <t>料簡三陽併合脚気証</t>
  </si>
  <si>
    <t>料簡三陰併合脚気証</t>
  </si>
  <si>
    <t>三陰并合脚気治法</t>
    <rPh sb="2" eb="3">
      <t>ヘイ</t>
    </rPh>
    <phoneticPr fontId="2"/>
  </si>
  <si>
    <t>卒厥屍厥脈証治</t>
  </si>
  <si>
    <t>痓叙論(痓亦作痙)</t>
    <rPh sb="0" eb="1">
      <t>シ</t>
    </rPh>
    <rPh sb="4" eb="5">
      <t>シ</t>
    </rPh>
    <phoneticPr fontId="2"/>
  </si>
  <si>
    <t>痓叙例治法(破傷風破傷湿並附)</t>
    <rPh sb="0" eb="1">
      <t>シ</t>
    </rPh>
    <phoneticPr fontId="2"/>
  </si>
  <si>
    <t>破傷風湿治法</t>
  </si>
  <si>
    <t>肝胆経虚実寒熱証治</t>
  </si>
  <si>
    <t>心小腸経虚実寒熱証治</t>
  </si>
  <si>
    <t>脾胃経虚実寒熱証治</t>
  </si>
  <si>
    <t>肺大腸経虚実寒熱証治</t>
  </si>
  <si>
    <t>腎膀胱経虚実寒熱証治</t>
  </si>
  <si>
    <t>心主三焦経虚実寒熱証治</t>
  </si>
  <si>
    <t>三因心痛総治</t>
  </si>
  <si>
    <t>労瘵治法</t>
  </si>
  <si>
    <t>三消治法</t>
  </si>
  <si>
    <t>噦治法</t>
  </si>
  <si>
    <t>谷気治法</t>
  </si>
  <si>
    <t>虚寒泄瀉治法</t>
  </si>
  <si>
    <t>冷熱泄瀉治法</t>
  </si>
  <si>
    <t>咳嗽治法</t>
  </si>
  <si>
    <t>痰飲治法</t>
  </si>
  <si>
    <t>腰痛治法</t>
  </si>
  <si>
    <t>子煩証治</t>
  </si>
  <si>
    <t>腹痛下利治法</t>
  </si>
  <si>
    <t>産後雑病治法</t>
  </si>
  <si>
    <t>解顱治法</t>
  </si>
  <si>
    <t>不行証治</t>
  </si>
  <si>
    <t>胸痞証治</t>
    <phoneticPr fontId="2"/>
  </si>
  <si>
    <t>癥瘕証治</t>
    <rPh sb="0" eb="2">
      <t>チョウカ</t>
    </rPh>
    <phoneticPr fontId="2"/>
  </si>
  <si>
    <t>蛇虫傷治法</t>
    <rPh sb="1" eb="2">
      <t>ムシ</t>
    </rPh>
    <phoneticPr fontId="2"/>
  </si>
  <si>
    <t>不内外因証治</t>
    <rPh sb="0" eb="1">
      <t>フ</t>
    </rPh>
    <phoneticPr fontId="2"/>
  </si>
  <si>
    <t>＠＠</t>
    <phoneticPr fontId="2"/>
  </si>
  <si>
    <t>九虫論</t>
    <rPh sb="1" eb="2">
      <t>ムシ</t>
    </rPh>
    <phoneticPr fontId="2"/>
  </si>
  <si>
    <t>九虫例</t>
    <rPh sb="1" eb="2">
      <t>ムシ</t>
    </rPh>
    <phoneticPr fontId="2"/>
  </si>
  <si>
    <t>九虫治法</t>
    <phoneticPr fontId="2"/>
  </si>
  <si>
    <t>？？</t>
    <phoneticPr fontId="2"/>
  </si>
  <si>
    <t>不内外因咳嗽</t>
    <rPh sb="0" eb="1">
      <t>フ</t>
    </rPh>
    <rPh sb="2" eb="3">
      <t>ソト</t>
    </rPh>
    <phoneticPr fontId="2"/>
  </si>
  <si>
    <t>？</t>
    <phoneticPr fontId="2"/>
  </si>
  <si>
    <t>陰㿗叙論</t>
    <rPh sb="2" eb="3">
      <t>ノベル</t>
    </rPh>
    <phoneticPr fontId="2"/>
  </si>
  <si>
    <t>陰㿗証治</t>
    <phoneticPr fontId="2"/>
  </si>
  <si>
    <t>瘰癧証治</t>
    <rPh sb="0" eb="2">
      <t>ルイレキ</t>
    </rPh>
    <phoneticPr fontId="2"/>
  </si>
  <si>
    <t>㿗風証治</t>
    <rPh sb="1" eb="2">
      <t>フウ</t>
    </rPh>
    <phoneticPr fontId="2"/>
  </si>
  <si>
    <t>妒精瘡証治</t>
    <phoneticPr fontId="2"/>
  </si>
  <si>
    <t>妬？</t>
    <phoneticPr fontId="2"/>
  </si>
  <si>
    <t>虚煩証治</t>
    <rPh sb="1" eb="2">
      <t>ハン</t>
    </rPh>
    <phoneticPr fontId="2"/>
  </si>
  <si>
    <t>https://rmda.kulib.kyoto-u.ac.jp/item/rb00005781</t>
  </si>
  <si>
    <t>類証注釈小児方訣 10巻</t>
  </si>
  <si>
    <t>序</t>
    <rPh sb="0" eb="1">
      <t>ジョ</t>
    </rPh>
    <phoneticPr fontId="2"/>
  </si>
  <si>
    <t>新校凡例</t>
    <rPh sb="0" eb="1">
      <t>アタラ</t>
    </rPh>
    <rPh sb="1" eb="2">
      <t>コウ</t>
    </rPh>
    <rPh sb="2" eb="4">
      <t>ハンレイ</t>
    </rPh>
    <phoneticPr fontId="2"/>
  </si>
  <si>
    <t>参考局方並諸家奉進目次</t>
    <rPh sb="0" eb="2">
      <t>サンコウ</t>
    </rPh>
    <rPh sb="2" eb="4">
      <t>キョクホウ</t>
    </rPh>
    <rPh sb="4" eb="5">
      <t>ナミ</t>
    </rPh>
    <rPh sb="5" eb="7">
      <t>ショカ</t>
    </rPh>
    <rPh sb="7" eb="8">
      <t>タテマツル</t>
    </rPh>
    <rPh sb="8" eb="9">
      <t>ススム</t>
    </rPh>
    <rPh sb="9" eb="11">
      <t>モクジ</t>
    </rPh>
    <phoneticPr fontId="2"/>
  </si>
  <si>
    <t>和剤局方総目</t>
    <rPh sb="0" eb="2">
      <t>ワザイ</t>
    </rPh>
    <rPh sb="2" eb="4">
      <t>キョクホウ</t>
    </rPh>
    <rPh sb="4" eb="5">
      <t>ソウ</t>
    </rPh>
    <rPh sb="5" eb="6">
      <t>メ</t>
    </rPh>
    <phoneticPr fontId="2"/>
  </si>
  <si>
    <t>和剤局方目録</t>
    <rPh sb="0" eb="2">
      <t>ワザイ</t>
    </rPh>
    <rPh sb="2" eb="4">
      <t>キョクホウ</t>
    </rPh>
    <rPh sb="4" eb="6">
      <t>モクロク</t>
    </rPh>
    <phoneticPr fontId="2"/>
  </si>
  <si>
    <t>潤体円</t>
    <rPh sb="2" eb="3">
      <t>エン</t>
    </rPh>
    <phoneticPr fontId="2"/>
  </si>
  <si>
    <t>烏犀円</t>
    <rPh sb="2" eb="3">
      <t>エン</t>
    </rPh>
    <phoneticPr fontId="2"/>
  </si>
  <si>
    <t>牛黄清心円</t>
    <rPh sb="4" eb="5">
      <t>エン</t>
    </rPh>
    <phoneticPr fontId="2"/>
  </si>
  <si>
    <t>摩挲円</t>
    <rPh sb="2" eb="3">
      <t>エン</t>
    </rPh>
    <phoneticPr fontId="2"/>
  </si>
  <si>
    <t>牛黄小烏犀円</t>
    <rPh sb="5" eb="6">
      <t>エン</t>
    </rPh>
    <phoneticPr fontId="2"/>
  </si>
  <si>
    <t>婁金円</t>
    <phoneticPr fontId="2"/>
  </si>
  <si>
    <t>麝香天麻円</t>
    <phoneticPr fontId="2"/>
  </si>
  <si>
    <t>龍脳芎犀円</t>
    <phoneticPr fontId="2"/>
  </si>
  <si>
    <t>和太師牛黄円</t>
    <phoneticPr fontId="2"/>
  </si>
  <si>
    <t>雄朱丹</t>
    <rPh sb="2" eb="3">
      <t>タン</t>
    </rPh>
    <phoneticPr fontId="2"/>
  </si>
  <si>
    <t>牛黄生犀円</t>
    <phoneticPr fontId="2"/>
  </si>
  <si>
    <t>辰砂天麻円</t>
    <phoneticPr fontId="2"/>
  </si>
  <si>
    <t>辰砂円</t>
    <phoneticPr fontId="2"/>
  </si>
  <si>
    <t>防風円</t>
    <phoneticPr fontId="2"/>
  </si>
  <si>
    <t>青州白円子</t>
    <rPh sb="3" eb="4">
      <t>エン</t>
    </rPh>
    <phoneticPr fontId="2"/>
  </si>
  <si>
    <t>川芎円</t>
  </si>
  <si>
    <t>薄荷煎円</t>
  </si>
  <si>
    <t>天南星円</t>
  </si>
  <si>
    <t>犀角円</t>
  </si>
  <si>
    <t>皂角円</t>
  </si>
  <si>
    <t>骨砕補円</t>
  </si>
  <si>
    <t>烏荊円</t>
  </si>
  <si>
    <t>乳香没薬円</t>
  </si>
  <si>
    <t>白龍円</t>
  </si>
  <si>
    <t>活血応痛円</t>
  </si>
  <si>
    <t>四斤円</t>
  </si>
  <si>
    <t>鉄弾円</t>
  </si>
  <si>
    <t>乳香応痛円</t>
  </si>
  <si>
    <t>乳香円</t>
  </si>
  <si>
    <t>黒神円</t>
  </si>
  <si>
    <t>寿星円</t>
  </si>
  <si>
    <t>左経円</t>
  </si>
  <si>
    <t>七生円</t>
  </si>
  <si>
    <t>黒龍円</t>
  </si>
  <si>
    <t>驚気円</t>
  </si>
  <si>
    <t>乳香宣経円</t>
  </si>
  <si>
    <t>換腿円</t>
  </si>
  <si>
    <t>四生円</t>
  </si>
  <si>
    <t>軽脚円</t>
  </si>
  <si>
    <t>秘方換腿円</t>
  </si>
  <si>
    <t>木瓜円</t>
  </si>
  <si>
    <t>追風応痛円</t>
  </si>
  <si>
    <t>磁石円</t>
  </si>
  <si>
    <t>苦参円</t>
  </si>
  <si>
    <t>香薷円</t>
  </si>
  <si>
    <t>大已寒円</t>
  </si>
  <si>
    <t>桂苓円</t>
  </si>
  <si>
    <t>消暑円</t>
  </si>
  <si>
    <t>黄龍円</t>
  </si>
  <si>
    <t>蘇合香円</t>
  </si>
  <si>
    <t>安息香円</t>
  </si>
  <si>
    <t>丁沈円</t>
  </si>
  <si>
    <t>大沈香円</t>
  </si>
  <si>
    <t>理中円</t>
  </si>
  <si>
    <t>和胃円</t>
  </si>
  <si>
    <t>紫蘇子円</t>
  </si>
  <si>
    <t>養脾円</t>
  </si>
  <si>
    <t>五膈円</t>
  </si>
  <si>
    <t>積気円</t>
  </si>
  <si>
    <t>丁香円</t>
  </si>
  <si>
    <t>小丁香円</t>
  </si>
  <si>
    <t>青木香円</t>
  </si>
  <si>
    <t>消食円</t>
  </si>
  <si>
    <t>小独聖円</t>
  </si>
  <si>
    <t>温白円</t>
  </si>
  <si>
    <t>九痛円</t>
  </si>
  <si>
    <t>神保円</t>
  </si>
  <si>
    <t>撞気阿魏円</t>
  </si>
  <si>
    <t>丁沈煎円</t>
  </si>
  <si>
    <t>感応円</t>
  </si>
  <si>
    <t>小理中円</t>
  </si>
  <si>
    <t>大七香円</t>
  </si>
  <si>
    <t>小七香円</t>
  </si>
  <si>
    <t>連翹円</t>
  </si>
  <si>
    <t>温中良姜円</t>
  </si>
  <si>
    <t>煨姜円</t>
  </si>
  <si>
    <t>紅円子</t>
  </si>
  <si>
    <t>金露円</t>
  </si>
  <si>
    <t>木香分気円</t>
  </si>
  <si>
    <t>神仙沈麝円</t>
  </si>
  <si>
    <t>枳実理中円</t>
  </si>
  <si>
    <t>二姜円</t>
  </si>
  <si>
    <t>姜合円</t>
  </si>
  <si>
    <t>蓬煎円</t>
  </si>
  <si>
    <t>守中金円</t>
  </si>
  <si>
    <t>集香円</t>
  </si>
  <si>
    <t>如神円</t>
  </si>
  <si>
    <t>丁香脾積円</t>
  </si>
  <si>
    <t>千金大養脾円</t>
  </si>
  <si>
    <t>参苓壮脾円</t>
  </si>
  <si>
    <t>盧氏異方感応円</t>
  </si>
  <si>
    <t>麝香蘇合香円</t>
  </si>
  <si>
    <t>木香檳榔円</t>
  </si>
  <si>
    <t>消飲円</t>
  </si>
  <si>
    <t>化痰玉壷円</t>
  </si>
  <si>
    <t>辰砂化痰円</t>
  </si>
  <si>
    <t>金珠化痰円</t>
  </si>
  <si>
    <t>玉液円</t>
  </si>
  <si>
    <t>玉芝円</t>
  </si>
  <si>
    <t>胡椒理中円</t>
  </si>
  <si>
    <t>備急五嗽円</t>
  </si>
  <si>
    <t>大阿膠円</t>
  </si>
  <si>
    <t>百部円</t>
  </si>
  <si>
    <t>丁香半夏円</t>
  </si>
  <si>
    <t>人参養肺円</t>
  </si>
  <si>
    <t>人参訶子円</t>
  </si>
  <si>
    <t>温中化痰円</t>
  </si>
  <si>
    <t>丁香五套円</t>
  </si>
  <si>
    <t>縮砂円</t>
  </si>
  <si>
    <t>渫白円</t>
  </si>
  <si>
    <t>破飲円</t>
  </si>
  <si>
    <t>人参潤肺円</t>
  </si>
  <si>
    <t>半夏円</t>
  </si>
  <si>
    <t>膃肭臍円</t>
  </si>
  <si>
    <t>金釵石斛円</t>
  </si>
  <si>
    <t>何首烏円</t>
  </si>
  <si>
    <t>石南円</t>
  </si>
  <si>
    <t>八味円</t>
  </si>
  <si>
    <t>茴香円</t>
  </si>
  <si>
    <t>五補円</t>
  </si>
  <si>
    <t>無比山薬円</t>
  </si>
  <si>
    <t>大山蕷円</t>
  </si>
  <si>
    <t>定志円</t>
  </si>
  <si>
    <t>玉霜円</t>
  </si>
  <si>
    <t>預知子円</t>
  </si>
  <si>
    <t>安腎円</t>
  </si>
  <si>
    <t>麝香鹿茸円</t>
  </si>
  <si>
    <t>朴附円</t>
  </si>
  <si>
    <t>思仙続断円</t>
  </si>
  <si>
    <t>茱萸内消円</t>
  </si>
  <si>
    <t>青娥円</t>
  </si>
  <si>
    <t>金鈴子円</t>
  </si>
  <si>
    <t>張走馬玉霜円</t>
  </si>
  <si>
    <t>沈香鹿茸円</t>
  </si>
  <si>
    <t>椒附円</t>
  </si>
  <si>
    <t>威喜円</t>
  </si>
  <si>
    <t>遠志円</t>
  </si>
  <si>
    <t>小安腎円</t>
  </si>
  <si>
    <t>鹿茸四斤円</t>
  </si>
  <si>
    <t>羊肉円</t>
  </si>
  <si>
    <t>蓯蓉大補円</t>
  </si>
  <si>
    <t>十四友円</t>
  </si>
  <si>
    <t>崔氏烏頭円</t>
  </si>
  <si>
    <t>橘皮煎円</t>
  </si>
  <si>
    <t>附子理中円</t>
  </si>
  <si>
    <t>北亭円</t>
  </si>
  <si>
    <t>巴戟円</t>
  </si>
  <si>
    <t>十補円</t>
  </si>
  <si>
    <t>妙香円</t>
  </si>
  <si>
    <t>牛黄涼膈円</t>
  </si>
  <si>
    <t>抱龍円</t>
  </si>
  <si>
    <t>甘露円</t>
  </si>
  <si>
    <t>桂苓円消暑円</t>
  </si>
  <si>
    <t>消毒麻仁円</t>
  </si>
  <si>
    <t>三黄円</t>
  </si>
  <si>
    <t>導赤円</t>
  </si>
  <si>
    <t>駐車円</t>
  </si>
  <si>
    <t>訶黎勒円</t>
  </si>
  <si>
    <t>大温脾円</t>
  </si>
  <si>
    <t>黄連阿膠円</t>
  </si>
  <si>
    <t>神効胡粉円</t>
  </si>
  <si>
    <t>桃花円</t>
  </si>
  <si>
    <t>不二円</t>
  </si>
  <si>
    <t>神功円</t>
  </si>
  <si>
    <t>麻仁円</t>
  </si>
  <si>
    <t>脾約麻仁円</t>
  </si>
  <si>
    <t>七聖円</t>
  </si>
  <si>
    <t>七宣円</t>
  </si>
  <si>
    <t>半硫円</t>
  </si>
  <si>
    <t>育腸円</t>
  </si>
  <si>
    <t>水煮木香円</t>
  </si>
  <si>
    <t>大断下円</t>
  </si>
  <si>
    <t>狗頭骨円</t>
  </si>
  <si>
    <t>大香連円</t>
  </si>
  <si>
    <t>戊己円</t>
  </si>
  <si>
    <t>豆附円</t>
  </si>
  <si>
    <t>温中円</t>
  </si>
  <si>
    <t>縛虎円</t>
  </si>
  <si>
    <t>三神円</t>
  </si>
  <si>
    <t>如神止瀉円</t>
  </si>
  <si>
    <t>錦鳩円</t>
  </si>
  <si>
    <t>駐景円</t>
  </si>
  <si>
    <t>鎮肝円</t>
  </si>
  <si>
    <t>菊睛円</t>
  </si>
  <si>
    <t>還睛円</t>
  </si>
  <si>
    <t>秘伝羊肝円</t>
  </si>
  <si>
    <t>耆婆万病円</t>
  </si>
  <si>
    <t>神応円</t>
  </si>
  <si>
    <t>集効円</t>
  </si>
  <si>
    <t>解毒雄黄円</t>
  </si>
  <si>
    <t>烏梅円</t>
  </si>
  <si>
    <t>釣腸円</t>
  </si>
  <si>
    <t>槐角円</t>
  </si>
  <si>
    <t>勝金円</t>
  </si>
  <si>
    <t>備急円</t>
  </si>
  <si>
    <t>青解毒円</t>
  </si>
  <si>
    <t>寸金円</t>
  </si>
  <si>
    <t>麝香大戟円</t>
  </si>
  <si>
    <t>葫芦巴円</t>
  </si>
  <si>
    <t>小犀角円</t>
  </si>
  <si>
    <t>熟乾地黄円</t>
  </si>
  <si>
    <t>沢蘭円</t>
  </si>
  <si>
    <t>椒紅円</t>
  </si>
  <si>
    <t>禹餘糧円</t>
  </si>
  <si>
    <t>白薇円</t>
  </si>
  <si>
    <t>小白薇円</t>
  </si>
  <si>
    <t>紫石英円</t>
  </si>
  <si>
    <t>陽起石円</t>
  </si>
  <si>
    <t>保生円</t>
  </si>
  <si>
    <t>当帰円</t>
  </si>
  <si>
    <t>大通真円</t>
  </si>
  <si>
    <t>茯苓円</t>
  </si>
  <si>
    <t>四順理中円</t>
  </si>
  <si>
    <t>暖宮円</t>
  </si>
  <si>
    <t>詵詵円</t>
  </si>
  <si>
    <t>人参鱉甲円</t>
  </si>
  <si>
    <t>琥珀円</t>
  </si>
  <si>
    <t>皺血円</t>
  </si>
  <si>
    <t>烏雞煎円</t>
  </si>
  <si>
    <t>人参養血円</t>
  </si>
  <si>
    <t>艾煎円</t>
  </si>
  <si>
    <t>当帰養血円</t>
  </si>
  <si>
    <t>小地黄円</t>
  </si>
  <si>
    <t>交感地黄煎円</t>
  </si>
  <si>
    <t>阿膠枳殻円</t>
  </si>
  <si>
    <t>大天南星円</t>
  </si>
  <si>
    <t>五疳保童円</t>
  </si>
  <si>
    <t>熊胆円</t>
  </si>
  <si>
    <t>虎睛円</t>
  </si>
  <si>
    <t>天麻防風円</t>
  </si>
  <si>
    <t>進食円</t>
  </si>
  <si>
    <t>金箔鎮心円</t>
  </si>
  <si>
    <t>比金円</t>
  </si>
  <si>
    <t>香連円</t>
  </si>
  <si>
    <t>紫霜円</t>
  </si>
  <si>
    <t>開胃円</t>
  </si>
  <si>
    <t>没食子円</t>
  </si>
  <si>
    <t>水銀扁円子</t>
  </si>
  <si>
    <t>朱砂円</t>
  </si>
  <si>
    <t>芦薈円</t>
  </si>
  <si>
    <t>人参半夏円</t>
  </si>
  <si>
    <t>辰砂半夏円</t>
  </si>
  <si>
    <t>大驚円</t>
  </si>
  <si>
    <t>使君子円</t>
  </si>
  <si>
    <t>肥児円</t>
  </si>
  <si>
    <t>挨積円</t>
  </si>
  <si>
    <t>小抱龍円</t>
  </si>
  <si>
    <t>人参円</t>
  </si>
  <si>
    <t>龍骨円</t>
  </si>
  <si>
    <t>小黄連阿膠円</t>
  </si>
  <si>
    <t>蛇頭円</t>
  </si>
  <si>
    <t>五疳消食円</t>
  </si>
  <si>
    <t>秘伝神仙消痞円</t>
  </si>
  <si>
    <t>小駐車円</t>
  </si>
  <si>
    <t>磨積円</t>
  </si>
  <si>
    <t>龍胆円</t>
  </si>
  <si>
    <t>○紹興続添方</t>
    <phoneticPr fontId="2"/>
  </si>
  <si>
    <t>増損四物湯</t>
  </si>
  <si>
    <t>○宝慶新増方</t>
  </si>
  <si>
    <t>朮附湯</t>
    <rPh sb="0" eb="1">
      <t>ジュツ</t>
    </rPh>
    <phoneticPr fontId="2"/>
  </si>
  <si>
    <t>防己黄耆湯</t>
    <rPh sb="2" eb="4">
      <t>オウギ</t>
    </rPh>
    <phoneticPr fontId="2"/>
  </si>
  <si>
    <t>黄連香薷散</t>
    <rPh sb="0" eb="2">
      <t>オウレン</t>
    </rPh>
    <phoneticPr fontId="2"/>
  </si>
  <si>
    <t>剉散</t>
    <rPh sb="0" eb="1">
      <t>ザ</t>
    </rPh>
    <phoneticPr fontId="2"/>
  </si>
  <si>
    <t>神朮散</t>
    <rPh sb="1" eb="2">
      <t>ジュツ</t>
    </rPh>
    <phoneticPr fontId="2"/>
  </si>
  <si>
    <r>
      <t>草豆</t>
    </r>
    <r>
      <rPr>
        <sz val="11"/>
        <color theme="1"/>
        <rFont val="ＭＳ Ｐゴシック"/>
        <family val="3"/>
        <charset val="136"/>
        <scheme val="minor"/>
      </rPr>
      <t>蔻</t>
    </r>
    <r>
      <rPr>
        <sz val="11"/>
        <color theme="1"/>
        <rFont val="ＭＳ Ｐゴシック"/>
        <family val="2"/>
        <charset val="128"/>
        <scheme val="minor"/>
      </rPr>
      <t>散</t>
    </r>
    <rPh sb="1" eb="2">
      <t>マメ</t>
    </rPh>
    <phoneticPr fontId="2"/>
  </si>
  <si>
    <r>
      <t>三</t>
    </r>
    <r>
      <rPr>
        <sz val="11"/>
        <color theme="1"/>
        <rFont val="ＭＳ Ｐゴシック"/>
        <family val="3"/>
        <charset val="136"/>
        <scheme val="minor"/>
      </rPr>
      <t>稜</t>
    </r>
    <r>
      <rPr>
        <sz val="11"/>
        <color theme="1"/>
        <rFont val="ＭＳ Ｐゴシック"/>
        <family val="2"/>
        <charset val="128"/>
        <scheme val="minor"/>
      </rPr>
      <t>煎円</t>
    </r>
    <rPh sb="1" eb="2">
      <t>リョウ</t>
    </rPh>
    <phoneticPr fontId="2"/>
  </si>
  <si>
    <t>酒癥円</t>
    <rPh sb="1" eb="2">
      <t>チョウ</t>
    </rPh>
    <phoneticPr fontId="2"/>
  </si>
  <si>
    <t>白朮六乙湯</t>
    <rPh sb="3" eb="4">
      <t>オツ</t>
    </rPh>
    <phoneticPr fontId="2"/>
  </si>
  <si>
    <t>順気木香散</t>
    <rPh sb="2" eb="3">
      <t>モク</t>
    </rPh>
    <phoneticPr fontId="2"/>
  </si>
  <si>
    <r>
      <t>肉豆</t>
    </r>
    <r>
      <rPr>
        <sz val="11"/>
        <color theme="1"/>
        <rFont val="ＭＳ Ｐゴシック"/>
        <family val="3"/>
        <charset val="136"/>
        <scheme val="minor"/>
      </rPr>
      <t>蔻</t>
    </r>
    <r>
      <rPr>
        <sz val="11"/>
        <color theme="1"/>
        <rFont val="ＭＳ Ｐゴシック"/>
        <family val="2"/>
        <charset val="128"/>
        <scheme val="minor"/>
      </rPr>
      <t>円</t>
    </r>
    <rPh sb="1" eb="2">
      <t>マメ</t>
    </rPh>
    <phoneticPr fontId="2"/>
  </si>
  <si>
    <t>三稜散</t>
    <rPh sb="1" eb="2">
      <t>リョウ</t>
    </rPh>
    <phoneticPr fontId="2"/>
  </si>
  <si>
    <t>蘇子降気湯</t>
    <rPh sb="0" eb="1">
      <t>ソ</t>
    </rPh>
    <rPh sb="1" eb="2">
      <t>コ</t>
    </rPh>
    <rPh sb="2" eb="3">
      <t>タカシ</t>
    </rPh>
    <phoneticPr fontId="2"/>
  </si>
  <si>
    <t>蟠葱散</t>
    <rPh sb="1" eb="2">
      <t>ネギ</t>
    </rPh>
    <phoneticPr fontId="2"/>
  </si>
  <si>
    <t>葱白散</t>
  </si>
  <si>
    <t>葱白治験</t>
  </si>
  <si>
    <t>人参木香湯</t>
    <rPh sb="4" eb="5">
      <t>ユ</t>
    </rPh>
    <phoneticPr fontId="2"/>
  </si>
  <si>
    <t>倍朮円</t>
    <rPh sb="1" eb="2">
      <t>ジュツ</t>
    </rPh>
    <phoneticPr fontId="2"/>
  </si>
  <si>
    <t>兎糸子円</t>
    <rPh sb="0" eb="1">
      <t>ウサギ</t>
    </rPh>
    <rPh sb="1" eb="3">
      <t>イトコ</t>
    </rPh>
    <phoneticPr fontId="2"/>
  </si>
  <si>
    <t>黄耆円</t>
    <rPh sb="0" eb="2">
      <t>オウギ</t>
    </rPh>
    <phoneticPr fontId="2"/>
  </si>
  <si>
    <t>黄耆建中湯</t>
    <rPh sb="0" eb="2">
      <t>オウギ</t>
    </rPh>
    <phoneticPr fontId="2"/>
  </si>
  <si>
    <t>人参黄耆散</t>
    <rPh sb="2" eb="4">
      <t>オウギ</t>
    </rPh>
    <phoneticPr fontId="2"/>
  </si>
  <si>
    <t>黄耆六一湯</t>
    <rPh sb="0" eb="2">
      <t>オウギ</t>
    </rPh>
    <phoneticPr fontId="2"/>
  </si>
  <si>
    <t>黄耆鱉甲散</t>
    <rPh sb="0" eb="2">
      <t>オウギ</t>
    </rPh>
    <phoneticPr fontId="2"/>
  </si>
  <si>
    <t>小兎糸子円</t>
    <rPh sb="1" eb="2">
      <t>ウサギ</t>
    </rPh>
    <rPh sb="2" eb="4">
      <t>イトコ</t>
    </rPh>
    <phoneticPr fontId="2"/>
  </si>
  <si>
    <t>茯兎円</t>
    <rPh sb="1" eb="2">
      <t>ウサギ</t>
    </rPh>
    <rPh sb="2" eb="3">
      <t>エン</t>
    </rPh>
    <phoneticPr fontId="2"/>
  </si>
  <si>
    <t>巻之六</t>
    <phoneticPr fontId="2"/>
  </si>
  <si>
    <t>◎　諸風　附・脚気</t>
    <rPh sb="5" eb="6">
      <t>フ</t>
    </rPh>
    <rPh sb="7" eb="9">
      <t>カッケ</t>
    </rPh>
    <phoneticPr fontId="2"/>
  </si>
  <si>
    <t>◎　痰飲　附・咳嗽</t>
    <rPh sb="5" eb="6">
      <t>フ</t>
    </rPh>
    <rPh sb="7" eb="9">
      <t>ガイソウ</t>
    </rPh>
    <phoneticPr fontId="2"/>
  </si>
  <si>
    <t>巻之七</t>
    <phoneticPr fontId="2"/>
  </si>
  <si>
    <t>巻之八</t>
    <phoneticPr fontId="2"/>
  </si>
  <si>
    <t>化虫円</t>
    <rPh sb="1" eb="2">
      <t>ムシ</t>
    </rPh>
    <phoneticPr fontId="2"/>
  </si>
  <si>
    <r>
      <t>白豆</t>
    </r>
    <r>
      <rPr>
        <sz val="11"/>
        <color theme="1"/>
        <rFont val="ＭＳ Ｐゴシック"/>
        <family val="3"/>
        <charset val="136"/>
        <scheme val="minor"/>
      </rPr>
      <t>蔻</t>
    </r>
    <r>
      <rPr>
        <sz val="11"/>
        <color theme="1"/>
        <rFont val="ＭＳ Ｐゴシック"/>
        <family val="2"/>
        <charset val="128"/>
        <scheme val="minor"/>
      </rPr>
      <t>散</t>
    </r>
    <rPh sb="1" eb="2">
      <t>マメ</t>
    </rPh>
    <phoneticPr fontId="2"/>
  </si>
  <si>
    <t>厚朴散</t>
    <rPh sb="0" eb="2">
      <t>コウボク</t>
    </rPh>
    <phoneticPr fontId="2"/>
  </si>
  <si>
    <r>
      <t>豆</t>
    </r>
    <r>
      <rPr>
        <sz val="11"/>
        <color theme="1"/>
        <rFont val="ＭＳ Ｐゴシック"/>
        <family val="3"/>
        <charset val="136"/>
        <scheme val="minor"/>
      </rPr>
      <t>蔻</t>
    </r>
    <r>
      <rPr>
        <sz val="11"/>
        <color theme="1"/>
        <rFont val="ＭＳ Ｐゴシック"/>
        <family val="2"/>
        <charset val="128"/>
        <scheme val="minor"/>
      </rPr>
      <t>香連円</t>
    </r>
    <rPh sb="0" eb="1">
      <t>マメ</t>
    </rPh>
    <phoneticPr fontId="2"/>
  </si>
  <si>
    <t>白及散</t>
    <rPh sb="1" eb="2">
      <t>オヨ</t>
    </rPh>
    <phoneticPr fontId="2"/>
  </si>
  <si>
    <r>
      <t>豆</t>
    </r>
    <r>
      <rPr>
        <sz val="11"/>
        <color theme="1"/>
        <rFont val="ＭＳ Ｐゴシック"/>
        <family val="3"/>
        <charset val="136"/>
        <scheme val="minor"/>
      </rPr>
      <t>蔻</t>
    </r>
    <r>
      <rPr>
        <sz val="11"/>
        <color theme="1"/>
        <rFont val="ＭＳ Ｐゴシック"/>
        <family val="2"/>
        <charset val="128"/>
        <scheme val="minor"/>
      </rPr>
      <t>湯</t>
    </r>
    <rPh sb="0" eb="1">
      <t>マメ</t>
    </rPh>
    <phoneticPr fontId="2"/>
  </si>
  <si>
    <t>厚朴湯</t>
    <rPh sb="0" eb="2">
      <t>コウボク</t>
    </rPh>
    <phoneticPr fontId="2"/>
  </si>
  <si>
    <t>仙朮湯</t>
    <rPh sb="1" eb="2">
      <t>ジュツ</t>
    </rPh>
    <phoneticPr fontId="2"/>
  </si>
  <si>
    <t>無し！</t>
    <rPh sb="0" eb="1">
      <t>ナ</t>
    </rPh>
    <phoneticPr fontId="2"/>
  </si>
  <si>
    <t>安息活血膏</t>
    <rPh sb="4" eb="5">
      <t>アブラ</t>
    </rPh>
    <phoneticPr fontId="2"/>
  </si>
  <si>
    <t>南嶽魏夫人済陰丹</t>
    <rPh sb="1" eb="2">
      <t>ダケ</t>
    </rPh>
    <rPh sb="2" eb="3">
      <t>ギ</t>
    </rPh>
    <phoneticPr fontId="2"/>
  </si>
  <si>
    <t>曽青散</t>
    <rPh sb="0" eb="1">
      <t>ソ</t>
    </rPh>
    <rPh sb="1" eb="2">
      <t>アオ</t>
    </rPh>
    <phoneticPr fontId="2"/>
  </si>
  <si>
    <t>化毒排膿内補十宣散</t>
    <rPh sb="1" eb="2">
      <t>ドク</t>
    </rPh>
    <phoneticPr fontId="2"/>
  </si>
  <si>
    <t>神効托裏散</t>
    <rPh sb="3" eb="4">
      <t>ウラ</t>
    </rPh>
    <phoneticPr fontId="2"/>
  </si>
  <si>
    <t>排膿托裏散</t>
    <rPh sb="3" eb="4">
      <t>ウラ</t>
    </rPh>
    <phoneticPr fontId="2"/>
  </si>
  <si>
    <t>茂香散</t>
    <rPh sb="0" eb="1">
      <t>シゲ</t>
    </rPh>
    <phoneticPr fontId="2"/>
  </si>
  <si>
    <t>内炙散</t>
    <rPh sb="1" eb="2">
      <t>アブ</t>
    </rPh>
    <phoneticPr fontId="2"/>
  </si>
  <si>
    <t>龍脳鶏蘇円</t>
    <rPh sb="2" eb="3">
      <t>トリ</t>
    </rPh>
    <phoneticPr fontId="2"/>
  </si>
  <si>
    <t>純陽真人養臓湯</t>
  </si>
  <si>
    <t>臓結</t>
  </si>
  <si>
    <t>舌上白苔（臓結附）</t>
  </si>
  <si>
    <r>
      <t>丁香豆</t>
    </r>
    <r>
      <rPr>
        <sz val="11"/>
        <color theme="1"/>
        <rFont val="ＭＳ Ｐゴシック"/>
        <family val="3"/>
        <charset val="136"/>
        <scheme val="minor"/>
      </rPr>
      <t>蔻</t>
    </r>
    <r>
      <rPr>
        <sz val="11"/>
        <color theme="1"/>
        <rFont val="ＭＳ Ｐゴシック"/>
        <family val="2"/>
        <charset val="128"/>
        <scheme val="minor"/>
      </rPr>
      <t>散</t>
    </r>
    <rPh sb="2" eb="3">
      <t>マメ</t>
    </rPh>
    <phoneticPr fontId="2"/>
  </si>
  <si>
    <t>黄耆湯</t>
    <rPh sb="0" eb="2">
      <t>オウギ</t>
    </rPh>
    <phoneticPr fontId="2"/>
  </si>
  <si>
    <t>防風導赤散</t>
    <rPh sb="2" eb="3">
      <t>ミチビ</t>
    </rPh>
    <rPh sb="3" eb="4">
      <t>アカ</t>
    </rPh>
    <rPh sb="4" eb="5">
      <t>サン</t>
    </rPh>
    <phoneticPr fontId="2"/>
  </si>
  <si>
    <t>六神円</t>
    <rPh sb="0" eb="1">
      <t>6</t>
    </rPh>
    <rPh sb="1" eb="2">
      <t>カミ</t>
    </rPh>
    <rPh sb="2" eb="3">
      <t>エン</t>
    </rPh>
    <phoneticPr fontId="2"/>
  </si>
  <si>
    <t>褐円子</t>
    <rPh sb="0" eb="1">
      <t>カツ</t>
    </rPh>
    <rPh sb="1" eb="2">
      <t>エン</t>
    </rPh>
    <rPh sb="2" eb="3">
      <t>コ</t>
    </rPh>
    <phoneticPr fontId="2"/>
  </si>
  <si>
    <t>伝涎膏</t>
    <rPh sb="0" eb="1">
      <t>デン</t>
    </rPh>
    <rPh sb="1" eb="2">
      <t>エン</t>
    </rPh>
    <rPh sb="2" eb="3">
      <t>アブラ</t>
    </rPh>
    <phoneticPr fontId="2"/>
  </si>
  <si>
    <t>肝胆虚実論治</t>
  </si>
  <si>
    <t>柏子仁湯</t>
  </si>
  <si>
    <t>茯神湯</t>
  </si>
  <si>
    <t>心小腸虚実論治</t>
  </si>
  <si>
    <t>心丹</t>
  </si>
  <si>
    <t>赤茯苓湯</t>
  </si>
  <si>
    <t>脾胃虚実論治</t>
  </si>
  <si>
    <t>六君子湯</t>
  </si>
  <si>
    <t>附子建中湯</t>
  </si>
  <si>
    <t>生胃丹</t>
  </si>
  <si>
    <t>胃丹</t>
  </si>
  <si>
    <t>肺大腸虚実論治</t>
  </si>
  <si>
    <t>白石英湯</t>
  </si>
  <si>
    <t>紫菀茸湯</t>
  </si>
  <si>
    <t>腎膀胱虚実論治</t>
  </si>
  <si>
    <t>玄参湯</t>
  </si>
  <si>
    <t>中風論治</t>
  </si>
  <si>
    <t>八味順気散</t>
  </si>
  <si>
    <t>星附湯</t>
  </si>
  <si>
    <t>虎脛骨酒</t>
  </si>
  <si>
    <t>二香三建湯</t>
  </si>
  <si>
    <t>加減地仙丹</t>
  </si>
  <si>
    <t>白虎歴節論治</t>
  </si>
  <si>
    <t>羌活湯</t>
  </si>
  <si>
    <t>中寒論治</t>
  </si>
  <si>
    <t>中暑論治</t>
  </si>
  <si>
    <t>冷香飲子</t>
  </si>
  <si>
    <t>加味香薷飲</t>
  </si>
  <si>
    <t>中湿論治</t>
  </si>
  <si>
    <t>撫芎湯</t>
  </si>
  <si>
    <t>羌附湯</t>
  </si>
  <si>
    <t>痼冷積熱論治</t>
  </si>
  <si>
    <t>洞陽丹</t>
  </si>
  <si>
    <t>利膈湯</t>
  </si>
  <si>
    <t>虚損論治</t>
  </si>
  <si>
    <t>大建中湯</t>
  </si>
  <si>
    <t>五労六極論治</t>
  </si>
  <si>
    <t>遠志飲子</t>
  </si>
  <si>
    <t>小甘露飲</t>
  </si>
  <si>
    <t>二母湯</t>
  </si>
  <si>
    <t>木瓜散</t>
  </si>
  <si>
    <t>石斛湯</t>
  </si>
  <si>
    <t>労瘵論治</t>
  </si>
  <si>
    <t>鱉甲地黄湯</t>
  </si>
  <si>
    <t>太上混元丹</t>
  </si>
  <si>
    <t>地仙散</t>
  </si>
  <si>
    <t>崔丞相灸労法</t>
  </si>
  <si>
    <t>取穴法：</t>
  </si>
  <si>
    <t>艾炷大小法：</t>
  </si>
  <si>
    <t>取艾法：</t>
  </si>
  <si>
    <t>用火法：</t>
  </si>
  <si>
    <t>五痺論治</t>
  </si>
  <si>
    <t>蠲痺湯</t>
  </si>
  <si>
    <t>失血論治</t>
  </si>
  <si>
    <t>天門冬湯</t>
  </si>
  <si>
    <t>大薊散</t>
  </si>
  <si>
    <t>加味理中湯</t>
  </si>
  <si>
    <t>心痛論治</t>
  </si>
  <si>
    <t>加味七気湯</t>
  </si>
  <si>
    <t>愈痛散</t>
  </si>
  <si>
    <t>積聚論治</t>
  </si>
  <si>
    <t>宿食論治</t>
  </si>
  <si>
    <t>脹満論治</t>
  </si>
  <si>
    <t>平肝飲子</t>
  </si>
  <si>
    <t>枳実湯</t>
  </si>
  <si>
    <t>朴附湯</t>
  </si>
  <si>
    <t>強中湯</t>
  </si>
  <si>
    <t>水腫論治</t>
  </si>
  <si>
    <t>実脾散</t>
  </si>
  <si>
    <t>疏鑿飲子</t>
  </si>
  <si>
    <t>赤小豆湯</t>
  </si>
  <si>
    <t>蠱毒論治</t>
  </si>
  <si>
    <t>雄麝散</t>
  </si>
  <si>
    <t>五疸論治</t>
  </si>
  <si>
    <t>茵陳散</t>
  </si>
  <si>
    <t>茵陳湯</t>
  </si>
  <si>
    <t>加減五苓湯</t>
  </si>
  <si>
    <t>秦艽飲子</t>
  </si>
  <si>
    <t>咳嗽論治</t>
  </si>
  <si>
    <t>橘蘇散</t>
  </si>
  <si>
    <t>団参飲子</t>
  </si>
  <si>
    <t>喘論治</t>
  </si>
  <si>
    <t>葶藶散</t>
  </si>
  <si>
    <t>杏参飲</t>
  </si>
  <si>
    <t>四磨湯</t>
  </si>
  <si>
    <t>痰飲論治</t>
  </si>
  <si>
    <t>導痰湯</t>
  </si>
  <si>
    <t>二生湯</t>
  </si>
  <si>
    <t>諸瘧論治</t>
  </si>
  <si>
    <t>鱉甲飲子</t>
  </si>
  <si>
    <t>泄瀉論治</t>
  </si>
  <si>
    <t>加味五苓湯</t>
  </si>
  <si>
    <t>白朮附子湯</t>
  </si>
  <si>
    <t>加味治中湯</t>
  </si>
  <si>
    <t>痢疾論治</t>
  </si>
  <si>
    <t>秘結論治</t>
  </si>
  <si>
    <t>紫蘇麻仁粥</t>
  </si>
  <si>
    <t>淋利論治</t>
  </si>
  <si>
    <t>通草湯</t>
  </si>
  <si>
    <t>小薊飲子</t>
  </si>
  <si>
    <t>霍乱論治</t>
  </si>
  <si>
    <t>通脈四逆湯</t>
  </si>
  <si>
    <t>漬法</t>
  </si>
  <si>
    <t>嘔吐論治</t>
  </si>
  <si>
    <t>大藿香散</t>
  </si>
  <si>
    <t>赤芍薬湯</t>
  </si>
  <si>
    <t>五噎五膈論治</t>
  </si>
  <si>
    <t>五膈散</t>
  </si>
  <si>
    <t>咳逆論治</t>
  </si>
  <si>
    <t>羌活附子散</t>
  </si>
  <si>
    <t>柿蒂湯</t>
  </si>
  <si>
    <t>檳榔湯</t>
  </si>
  <si>
    <t>消渇論治</t>
  </si>
  <si>
    <t>諸疝論治</t>
  </si>
  <si>
    <t>聚香飲子</t>
  </si>
  <si>
    <t>桂枝烏頭湯</t>
  </si>
  <si>
    <t>益智仁湯</t>
  </si>
  <si>
    <t>玄附湯</t>
  </si>
  <si>
    <t>金鈴子散</t>
  </si>
  <si>
    <t>牡丹皮散</t>
  </si>
  <si>
    <t>眩暈論治</t>
  </si>
  <si>
    <t>玉液湯</t>
  </si>
  <si>
    <t>芎帰湯</t>
  </si>
  <si>
    <t>驚悸論治</t>
  </si>
  <si>
    <t>怔忡論治</t>
  </si>
  <si>
    <t>益栄湯</t>
  </si>
  <si>
    <t>龍歯丹</t>
  </si>
  <si>
    <t>茯苓飲子</t>
  </si>
  <si>
    <t>帰脾湯</t>
  </si>
  <si>
    <t>虚煩論治</t>
  </si>
  <si>
    <t>小草湯</t>
  </si>
  <si>
    <t>癲癇論治</t>
  </si>
  <si>
    <t>自汗論治</t>
  </si>
  <si>
    <t>眼論治</t>
  </si>
  <si>
    <t>決明子散</t>
  </si>
  <si>
    <t>炉甘石散</t>
  </si>
  <si>
    <t>咽喉論治</t>
  </si>
  <si>
    <t>牛蒡子湯</t>
  </si>
  <si>
    <t>三神湯</t>
  </si>
  <si>
    <t>口論治</t>
  </si>
  <si>
    <t>芎芷膏</t>
  </si>
  <si>
    <t>歯論治</t>
  </si>
  <si>
    <t>牢牙散</t>
  </si>
  <si>
    <t>莽草散</t>
  </si>
  <si>
    <t>香塩散</t>
  </si>
  <si>
    <t>唇論治</t>
  </si>
  <si>
    <t>瀉黄飲子</t>
  </si>
  <si>
    <t>橄欖散</t>
  </si>
  <si>
    <t>舌論治</t>
  </si>
  <si>
    <t>杏仁膏</t>
  </si>
  <si>
    <t>耳論治</t>
  </si>
  <si>
    <t>磁石散</t>
  </si>
  <si>
    <t>犀角飲子</t>
  </si>
  <si>
    <t>鳴聾散</t>
  </si>
  <si>
    <t>鼻論治</t>
  </si>
  <si>
    <t>辛夷散</t>
  </si>
  <si>
    <t>香膏</t>
  </si>
  <si>
    <t>通草膏</t>
  </si>
  <si>
    <t>茜根散</t>
  </si>
  <si>
    <t>香墨汁</t>
  </si>
  <si>
    <t>麦門冬飲</t>
  </si>
  <si>
    <t>頭痛論治</t>
  </si>
  <si>
    <t>二芎餅子</t>
  </si>
  <si>
    <t>腰痛論治</t>
  </si>
  <si>
    <t>血気論治</t>
  </si>
  <si>
    <t>玄胡索湯</t>
  </si>
  <si>
    <t>抑気散</t>
  </si>
  <si>
    <t>崩漏論治</t>
  </si>
  <si>
    <t>帯下論治</t>
  </si>
  <si>
    <t>当帰煎</t>
  </si>
  <si>
    <t>悪阻論治</t>
  </si>
  <si>
    <t>参橘散</t>
  </si>
  <si>
    <t>旋復半夏湯</t>
  </si>
  <si>
    <t>縮砂散</t>
  </si>
  <si>
    <t>子煩論治</t>
  </si>
  <si>
    <t>滑胎論治</t>
  </si>
  <si>
    <t>校正時賢胎前十八論治</t>
  </si>
  <si>
    <t>桑寄生散</t>
  </si>
  <si>
    <t>安胎散</t>
  </si>
  <si>
    <t>帰涼節命散</t>
  </si>
  <si>
    <t>冬葵子散</t>
  </si>
  <si>
    <t>安胎和気散</t>
  </si>
  <si>
    <t>紫蘇飲</t>
  </si>
  <si>
    <t>安栄散</t>
  </si>
  <si>
    <t>当帰芍薬湯</t>
  </si>
  <si>
    <t>芎蘇散</t>
  </si>
  <si>
    <t>駆邪散</t>
  </si>
  <si>
    <t>平安散</t>
  </si>
  <si>
    <t>天門冬飲子</t>
  </si>
  <si>
    <t>催生鉛丹</t>
  </si>
  <si>
    <t>催生如聖散</t>
  </si>
  <si>
    <t>霹靂奪命丹</t>
  </si>
  <si>
    <t>校正郭稽中産後二十一論治</t>
  </si>
  <si>
    <t>清魂散</t>
  </si>
  <si>
    <t>八珍散</t>
  </si>
  <si>
    <t>猪腰子粥</t>
  </si>
  <si>
    <t>血瘕論治</t>
  </si>
  <si>
    <t>六合湯</t>
  </si>
  <si>
    <t>婦室搐搦論治</t>
  </si>
  <si>
    <t>求子論治</t>
  </si>
  <si>
    <t>癰疽論治</t>
  </si>
  <si>
    <t>烏龍膏</t>
  </si>
  <si>
    <t>解毒散</t>
  </si>
  <si>
    <t>乳香膏</t>
  </si>
  <si>
    <t>追毒丹</t>
  </si>
  <si>
    <t>紅膏薬</t>
  </si>
  <si>
    <t>十奇散</t>
  </si>
  <si>
    <t>肺癰論治</t>
  </si>
  <si>
    <t>排膿散</t>
  </si>
  <si>
    <t>丁腫論治</t>
  </si>
  <si>
    <t>二黄散</t>
  </si>
  <si>
    <t>蟾酥丹</t>
  </si>
  <si>
    <t>瘡疥論治</t>
  </si>
  <si>
    <t>当帰飲子</t>
  </si>
  <si>
    <t>神異膏</t>
  </si>
  <si>
    <t>苦参湯</t>
  </si>
  <si>
    <t>竹茹膏</t>
  </si>
  <si>
    <t>癬論治</t>
  </si>
  <si>
    <t>癭瘤論治</t>
  </si>
  <si>
    <t>破積散</t>
  </si>
  <si>
    <t>南星膏</t>
  </si>
  <si>
    <t>五痔論治</t>
  </si>
  <si>
    <t>蝸牛膏</t>
  </si>
  <si>
    <t>枯礬散</t>
  </si>
  <si>
    <t>https://rmda.kulib.kyoto-u.ac.jp/item/rb00002310</t>
    <phoneticPr fontId="2"/>
  </si>
  <si>
    <t>巻之一</t>
    <rPh sb="0" eb="1">
      <t>マキ</t>
    </rPh>
    <rPh sb="1" eb="2">
      <t>ノ</t>
    </rPh>
    <rPh sb="2" eb="3">
      <t>1</t>
    </rPh>
    <phoneticPr fontId="2"/>
  </si>
  <si>
    <t>排風湯</t>
    <rPh sb="0" eb="1">
      <t>ハイ</t>
    </rPh>
    <rPh sb="1" eb="2">
      <t>カゼ</t>
    </rPh>
    <rPh sb="2" eb="3">
      <t>ユ</t>
    </rPh>
    <phoneticPr fontId="2"/>
  </si>
  <si>
    <t>寿星円</t>
    <rPh sb="2" eb="3">
      <t>エン</t>
    </rPh>
    <phoneticPr fontId="2"/>
  </si>
  <si>
    <t>蠲痛円</t>
    <rPh sb="2" eb="3">
      <t>エン</t>
    </rPh>
    <phoneticPr fontId="2"/>
  </si>
  <si>
    <t>万安散</t>
    <rPh sb="0" eb="1">
      <t>マン</t>
    </rPh>
    <rPh sb="1" eb="2">
      <t>アン</t>
    </rPh>
    <rPh sb="2" eb="3">
      <t>サン</t>
    </rPh>
    <phoneticPr fontId="2"/>
  </si>
  <si>
    <t>脚気論治</t>
  </si>
  <si>
    <t>酸棗仁円</t>
  </si>
  <si>
    <t>補心円</t>
  </si>
  <si>
    <t>畢澄茄円</t>
  </si>
  <si>
    <t>壮脾円</t>
  </si>
  <si>
    <t>補真円</t>
  </si>
  <si>
    <t>枳殻円</t>
  </si>
  <si>
    <t>訶梨勒円</t>
  </si>
  <si>
    <t>檳榔円</t>
  </si>
  <si>
    <t>鹿茸円</t>
  </si>
  <si>
    <t>冷補円</t>
  </si>
  <si>
    <t>韮子円</t>
  </si>
  <si>
    <t>青龍妙応円</t>
  </si>
  <si>
    <t>芡実円</t>
  </si>
  <si>
    <t>白円</t>
  </si>
  <si>
    <t>黒円</t>
  </si>
  <si>
    <t>玉関円</t>
  </si>
  <si>
    <t>黄犬肉円</t>
  </si>
  <si>
    <t>羊腎円</t>
  </si>
  <si>
    <t>鹿角円</t>
  </si>
  <si>
    <t>蛤蚧円</t>
  </si>
  <si>
    <t>経効阿膠円</t>
  </si>
  <si>
    <t>妙応円</t>
  </si>
  <si>
    <t>阿魏円</t>
  </si>
  <si>
    <t>黒円子</t>
  </si>
  <si>
    <t>如意円</t>
  </si>
  <si>
    <t>桂香円</t>
  </si>
  <si>
    <t>鴨頭円</t>
  </si>
  <si>
    <t>三仁円</t>
  </si>
  <si>
    <t>丹砂円</t>
  </si>
  <si>
    <t>二黄円</t>
  </si>
  <si>
    <t>五套円</t>
  </si>
  <si>
    <t>戊巳円</t>
  </si>
  <si>
    <t>火輪円</t>
  </si>
  <si>
    <t>四味阿膠円</t>
  </si>
  <si>
    <t>香茸円</t>
  </si>
  <si>
    <t>茜根円</t>
  </si>
  <si>
    <t>橘杏円</t>
  </si>
  <si>
    <t>潤腸円</t>
  </si>
  <si>
    <t>鹿角膠円</t>
  </si>
  <si>
    <t>瑞蓮円</t>
  </si>
  <si>
    <t>固精円</t>
  </si>
  <si>
    <t>玉浮円</t>
  </si>
  <si>
    <t>栝蔞実円</t>
  </si>
  <si>
    <t>神烏円</t>
  </si>
  <si>
    <t>加減腎気円</t>
  </si>
  <si>
    <t>猪肚円</t>
  </si>
  <si>
    <t>橘核円</t>
  </si>
  <si>
    <t>沈香磁石円</t>
  </si>
  <si>
    <t>鴟頭円</t>
  </si>
  <si>
    <t>蛇黄円</t>
  </si>
  <si>
    <t>控涎円</t>
  </si>
  <si>
    <t>補腎円</t>
  </si>
  <si>
    <t>養肝円</t>
  </si>
  <si>
    <t>羊肝円</t>
  </si>
  <si>
    <t>射干円</t>
  </si>
  <si>
    <t>蟾酥円</t>
  </si>
  <si>
    <t>塞耳円</t>
  </si>
  <si>
    <t>蓯蓉円</t>
  </si>
  <si>
    <t>梔子仁円</t>
  </si>
  <si>
    <t>蔥附円</t>
  </si>
  <si>
    <t>三生円</t>
  </si>
  <si>
    <t>玉真円</t>
  </si>
  <si>
    <t>二至円</t>
  </si>
  <si>
    <t>鎮宮円</t>
  </si>
  <si>
    <t>十灰円</t>
  </si>
  <si>
    <t>白堊円</t>
  </si>
  <si>
    <t>白蘞円</t>
  </si>
  <si>
    <t>巻柏円</t>
  </si>
  <si>
    <t>杜仲円</t>
  </si>
  <si>
    <t>如聖円</t>
  </si>
  <si>
    <t>蒙薑黄連円</t>
  </si>
  <si>
    <t>金液円</t>
  </si>
  <si>
    <t>見現円</t>
  </si>
  <si>
    <t>固経円</t>
  </si>
  <si>
    <t>狗宝円</t>
  </si>
  <si>
    <t>昆布円</t>
  </si>
  <si>
    <t>皂子円</t>
  </si>
  <si>
    <t>三聖円</t>
  </si>
  <si>
    <t>蒜連円</t>
  </si>
  <si>
    <t>香梅円</t>
  </si>
  <si>
    <t>断紅円</t>
  </si>
  <si>
    <t>狼毒円</t>
    <phoneticPr fontId="2"/>
  </si>
  <si>
    <t>芎朮湯</t>
    <rPh sb="1" eb="2">
      <t>ジュツ</t>
    </rPh>
    <phoneticPr fontId="2"/>
  </si>
  <si>
    <t>枳朮湯</t>
    <rPh sb="1" eb="2">
      <t>ジュツ</t>
    </rPh>
    <phoneticPr fontId="2"/>
  </si>
  <si>
    <t>健忘論治</t>
    <phoneticPr fontId="2"/>
  </si>
  <si>
    <t>腸風臓毒論治</t>
  </si>
  <si>
    <t>巻之九</t>
    <rPh sb="0" eb="1">
      <t>マキ</t>
    </rPh>
    <rPh sb="1" eb="2">
      <t>ノ</t>
    </rPh>
    <rPh sb="2" eb="3">
      <t>9</t>
    </rPh>
    <phoneticPr fontId="2"/>
  </si>
  <si>
    <t>瘰癧論治</t>
    <rPh sb="0" eb="2">
      <t>ルイレキ</t>
    </rPh>
    <phoneticPr fontId="2"/>
  </si>
  <si>
    <t>緑雲散</t>
    <rPh sb="0" eb="1">
      <t>ミドリ</t>
    </rPh>
    <phoneticPr fontId="2"/>
  </si>
  <si>
    <t>附朮湯</t>
    <rPh sb="1" eb="2">
      <t>ジュツ</t>
    </rPh>
    <phoneticPr fontId="2"/>
  </si>
  <si>
    <t>陰㿗論治</t>
    <rPh sb="2" eb="3">
      <t>ロン</t>
    </rPh>
    <phoneticPr fontId="2"/>
  </si>
  <si>
    <t>穀疸円</t>
    <rPh sb="0" eb="1">
      <t>コク</t>
    </rPh>
    <rPh sb="1" eb="2">
      <t>ダン</t>
    </rPh>
    <phoneticPr fontId="2"/>
  </si>
  <si>
    <t>タイトル 新刊素問入式運氣論奥 3卷</t>
  </si>
  <si>
    <t>著者 (宋) 劉温舒 撰</t>
  </si>
  <si>
    <t>出版者 梅壽</t>
  </si>
  <si>
    <t>出版年月日 慶長16 [1611]</t>
  </si>
  <si>
    <t>ページ</t>
    <phoneticPr fontId="2"/>
  </si>
  <si>
    <t>リンク</t>
    <phoneticPr fontId="2"/>
  </si>
  <si>
    <t>http://archive.wul.waseda.ac.jp/kosho/ya09/ya09_00099/ya09_00099_0001/ya09_00099_0001.html</t>
  </si>
  <si>
    <t>http://archive.wul.waseda.ac.jp/kosho/ya09/ya09_00099/ya09_00099_0002/ya09_00099_0002.html</t>
  </si>
  <si>
    <t>題言</t>
  </si>
  <si>
    <t>五臓病証</t>
  </si>
  <si>
    <t>五臓虚実冷熱</t>
  </si>
  <si>
    <t>肝有風熱</t>
  </si>
  <si>
    <t>発搐</t>
    <phoneticPr fontId="2"/>
  </si>
  <si>
    <t>風温潮熱相似</t>
  </si>
  <si>
    <t>腎怯失音</t>
  </si>
  <si>
    <t>欬嗽</t>
  </si>
  <si>
    <t>黄疸相似</t>
  </si>
  <si>
    <t>諸疳</t>
    <rPh sb="1" eb="2">
      <t>カン</t>
    </rPh>
    <phoneticPr fontId="2"/>
  </si>
  <si>
    <t>虫痛</t>
  </si>
  <si>
    <t>腹脹</t>
  </si>
  <si>
    <t>諸汗</t>
  </si>
  <si>
    <t>諸啼</t>
  </si>
  <si>
    <t>亀胸背</t>
  </si>
  <si>
    <t>胎肥怯熱</t>
  </si>
  <si>
    <t>諸証直訣</t>
  </si>
  <si>
    <t>記嘗所治病訣</t>
  </si>
  <si>
    <t>預説驚疾</t>
    <rPh sb="0" eb="1">
      <t>ヨ</t>
    </rPh>
    <rPh sb="1" eb="2">
      <t>セツ</t>
    </rPh>
    <rPh sb="2" eb="3">
      <t>オドロ</t>
    </rPh>
    <rPh sb="3" eb="4">
      <t>シツ</t>
    </rPh>
    <phoneticPr fontId="2"/>
  </si>
  <si>
    <t>瘡疹有悞（＝誤）</t>
    <rPh sb="6" eb="7">
      <t>アヤマ</t>
    </rPh>
    <phoneticPr fontId="2"/>
  </si>
  <si>
    <t>熱伝瘡疹</t>
  </si>
  <si>
    <t>温冷用薬</t>
  </si>
  <si>
    <t>陰癇壊病</t>
  </si>
  <si>
    <t>吐瀉争土</t>
  </si>
  <si>
    <t>熱不可下</t>
  </si>
  <si>
    <t>虫痛訣死</t>
  </si>
  <si>
    <t>嗽病訣死</t>
  </si>
  <si>
    <t>虚実熱証</t>
  </si>
  <si>
    <t>用薬識証</t>
  </si>
  <si>
    <t>潮熱問難</t>
  </si>
  <si>
    <t>吐瀉問難</t>
  </si>
  <si>
    <t>搐別真仮</t>
    <phoneticPr fontId="2"/>
  </si>
  <si>
    <t>発搐逆順</t>
    <phoneticPr fontId="2"/>
  </si>
  <si>
    <t>瘡疹標本</t>
  </si>
  <si>
    <t>治病有等</t>
  </si>
  <si>
    <t>補下不同</t>
  </si>
  <si>
    <t>虚実下薬</t>
  </si>
  <si>
    <t>病篤訣安</t>
  </si>
  <si>
    <t>寒熱相反</t>
  </si>
  <si>
    <t>病悞（＝誤）用巫</t>
    <phoneticPr fontId="2"/>
  </si>
  <si>
    <t>癖為潮熱</t>
  </si>
  <si>
    <t>巻之五</t>
    <rPh sb="0" eb="1">
      <t>マキ</t>
    </rPh>
    <rPh sb="1" eb="2">
      <t>ノ</t>
    </rPh>
    <rPh sb="2" eb="3">
      <t>5</t>
    </rPh>
    <phoneticPr fontId="2"/>
  </si>
  <si>
    <t>薬方</t>
    <rPh sb="0" eb="2">
      <t>ヤクホウ</t>
    </rPh>
    <phoneticPr fontId="2"/>
  </si>
  <si>
    <t>塗囟（＝䪿、）法</t>
    <rPh sb="0" eb="1">
      <t>ヌ</t>
    </rPh>
    <phoneticPr fontId="2"/>
  </si>
  <si>
    <t>甘桔散</t>
    <rPh sb="0" eb="1">
      <t>アマ</t>
    </rPh>
    <rPh sb="1" eb="2">
      <t>ケツ</t>
    </rPh>
    <rPh sb="2" eb="3">
      <t>サン</t>
    </rPh>
    <phoneticPr fontId="2"/>
  </si>
  <si>
    <t>安虫散</t>
  </si>
  <si>
    <t>白玉散</t>
    <phoneticPr fontId="2"/>
  </si>
  <si>
    <t>巻之六</t>
    <rPh sb="0" eb="1">
      <t>マキ</t>
    </rPh>
    <rPh sb="1" eb="2">
      <t>ノ</t>
    </rPh>
    <rPh sb="2" eb="3">
      <t>6</t>
    </rPh>
    <phoneticPr fontId="2"/>
  </si>
  <si>
    <t>玉露散</t>
    <phoneticPr fontId="2"/>
  </si>
  <si>
    <t>小惺惺丸</t>
    <phoneticPr fontId="2"/>
  </si>
  <si>
    <t>巻之七</t>
    <rPh sb="0" eb="1">
      <t>マキ</t>
    </rPh>
    <rPh sb="1" eb="2">
      <t>ノ</t>
    </rPh>
    <rPh sb="2" eb="3">
      <t>7</t>
    </rPh>
    <phoneticPr fontId="2"/>
  </si>
  <si>
    <t>廻生散</t>
    <rPh sb="0" eb="1">
      <t>マワル</t>
    </rPh>
    <rPh sb="1" eb="2">
      <t>ススム</t>
    </rPh>
    <rPh sb="2" eb="3">
      <t>サン</t>
    </rPh>
    <phoneticPr fontId="2"/>
  </si>
  <si>
    <t>梓朴散</t>
    <phoneticPr fontId="2"/>
  </si>
  <si>
    <r>
      <t>豆（荳）</t>
    </r>
    <r>
      <rPr>
        <sz val="11"/>
        <color theme="1"/>
        <rFont val="ＭＳ Ｐゴシック"/>
        <family val="3"/>
        <charset val="136"/>
        <scheme val="minor"/>
      </rPr>
      <t>蔻</t>
    </r>
    <r>
      <rPr>
        <sz val="11"/>
        <color theme="1"/>
        <rFont val="ＭＳ Ｐゴシック"/>
        <family val="2"/>
        <charset val="128"/>
        <scheme val="minor"/>
      </rPr>
      <t>香連丸</t>
    </r>
    <rPh sb="0" eb="1">
      <t>マメ</t>
    </rPh>
    <phoneticPr fontId="2"/>
  </si>
  <si>
    <r>
      <t>荳（豆）</t>
    </r>
    <r>
      <rPr>
        <sz val="11"/>
        <color theme="1"/>
        <rFont val="ＭＳ Ｐゴシック"/>
        <family val="3"/>
        <charset val="136"/>
        <scheme val="minor"/>
      </rPr>
      <t>蔻</t>
    </r>
    <r>
      <rPr>
        <sz val="11"/>
        <color theme="1"/>
        <rFont val="ＭＳ Ｐゴシック"/>
        <family val="2"/>
        <charset val="128"/>
        <scheme val="minor"/>
      </rPr>
      <t>散</t>
    </r>
    <rPh sb="2" eb="3">
      <t>マメ</t>
    </rPh>
    <phoneticPr fontId="2"/>
  </si>
  <si>
    <t>巻之八</t>
    <rPh sb="0" eb="1">
      <t>マキ</t>
    </rPh>
    <rPh sb="1" eb="2">
      <t>ノ</t>
    </rPh>
    <rPh sb="2" eb="3">
      <t>8</t>
    </rPh>
    <phoneticPr fontId="2"/>
  </si>
  <si>
    <t>安虫丸</t>
  </si>
  <si>
    <t>天南星</t>
    <rPh sb="0" eb="1">
      <t>テン</t>
    </rPh>
    <rPh sb="1" eb="2">
      <t>ミナミ</t>
    </rPh>
    <rPh sb="2" eb="3">
      <t>ホシ</t>
    </rPh>
    <phoneticPr fontId="2"/>
  </si>
  <si>
    <t>黄耆散</t>
    <rPh sb="0" eb="2">
      <t>オウギ</t>
    </rPh>
    <phoneticPr fontId="2"/>
  </si>
  <si>
    <t>史君子丸</t>
    <rPh sb="0" eb="1">
      <t>シ</t>
    </rPh>
    <rPh sb="1" eb="3">
      <t>キミコ</t>
    </rPh>
    <phoneticPr fontId="2"/>
  </si>
  <si>
    <t>外編</t>
  </si>
  <si>
    <t>急慢驚候</t>
  </si>
  <si>
    <t>吐瀉治法</t>
  </si>
  <si>
    <t>諸熱相似</t>
  </si>
  <si>
    <t>諸病煩渇</t>
    <rPh sb="3" eb="4">
      <t>カツ</t>
    </rPh>
    <phoneticPr fontId="2"/>
  </si>
  <si>
    <t>小児治法</t>
  </si>
  <si>
    <t>惺惺散</t>
    <phoneticPr fontId="2"/>
  </si>
  <si>
    <t>黄蘗膏</t>
    <phoneticPr fontId="2"/>
  </si>
  <si>
    <t>胡荽酒</t>
    <phoneticPr fontId="2"/>
  </si>
  <si>
    <t>藍根散</t>
  </si>
  <si>
    <t>甘露飲子</t>
  </si>
  <si>
    <t>調肝散</t>
  </si>
  <si>
    <t>子肝散</t>
  </si>
  <si>
    <t>扉退散</t>
  </si>
  <si>
    <t>到聖散</t>
  </si>
  <si>
    <t>通雲散</t>
  </si>
  <si>
    <t>梔豉飲子</t>
    <phoneticPr fontId="2"/>
  </si>
  <si>
    <t>霊礬散</t>
    <phoneticPr fontId="2"/>
  </si>
  <si>
    <t>半粟散</t>
  </si>
  <si>
    <t>閻氏附方</t>
  </si>
  <si>
    <t>魏香散</t>
  </si>
  <si>
    <t>黄蘗円</t>
    <phoneticPr fontId="2"/>
  </si>
  <si>
    <t>鶏頭丸</t>
  </si>
  <si>
    <t>羚羊角円</t>
    <phoneticPr fontId="2"/>
  </si>
  <si>
    <t>全蝎散</t>
    <phoneticPr fontId="2"/>
  </si>
  <si>
    <t>赤石脂散</t>
    <phoneticPr fontId="2"/>
  </si>
  <si>
    <t>蘗墨散</t>
    <phoneticPr fontId="2"/>
  </si>
  <si>
    <t>附子理中</t>
  </si>
  <si>
    <t>青州白丸</t>
  </si>
  <si>
    <t>増入彭皆春見聞己効方</t>
    <phoneticPr fontId="2"/>
  </si>
  <si>
    <t>張渙小児方</t>
    <phoneticPr fontId="2"/>
  </si>
  <si>
    <t>？</t>
    <phoneticPr fontId="2"/>
  </si>
  <si>
    <t>？</t>
    <phoneticPr fontId="2"/>
  </si>
  <si>
    <t>用薬宜禁</t>
    <rPh sb="0" eb="1">
      <t>モチ</t>
    </rPh>
    <rPh sb="1" eb="2">
      <t>ヤク</t>
    </rPh>
    <rPh sb="2" eb="3">
      <t>ヨロ</t>
    </rPh>
    <rPh sb="3" eb="4">
      <t>キン</t>
    </rPh>
    <phoneticPr fontId="2"/>
  </si>
  <si>
    <t>凡例</t>
    <rPh sb="0" eb="2">
      <t>ハンレイ</t>
    </rPh>
    <phoneticPr fontId="2"/>
  </si>
  <si>
    <t>月経序論第一</t>
    <phoneticPr fontId="2"/>
  </si>
  <si>
    <t>月経不通方論第六</t>
    <phoneticPr fontId="2"/>
  </si>
  <si>
    <t>《養生必用》論病第七</t>
    <phoneticPr fontId="2"/>
  </si>
  <si>
    <t>月水不利方論第十一</t>
    <phoneticPr fontId="2"/>
  </si>
  <si>
    <t>月水行止腹痛方論第十二</t>
    <rPh sb="3" eb="4">
      <t>ト</t>
    </rPh>
    <rPh sb="4" eb="5">
      <t>ハラ</t>
    </rPh>
    <phoneticPr fontId="2"/>
  </si>
  <si>
    <t>殺血心痛方論第十四</t>
    <phoneticPr fontId="2"/>
  </si>
  <si>
    <t>崩暴下血不止方論第十五</t>
    <rPh sb="5" eb="6">
      <t>ト</t>
    </rPh>
    <phoneticPr fontId="2"/>
  </si>
  <si>
    <t>帯下方論第十六</t>
    <phoneticPr fontId="2"/>
  </si>
  <si>
    <t>白濁白淫方論第十八</t>
    <phoneticPr fontId="2"/>
  </si>
  <si>
    <t>天癸過期方論第十九</t>
    <phoneticPr fontId="2"/>
  </si>
  <si>
    <t>血分水分腫満方論第二十</t>
    <phoneticPr fontId="2"/>
  </si>
  <si>
    <t>巻之二</t>
    <rPh sb="0" eb="1">
      <t>マキ</t>
    </rPh>
    <rPh sb="1" eb="2">
      <t>ノ</t>
    </rPh>
    <rPh sb="2" eb="3">
      <t>2</t>
    </rPh>
    <phoneticPr fontId="2"/>
  </si>
  <si>
    <t>冦宗奭論第四</t>
    <phoneticPr fontId="2"/>
  </si>
  <si>
    <t>巻之三</t>
    <rPh sb="0" eb="1">
      <t>マキ</t>
    </rPh>
    <rPh sb="1" eb="2">
      <t>ノ</t>
    </rPh>
    <rPh sb="2" eb="3">
      <t>3</t>
    </rPh>
    <phoneticPr fontId="2"/>
  </si>
  <si>
    <t>中風諸症方論第一</t>
  </si>
  <si>
    <t>中風角弓反張方論第二</t>
  </si>
  <si>
    <t>中風口噤方論第三</t>
  </si>
  <si>
    <t>中風不語方論第四</t>
  </si>
  <si>
    <t>風痺手足不随方論第五</t>
  </si>
  <si>
    <t>中風自汗方論第六</t>
  </si>
  <si>
    <t>筋脈瘈瘲方論第七</t>
    <rPh sb="0" eb="1">
      <t>キン</t>
    </rPh>
    <rPh sb="1" eb="2">
      <t>ミャク</t>
    </rPh>
    <rPh sb="2" eb="4">
      <t>ケイショウ</t>
    </rPh>
    <phoneticPr fontId="2"/>
  </si>
  <si>
    <t>虚風顫振方論第八</t>
    <rPh sb="0" eb="1">
      <t>キョ</t>
    </rPh>
    <rPh sb="1" eb="2">
      <t>カゼ</t>
    </rPh>
    <rPh sb="3" eb="4">
      <t>シン</t>
    </rPh>
    <phoneticPr fontId="2"/>
  </si>
  <si>
    <t>風寒臂痛方論第九</t>
    <rPh sb="0" eb="2">
      <t>フウカン</t>
    </rPh>
    <rPh sb="2" eb="3">
      <t>ヒ</t>
    </rPh>
    <rPh sb="3" eb="4">
      <t>ツウ</t>
    </rPh>
    <rPh sb="7" eb="8">
      <t>9</t>
    </rPh>
    <phoneticPr fontId="2"/>
  </si>
  <si>
    <t>賊風偏枯方論第八</t>
  </si>
  <si>
    <t>偏風口喎方論第九</t>
    <rPh sb="2" eb="4">
      <t>コウカ</t>
    </rPh>
    <phoneticPr fontId="2"/>
  </si>
  <si>
    <t>怔忡神驚悸方論第十</t>
    <rPh sb="0" eb="2">
      <t>セイチュウ</t>
    </rPh>
    <phoneticPr fontId="2"/>
  </si>
  <si>
    <t>失血心神不安方論第十一</t>
    <phoneticPr fontId="2"/>
  </si>
  <si>
    <t>風邪顛狂方論第十二</t>
  </si>
  <si>
    <t>飛尸血厥方論第十三</t>
    <rPh sb="1" eb="2">
      <t>シ</t>
    </rPh>
    <phoneticPr fontId="2"/>
  </si>
  <si>
    <t>血風肢体骨節疼痛方論第一</t>
    <rPh sb="2" eb="4">
      <t>シタイ</t>
    </rPh>
    <rPh sb="4" eb="5">
      <t>ホネ</t>
    </rPh>
    <phoneticPr fontId="2"/>
  </si>
  <si>
    <t>血風白虎歴節走疰方論第二</t>
  </si>
  <si>
    <t>血風癮疹瘙痒方論第三</t>
    <rPh sb="4" eb="6">
      <t>ソウヨウ</t>
    </rPh>
    <phoneticPr fontId="2"/>
  </si>
  <si>
    <t>虚風頭目眩暈方論第四</t>
    <phoneticPr fontId="2"/>
  </si>
  <si>
    <t>血風頭痛方論第五</t>
  </si>
  <si>
    <t>頸項強痛方論第六</t>
    <rPh sb="0" eb="1">
      <t>クビ</t>
    </rPh>
    <phoneticPr fontId="2"/>
  </si>
  <si>
    <t>腰痛方論第七</t>
  </si>
  <si>
    <t>腰脚疼痛方論第八</t>
    <rPh sb="2" eb="4">
      <t>トウツウ</t>
    </rPh>
    <phoneticPr fontId="2"/>
  </si>
  <si>
    <t>風邪脚気方論第九</t>
    <rPh sb="0" eb="2">
      <t>カゼ</t>
    </rPh>
    <phoneticPr fontId="2"/>
  </si>
  <si>
    <t>労瘵各疰方論第一</t>
    <rPh sb="0" eb="1">
      <t>ロウ</t>
    </rPh>
    <rPh sb="2" eb="3">
      <t>カク</t>
    </rPh>
    <rPh sb="7" eb="8">
      <t>1</t>
    </rPh>
    <phoneticPr fontId="2"/>
  </si>
  <si>
    <t>二十四種蒸病論</t>
    <rPh sb="0" eb="3">
      <t>24</t>
    </rPh>
    <rPh sb="3" eb="4">
      <t>シュ</t>
    </rPh>
    <rPh sb="5" eb="6">
      <t>ビ</t>
    </rPh>
    <phoneticPr fontId="2"/>
  </si>
  <si>
    <t>骨蒸労方論第三</t>
    <phoneticPr fontId="2"/>
  </si>
  <si>
    <t>血風労気方論第三</t>
    <phoneticPr fontId="2"/>
  </si>
  <si>
    <t>冷労方論第五</t>
  </si>
  <si>
    <t>熱労方論第一</t>
  </si>
  <si>
    <t>客熱方論第二</t>
  </si>
  <si>
    <t>寒熱方論第三</t>
  </si>
  <si>
    <t>悪寒方論第五</t>
  </si>
  <si>
    <t>血風煩悶方論第六</t>
  </si>
  <si>
    <t>血風攻脾不食方論第七</t>
    <phoneticPr fontId="2"/>
  </si>
  <si>
    <t>夢与鬼交方論第八</t>
  </si>
  <si>
    <t>傷寒傷風方論第九</t>
  </si>
  <si>
    <t>熱入血室方論第十</t>
  </si>
  <si>
    <t>咳嗽方論第十一</t>
  </si>
  <si>
    <t>咳嗽用温薬方論第十二</t>
  </si>
  <si>
    <t>労嗽方論第十三</t>
  </si>
  <si>
    <t>喘満方論第十四</t>
  </si>
  <si>
    <t>風痰積飲嗽咳方論第十五</t>
    <rPh sb="2" eb="3">
      <t>セキ</t>
    </rPh>
    <rPh sb="3" eb="4">
      <t>ノ</t>
    </rPh>
    <rPh sb="4" eb="5">
      <t>クチスス</t>
    </rPh>
    <rPh sb="5" eb="6">
      <t>セキ</t>
    </rPh>
    <rPh sb="6" eb="7">
      <t>カタ</t>
    </rPh>
    <phoneticPr fontId="2"/>
  </si>
  <si>
    <t>心胸嘈雑方論第十六</t>
  </si>
  <si>
    <t>嘔吐方論第一</t>
  </si>
  <si>
    <t>霍乱方論第二</t>
  </si>
  <si>
    <t>翻胃吐食方論第三</t>
  </si>
  <si>
    <t>血膈方論第四</t>
  </si>
  <si>
    <t>鼻血方論第五</t>
    <rPh sb="1" eb="2">
      <t>チ</t>
    </rPh>
    <phoneticPr fontId="2"/>
  </si>
  <si>
    <t>吐血方論第六</t>
  </si>
  <si>
    <t>痃癖諸気方論第七</t>
    <rPh sb="0" eb="2">
      <t>ケンペキ</t>
    </rPh>
    <phoneticPr fontId="2"/>
  </si>
  <si>
    <t>疝瘕方論第八</t>
  </si>
  <si>
    <t>八瘕方論第九</t>
  </si>
  <si>
    <t>腹中瘀血方論第十</t>
  </si>
  <si>
    <t>癥痞方論第十一</t>
    <rPh sb="0" eb="1">
      <t>チョウ</t>
    </rPh>
    <rPh sb="1" eb="2">
      <t>フ</t>
    </rPh>
    <phoneticPr fontId="2"/>
  </si>
  <si>
    <t>食癥方論第十二</t>
    <phoneticPr fontId="2"/>
  </si>
  <si>
    <t>積年血癥方論第十三</t>
    <phoneticPr fontId="2"/>
  </si>
  <si>
    <t>血気心痛方論第十四</t>
  </si>
  <si>
    <t>血気心腹疼痛方論第十五</t>
  </si>
  <si>
    <t>血気小腹疼痛方論第十六</t>
  </si>
  <si>
    <t>両脇脹痛方論第十七</t>
  </si>
  <si>
    <t>心腹脹満方論第十八</t>
  </si>
  <si>
    <t>小便淋瀝不通方論第一</t>
    <phoneticPr fontId="2"/>
  </si>
  <si>
    <t>脬転小便不利方論第二</t>
    <rPh sb="4" eb="6">
      <t>フリ</t>
    </rPh>
    <phoneticPr fontId="2"/>
  </si>
  <si>
    <t>小便数方論第三</t>
  </si>
  <si>
    <t>遺尿失禁方論第四</t>
  </si>
  <si>
    <t>小便出血方論第五</t>
  </si>
  <si>
    <t>大便不通方論第六</t>
  </si>
  <si>
    <t>老弱風人便秘戒用利薬方論第七</t>
    <rPh sb="0" eb="1">
      <t>ロウ</t>
    </rPh>
    <rPh sb="1" eb="2">
      <t>ジャク</t>
    </rPh>
    <rPh sb="2" eb="3">
      <t>カゼ</t>
    </rPh>
    <rPh sb="3" eb="4">
      <t>ヒト</t>
    </rPh>
    <rPh sb="4" eb="5">
      <t>ベン</t>
    </rPh>
    <rPh sb="6" eb="7">
      <t>イマシ</t>
    </rPh>
    <rPh sb="7" eb="8">
      <t>モチ</t>
    </rPh>
    <rPh sb="9" eb="10">
      <t>ヤク</t>
    </rPh>
    <phoneticPr fontId="2"/>
  </si>
  <si>
    <t>泄痢秘結方論第八</t>
    <rPh sb="0" eb="1">
      <t>モレル</t>
    </rPh>
    <rPh sb="1" eb="2">
      <t>リ</t>
    </rPh>
    <rPh sb="2" eb="4">
      <t>ヒケツ</t>
    </rPh>
    <rPh sb="7" eb="8">
      <t>8</t>
    </rPh>
    <phoneticPr fontId="2"/>
  </si>
  <si>
    <t>泄瀉方論第八</t>
    <phoneticPr fontId="2"/>
  </si>
  <si>
    <t>協熱下痢方論第九</t>
    <rPh sb="3" eb="4">
      <t>リ</t>
    </rPh>
    <phoneticPr fontId="2"/>
  </si>
  <si>
    <t>滞下方論第十</t>
  </si>
  <si>
    <t>痢後嘔噦方論第十一</t>
  </si>
  <si>
    <t>大便下血方論第十二</t>
  </si>
  <si>
    <t>痔瘻方論第十三</t>
    <rPh sb="0" eb="2">
      <t>ジロウ</t>
    </rPh>
    <phoneticPr fontId="2"/>
  </si>
  <si>
    <t>脱肛方論第十四</t>
    <phoneticPr fontId="2"/>
  </si>
  <si>
    <t>陰腫方論第十五</t>
  </si>
  <si>
    <t>陰痒方論第十六</t>
    <rPh sb="1" eb="2">
      <t>ヨウ</t>
    </rPh>
    <phoneticPr fontId="2"/>
  </si>
  <si>
    <t>陰冷方論第十七</t>
  </si>
  <si>
    <t>陰挺下脱方論第十八</t>
    <phoneticPr fontId="2"/>
  </si>
  <si>
    <t>陰中生瘡方第十九</t>
  </si>
  <si>
    <t>交接傷丈夫頭痛方第二十</t>
    <rPh sb="0" eb="2">
      <t>コウセツ</t>
    </rPh>
    <phoneticPr fontId="2"/>
  </si>
  <si>
    <t>交接輒血出痛方第二十一</t>
    <rPh sb="5" eb="6">
      <t>ツウ</t>
    </rPh>
    <phoneticPr fontId="2"/>
  </si>
  <si>
    <t>交接他物所傷方第二十二</t>
    <rPh sb="4" eb="5">
      <t>トコロ</t>
    </rPh>
    <phoneticPr fontId="2"/>
  </si>
  <si>
    <t>巻之九</t>
    <rPh sb="2" eb="3">
      <t>9</t>
    </rPh>
    <phoneticPr fontId="2"/>
  </si>
  <si>
    <t>褚尚書求男論第二</t>
    <phoneticPr fontId="2"/>
  </si>
  <si>
    <t>無子論第三</t>
    <phoneticPr fontId="2"/>
  </si>
  <si>
    <t>交会禁忌</t>
    <rPh sb="0" eb="1">
      <t>コウ</t>
    </rPh>
    <rPh sb="1" eb="2">
      <t>カイ</t>
    </rPh>
    <rPh sb="2" eb="4">
      <t>キンキ</t>
    </rPh>
    <phoneticPr fontId="2"/>
  </si>
  <si>
    <t>男子受胎時日法</t>
    <rPh sb="0" eb="2">
      <t>ダンシ</t>
    </rPh>
    <rPh sb="2" eb="4">
      <t>ジュタイ</t>
    </rPh>
    <rPh sb="4" eb="5">
      <t>トキ</t>
    </rPh>
    <rPh sb="5" eb="6">
      <t>ニチ</t>
    </rPh>
    <rPh sb="6" eb="7">
      <t>ホウ</t>
    </rPh>
    <phoneticPr fontId="2"/>
  </si>
  <si>
    <t>推支干旺相日法</t>
    <rPh sb="0" eb="1">
      <t>オ</t>
    </rPh>
    <rPh sb="1" eb="2">
      <t>シ</t>
    </rPh>
    <rPh sb="2" eb="3">
      <t>ヒ</t>
    </rPh>
    <rPh sb="3" eb="4">
      <t>サカン</t>
    </rPh>
    <rPh sb="4" eb="5">
      <t>ソウ</t>
    </rPh>
    <rPh sb="5" eb="6">
      <t>ビ</t>
    </rPh>
    <rPh sb="6" eb="7">
      <t>ホウ</t>
    </rPh>
    <phoneticPr fontId="2"/>
  </si>
  <si>
    <t>推毎月宿日</t>
    <rPh sb="0" eb="1">
      <t>オ</t>
    </rPh>
    <rPh sb="1" eb="3">
      <t>マイツキ</t>
    </rPh>
    <rPh sb="3" eb="4">
      <t>ヤド</t>
    </rPh>
    <rPh sb="4" eb="5">
      <t>ビ</t>
    </rPh>
    <phoneticPr fontId="2"/>
  </si>
  <si>
    <t>求子服薬須知</t>
    <rPh sb="0" eb="1">
      <t>モト</t>
    </rPh>
    <rPh sb="1" eb="2">
      <t>コ</t>
    </rPh>
    <rPh sb="2" eb="4">
      <t>フクヤク</t>
    </rPh>
    <rPh sb="4" eb="6">
      <t>スチ</t>
    </rPh>
    <phoneticPr fontId="2"/>
  </si>
  <si>
    <t>温隠居求嗣保生篇</t>
    <rPh sb="1" eb="2">
      <t>イン</t>
    </rPh>
    <phoneticPr fontId="2"/>
  </si>
  <si>
    <t>受形論</t>
    <rPh sb="0" eb="1">
      <t>ウケ</t>
    </rPh>
    <rPh sb="1" eb="2">
      <t>ケイ</t>
    </rPh>
    <rPh sb="2" eb="3">
      <t>ロン</t>
    </rPh>
    <phoneticPr fontId="2"/>
  </si>
  <si>
    <t>受形篇</t>
    <rPh sb="0" eb="1">
      <t>ウケ</t>
    </rPh>
    <rPh sb="1" eb="2">
      <t>ケイ</t>
    </rPh>
    <rPh sb="2" eb="3">
      <t>ヘン</t>
    </rPh>
    <phoneticPr fontId="2"/>
  </si>
  <si>
    <t>論胎教</t>
    <rPh sb="0" eb="1">
      <t>ロン</t>
    </rPh>
    <rPh sb="1" eb="3">
      <t>タイキョウ</t>
    </rPh>
    <phoneticPr fontId="2"/>
  </si>
  <si>
    <t>孕元立本章</t>
    <rPh sb="1" eb="2">
      <t>モト</t>
    </rPh>
    <rPh sb="2" eb="3">
      <t>タ</t>
    </rPh>
    <rPh sb="3" eb="4">
      <t>ホン</t>
    </rPh>
    <rPh sb="4" eb="5">
      <t>アキラ</t>
    </rPh>
    <phoneticPr fontId="2"/>
  </si>
  <si>
    <t>凝形殊禀章</t>
    <rPh sb="0" eb="1">
      <t>ギョウ</t>
    </rPh>
    <rPh sb="1" eb="2">
      <t>カタチ</t>
    </rPh>
    <rPh sb="2" eb="3">
      <t>ジュ</t>
    </rPh>
    <rPh sb="3" eb="4">
      <t>リン</t>
    </rPh>
    <rPh sb="4" eb="5">
      <t>ショウ</t>
    </rPh>
    <phoneticPr fontId="2"/>
  </si>
  <si>
    <t>気質生成成章</t>
    <rPh sb="0" eb="2">
      <t>キシツ</t>
    </rPh>
    <rPh sb="2" eb="4">
      <t>セイセイ</t>
    </rPh>
    <rPh sb="4" eb="5">
      <t>ナ</t>
    </rPh>
    <rPh sb="5" eb="6">
      <t>アキラ</t>
    </rPh>
    <phoneticPr fontId="2"/>
  </si>
  <si>
    <t>転女為男法</t>
    <rPh sb="4" eb="5">
      <t>ホウ</t>
    </rPh>
    <phoneticPr fontId="2"/>
  </si>
  <si>
    <t>巻之十一</t>
    <rPh sb="0" eb="1">
      <t>マキ</t>
    </rPh>
    <rPh sb="1" eb="2">
      <t>ノ</t>
    </rPh>
    <rPh sb="2" eb="4">
      <t>11</t>
    </rPh>
    <phoneticPr fontId="2"/>
  </si>
  <si>
    <t>候胎門</t>
    <rPh sb="0" eb="1">
      <t>コウ</t>
    </rPh>
    <rPh sb="1" eb="2">
      <t>ハラ</t>
    </rPh>
    <phoneticPr fontId="2"/>
  </si>
  <si>
    <t>巻之十二</t>
    <rPh sb="0" eb="1">
      <t>マキ</t>
    </rPh>
    <rPh sb="1" eb="2">
      <t>ノ</t>
    </rPh>
    <rPh sb="2" eb="4">
      <t>ジュウニ</t>
    </rPh>
    <phoneticPr fontId="2"/>
  </si>
  <si>
    <t>随月服薬将息法第一</t>
    <phoneticPr fontId="2"/>
  </si>
  <si>
    <t>悪阻方論第二</t>
  </si>
  <si>
    <t>痰逆不食方論第三</t>
    <phoneticPr fontId="2"/>
  </si>
  <si>
    <t>漏胎下血方論第五</t>
  </si>
  <si>
    <t>卒然下血方論第六</t>
  </si>
  <si>
    <t>驚胎及僵仆方論第七</t>
  </si>
  <si>
    <t>胎上逼方論第八</t>
    <phoneticPr fontId="2"/>
  </si>
  <si>
    <t>下如豆汁胎動腹痛方第九</t>
    <phoneticPr fontId="2"/>
  </si>
  <si>
    <t>誤服毒薬胎動方第十</t>
    <phoneticPr fontId="2"/>
  </si>
  <si>
    <t>心痛方論第十一</t>
  </si>
  <si>
    <t>心腹痛方論第十二</t>
  </si>
  <si>
    <t>中悪方論第十三</t>
  </si>
  <si>
    <t>腰腹背痛方論第十四</t>
    <phoneticPr fontId="2"/>
  </si>
  <si>
    <t>小腹痛方論第十五</t>
  </si>
  <si>
    <t>心腹脹満方論第十六</t>
  </si>
  <si>
    <t>数堕胎方論第一</t>
  </si>
  <si>
    <t>胎不長方論第二</t>
    <phoneticPr fontId="2"/>
  </si>
  <si>
    <t>胎動不安当下方論第三</t>
    <rPh sb="1" eb="2">
      <t>ウゴ</t>
    </rPh>
    <rPh sb="4" eb="5">
      <t>トウ</t>
    </rPh>
    <rPh sb="5" eb="7">
      <t>カホウ</t>
    </rPh>
    <phoneticPr fontId="2"/>
  </si>
  <si>
    <t>堕胎後血下方論第四</t>
    <phoneticPr fontId="2"/>
  </si>
  <si>
    <t>未足月欲産方論</t>
    <rPh sb="0" eb="1">
      <t>ミ</t>
    </rPh>
    <rPh sb="1" eb="2">
      <t>アシ</t>
    </rPh>
    <rPh sb="2" eb="3">
      <t>ツキ</t>
    </rPh>
    <rPh sb="3" eb="4">
      <t>ヨク</t>
    </rPh>
    <rPh sb="4" eb="6">
      <t>ウムカタ</t>
    </rPh>
    <rPh sb="6" eb="7">
      <t>ロン</t>
    </rPh>
    <phoneticPr fontId="2"/>
  </si>
  <si>
    <t>咳嗽方論第七</t>
  </si>
  <si>
    <t>吐血衄血方論第八</t>
  </si>
  <si>
    <t>子煩方論第九</t>
  </si>
  <si>
    <t>煩躁口乾方論第十</t>
  </si>
  <si>
    <t>中風方論第一</t>
  </si>
  <si>
    <t>風痙方論第二</t>
  </si>
  <si>
    <t>瘈瘲方論第三</t>
    <rPh sb="0" eb="2">
      <t>ケイショウ</t>
    </rPh>
    <phoneticPr fontId="2"/>
  </si>
  <si>
    <t>鬼胎方論</t>
    <rPh sb="0" eb="1">
      <t>オニ</t>
    </rPh>
    <rPh sb="2" eb="3">
      <t>カタ</t>
    </rPh>
    <rPh sb="3" eb="4">
      <t>ロン</t>
    </rPh>
    <phoneticPr fontId="2"/>
  </si>
  <si>
    <t>傷寒方論第四</t>
  </si>
  <si>
    <t>時気方論第五</t>
  </si>
  <si>
    <t>熱病方論第六</t>
    <phoneticPr fontId="2"/>
  </si>
  <si>
    <t>傷寒熱病防損胎方論第七</t>
  </si>
  <si>
    <t>熱病胎死腹中方論第八</t>
  </si>
  <si>
    <t>瘧疾方論第九</t>
  </si>
  <si>
    <t>霍乱方論第十</t>
  </si>
  <si>
    <t>泄瀉方論第一</t>
  </si>
  <si>
    <t>下痢黄水方論第二</t>
    <phoneticPr fontId="2"/>
  </si>
  <si>
    <t>大小便不通方論第三</t>
  </si>
  <si>
    <t>小便不通方論第四</t>
  </si>
  <si>
    <t>子淋方論第五</t>
  </si>
  <si>
    <t>遺尿方論</t>
    <rPh sb="0" eb="2">
      <t>イニョウ</t>
    </rPh>
    <rPh sb="2" eb="3">
      <t>ホウ</t>
    </rPh>
    <rPh sb="3" eb="4">
      <t>ロン</t>
    </rPh>
    <phoneticPr fontId="2"/>
  </si>
  <si>
    <t>尿血方論第七</t>
  </si>
  <si>
    <t>胎水腫満方論第八</t>
  </si>
  <si>
    <t>腹内鐘鳴方</t>
    <rPh sb="0" eb="1">
      <t>ハラ</t>
    </rPh>
    <rPh sb="1" eb="2">
      <t>ナイ</t>
    </rPh>
    <rPh sb="2" eb="3">
      <t>カネ</t>
    </rPh>
    <rPh sb="3" eb="4">
      <t>ナル</t>
    </rPh>
    <rPh sb="4" eb="5">
      <t>カタ</t>
    </rPh>
    <phoneticPr fontId="2"/>
  </si>
  <si>
    <t>龔彦徳孕癰方第十</t>
    <rPh sb="1" eb="2">
      <t>ヒコ</t>
    </rPh>
    <rPh sb="2" eb="3">
      <t>トク</t>
    </rPh>
    <phoneticPr fontId="2"/>
  </si>
  <si>
    <t>不語論</t>
    <rPh sb="0" eb="1">
      <t>フ</t>
    </rPh>
    <rPh sb="1" eb="2">
      <t>ゴ</t>
    </rPh>
    <rPh sb="2" eb="3">
      <t>ロン</t>
    </rPh>
    <phoneticPr fontId="2"/>
  </si>
  <si>
    <t>傷食方論第十二</t>
  </si>
  <si>
    <t>臓燥悲傷方論第十三</t>
    <rPh sb="1" eb="2">
      <t>ソウ</t>
    </rPh>
    <phoneticPr fontId="2"/>
  </si>
  <si>
    <t>巻之十六</t>
    <rPh sb="3" eb="4">
      <t>6</t>
    </rPh>
    <phoneticPr fontId="2"/>
  </si>
  <si>
    <t>《産宝方》周頲序第一</t>
    <phoneticPr fontId="2"/>
  </si>
  <si>
    <t>入月予備薬物第十</t>
    <rPh sb="2" eb="4">
      <t>ヨビ</t>
    </rPh>
    <phoneticPr fontId="2"/>
  </si>
  <si>
    <t>巻之十七</t>
  </si>
  <si>
    <t>交骨不開産門不閉方論</t>
    <rPh sb="0" eb="1">
      <t>マジ</t>
    </rPh>
    <rPh sb="1" eb="2">
      <t>ホネ</t>
    </rPh>
    <rPh sb="2" eb="3">
      <t>フ</t>
    </rPh>
    <rPh sb="3" eb="4">
      <t>ヒラ</t>
    </rPh>
    <rPh sb="4" eb="5">
      <t>サン</t>
    </rPh>
    <rPh sb="5" eb="6">
      <t>モン</t>
    </rPh>
    <rPh sb="6" eb="7">
      <t>フ</t>
    </rPh>
    <rPh sb="7" eb="8">
      <t>ト</t>
    </rPh>
    <rPh sb="8" eb="9">
      <t>ホウ</t>
    </rPh>
    <rPh sb="9" eb="10">
      <t>ロン</t>
    </rPh>
    <phoneticPr fontId="2"/>
  </si>
  <si>
    <t>巻之十八</t>
    <rPh sb="3" eb="4">
      <t>8</t>
    </rPh>
    <phoneticPr fontId="2"/>
  </si>
  <si>
    <t>産後門</t>
    <phoneticPr fontId="2"/>
  </si>
  <si>
    <t>産後将護法第一</t>
    <phoneticPr fontId="2"/>
  </si>
  <si>
    <t>調理法第二</t>
    <phoneticPr fontId="2"/>
  </si>
  <si>
    <t>通用方論第三</t>
  </si>
  <si>
    <t>血暈方論第五</t>
  </si>
  <si>
    <t>顛狂方論第六</t>
  </si>
  <si>
    <t>狂言譫語方論第七</t>
    <phoneticPr fontId="2"/>
  </si>
  <si>
    <t>不語方論第八</t>
  </si>
  <si>
    <t>巻之十九</t>
  </si>
  <si>
    <t>乍見鬼神方論第一</t>
  </si>
  <si>
    <t>心神驚悸方論第二</t>
    <rPh sb="0" eb="1">
      <t>ココロ</t>
    </rPh>
    <phoneticPr fontId="2"/>
  </si>
  <si>
    <t>中風心驚方論第三</t>
    <phoneticPr fontId="2"/>
  </si>
  <si>
    <t>中風恍惚方論第四</t>
  </si>
  <si>
    <t>虚極生風方論第五</t>
    <phoneticPr fontId="2"/>
  </si>
  <si>
    <t>虚汗不止方論第六</t>
  </si>
  <si>
    <t>冒悶汗出方論第七</t>
    <phoneticPr fontId="2"/>
  </si>
  <si>
    <t>汗多変痙方論第八</t>
    <rPh sb="3" eb="4">
      <t>ケイ</t>
    </rPh>
    <phoneticPr fontId="2"/>
  </si>
  <si>
    <t>口噤腰背反張方論</t>
    <rPh sb="2" eb="3">
      <t>コシ</t>
    </rPh>
    <rPh sb="3" eb="4">
      <t>セ</t>
    </rPh>
    <phoneticPr fontId="2"/>
  </si>
  <si>
    <t>中風方論第九</t>
  </si>
  <si>
    <t>四肢筋攣方論第十</t>
    <phoneticPr fontId="2"/>
  </si>
  <si>
    <t>瘈瘲方論第十二</t>
    <rPh sb="0" eb="2">
      <t>ケイショウ</t>
    </rPh>
    <rPh sb="6" eb="7">
      <t>2</t>
    </rPh>
    <phoneticPr fontId="2"/>
  </si>
  <si>
    <t>脚気方論第十一</t>
    <rPh sb="0" eb="2">
      <t>カッケ</t>
    </rPh>
    <phoneticPr fontId="2"/>
  </si>
  <si>
    <t>巻之二十</t>
  </si>
  <si>
    <t>遍身疼痛方論第一</t>
  </si>
  <si>
    <t>腰痛方論第二</t>
  </si>
  <si>
    <t>悪露不絶方論第三</t>
  </si>
  <si>
    <t>悪露不下方論第四</t>
    <phoneticPr fontId="2"/>
  </si>
  <si>
    <t>悪露上攻心痛方論第五</t>
    <rPh sb="3" eb="4">
      <t>セ</t>
    </rPh>
    <phoneticPr fontId="2"/>
  </si>
  <si>
    <t>悪露腹痛方論第六</t>
    <phoneticPr fontId="2"/>
  </si>
  <si>
    <t>児枕腹痛方論第七</t>
    <phoneticPr fontId="2"/>
  </si>
  <si>
    <t>小腹痛方論第八</t>
    <phoneticPr fontId="2"/>
  </si>
  <si>
    <t>寒疝腹痛方論</t>
    <rPh sb="0" eb="1">
      <t>サム</t>
    </rPh>
    <rPh sb="1" eb="2">
      <t>セン</t>
    </rPh>
    <rPh sb="2" eb="4">
      <t>フクツウ</t>
    </rPh>
    <rPh sb="4" eb="5">
      <t>ホウ</t>
    </rPh>
    <rPh sb="5" eb="6">
      <t>ロン</t>
    </rPh>
    <phoneticPr fontId="2"/>
  </si>
  <si>
    <t>両脇脹痛方論第十</t>
    <phoneticPr fontId="2"/>
  </si>
  <si>
    <t>積聚癥塊方論第十一</t>
    <rPh sb="2" eb="3">
      <t>チョウ</t>
    </rPh>
    <rPh sb="3" eb="4">
      <t>カタマリ</t>
    </rPh>
    <phoneticPr fontId="2"/>
  </si>
  <si>
    <t>血瘕方論第十二</t>
  </si>
  <si>
    <t>余血奔心煩悶方論第十三</t>
    <rPh sb="0" eb="1">
      <t>ヨ</t>
    </rPh>
    <phoneticPr fontId="2"/>
  </si>
  <si>
    <t>虚煩発熱方</t>
    <rPh sb="0" eb="1">
      <t>キョ</t>
    </rPh>
    <rPh sb="1" eb="2">
      <t>ハン</t>
    </rPh>
    <rPh sb="2" eb="4">
      <t>ハツネツ</t>
    </rPh>
    <rPh sb="4" eb="5">
      <t>ホウ</t>
    </rPh>
    <phoneticPr fontId="2"/>
  </si>
  <si>
    <t>巻之二十一</t>
    <rPh sb="0" eb="1">
      <t>マキ</t>
    </rPh>
    <rPh sb="1" eb="2">
      <t>ノ</t>
    </rPh>
    <rPh sb="2" eb="5">
      <t>21</t>
    </rPh>
    <phoneticPr fontId="2"/>
  </si>
  <si>
    <t>口乾痞悶方論第一</t>
  </si>
  <si>
    <t>血渇方論</t>
    <rPh sb="0" eb="1">
      <t>チ</t>
    </rPh>
    <rPh sb="1" eb="2">
      <t>カツ</t>
    </rPh>
    <rPh sb="2" eb="3">
      <t>ホウ</t>
    </rPh>
    <rPh sb="3" eb="4">
      <t>ロン</t>
    </rPh>
    <phoneticPr fontId="2"/>
  </si>
  <si>
    <t>乍寒乍熱方論第三</t>
  </si>
  <si>
    <t>瘧疾方論</t>
    <rPh sb="0" eb="1">
      <t>ギャク</t>
    </rPh>
    <rPh sb="1" eb="2">
      <t>シツ</t>
    </rPh>
    <phoneticPr fontId="2"/>
  </si>
  <si>
    <t>蓐労方論第四</t>
    <phoneticPr fontId="2"/>
  </si>
  <si>
    <t>虚羸方論第五</t>
  </si>
  <si>
    <t>風虚労冷方論第六</t>
  </si>
  <si>
    <t>腹脹嘔吐方論第七</t>
    <rPh sb="4" eb="5">
      <t>ホウ</t>
    </rPh>
    <phoneticPr fontId="2"/>
  </si>
  <si>
    <t>嘔逆不食方論第八</t>
    <phoneticPr fontId="2"/>
  </si>
  <si>
    <t>霍乱方論第九</t>
  </si>
  <si>
    <t>巻之二十二</t>
  </si>
  <si>
    <t>寒熱方論第一</t>
    <rPh sb="1" eb="2">
      <t>ネツ</t>
    </rPh>
    <phoneticPr fontId="2"/>
  </si>
  <si>
    <t>頭痛方論第二</t>
  </si>
  <si>
    <t>咳嗽方論第三</t>
  </si>
  <si>
    <t>喉促方論第四</t>
    <phoneticPr fontId="2"/>
  </si>
  <si>
    <t>口鼻黒鼻衄方論第五</t>
    <phoneticPr fontId="2"/>
  </si>
  <si>
    <t>咳噫方論第六</t>
  </si>
  <si>
    <t>血崩方論第七</t>
  </si>
  <si>
    <t>月水不調方論第八</t>
  </si>
  <si>
    <t>月水不通方論第九</t>
  </si>
  <si>
    <t>四肢浮腫方論第十</t>
  </si>
  <si>
    <t>腹痛瀉利方論第十一</t>
    <phoneticPr fontId="2"/>
  </si>
  <si>
    <t>赤白痢方論第十二</t>
    <phoneticPr fontId="2"/>
  </si>
  <si>
    <t>巻之二十三</t>
  </si>
  <si>
    <t>痢疾作渇方論第一</t>
  </si>
  <si>
    <t>大便秘渋方論第二</t>
  </si>
  <si>
    <t>遺糞方</t>
    <rPh sb="0" eb="1">
      <t>イ</t>
    </rPh>
    <rPh sb="1" eb="2">
      <t>フン</t>
    </rPh>
    <rPh sb="2" eb="3">
      <t>カタ</t>
    </rPh>
    <phoneticPr fontId="2"/>
  </si>
  <si>
    <t>諸淋方論第五</t>
  </si>
  <si>
    <t>小便頻数方論第六</t>
    <rPh sb="2" eb="3">
      <t>ヒン</t>
    </rPh>
    <rPh sb="3" eb="4">
      <t>スウ</t>
    </rPh>
    <phoneticPr fontId="2"/>
  </si>
  <si>
    <t>小便不禁方論第七</t>
  </si>
  <si>
    <t>小便出血方論第八</t>
  </si>
  <si>
    <t>陰脱玉門不閉方論第九</t>
  </si>
  <si>
    <t>陰蝕疳方論第十</t>
    <phoneticPr fontId="2"/>
  </si>
  <si>
    <t>乳少或止方論第十一</t>
    <rPh sb="1" eb="2">
      <t>スク</t>
    </rPh>
    <rPh sb="3" eb="4">
      <t>ト</t>
    </rPh>
    <phoneticPr fontId="2"/>
  </si>
  <si>
    <t>乳出方論第十二</t>
    <phoneticPr fontId="2"/>
  </si>
  <si>
    <t>吹乳方論第十三</t>
    <rPh sb="1" eb="2">
      <t>チチ</t>
    </rPh>
    <phoneticPr fontId="2"/>
  </si>
  <si>
    <t>妬乳方論第十四</t>
    <phoneticPr fontId="2"/>
  </si>
  <si>
    <t>巻之二十四</t>
    <rPh sb="4" eb="5">
      <t>4</t>
    </rPh>
    <phoneticPr fontId="2"/>
  </si>
  <si>
    <t>瘡癰門</t>
    <rPh sb="0" eb="1">
      <t>ソウ</t>
    </rPh>
    <rPh sb="1" eb="2">
      <t>ヨウ</t>
    </rPh>
    <rPh sb="2" eb="3">
      <t>モン</t>
    </rPh>
    <phoneticPr fontId="2"/>
  </si>
  <si>
    <t>繭唇方論</t>
    <rPh sb="0" eb="1">
      <t>マユ</t>
    </rPh>
    <rPh sb="1" eb="2">
      <t>クチビル</t>
    </rPh>
    <rPh sb="2" eb="3">
      <t>ホウ</t>
    </rPh>
    <rPh sb="3" eb="4">
      <t>ロン</t>
    </rPh>
    <phoneticPr fontId="2"/>
  </si>
  <si>
    <t>耳聄痛方論</t>
    <rPh sb="0" eb="1">
      <t>ミミ</t>
    </rPh>
    <rPh sb="2" eb="3">
      <t>ツウ</t>
    </rPh>
    <rPh sb="3" eb="4">
      <t>ホウ</t>
    </rPh>
    <rPh sb="4" eb="5">
      <t>ロン</t>
    </rPh>
    <phoneticPr fontId="2"/>
  </si>
  <si>
    <t>瘰癧方論</t>
    <rPh sb="0" eb="2">
      <t>ルイレキ</t>
    </rPh>
    <rPh sb="2" eb="4">
      <t>ホウロン</t>
    </rPh>
    <phoneticPr fontId="2"/>
  </si>
  <si>
    <t>結核方論</t>
    <rPh sb="0" eb="2">
      <t>ケッカク</t>
    </rPh>
    <rPh sb="2" eb="4">
      <t>ホウロン</t>
    </rPh>
    <phoneticPr fontId="2"/>
  </si>
  <si>
    <t>流注方論</t>
    <rPh sb="0" eb="2">
      <t>ルチュウ</t>
    </rPh>
    <rPh sb="2" eb="4">
      <t>ホウロン</t>
    </rPh>
    <phoneticPr fontId="2"/>
  </si>
  <si>
    <t>血風瘡方論</t>
    <rPh sb="0" eb="1">
      <t>チ</t>
    </rPh>
    <rPh sb="1" eb="2">
      <t>カゼ</t>
    </rPh>
    <rPh sb="2" eb="3">
      <t>ソウ</t>
    </rPh>
    <rPh sb="3" eb="5">
      <t>ホウロン</t>
    </rPh>
    <phoneticPr fontId="2"/>
  </si>
  <si>
    <t>赤白遊風方</t>
    <rPh sb="0" eb="2">
      <t>アカシロ</t>
    </rPh>
    <rPh sb="2" eb="3">
      <t>アソ</t>
    </rPh>
    <rPh sb="3" eb="4">
      <t>カゼ</t>
    </rPh>
    <rPh sb="4" eb="5">
      <t>ホウ</t>
    </rPh>
    <phoneticPr fontId="2"/>
  </si>
  <si>
    <t>？痃方論</t>
    <rPh sb="1" eb="2">
      <t>ゲン</t>
    </rPh>
    <rPh sb="2" eb="3">
      <t>カタ</t>
    </rPh>
    <rPh sb="3" eb="4">
      <t>ロン</t>
    </rPh>
    <phoneticPr fontId="2"/>
  </si>
  <si>
    <t>鶴膝風方論</t>
    <rPh sb="0" eb="1">
      <t>ツル</t>
    </rPh>
    <rPh sb="1" eb="2">
      <t>ヒザ</t>
    </rPh>
    <rPh sb="2" eb="3">
      <t>カゼ</t>
    </rPh>
    <rPh sb="3" eb="5">
      <t>ホウロン</t>
    </rPh>
    <phoneticPr fontId="2"/>
  </si>
  <si>
    <t>下注膴瘡方論</t>
    <rPh sb="0" eb="1">
      <t>シタ</t>
    </rPh>
    <rPh sb="1" eb="2">
      <t>ソソ</t>
    </rPh>
    <rPh sb="3" eb="4">
      <t>ソウ</t>
    </rPh>
    <rPh sb="4" eb="6">
      <t>ホウロン</t>
    </rPh>
    <phoneticPr fontId="2"/>
  </si>
  <si>
    <t>足跟瘡腫方論</t>
    <rPh sb="0" eb="1">
      <t>アシ</t>
    </rPh>
    <rPh sb="1" eb="2">
      <t>コン</t>
    </rPh>
    <rPh sb="2" eb="3">
      <t>ソウ</t>
    </rPh>
    <rPh sb="3" eb="4">
      <t>ハ</t>
    </rPh>
    <rPh sb="4" eb="6">
      <t>ホウロン</t>
    </rPh>
    <phoneticPr fontId="2"/>
  </si>
  <si>
    <t>肺癰方論</t>
    <rPh sb="0" eb="1">
      <t>ハイ</t>
    </rPh>
    <rPh sb="1" eb="2">
      <t>ヨウ</t>
    </rPh>
    <rPh sb="2" eb="4">
      <t>ホウロン</t>
    </rPh>
    <phoneticPr fontId="2"/>
  </si>
  <si>
    <t>腸癰方論</t>
    <rPh sb="0" eb="1">
      <t>チョウ</t>
    </rPh>
    <rPh sb="1" eb="2">
      <t>ヨウ</t>
    </rPh>
    <rPh sb="2" eb="4">
      <t>ホウロン</t>
    </rPh>
    <phoneticPr fontId="2"/>
  </si>
  <si>
    <t>乳癰乳巌方論</t>
    <rPh sb="0" eb="1">
      <t>チチ</t>
    </rPh>
    <rPh sb="1" eb="2">
      <t>ヨウ</t>
    </rPh>
    <rPh sb="2" eb="3">
      <t>チチ</t>
    </rPh>
    <rPh sb="3" eb="4">
      <t>イワオ</t>
    </rPh>
    <rPh sb="4" eb="6">
      <t>ホウロン</t>
    </rPh>
    <phoneticPr fontId="2"/>
  </si>
  <si>
    <t>灸肩尖肘尖二穴図（即　肩髃　肘髎）</t>
    <rPh sb="0" eb="1">
      <t>キュウ</t>
    </rPh>
    <rPh sb="1" eb="2">
      <t>カタ</t>
    </rPh>
    <rPh sb="2" eb="3">
      <t>セン</t>
    </rPh>
    <rPh sb="3" eb="4">
      <t>ヒジ</t>
    </rPh>
    <rPh sb="4" eb="5">
      <t>セン</t>
    </rPh>
    <rPh sb="5" eb="6">
      <t>2</t>
    </rPh>
    <rPh sb="6" eb="7">
      <t>ケツ</t>
    </rPh>
    <rPh sb="7" eb="8">
      <t>ズ</t>
    </rPh>
    <rPh sb="9" eb="10">
      <t>ソク</t>
    </rPh>
    <rPh sb="11" eb="12">
      <t>カタ</t>
    </rPh>
    <rPh sb="12" eb="13">
      <t>グ</t>
    </rPh>
    <rPh sb="14" eb="15">
      <t>ヒジ</t>
    </rPh>
    <rPh sb="15" eb="16">
      <t>リョウ</t>
    </rPh>
    <phoneticPr fontId="2"/>
  </si>
  <si>
    <t>近衛本</t>
    <rPh sb="0" eb="2">
      <t>コノエ</t>
    </rPh>
    <rPh sb="2" eb="3">
      <t>ホン</t>
    </rPh>
    <phoneticPr fontId="2"/>
  </si>
  <si>
    <t>自序</t>
    <rPh sb="0" eb="2">
      <t>ジジョ</t>
    </rPh>
    <phoneticPr fontId="2"/>
  </si>
  <si>
    <t>序</t>
    <rPh sb="0" eb="1">
      <t>ジョ</t>
    </rPh>
    <phoneticPr fontId="2"/>
  </si>
  <si>
    <t>医方考引</t>
    <rPh sb="0" eb="2">
      <t>イホウ</t>
    </rPh>
    <rPh sb="2" eb="3">
      <t>カンガ</t>
    </rPh>
    <rPh sb="3" eb="4">
      <t>ヒ</t>
    </rPh>
    <phoneticPr fontId="2"/>
  </si>
  <si>
    <t>https://rmda.kulib.kyoto-u.ac.jp/item/rb00008882</t>
    <phoneticPr fontId="2"/>
  </si>
  <si>
    <t>研医会図書館</t>
    <rPh sb="0" eb="6">
      <t>ケンイカイトショカン</t>
    </rPh>
    <phoneticPr fontId="2"/>
  </si>
  <si>
    <t>統論疫有十伝治法</t>
    <rPh sb="4" eb="5">
      <t>10</t>
    </rPh>
    <phoneticPr fontId="2"/>
  </si>
  <si>
    <t>小児瘟疫</t>
    <rPh sb="2" eb="4">
      <t>ウンエキ</t>
    </rPh>
    <phoneticPr fontId="2"/>
  </si>
  <si>
    <t>校定例言</t>
    <rPh sb="0" eb="2">
      <t>コウテイ</t>
    </rPh>
    <rPh sb="2" eb="3">
      <t>レイ</t>
    </rPh>
    <rPh sb="3" eb="4">
      <t>イ</t>
    </rPh>
    <phoneticPr fontId="2"/>
  </si>
  <si>
    <t>総目</t>
    <rPh sb="0" eb="1">
      <t>ソウ</t>
    </rPh>
    <rPh sb="1" eb="2">
      <t>メ</t>
    </rPh>
    <phoneticPr fontId="2"/>
  </si>
  <si>
    <t>国会図書館の近代デジタルライブラリー</t>
    <rPh sb="0" eb="5">
      <t>コッカイトショカン</t>
    </rPh>
    <rPh sb="6" eb="8">
      <t>キンダイ</t>
    </rPh>
    <phoneticPr fontId="2"/>
  </si>
  <si>
    <t>○素問入式運気論奥</t>
    <phoneticPr fontId="2"/>
  </si>
  <si>
    <t>○傷寒明理論</t>
    <phoneticPr fontId="2"/>
  </si>
  <si>
    <t>早稲田大学図書館　古典籍総合データベース</t>
    <rPh sb="0" eb="20">
      <t>ワセダ@</t>
    </rPh>
    <phoneticPr fontId="2"/>
  </si>
  <si>
    <t>傷寒明理論薬方論</t>
  </si>
  <si>
    <t>○小児薬証直訣</t>
    <phoneticPr fontId="2"/>
  </si>
  <si>
    <t>○三因極一病証方論</t>
    <phoneticPr fontId="2"/>
  </si>
  <si>
    <t>三因極一病証方論</t>
    <phoneticPr fontId="2"/>
  </si>
  <si>
    <t>○普済本事方</t>
    <phoneticPr fontId="2"/>
  </si>
  <si>
    <t>普済本事方</t>
  </si>
  <si>
    <t>○儒門事親</t>
    <phoneticPr fontId="2"/>
  </si>
  <si>
    <t>○素問玄機原病式</t>
    <phoneticPr fontId="2"/>
  </si>
  <si>
    <t>○宣明論方</t>
    <phoneticPr fontId="2"/>
  </si>
  <si>
    <t>○婦人大全良方</t>
    <phoneticPr fontId="2"/>
  </si>
  <si>
    <t>婦人大全良方</t>
    <phoneticPr fontId="2"/>
  </si>
  <si>
    <t>○外科精要</t>
    <phoneticPr fontId="2"/>
  </si>
  <si>
    <t>Web書名：類証注釈小児方訣 10巻</t>
    <rPh sb="3" eb="5">
      <t>ショメイ</t>
    </rPh>
    <phoneticPr fontId="2"/>
  </si>
  <si>
    <t>富士川文庫資料</t>
    <rPh sb="0" eb="7">
      <t>フジカワブンコシリョウ</t>
    </rPh>
    <phoneticPr fontId="2"/>
  </si>
  <si>
    <t>八裏病脈</t>
    <rPh sb="1" eb="2">
      <t>ウラ</t>
    </rPh>
    <phoneticPr fontId="2"/>
  </si>
  <si>
    <t>黄帝素問宣明論方</t>
    <phoneticPr fontId="2"/>
  </si>
  <si>
    <t>外科精要</t>
    <phoneticPr fontId="2"/>
  </si>
  <si>
    <t>巻第一</t>
    <phoneticPr fontId="2"/>
  </si>
  <si>
    <t>中風肝胆筋骨諸風</t>
    <phoneticPr fontId="2"/>
  </si>
  <si>
    <t>巻第二</t>
    <phoneticPr fontId="2"/>
  </si>
  <si>
    <t>心小腸脾胃病</t>
    <phoneticPr fontId="2"/>
  </si>
  <si>
    <t>肺腎経病</t>
    <phoneticPr fontId="2"/>
  </si>
  <si>
    <t>補益虚労方</t>
    <phoneticPr fontId="2"/>
  </si>
  <si>
    <t>頭痛頭暈方</t>
    <phoneticPr fontId="2"/>
  </si>
  <si>
    <t>巻第三</t>
    <phoneticPr fontId="2"/>
  </si>
  <si>
    <t>風寒湿痺白虎歴節走注諸病</t>
    <phoneticPr fontId="2"/>
  </si>
  <si>
    <t>風痰停飲痰癖咳嗽</t>
    <phoneticPr fontId="2"/>
  </si>
  <si>
    <t>積聚凝滞五噎膈気</t>
    <phoneticPr fontId="2"/>
  </si>
  <si>
    <t>膀胱疝気小腸精漏</t>
    <phoneticPr fontId="2"/>
  </si>
  <si>
    <t>巻第四</t>
    <phoneticPr fontId="2"/>
  </si>
  <si>
    <t>翻胃嘔吐霍乱</t>
    <phoneticPr fontId="2"/>
  </si>
  <si>
    <t>臓腑泄滑及諸痢</t>
    <rPh sb="2" eb="3">
      <t>モレル</t>
    </rPh>
    <rPh sb="3" eb="4">
      <t>スベル</t>
    </rPh>
    <phoneticPr fontId="2"/>
  </si>
  <si>
    <t>虚熱風壅喉閉清利頭目</t>
    <phoneticPr fontId="2"/>
  </si>
  <si>
    <t>腫満水気蠱脹</t>
    <phoneticPr fontId="2"/>
  </si>
  <si>
    <t>腎臓風及足膝腰腿脚気</t>
    <rPh sb="8" eb="10">
      <t>カッケ</t>
    </rPh>
    <phoneticPr fontId="2"/>
  </si>
  <si>
    <t>巻第五</t>
    <phoneticPr fontId="2"/>
  </si>
  <si>
    <t>腸風瀉血痔漏臓毒</t>
    <rPh sb="6" eb="7">
      <t>ゾウ</t>
    </rPh>
    <phoneticPr fontId="2"/>
  </si>
  <si>
    <t>衄血労瘵吐血喀血</t>
    <phoneticPr fontId="2"/>
  </si>
  <si>
    <t>眼目頭面口歯鼻舌唇耳</t>
    <phoneticPr fontId="2"/>
  </si>
  <si>
    <t>巻第六</t>
    <phoneticPr fontId="2"/>
  </si>
  <si>
    <t>諸嗽虚汗消渇</t>
    <phoneticPr fontId="2"/>
  </si>
  <si>
    <t>金瘡癰疽打撲諸瘡破傷風</t>
    <phoneticPr fontId="2"/>
  </si>
  <si>
    <t>巻第七</t>
    <phoneticPr fontId="2"/>
  </si>
  <si>
    <t>諸虫飛尸鬼疰</t>
    <rPh sb="1" eb="2">
      <t>ムシ</t>
    </rPh>
    <rPh sb="3" eb="4">
      <t>シ</t>
    </rPh>
    <phoneticPr fontId="2"/>
  </si>
  <si>
    <t>腹脇疼痛</t>
    <phoneticPr fontId="2"/>
  </si>
  <si>
    <t>雑病</t>
    <rPh sb="0" eb="1">
      <t>ザツ</t>
    </rPh>
    <rPh sb="1" eb="2">
      <t>ビ</t>
    </rPh>
    <phoneticPr fontId="2"/>
  </si>
  <si>
    <t>巻第八</t>
    <phoneticPr fontId="2"/>
  </si>
  <si>
    <t>傷寒時疫（上）</t>
    <phoneticPr fontId="2"/>
  </si>
  <si>
    <t>巻第九</t>
    <phoneticPr fontId="2"/>
  </si>
  <si>
    <t>傷寒時疫（下）</t>
    <phoneticPr fontId="2"/>
  </si>
  <si>
    <t>巻第十</t>
    <phoneticPr fontId="2"/>
  </si>
  <si>
    <t>婦人諸疾</t>
    <phoneticPr fontId="2"/>
  </si>
  <si>
    <t>小児病</t>
    <phoneticPr fontId="2"/>
  </si>
  <si>
    <t>巻之十</t>
    <phoneticPr fontId="2"/>
  </si>
  <si>
    <t>小児諸疾</t>
    <phoneticPr fontId="2"/>
  </si>
  <si>
    <t>雑病等方</t>
    <phoneticPr fontId="2"/>
  </si>
  <si>
    <t>巻之九</t>
    <phoneticPr fontId="2"/>
  </si>
  <si>
    <t>諸腸風酒痢等疾</t>
    <phoneticPr fontId="2"/>
  </si>
  <si>
    <t>諸寸白虫等患</t>
    <phoneticPr fontId="2"/>
  </si>
  <si>
    <t>巻之八</t>
    <phoneticPr fontId="2"/>
  </si>
  <si>
    <t>諸打撲傷損等疾</t>
    <phoneticPr fontId="2"/>
  </si>
  <si>
    <t>諸寒瘧等疾</t>
    <phoneticPr fontId="2"/>
  </si>
  <si>
    <t>巻之七</t>
    <phoneticPr fontId="2"/>
  </si>
  <si>
    <t>諸痔疾</t>
    <phoneticPr fontId="2"/>
  </si>
  <si>
    <t>巻之六</t>
    <phoneticPr fontId="2"/>
  </si>
  <si>
    <t>癰癤等患</t>
    <phoneticPr fontId="2"/>
  </si>
  <si>
    <t>諸水腫気疾</t>
    <phoneticPr fontId="2"/>
  </si>
  <si>
    <t>諸瀉痢疾</t>
    <phoneticPr fontId="2"/>
  </si>
  <si>
    <t>巻之五</t>
    <phoneticPr fontId="2"/>
  </si>
  <si>
    <t>諸喘嗽等患</t>
    <phoneticPr fontId="2"/>
  </si>
  <si>
    <t>諸瘰癧等</t>
    <phoneticPr fontId="2"/>
  </si>
  <si>
    <t>諸鼻耳等患</t>
    <phoneticPr fontId="2"/>
  </si>
  <si>
    <t>巻之一</t>
    <phoneticPr fontId="2"/>
  </si>
  <si>
    <t>諸虚進食生血気弁論</t>
    <phoneticPr fontId="2"/>
  </si>
  <si>
    <t>巻之二</t>
    <phoneticPr fontId="2"/>
  </si>
  <si>
    <t>諸積熱等疾</t>
    <phoneticPr fontId="2"/>
  </si>
  <si>
    <t>諸風等疾</t>
    <phoneticPr fontId="2"/>
  </si>
  <si>
    <t>巻之三</t>
    <phoneticPr fontId="2"/>
  </si>
  <si>
    <t>諸気冷等疾</t>
    <phoneticPr fontId="2"/>
  </si>
  <si>
    <t>諸腰疼等疾</t>
    <phoneticPr fontId="2"/>
  </si>
  <si>
    <t>諸脾胃等疾</t>
    <phoneticPr fontId="2"/>
  </si>
  <si>
    <t>巻之四</t>
    <phoneticPr fontId="2"/>
  </si>
  <si>
    <t>諸口舌牙歯等患</t>
    <phoneticPr fontId="2"/>
  </si>
  <si>
    <t>諸眼目等患</t>
    <phoneticPr fontId="2"/>
  </si>
  <si>
    <t>張子和 撰</t>
  </si>
  <si>
    <t>七方十剤縄墨訂</t>
  </si>
  <si>
    <t>指風痺痿厥近世差玄説</t>
  </si>
  <si>
    <t>立諸時気解利禁忌式</t>
  </si>
  <si>
    <t>瘧非脾寒及鬼神弁</t>
  </si>
  <si>
    <t>小児瘡疱丹＠癮瘡旧蔽記</t>
  </si>
  <si>
    <t>証婦人帯下赤白錯分寒熱解</t>
  </si>
  <si>
    <t>霍乱吐瀉死生如反掌説</t>
  </si>
  <si>
    <t>目疾頭風出血最急説</t>
  </si>
  <si>
    <t>過愛小児反害小児説</t>
  </si>
  <si>
    <t>服薬一差転成他病説</t>
  </si>
  <si>
    <t>偶有所遇厥疾獲瘳記</t>
  </si>
  <si>
    <t>攻裏発表寒熱殊塗箋</t>
  </si>
  <si>
    <t>汗下吐三法該尽治病詮</t>
  </si>
  <si>
    <t>凡在上者皆可吐式</t>
  </si>
  <si>
    <t>凡在表者皆可汗式</t>
  </si>
  <si>
    <t>凡在下者皆可下式</t>
  </si>
  <si>
    <t>推原補法利害非軽説</t>
  </si>
  <si>
    <t>症口眼斜是経非竅弁</t>
  </si>
  <si>
    <t>疝本肝経宜通勿塞状</t>
  </si>
  <si>
    <t>五虚五実攻補懸絶法</t>
  </si>
  <si>
    <t>喉舌緩急砭薬不同解</t>
  </si>
  <si>
    <t>五積六聚治同郁断</t>
  </si>
  <si>
    <t>斥十膈五噎浪分支派疏</t>
  </si>
  <si>
    <t>飲当去水温補転劇論</t>
  </si>
  <si>
    <t>嗽分六気毋拘以寒述</t>
  </si>
  <si>
    <t>九気感疾更相為治衍</t>
  </si>
  <si>
    <t>三消之説当従火断</t>
  </si>
  <si>
    <t>虫＠之生湿熱為主訣</t>
  </si>
  <si>
    <t>補論</t>
  </si>
  <si>
    <t>水解</t>
  </si>
  <si>
    <t>解利傷寒</t>
  </si>
  <si>
    <t>痺</t>
  </si>
  <si>
    <t>癇</t>
  </si>
  <si>
    <t>瘧</t>
  </si>
  <si>
    <t>泄利</t>
  </si>
  <si>
    <t>疳利</t>
  </si>
  <si>
    <t>臓毒下血</t>
  </si>
  <si>
    <t>下痢膿血</t>
  </si>
  <si>
    <t>水泄不止</t>
  </si>
  <si>
    <t>痔漏腫痛</t>
  </si>
  <si>
    <t>霍乱吐瀉</t>
  </si>
  <si>
    <t>大便渋滞</t>
  </si>
  <si>
    <t>五種淋瀝</t>
  </si>
  <si>
    <t>酒食不消散</t>
  </si>
  <si>
    <t>酒食所傷</t>
  </si>
  <si>
    <t>沈積水気</t>
  </si>
  <si>
    <t>諸積不化</t>
  </si>
  <si>
    <t>骨蒸熱労</t>
  </si>
  <si>
    <t>虚損</t>
  </si>
  <si>
    <t>上喘中満</t>
  </si>
  <si>
    <t>一切涎嗽</t>
  </si>
  <si>
    <t>風痰</t>
  </si>
  <si>
    <t>喀血衄血嗽血</t>
  </si>
  <si>
    <t>雷頭風</t>
  </si>
  <si>
    <t>頭痛不止</t>
  </si>
  <si>
    <t>両目暴赤</t>
  </si>
  <si>
    <t>目腫</t>
  </si>
  <si>
    <t>病目経年</t>
  </si>
  <si>
    <t>風衝泣下</t>
  </si>
  <si>
    <t>風蛀牙疼</t>
  </si>
  <si>
    <t>喉閉</t>
  </si>
  <si>
    <t>癭</t>
  </si>
  <si>
    <t>背疽</t>
  </si>
  <si>
    <t>瘰癧</t>
  </si>
  <si>
    <t>便癰</t>
  </si>
  <si>
    <t>悪瘡</t>
  </si>
  <si>
    <t>瘡癤瘤腫</t>
  </si>
  <si>
    <t>瘡腫丹毒</t>
  </si>
  <si>
    <t>凍瘡</t>
  </si>
  <si>
    <t>誤呑銅鉄</t>
  </si>
  <si>
    <t>魚刺麦芒</t>
  </si>
  <si>
    <t>蛇虫所傷</t>
  </si>
  <si>
    <t>禁蠍</t>
  </si>
  <si>
    <t>落馬墜井</t>
  </si>
  <si>
    <t>婦人月事沈滞</t>
  </si>
  <si>
    <t>血崩</t>
  </si>
  <si>
    <t>腰胯疼痛</t>
  </si>
  <si>
    <t>頭風眩運</t>
  </si>
  <si>
    <t>経血暴下</t>
  </si>
  <si>
    <t>赤白帯下</t>
  </si>
  <si>
    <t>月事不来</t>
  </si>
  <si>
    <t>婦人無子</t>
  </si>
  <si>
    <t>大産</t>
  </si>
  <si>
    <t>産後心風</t>
  </si>
  <si>
    <t>乳汁不来</t>
  </si>
  <si>
    <t>産後潮熱</t>
  </si>
  <si>
    <t>乳癰</t>
  </si>
  <si>
    <t>双身大小便不利</t>
  </si>
  <si>
    <t>双身病瘧</t>
  </si>
  <si>
    <t>双身傷寒</t>
  </si>
  <si>
    <t>身重瘖瘂</t>
  </si>
  <si>
    <t>懐身入難</t>
  </si>
  <si>
    <t>眉煉</t>
  </si>
  <si>
    <t>疳眼</t>
  </si>
  <si>
    <t>身瘦肌熱</t>
  </si>
  <si>
    <t>大小便不利</t>
  </si>
  <si>
    <t>久瀉不止</t>
  </si>
  <si>
    <t>通身浮腫</t>
  </si>
  <si>
    <t>発驚潮搐</t>
  </si>
  <si>
    <t>拗哭不止</t>
  </si>
  <si>
    <t>身熱吐下</t>
  </si>
  <si>
    <t>風熱涎嗽</t>
  </si>
  <si>
    <t>水瀉不止</t>
  </si>
  <si>
    <t>瘡疥風癬</t>
  </si>
  <si>
    <t>甜瘡</t>
  </si>
  <si>
    <t>白禿瘡</t>
  </si>
  <si>
    <t>瘧疾不癒</t>
  </si>
  <si>
    <t>腰痛気刺</t>
  </si>
  <si>
    <t>赤瘤丹腫</t>
  </si>
  <si>
    <t>瘡疱癮疹</t>
  </si>
  <si>
    <t>瘡瘍癰腫</t>
  </si>
  <si>
    <t>口歯咽喉</t>
  </si>
  <si>
    <t>眼疾症</t>
  </si>
  <si>
    <t>頭面風疾</t>
  </si>
  <si>
    <t>腰脚疼痛</t>
  </si>
  <si>
    <t>婦人病証</t>
  </si>
  <si>
    <t>咳嗽痰涎</t>
  </si>
  <si>
    <t>心気疼痛</t>
  </si>
  <si>
    <t>小腸疝気</t>
  </si>
  <si>
    <t>腸風下血</t>
  </si>
  <si>
    <t>小児病証</t>
  </si>
  <si>
    <t>破傷風邪</t>
  </si>
  <si>
    <t>諸風疾症</t>
  </si>
  <si>
    <t>水腫黄胆</t>
  </si>
  <si>
    <t>下痢泄瀉</t>
  </si>
  <si>
    <t>雑方薬</t>
  </si>
  <si>
    <t>辟穀絶食</t>
  </si>
  <si>
    <t>※　129に打撲あり</t>
    <rPh sb="6" eb="8">
      <t>ダボク</t>
    </rPh>
    <phoneticPr fontId="2"/>
  </si>
  <si>
    <t>京都大学貴重書アーカイブ</t>
    <rPh sb="0" eb="7">
      <t>キョウトダイガクキチョウショ</t>
    </rPh>
    <phoneticPr fontId="2"/>
  </si>
  <si>
    <t>外題:趙氏医貫　</t>
    <phoneticPr fontId="2"/>
  </si>
  <si>
    <t>(明)趙献可纂著・薛三才訂正・李梴詳閲</t>
    <rPh sb="15" eb="17">
      <t>リテン</t>
    </rPh>
    <phoneticPr fontId="2"/>
  </si>
  <si>
    <t>○医貫</t>
    <phoneticPr fontId="2"/>
  </si>
  <si>
    <t>傷寒類証序　宋 雲公</t>
    <rPh sb="0" eb="2">
      <t>ショウカン</t>
    </rPh>
    <rPh sb="2" eb="3">
      <t>ルイ</t>
    </rPh>
    <rPh sb="3" eb="4">
      <t>アカシ</t>
    </rPh>
    <rPh sb="4" eb="5">
      <t>ジョ</t>
    </rPh>
    <phoneticPr fontId="2"/>
  </si>
  <si>
    <t>タイトル：仲景全書　傷寒類証</t>
    <rPh sb="5" eb="7">
      <t>チュウケイ</t>
    </rPh>
    <rPh sb="7" eb="9">
      <t>ゼンショ</t>
    </rPh>
    <rPh sb="10" eb="12">
      <t>ショウカン</t>
    </rPh>
    <rPh sb="12" eb="13">
      <t>ルイ</t>
    </rPh>
    <rPh sb="13" eb="14">
      <t>アカシ</t>
    </rPh>
    <phoneticPr fontId="2"/>
  </si>
  <si>
    <t>○脈語</t>
    <phoneticPr fontId="2"/>
  </si>
  <si>
    <t>10-03</t>
    <phoneticPr fontId="2"/>
  </si>
  <si>
    <t>○医方考</t>
    <phoneticPr fontId="2"/>
  </si>
  <si>
    <t>○第01-01</t>
    <rPh sb="1" eb="2">
      <t>ダイ</t>
    </rPh>
    <phoneticPr fontId="2"/>
  </si>
  <si>
    <t>○第01-02</t>
    <rPh sb="1" eb="2">
      <t>ダイ</t>
    </rPh>
    <phoneticPr fontId="2"/>
  </si>
  <si>
    <t>○第01-03</t>
    <rPh sb="1" eb="2">
      <t>ダイ</t>
    </rPh>
    <phoneticPr fontId="2"/>
  </si>
  <si>
    <t>○第01-04</t>
    <rPh sb="1" eb="2">
      <t>ダイ</t>
    </rPh>
    <phoneticPr fontId="2"/>
  </si>
  <si>
    <t>○第01-05</t>
    <rPh sb="1" eb="2">
      <t>ダイ</t>
    </rPh>
    <phoneticPr fontId="2"/>
  </si>
  <si>
    <t>○第02-01</t>
    <rPh sb="1" eb="2">
      <t>ダイ</t>
    </rPh>
    <phoneticPr fontId="2"/>
  </si>
  <si>
    <t>○第10-02</t>
    <rPh sb="1" eb="2">
      <t>ダイ</t>
    </rPh>
    <phoneticPr fontId="2"/>
  </si>
  <si>
    <t>○第14-02</t>
    <rPh sb="1" eb="2">
      <t>ダイ</t>
    </rPh>
    <phoneticPr fontId="2"/>
  </si>
  <si>
    <t>○第16-03-03</t>
    <rPh sb="1" eb="2">
      <t>ダイ</t>
    </rPh>
    <phoneticPr fontId="2"/>
  </si>
  <si>
    <t>○第10-03</t>
    <rPh sb="1" eb="2">
      <t>ダイ</t>
    </rPh>
    <phoneticPr fontId="2"/>
  </si>
  <si>
    <t>○厳氏済生方</t>
    <phoneticPr fontId="2"/>
  </si>
  <si>
    <t>○第09-01</t>
    <rPh sb="1" eb="2">
      <t>ダイ</t>
    </rPh>
    <phoneticPr fontId="2"/>
  </si>
  <si>
    <t>○医学入門</t>
    <phoneticPr fontId="2"/>
  </si>
  <si>
    <t>○傷寒類証（仲景全書）</t>
    <phoneticPr fontId="2"/>
  </si>
  <si>
    <t>傷寒類証（仲景全書）</t>
  </si>
  <si>
    <t>○温疫論</t>
    <phoneticPr fontId="2"/>
  </si>
  <si>
    <t>○第15-07</t>
    <rPh sb="1" eb="2">
      <t>ダイ</t>
    </rPh>
    <phoneticPr fontId="2"/>
  </si>
  <si>
    <t>校定温疫論 2巻</t>
    <phoneticPr fontId="2"/>
  </si>
  <si>
    <t>　呉有性(明)著・百々俊徳校定・百々綯筆録</t>
  </si>
  <si>
    <t>○第16-02</t>
    <rPh sb="1" eb="2">
      <t>ダイ</t>
    </rPh>
    <phoneticPr fontId="2"/>
  </si>
  <si>
    <t>○注解傷寒論</t>
    <phoneticPr fontId="2"/>
  </si>
  <si>
    <t>○医門法律</t>
    <phoneticPr fontId="2"/>
  </si>
  <si>
    <t>○第15-06</t>
    <rPh sb="1" eb="2">
      <t>ダイ</t>
    </rPh>
    <phoneticPr fontId="2"/>
  </si>
  <si>
    <t>巻一</t>
    <phoneticPr fontId="2"/>
  </si>
  <si>
    <t>明望色之法</t>
    <phoneticPr fontId="2"/>
  </si>
  <si>
    <t>明聞声之法</t>
    <phoneticPr fontId="2"/>
  </si>
  <si>
    <t>明弁息之法</t>
    <phoneticPr fontId="2"/>
  </si>
  <si>
    <t>明胸中大気之法</t>
    <phoneticPr fontId="2"/>
  </si>
  <si>
    <t>明問病之法</t>
    <phoneticPr fontId="2"/>
  </si>
  <si>
    <t>明切脈之法</t>
    <phoneticPr fontId="2"/>
  </si>
  <si>
    <t>明合色脈之法</t>
    <phoneticPr fontId="2"/>
  </si>
  <si>
    <t>明営衛之法</t>
    <phoneticPr fontId="2"/>
  </si>
  <si>
    <t>明絡脈之法</t>
    <phoneticPr fontId="2"/>
  </si>
  <si>
    <t>○第11-02</t>
    <rPh sb="1" eb="2">
      <t>ダイ</t>
    </rPh>
    <phoneticPr fontId="2"/>
  </si>
  <si>
    <t>○古今医鑑</t>
    <phoneticPr fontId="2"/>
  </si>
  <si>
    <t>国文学研究資料館</t>
    <rPh sb="0" eb="8">
      <t>コクブンガクケンキュウシリョウカン</t>
    </rPh>
    <phoneticPr fontId="2"/>
  </si>
  <si>
    <t>○第07-01</t>
    <rPh sb="1" eb="2">
      <t>ダイ</t>
    </rPh>
    <phoneticPr fontId="2"/>
  </si>
  <si>
    <t>○証治要訣</t>
    <phoneticPr fontId="2"/>
  </si>
  <si>
    <t>秘伝証治要訣及類方</t>
    <phoneticPr fontId="2"/>
  </si>
  <si>
    <t>○玉機微義</t>
    <phoneticPr fontId="2"/>
  </si>
  <si>
    <t>○第05-01</t>
    <rPh sb="1" eb="2">
      <t>ダイ</t>
    </rPh>
    <phoneticPr fontId="2"/>
  </si>
  <si>
    <t>傷寒明理論. 第1-3 / 成無己 [撰]</t>
  </si>
  <si>
    <t>梅寿, 寛永元[1624]</t>
  </si>
  <si>
    <t>○傷寒明理論薬方論</t>
    <rPh sb="1" eb="3">
      <t>ショウカン</t>
    </rPh>
    <rPh sb="3" eb="4">
      <t>ミン</t>
    </rPh>
    <rPh sb="4" eb="6">
      <t>リロン</t>
    </rPh>
    <rPh sb="6" eb="8">
      <t>ヤクホウ</t>
    </rPh>
    <phoneticPr fontId="2"/>
  </si>
  <si>
    <t>巻一</t>
    <rPh sb="0" eb="1">
      <t>マキ</t>
    </rPh>
    <rPh sb="1" eb="2">
      <t>1</t>
    </rPh>
    <phoneticPr fontId="2"/>
  </si>
  <si>
    <t>巻二</t>
    <rPh sb="0" eb="1">
      <t>マキ</t>
    </rPh>
    <rPh sb="1" eb="2">
      <t>2</t>
    </rPh>
    <phoneticPr fontId="2"/>
  </si>
  <si>
    <t>巻三</t>
    <rPh sb="0" eb="1">
      <t>マキ</t>
    </rPh>
    <rPh sb="1" eb="2">
      <t>3</t>
    </rPh>
    <phoneticPr fontId="2"/>
  </si>
  <si>
    <t>巻四</t>
    <rPh sb="0" eb="1">
      <t>マキ</t>
    </rPh>
    <rPh sb="1" eb="2">
      <t>4</t>
    </rPh>
    <phoneticPr fontId="2"/>
  </si>
  <si>
    <t>巻五</t>
    <rPh sb="0" eb="1">
      <t>マキ</t>
    </rPh>
    <rPh sb="1" eb="2">
      <t>5</t>
    </rPh>
    <phoneticPr fontId="2"/>
  </si>
  <si>
    <t>巻六</t>
    <rPh sb="0" eb="1">
      <t>マキ</t>
    </rPh>
    <rPh sb="1" eb="2">
      <t>6</t>
    </rPh>
    <phoneticPr fontId="2"/>
  </si>
  <si>
    <t>巻七</t>
    <phoneticPr fontId="2"/>
  </si>
  <si>
    <t>巻八</t>
    <rPh sb="0" eb="1">
      <t>マキ</t>
    </rPh>
    <rPh sb="1" eb="2">
      <t>8</t>
    </rPh>
    <phoneticPr fontId="2"/>
  </si>
  <si>
    <t>巻九</t>
    <rPh sb="0" eb="1">
      <t>マキ</t>
    </rPh>
    <rPh sb="1" eb="2">
      <t>9</t>
    </rPh>
    <phoneticPr fontId="2"/>
  </si>
  <si>
    <t>巻十</t>
    <rPh sb="0" eb="1">
      <t>マキ</t>
    </rPh>
    <rPh sb="1" eb="2">
      <t>10</t>
    </rPh>
    <phoneticPr fontId="2"/>
  </si>
  <si>
    <t>巻十一</t>
    <rPh sb="0" eb="1">
      <t>マキ</t>
    </rPh>
    <rPh sb="1" eb="3">
      <t>11</t>
    </rPh>
    <phoneticPr fontId="2"/>
  </si>
  <si>
    <t>巻十二</t>
    <phoneticPr fontId="2"/>
  </si>
  <si>
    <t>巻十三</t>
    <rPh sb="0" eb="1">
      <t>マキ</t>
    </rPh>
    <rPh sb="1" eb="3">
      <t>13</t>
    </rPh>
    <phoneticPr fontId="2"/>
  </si>
  <si>
    <t>巻十四</t>
    <rPh sb="0" eb="1">
      <t>マキ</t>
    </rPh>
    <rPh sb="1" eb="3">
      <t>14</t>
    </rPh>
    <phoneticPr fontId="2"/>
  </si>
  <si>
    <t>巻十五</t>
    <rPh sb="0" eb="1">
      <t>マキ</t>
    </rPh>
    <rPh sb="1" eb="3">
      <t>15</t>
    </rPh>
    <phoneticPr fontId="2"/>
  </si>
  <si>
    <t>巻十六</t>
    <rPh sb="0" eb="1">
      <t>マキ</t>
    </rPh>
    <rPh sb="1" eb="3">
      <t>16</t>
    </rPh>
    <phoneticPr fontId="2"/>
  </si>
  <si>
    <t>巻十七</t>
    <rPh sb="0" eb="1">
      <t>マキ</t>
    </rPh>
    <rPh sb="1" eb="3">
      <t>17</t>
    </rPh>
    <phoneticPr fontId="2"/>
  </si>
  <si>
    <t>巻十八</t>
    <rPh sb="0" eb="1">
      <t>マキ</t>
    </rPh>
    <rPh sb="1" eb="3">
      <t>18</t>
    </rPh>
    <phoneticPr fontId="2"/>
  </si>
  <si>
    <t>目録　後集</t>
    <rPh sb="0" eb="2">
      <t>モクロク</t>
    </rPh>
    <phoneticPr fontId="2"/>
  </si>
  <si>
    <t>○普済本事方続集</t>
    <rPh sb="6" eb="7">
      <t>ゾク</t>
    </rPh>
    <rPh sb="7" eb="8">
      <t>シュウ</t>
    </rPh>
    <phoneticPr fontId="2"/>
  </si>
  <si>
    <t>○第02-02</t>
    <rPh sb="1" eb="2">
      <t>ダイ</t>
    </rPh>
    <phoneticPr fontId="2"/>
  </si>
  <si>
    <t>○第02-03</t>
    <rPh sb="1" eb="2">
      <t>ダイ</t>
    </rPh>
    <phoneticPr fontId="2"/>
  </si>
  <si>
    <t>○第02-04</t>
    <rPh sb="1" eb="2">
      <t>ダイ</t>
    </rPh>
    <phoneticPr fontId="2"/>
  </si>
  <si>
    <t>○第02-05</t>
    <rPh sb="1" eb="2">
      <t>ダイ</t>
    </rPh>
    <phoneticPr fontId="2"/>
  </si>
  <si>
    <t>○第03-01</t>
    <rPh sb="1" eb="2">
      <t>ダイ</t>
    </rPh>
    <phoneticPr fontId="2"/>
  </si>
  <si>
    <t>太医院校註婦人良方大全 24巻</t>
    <rPh sb="0" eb="1">
      <t>タイ</t>
    </rPh>
    <phoneticPr fontId="2"/>
  </si>
  <si>
    <t>○第03-02</t>
    <rPh sb="1" eb="2">
      <t>ダイ</t>
    </rPh>
    <phoneticPr fontId="2"/>
  </si>
  <si>
    <t>○第04-01</t>
    <rPh sb="1" eb="2">
      <t>ダイ</t>
    </rPh>
    <phoneticPr fontId="2"/>
  </si>
  <si>
    <t>○第03-03</t>
    <rPh sb="1" eb="2">
      <t>ダイ</t>
    </rPh>
    <phoneticPr fontId="2"/>
  </si>
  <si>
    <t>○増広太平恵民和剤局方</t>
    <phoneticPr fontId="2"/>
  </si>
  <si>
    <t>○察病指南</t>
    <phoneticPr fontId="2"/>
  </si>
  <si>
    <t>巻上</t>
    <rPh sb="0" eb="1">
      <t>マキ</t>
    </rPh>
    <rPh sb="1" eb="2">
      <t>ウエ</t>
    </rPh>
    <phoneticPr fontId="2"/>
  </si>
  <si>
    <t>巻中</t>
    <rPh sb="0" eb="1">
      <t>マキ</t>
    </rPh>
    <rPh sb="1" eb="2">
      <t>ナカ</t>
    </rPh>
    <phoneticPr fontId="2"/>
  </si>
  <si>
    <t>巻下</t>
    <rPh sb="0" eb="1">
      <t>マキ</t>
    </rPh>
    <rPh sb="1" eb="2">
      <t>シタ</t>
    </rPh>
    <phoneticPr fontId="2"/>
  </si>
  <si>
    <t>出版年　1647</t>
  </si>
  <si>
    <t>別タイトル　帙題:和剤局方・外題:恵民局和剤方</t>
  </si>
  <si>
    <t>著者　(明)袁元熙較・朱葵閲</t>
  </si>
  <si>
    <t>冊数　10</t>
  </si>
  <si>
    <t>出版年（和暦）正保4年</t>
  </si>
  <si>
    <t>富士川文庫資料</t>
  </si>
  <si>
    <t>不明</t>
    <rPh sb="0" eb="2">
      <t>フメイ</t>
    </rPh>
    <phoneticPr fontId="2"/>
  </si>
  <si>
    <t>○呉直閣増諸家名方</t>
    <phoneticPr fontId="2"/>
  </si>
  <si>
    <t>○続添諸局経験秘方</t>
    <phoneticPr fontId="2"/>
  </si>
  <si>
    <t>○紹興続添方</t>
    <phoneticPr fontId="2"/>
  </si>
  <si>
    <t>○宝慶新増方</t>
    <phoneticPr fontId="2"/>
  </si>
  <si>
    <t>○紹興続添方</t>
    <phoneticPr fontId="2"/>
  </si>
  <si>
    <t>○新添諸局経験秘方</t>
    <phoneticPr fontId="2"/>
  </si>
  <si>
    <t>○宝慶新増方</t>
    <phoneticPr fontId="2"/>
  </si>
  <si>
    <t>○紹興続添方</t>
    <phoneticPr fontId="2"/>
  </si>
  <si>
    <t>鍾乳健脾円</t>
    <rPh sb="0" eb="1">
      <t>アツム</t>
    </rPh>
    <rPh sb="1" eb="2">
      <t>チチ</t>
    </rPh>
    <rPh sb="2" eb="3">
      <t>ケン</t>
    </rPh>
    <phoneticPr fontId="2"/>
  </si>
  <si>
    <t>○紹興続添方</t>
    <phoneticPr fontId="2"/>
  </si>
  <si>
    <t>○宝慶新増方</t>
    <phoneticPr fontId="2"/>
  </si>
  <si>
    <t>麹朮円</t>
    <rPh sb="0" eb="1">
      <t>コウジ</t>
    </rPh>
    <rPh sb="1" eb="2">
      <t>ジュツ</t>
    </rPh>
    <phoneticPr fontId="2"/>
  </si>
  <si>
    <t>鵬砂円</t>
    <rPh sb="0" eb="1">
      <t>ホウ</t>
    </rPh>
    <rPh sb="1" eb="2">
      <t>スナ</t>
    </rPh>
    <rPh sb="2" eb="3">
      <t>エン</t>
    </rPh>
    <phoneticPr fontId="2"/>
  </si>
  <si>
    <t>○宝慶新増方</t>
    <phoneticPr fontId="2"/>
  </si>
  <si>
    <t>如聖勝金錠</t>
    <phoneticPr fontId="2"/>
  </si>
  <si>
    <t>○紹興続添方</t>
    <phoneticPr fontId="2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</si>
  <si>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</si>
  <si>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○続添諸局経験秘方</t>
    <phoneticPr fontId="2"/>
  </si>
  <si>
    <t>○附：指南総論</t>
    <phoneticPr fontId="2"/>
  </si>
  <si>
    <t>○巻下</t>
    <phoneticPr fontId="2"/>
  </si>
  <si>
    <t>○産図</t>
    <phoneticPr fontId="2"/>
  </si>
  <si>
    <t>○宝慶新増方</t>
    <phoneticPr fontId="2"/>
  </si>
  <si>
    <t>○紹興続添方</t>
    <phoneticPr fontId="2"/>
  </si>
  <si>
    <t>花蘂石散</t>
    <phoneticPr fontId="2"/>
  </si>
  <si>
    <t>芎藭湯</t>
    <phoneticPr fontId="2"/>
  </si>
  <si>
    <t>◎　傷寒　附・中暑</t>
    <rPh sb="5" eb="6">
      <t>フ</t>
    </rPh>
    <rPh sb="7" eb="8">
      <t>ナカ</t>
    </rPh>
    <rPh sb="8" eb="9">
      <t>アツ</t>
    </rPh>
    <phoneticPr fontId="2"/>
  </si>
  <si>
    <t>◎　一切気　附・脾胃・積聚</t>
    <rPh sb="6" eb="7">
      <t>フ</t>
    </rPh>
    <rPh sb="8" eb="10">
      <t>ヒイ</t>
    </rPh>
    <rPh sb="11" eb="13">
      <t>シャクジュウ</t>
    </rPh>
    <phoneticPr fontId="2"/>
  </si>
  <si>
    <t>◎　諸虚　附・骨蒸</t>
    <rPh sb="5" eb="6">
      <t>フ</t>
    </rPh>
    <rPh sb="7" eb="8">
      <t>ホネ</t>
    </rPh>
    <rPh sb="8" eb="9">
      <t>ム</t>
    </rPh>
    <phoneticPr fontId="2"/>
  </si>
  <si>
    <t>◎　痼冷　附・消渇</t>
    <rPh sb="5" eb="6">
      <t>フ</t>
    </rPh>
    <rPh sb="7" eb="9">
      <t>ショウカツ</t>
    </rPh>
    <phoneticPr fontId="2"/>
  </si>
  <si>
    <t>◎　積熱　附・火症</t>
    <rPh sb="5" eb="6">
      <t>フ</t>
    </rPh>
    <rPh sb="7" eb="8">
      <t>ヒ</t>
    </rPh>
    <rPh sb="8" eb="9">
      <t>ショウ</t>
    </rPh>
    <phoneticPr fontId="2"/>
  </si>
  <si>
    <t>◎　瀉痢　附・秘渋</t>
    <rPh sb="5" eb="6">
      <t>フ</t>
    </rPh>
    <rPh sb="7" eb="8">
      <t>ヒ</t>
    </rPh>
    <rPh sb="8" eb="9">
      <t>シブ</t>
    </rPh>
    <phoneticPr fontId="2"/>
  </si>
  <si>
    <t>◎　眼目疾</t>
    <phoneticPr fontId="2"/>
  </si>
  <si>
    <t>◎　咽喉口歯</t>
    <phoneticPr fontId="2"/>
  </si>
  <si>
    <t>◎　雑病</t>
    <phoneticPr fontId="2"/>
  </si>
  <si>
    <t>◎　瘡腫傷折</t>
    <phoneticPr fontId="2"/>
  </si>
  <si>
    <t>◎　婦人諸疾　附・産図</t>
    <rPh sb="7" eb="8">
      <t>フ</t>
    </rPh>
    <rPh sb="9" eb="10">
      <t>サン</t>
    </rPh>
    <rPh sb="10" eb="11">
      <t>ズ</t>
    </rPh>
    <phoneticPr fontId="2"/>
  </si>
  <si>
    <t>○宝慶新増方</t>
    <phoneticPr fontId="2"/>
  </si>
  <si>
    <t>◎　小児諸疾</t>
    <phoneticPr fontId="2"/>
  </si>
  <si>
    <t>◎　諸湯</t>
    <phoneticPr fontId="2"/>
  </si>
  <si>
    <t>◎　諸香</t>
    <phoneticPr fontId="2"/>
  </si>
  <si>
    <t>蘖墨散</t>
    <phoneticPr fontId="2"/>
  </si>
  <si>
    <r>
      <t>蚵</t>
    </r>
    <r>
      <rPr>
        <sz val="11"/>
        <color theme="1"/>
        <rFont val="ＭＳ Ｐゴシック"/>
        <family val="3"/>
        <charset val="136"/>
        <scheme val="minor"/>
      </rPr>
      <t>蚾</t>
    </r>
    <r>
      <rPr>
        <sz val="11"/>
        <color theme="1"/>
        <rFont val="ＭＳ Ｐゴシック"/>
        <family val="2"/>
        <charset val="128"/>
        <scheme val="minor"/>
      </rPr>
      <t>円</t>
    </r>
    <phoneticPr fontId="2"/>
  </si>
  <si>
    <t>成煉鍾乳散</t>
    <rPh sb="2" eb="3">
      <t>アツメル</t>
    </rPh>
    <rPh sb="3" eb="4">
      <t>ジュ</t>
    </rPh>
    <rPh sb="4" eb="5">
      <t>サン</t>
    </rPh>
    <phoneticPr fontId="2"/>
  </si>
  <si>
    <t>枳殻滑胎散</t>
    <phoneticPr fontId="2"/>
  </si>
  <si>
    <t>https://rmda.kulib.kyoto-u.ac.jp/item/rb00003883</t>
  </si>
  <si>
    <t>増広太平和剤局方 10巻・附図</t>
  </si>
  <si>
    <t>出版年　1730</t>
  </si>
  <si>
    <t>著者　橘親顕等校</t>
  </si>
  <si>
    <t>12冊</t>
  </si>
  <si>
    <t>享保15年序</t>
  </si>
  <si>
    <t>○巻中</t>
    <phoneticPr fontId="2"/>
  </si>
  <si>
    <t>○巻上</t>
    <rPh sb="1" eb="2">
      <t>マキ</t>
    </rPh>
    <phoneticPr fontId="2"/>
  </si>
  <si>
    <t>(明)李梃撰</t>
  </si>
  <si>
    <t>9冊</t>
  </si>
  <si>
    <t>出版年（和暦）萬暦年間</t>
  </si>
  <si>
    <t>出版年　1709</t>
  </si>
  <si>
    <t>岡本一抱(為竹)著</t>
  </si>
  <si>
    <t>3冊</t>
  </si>
  <si>
    <t>出版年（和暦）宝永6年</t>
  </si>
  <si>
    <t>著者(明)李梃撰</t>
  </si>
  <si>
    <t>2冊</t>
  </si>
  <si>
    <t>写 朝鮮大</t>
  </si>
  <si>
    <t>弁痓湿脈証第四</t>
  </si>
  <si>
    <t>弁太陽病脈証并治上第五</t>
  </si>
  <si>
    <t>弁太陽病脈証并治中第六</t>
  </si>
  <si>
    <t>弁太陽病脈証并治下第七</t>
  </si>
  <si>
    <t>弁陽明病脈証并治第八</t>
  </si>
  <si>
    <t>弁少陽病脈証并治第九</t>
  </si>
  <si>
    <t>弁太陰病脈証并治第十</t>
  </si>
  <si>
    <t>弁少陰病脈証并治第十一</t>
  </si>
  <si>
    <t>弁厥陰病脈証并治第十二</t>
  </si>
  <si>
    <t>弁霍乱病脈証并治第十三</t>
  </si>
  <si>
    <t>弁陰陽易差後労復病脈証并治第十四</t>
  </si>
  <si>
    <t>弁不可発汗病脈証并治第十五</t>
  </si>
  <si>
    <t>弁可発汗病脈証并治第十六</t>
  </si>
  <si>
    <t>弁発汗後病脈証并治第十七</t>
  </si>
  <si>
    <t>弁不可下病脈証并治第二十</t>
  </si>
  <si>
    <t>弁可下病脈証并治第二十一</t>
  </si>
  <si>
    <t>弁発汗吐下後病脈証并治第二十二</t>
  </si>
  <si>
    <t>註解傷寒論 10巻</t>
  </si>
  <si>
    <t>出版年　1835</t>
  </si>
  <si>
    <t>(漢)張機(仲景)著・(晋)王叔和選次・(宋)成無巳註</t>
  </si>
  <si>
    <t>天保6年</t>
  </si>
  <si>
    <t>富士川文庫資料</t>
    <rPh sb="0" eb="7">
      <t>フジカワブンコシリョウ</t>
    </rPh>
    <phoneticPr fontId="2"/>
  </si>
  <si>
    <t>○第13-02</t>
    <rPh sb="1" eb="2">
      <t>ダイ</t>
    </rPh>
    <phoneticPr fontId="2"/>
  </si>
  <si>
    <t>外科正宗 4巻</t>
  </si>
  <si>
    <t>出版年　1791</t>
  </si>
  <si>
    <t>内題:新刊外科正宗</t>
  </si>
  <si>
    <t>4冊</t>
  </si>
  <si>
    <t>寛政3年序</t>
  </si>
  <si>
    <t>(新刊)古今医鑑 8巻</t>
  </si>
  <si>
    <t>(明)[キョウ]信編・[キョウ]廷賢続編他</t>
  </si>
  <si>
    <t>8冊</t>
  </si>
  <si>
    <t>古木活字版</t>
  </si>
  <si>
    <t>目録</t>
    <rPh sb="0" eb="2">
      <t>モクロク</t>
    </rPh>
    <phoneticPr fontId="2"/>
  </si>
  <si>
    <t>巻之一</t>
    <phoneticPr fontId="2"/>
  </si>
  <si>
    <t>　風</t>
    <rPh sb="1" eb="2">
      <t>カゼ</t>
    </rPh>
    <phoneticPr fontId="2"/>
  </si>
  <si>
    <t>　熱</t>
    <rPh sb="1" eb="2">
      <t>ネツ</t>
    </rPh>
    <phoneticPr fontId="2"/>
  </si>
  <si>
    <t>　湿</t>
    <phoneticPr fontId="2"/>
  </si>
  <si>
    <t>　火</t>
    <rPh sb="1" eb="2">
      <t>ヒ</t>
    </rPh>
    <phoneticPr fontId="2"/>
  </si>
  <si>
    <t>　燥</t>
    <rPh sb="1" eb="2">
      <t>ソウ</t>
    </rPh>
    <phoneticPr fontId="2"/>
  </si>
  <si>
    <t>　寒</t>
    <rPh sb="1" eb="2">
      <t>サム</t>
    </rPh>
    <phoneticPr fontId="2"/>
  </si>
  <si>
    <t>　附諸風</t>
    <phoneticPr fontId="2"/>
  </si>
  <si>
    <t>　六経証</t>
    <phoneticPr fontId="2"/>
  </si>
  <si>
    <t>瘟疫</t>
    <rPh sb="0" eb="2">
      <t>ウンエキ</t>
    </rPh>
    <phoneticPr fontId="2"/>
  </si>
  <si>
    <t>鬱証</t>
    <rPh sb="0" eb="1">
      <t>ウツ</t>
    </rPh>
    <phoneticPr fontId="2"/>
  </si>
  <si>
    <t>悪心</t>
    <rPh sb="0" eb="1">
      <t>アク</t>
    </rPh>
    <phoneticPr fontId="2"/>
  </si>
  <si>
    <t>　雑病賦</t>
    <phoneticPr fontId="2"/>
  </si>
  <si>
    <t>　病機賦</t>
    <phoneticPr fontId="2"/>
  </si>
  <si>
    <t>　病機抄略</t>
    <phoneticPr fontId="2"/>
  </si>
  <si>
    <t>　薬性賦</t>
    <phoneticPr fontId="2"/>
  </si>
  <si>
    <t>　脈学大要</t>
    <phoneticPr fontId="2"/>
  </si>
  <si>
    <t>　脈体捷法</t>
    <phoneticPr fontId="2"/>
  </si>
  <si>
    <t>　諸脈相類</t>
    <phoneticPr fontId="2"/>
  </si>
  <si>
    <t>　止脈</t>
    <phoneticPr fontId="2"/>
  </si>
  <si>
    <t>　分人迎気口脈訣</t>
    <phoneticPr fontId="2"/>
  </si>
  <si>
    <t>　内因脈</t>
    <phoneticPr fontId="2"/>
  </si>
  <si>
    <t>　外因脈</t>
    <phoneticPr fontId="2"/>
  </si>
  <si>
    <t>　不内不外因脈</t>
    <phoneticPr fontId="2"/>
  </si>
  <si>
    <t>　死絶脈</t>
    <phoneticPr fontId="2"/>
  </si>
  <si>
    <t>　動止脈</t>
    <phoneticPr fontId="2"/>
  </si>
  <si>
    <t>　諸脈宜忌類</t>
    <phoneticPr fontId="2"/>
  </si>
  <si>
    <t>　験諸死証脈</t>
    <phoneticPr fontId="2"/>
  </si>
  <si>
    <t>　帰空十法</t>
    <phoneticPr fontId="2"/>
  </si>
  <si>
    <t>　五運主病</t>
    <phoneticPr fontId="2"/>
  </si>
  <si>
    <t>　六気主病</t>
    <phoneticPr fontId="2"/>
  </si>
  <si>
    <t>脈訣</t>
    <phoneticPr fontId="2"/>
  </si>
  <si>
    <t>病機</t>
    <phoneticPr fontId="2"/>
  </si>
  <si>
    <t>薬性</t>
    <phoneticPr fontId="2"/>
  </si>
  <si>
    <t>運気</t>
    <phoneticPr fontId="2"/>
  </si>
  <si>
    <t>中風</t>
    <phoneticPr fontId="2"/>
  </si>
  <si>
    <t>傷寒</t>
    <phoneticPr fontId="2"/>
  </si>
  <si>
    <t>　腹中窄狭</t>
    <phoneticPr fontId="2"/>
  </si>
  <si>
    <t>自汗　盗汗</t>
    <phoneticPr fontId="2"/>
  </si>
  <si>
    <t>腸澼</t>
    <rPh sb="1" eb="2">
      <t>ヘキ</t>
    </rPh>
    <phoneticPr fontId="2"/>
  </si>
  <si>
    <t>諸虫</t>
    <rPh sb="1" eb="2">
      <t>ムシ</t>
    </rPh>
    <phoneticPr fontId="2"/>
  </si>
  <si>
    <t>㿗疝</t>
    <rPh sb="0" eb="2">
      <t>タイセン</t>
    </rPh>
    <phoneticPr fontId="2"/>
  </si>
  <si>
    <t>痿躄</t>
    <rPh sb="0" eb="2">
      <t>イヘキ</t>
    </rPh>
    <phoneticPr fontId="2"/>
  </si>
  <si>
    <t>　灸法</t>
    <rPh sb="1" eb="3">
      <t>キュウホウ</t>
    </rPh>
    <phoneticPr fontId="2"/>
  </si>
  <si>
    <t>求嗣</t>
    <phoneticPr fontId="2"/>
  </si>
  <si>
    <t>　期嗣保胎論</t>
    <phoneticPr fontId="2"/>
  </si>
  <si>
    <t>幼科</t>
    <phoneticPr fontId="2"/>
  </si>
  <si>
    <t>　形気発微論</t>
    <phoneticPr fontId="2"/>
  </si>
  <si>
    <t>　病原論</t>
    <phoneticPr fontId="2"/>
  </si>
  <si>
    <t>　入門審候歌</t>
    <phoneticPr fontId="2"/>
  </si>
  <si>
    <t>　観面部五色歌</t>
    <phoneticPr fontId="2"/>
  </si>
  <si>
    <t>　観面部五臓形色歌</t>
    <phoneticPr fontId="2"/>
  </si>
  <si>
    <t>　虎口三関脈紋図</t>
    <phoneticPr fontId="2"/>
  </si>
  <si>
    <t>　三関紋色主病歌</t>
    <phoneticPr fontId="2"/>
  </si>
  <si>
    <t>　三関脈紋変見歌</t>
    <phoneticPr fontId="2"/>
  </si>
  <si>
    <t>　小児脈法総歌</t>
    <phoneticPr fontId="2"/>
  </si>
  <si>
    <t>　小児指脈歌</t>
    <phoneticPr fontId="2"/>
  </si>
  <si>
    <t>　小児死候歌</t>
    <phoneticPr fontId="2"/>
  </si>
  <si>
    <t>驚風</t>
    <phoneticPr fontId="2"/>
  </si>
  <si>
    <t>　驚風不治証</t>
    <phoneticPr fontId="2"/>
  </si>
  <si>
    <t>麻疹</t>
    <phoneticPr fontId="2"/>
  </si>
  <si>
    <t>　麻疹証治例</t>
    <phoneticPr fontId="2"/>
  </si>
  <si>
    <t>　麻疹方薬例</t>
    <phoneticPr fontId="2"/>
  </si>
  <si>
    <t>痘疹</t>
    <phoneticPr fontId="2"/>
  </si>
  <si>
    <t>　面部観形察色図</t>
    <rPh sb="4" eb="5">
      <t>カタチ</t>
    </rPh>
    <rPh sb="5" eb="6">
      <t>サツ</t>
    </rPh>
    <rPh sb="7" eb="8">
      <t>ズ</t>
    </rPh>
    <phoneticPr fontId="2"/>
  </si>
  <si>
    <t>虫痛</t>
    <rPh sb="0" eb="1">
      <t>ムシ</t>
    </rPh>
    <phoneticPr fontId="2"/>
  </si>
  <si>
    <t>近衛本</t>
    <rPh sb="0" eb="2">
      <t>コノエ</t>
    </rPh>
    <rPh sb="2" eb="3">
      <t>ホン</t>
    </rPh>
    <phoneticPr fontId="2"/>
  </si>
  <si>
    <t>瘰癧</t>
    <rPh sb="0" eb="2">
      <t>ルイレキ</t>
    </rPh>
    <phoneticPr fontId="2"/>
  </si>
  <si>
    <t>便毒　附・魚口瘡　下疳瘡</t>
    <phoneticPr fontId="2"/>
  </si>
  <si>
    <t>虫獣傷</t>
    <rPh sb="0" eb="1">
      <t>ムシ</t>
    </rPh>
    <phoneticPr fontId="2"/>
  </si>
  <si>
    <t>　経穴あり</t>
    <rPh sb="1" eb="3">
      <t>ケイケツ</t>
    </rPh>
    <phoneticPr fontId="2"/>
  </si>
  <si>
    <t>附・箴三首　警医一首</t>
    <phoneticPr fontId="2"/>
  </si>
  <si>
    <t>脈論口訣</t>
  </si>
  <si>
    <t>早稲田大学図書館　古典籍総合データベース</t>
  </si>
  <si>
    <t>国文献</t>
  </si>
  <si>
    <t>京都大学貴重書アーカイブ</t>
  </si>
  <si>
    <t>https://rmda.kulib.kyoto-u.ac.jp/item/rb00003539</t>
  </si>
  <si>
    <t>両手寸関尺三部の図</t>
  </si>
  <si>
    <t>掌後の高骨の図</t>
  </si>
  <si>
    <t>尺中尺沢の図</t>
  </si>
  <si>
    <t>人迎気口の図</t>
  </si>
  <si>
    <t>十二経配当の図</t>
  </si>
  <si>
    <t>七診の法の事</t>
  </si>
  <si>
    <t>寸関尺の事</t>
  </si>
  <si>
    <t>呼吸定息の事</t>
  </si>
  <si>
    <t>三部九候の事</t>
  </si>
  <si>
    <t>浮沈の差別</t>
  </si>
  <si>
    <t>五臓の七神</t>
  </si>
  <si>
    <t>胃気の脈の事</t>
  </si>
  <si>
    <t>諸病軽重の弁</t>
  </si>
  <si>
    <t>男女の元気</t>
  </si>
  <si>
    <t>人迎気口の候</t>
  </si>
  <si>
    <t>栄衛と云事</t>
  </si>
  <si>
    <t>遅数寒熱の弁</t>
  </si>
  <si>
    <t>癥瘕積聚の事</t>
  </si>
  <si>
    <t>痰の鬱結所在の弁</t>
  </si>
  <si>
    <t>右関脾脈の分別</t>
  </si>
  <si>
    <t>主客伏匿の弁</t>
  </si>
  <si>
    <t>結促の遠慮</t>
  </si>
  <si>
    <t>糸脈と云事</t>
  </si>
  <si>
    <t>○巻の二</t>
  </si>
  <si>
    <t>四脈の弁察</t>
  </si>
  <si>
    <t>四知の事</t>
  </si>
  <si>
    <t>四季平脈の弁</t>
  </si>
  <si>
    <t>四時の虚脈</t>
  </si>
  <si>
    <t>四時の実脈</t>
  </si>
  <si>
    <t>弦鉤毛石の事</t>
  </si>
  <si>
    <t>半関の脈の事</t>
  </si>
  <si>
    <t>同等の診脈</t>
  </si>
  <si>
    <t>反常の脈</t>
  </si>
  <si>
    <t>証と脈と相反す事</t>
  </si>
  <si>
    <t>虚煩の弁察陰陽の升降</t>
  </si>
  <si>
    <t>一等各別の弁診</t>
  </si>
  <si>
    <t>汗瀉の弁診</t>
  </si>
  <si>
    <t>壮痩細大の弁</t>
  </si>
  <si>
    <t>虚里の脈の事</t>
  </si>
  <si>
    <t>六部の脈診候</t>
  </si>
  <si>
    <t>○巻の三</t>
  </si>
  <si>
    <t>七種の死脈</t>
  </si>
  <si>
    <t>関格の死脈</t>
  </si>
  <si>
    <t>覆溢の事</t>
  </si>
  <si>
    <t>代脈の事</t>
  </si>
  <si>
    <t>陰陽病の寒熱を弁（わきま）う事</t>
  </si>
  <si>
    <t>脈動止て死後を知（しる）事</t>
  </si>
  <si>
    <t>死脈意得（こころえ）の事</t>
  </si>
  <si>
    <t>諸病生死の診脈</t>
  </si>
  <si>
    <t>○巻の四</t>
  </si>
  <si>
    <t>無子法の事</t>
  </si>
  <si>
    <t>是動病所生病の事</t>
  </si>
  <si>
    <t>奇経八脈の事</t>
  </si>
  <si>
    <t>諸病の指掌</t>
  </si>
  <si>
    <t>七伝間蔵の事</t>
  </si>
  <si>
    <t>六門三法の事</t>
  </si>
  <si>
    <t>○巻の五</t>
  </si>
  <si>
    <t>医家の必用</t>
  </si>
  <si>
    <t>諸病の悪候</t>
  </si>
  <si>
    <t>倉公三死の事</t>
  </si>
  <si>
    <t>未病を治するの説</t>
  </si>
  <si>
    <t>六失の論</t>
  </si>
  <si>
    <t>養生の論</t>
  </si>
  <si>
    <t>https://rmda.kulib.kyoto-u.ac.jp/item/rb00003540</t>
    <phoneticPr fontId="2"/>
  </si>
  <si>
    <t>https://rmda.kulib.kyoto-u.ac.jp/item/rb00003539</t>
    <phoneticPr fontId="2"/>
  </si>
  <si>
    <t>https://rmda.kulib.kyoto-u.ac.jp/item/rb00003538</t>
    <phoneticPr fontId="2"/>
  </si>
  <si>
    <t>https://rmda.kulib.kyoto-u.ac.jp/item/rb00003541</t>
    <phoneticPr fontId="2"/>
  </si>
  <si>
    <t>https://www.digital.archives.go.jp/</t>
    <phoneticPr fontId="2"/>
  </si>
  <si>
    <t>https://kotenseki.nijl.ac.jp/biblio/100145052/viewer/2</t>
    <phoneticPr fontId="2"/>
  </si>
  <si>
    <t>http://www.wul.waseda.ac.jp/kotenseki/search.php?cndbn=%E8%84%88%E8%AB%96%E5%8F%A3%E8%A8%A3&amp;szlmt=30</t>
    <phoneticPr fontId="2"/>
  </si>
  <si>
    <t>○巻の一</t>
    <rPh sb="1" eb="2">
      <t>マキ</t>
    </rPh>
    <rPh sb="3" eb="4">
      <t>1</t>
    </rPh>
    <phoneticPr fontId="2"/>
  </si>
  <si>
    <t>男女の左右</t>
    <phoneticPr fontId="2"/>
  </si>
  <si>
    <t>寸関尺定位の事</t>
    <rPh sb="0" eb="3">
      <t>スンカンシャク</t>
    </rPh>
    <phoneticPr fontId="2"/>
  </si>
  <si>
    <t>密排踈排の事</t>
    <rPh sb="0" eb="1">
      <t>ミツ</t>
    </rPh>
    <phoneticPr fontId="2"/>
  </si>
  <si>
    <t>左手の候</t>
    <phoneticPr fontId="2"/>
  </si>
  <si>
    <t>右手の候</t>
    <phoneticPr fontId="2"/>
  </si>
  <si>
    <t>男女の左右分別</t>
    <rPh sb="5" eb="7">
      <t>ブンベツ</t>
    </rPh>
    <phoneticPr fontId="2"/>
  </si>
  <si>
    <t>左右の血液気息</t>
    <rPh sb="0" eb="2">
      <t>サユウ</t>
    </rPh>
    <phoneticPr fontId="2"/>
  </si>
  <si>
    <t>左右の診察外感内傷</t>
    <phoneticPr fontId="2"/>
  </si>
  <si>
    <t>気血の虚実を知る事</t>
    <rPh sb="6" eb="7">
      <t>シ</t>
    </rPh>
    <rPh sb="8" eb="9">
      <t>コト</t>
    </rPh>
    <phoneticPr fontId="2"/>
  </si>
  <si>
    <t>寒熱往来の事</t>
    <rPh sb="5" eb="6">
      <t>コト</t>
    </rPh>
    <phoneticPr fontId="2"/>
  </si>
  <si>
    <t>緊脈有処而痛処を知る事</t>
    <rPh sb="4" eb="5">
      <t>ジ</t>
    </rPh>
    <phoneticPr fontId="2"/>
  </si>
  <si>
    <t>弦脈の有処にて筋ひきつるの弁</t>
    <rPh sb="13" eb="14">
      <t>ベン</t>
    </rPh>
    <phoneticPr fontId="2"/>
  </si>
  <si>
    <t>気血の虚実を知るの弁</t>
    <rPh sb="6" eb="7">
      <t>シ</t>
    </rPh>
    <phoneticPr fontId="2"/>
  </si>
  <si>
    <t>左右の脈大小の弁</t>
    <phoneticPr fontId="2"/>
  </si>
  <si>
    <t>臥（ふし）たる病人の診脈</t>
    <phoneticPr fontId="2"/>
  </si>
  <si>
    <t>病に不相応の脈の習（ならい）</t>
    <phoneticPr fontId="2"/>
  </si>
  <si>
    <t>四季の脈好悪の習（ならい）</t>
    <rPh sb="7" eb="8">
      <t>ナラ</t>
    </rPh>
    <phoneticPr fontId="2"/>
  </si>
  <si>
    <t>二十四節の脈の次第</t>
    <rPh sb="3" eb="4">
      <t>フシ</t>
    </rPh>
    <rPh sb="7" eb="9">
      <t>シダイ</t>
    </rPh>
    <phoneticPr fontId="2"/>
  </si>
  <si>
    <t>奇恒六十首の事</t>
    <phoneticPr fontId="2"/>
  </si>
  <si>
    <t>筋骨の痛例</t>
    <phoneticPr fontId="2"/>
  </si>
  <si>
    <t>腫と痛との弁因</t>
    <phoneticPr fontId="2"/>
  </si>
  <si>
    <t>診候の薬註</t>
    <rPh sb="0" eb="1">
      <t>ミ</t>
    </rPh>
    <rPh sb="1" eb="2">
      <t>ソウロウ</t>
    </rPh>
    <rPh sb="3" eb="4">
      <t>クスリ</t>
    </rPh>
    <phoneticPr fontId="2"/>
  </si>
  <si>
    <t>婦人の脈の事</t>
    <rPh sb="0" eb="2">
      <t>フジン</t>
    </rPh>
    <rPh sb="3" eb="4">
      <t>ミャク</t>
    </rPh>
    <rPh sb="5" eb="6">
      <t>コト</t>
    </rPh>
    <phoneticPr fontId="2"/>
  </si>
  <si>
    <t>懐胎の脈の事</t>
    <rPh sb="0" eb="2">
      <t>カイタイ</t>
    </rPh>
    <rPh sb="3" eb="4">
      <t>ミャク</t>
    </rPh>
    <rPh sb="5" eb="6">
      <t>コト</t>
    </rPh>
    <phoneticPr fontId="2"/>
  </si>
  <si>
    <t>妊（はら）む妊（はら）まざるの弁</t>
    <phoneticPr fontId="2"/>
  </si>
  <si>
    <t>姙娠の弁</t>
    <rPh sb="0" eb="2">
      <t>ニンシン</t>
    </rPh>
    <rPh sb="3" eb="4">
      <t>ベン</t>
    </rPh>
    <phoneticPr fontId="2"/>
  </si>
  <si>
    <t>月水不通の事</t>
    <rPh sb="0" eb="1">
      <t>ゲッ</t>
    </rPh>
    <rPh sb="1" eb="2">
      <t>スイ</t>
    </rPh>
    <rPh sb="2" eb="4">
      <t>フツウ</t>
    </rPh>
    <rPh sb="5" eb="6">
      <t>コト</t>
    </rPh>
    <phoneticPr fontId="2"/>
  </si>
  <si>
    <t>虎口三関の脈の事</t>
    <rPh sb="7" eb="8">
      <t>コト</t>
    </rPh>
    <phoneticPr fontId="2"/>
  </si>
  <si>
    <t>虎口の図</t>
    <phoneticPr fontId="2"/>
  </si>
  <si>
    <t>面図</t>
    <phoneticPr fontId="2"/>
  </si>
  <si>
    <t>小児の死候</t>
    <rPh sb="0" eb="2">
      <t>ショウニ</t>
    </rPh>
    <phoneticPr fontId="2"/>
  </si>
  <si>
    <t>小児診脈の事</t>
    <rPh sb="0" eb="2">
      <t>ショウニ</t>
    </rPh>
    <phoneticPr fontId="2"/>
  </si>
  <si>
    <t>小児五脈の事</t>
    <rPh sb="0" eb="2">
      <t>ショウニ</t>
    </rPh>
    <phoneticPr fontId="2"/>
  </si>
  <si>
    <t>疱瘡出（いで）よう五臓の見分よう</t>
    <phoneticPr fontId="2"/>
  </si>
  <si>
    <t>六脈部位の事</t>
    <phoneticPr fontId="2"/>
  </si>
  <si>
    <t>十二経めぐりの事</t>
    <phoneticPr fontId="2"/>
  </si>
  <si>
    <t>蔵病府病の事</t>
    <rPh sb="0" eb="1">
      <t>ゾウ</t>
    </rPh>
    <phoneticPr fontId="2"/>
  </si>
  <si>
    <t>若き人寝（いね）て不寤（さめざる）事</t>
    <phoneticPr fontId="2"/>
  </si>
  <si>
    <t>医者病家に出入の法</t>
    <rPh sb="1" eb="2">
      <t>ハ</t>
    </rPh>
    <rPh sb="5" eb="6">
      <t>デ</t>
    </rPh>
    <phoneticPr fontId="2"/>
  </si>
  <si>
    <t>五蔵の絶証</t>
    <rPh sb="1" eb="2">
      <t>ゾウ</t>
    </rPh>
    <phoneticPr fontId="2"/>
  </si>
  <si>
    <t>諸病胃の気をたのむ事</t>
    <phoneticPr fontId="2"/>
  </si>
  <si>
    <t>五蔵の補瀉</t>
    <rPh sb="1" eb="2">
      <t>ゾウ</t>
    </rPh>
    <phoneticPr fontId="2"/>
  </si>
  <si>
    <t>臓府の火を瀉する薬種</t>
    <phoneticPr fontId="2"/>
  </si>
  <si>
    <t>五味の用</t>
    <phoneticPr fontId="2"/>
  </si>
  <si>
    <t>食前後服薬の分別</t>
    <rPh sb="6" eb="8">
      <t>ブンベツ</t>
    </rPh>
    <phoneticPr fontId="2"/>
  </si>
  <si>
    <t>薬気薬味の分別</t>
    <rPh sb="5" eb="7">
      <t>ブンベツ</t>
    </rPh>
    <phoneticPr fontId="2"/>
  </si>
  <si>
    <t>生熟の分別</t>
    <phoneticPr fontId="2"/>
  </si>
  <si>
    <t>薬根三停の分別</t>
    <rPh sb="5" eb="7">
      <t>ブンベツ</t>
    </rPh>
    <phoneticPr fontId="2"/>
  </si>
  <si>
    <t>湯丸散の論</t>
    <phoneticPr fontId="2"/>
  </si>
  <si>
    <t>煎薬生熟の分別</t>
    <rPh sb="5" eb="7">
      <t>ブンベツ</t>
    </rPh>
    <phoneticPr fontId="2"/>
  </si>
  <si>
    <t>服薬の間の食法</t>
    <rPh sb="6" eb="7">
      <t>ホウ</t>
    </rPh>
    <phoneticPr fontId="2"/>
  </si>
  <si>
    <t>六陳</t>
    <phoneticPr fontId="2"/>
  </si>
  <si>
    <t>八新</t>
    <rPh sb="0" eb="1">
      <t>8</t>
    </rPh>
    <phoneticPr fontId="2"/>
  </si>
  <si>
    <t>十八反</t>
    <rPh sb="2" eb="3">
      <t>ハン</t>
    </rPh>
    <phoneticPr fontId="2"/>
  </si>
  <si>
    <t>銅鉄を禁（いましむ）るの薬</t>
    <rPh sb="12" eb="13">
      <t>ヤク</t>
    </rPh>
    <phoneticPr fontId="2"/>
  </si>
  <si>
    <t>禁火の薬味</t>
    <phoneticPr fontId="2"/>
  </si>
  <si>
    <t>五蔵寒熱の薬味</t>
    <rPh sb="1" eb="2">
      <t>ゾウ</t>
    </rPh>
    <phoneticPr fontId="2"/>
  </si>
  <si>
    <t>諸灸捷歌</t>
    <rPh sb="2" eb="3">
      <t>ハヤ</t>
    </rPh>
    <phoneticPr fontId="2"/>
  </si>
  <si>
    <t>小児諸灸捷歌</t>
    <rPh sb="0" eb="2">
      <t>ショウニ</t>
    </rPh>
    <rPh sb="4" eb="5">
      <t>ハヤ</t>
    </rPh>
    <phoneticPr fontId="2"/>
  </si>
  <si>
    <t>大椎を定る法</t>
    <phoneticPr fontId="2"/>
  </si>
  <si>
    <t>髮際を定る法</t>
    <phoneticPr fontId="2"/>
  </si>
  <si>
    <t>寸尺を定（さだむ）る法</t>
    <phoneticPr fontId="2"/>
  </si>
  <si>
    <t>禁灸の穴図</t>
    <rPh sb="0" eb="2">
      <t>キンキュウ</t>
    </rPh>
    <rPh sb="3" eb="4">
      <t>ケツ</t>
    </rPh>
    <rPh sb="4" eb="5">
      <t>ズ</t>
    </rPh>
    <phoneticPr fontId="2"/>
  </si>
  <si>
    <t>十剤の事</t>
    <phoneticPr fontId="2"/>
  </si>
  <si>
    <t>小児動脈の事</t>
    <rPh sb="0" eb="2">
      <t>ショウニ</t>
    </rPh>
    <phoneticPr fontId="2"/>
  </si>
  <si>
    <t>〔小児門〕</t>
    <rPh sb="1" eb="3">
      <t>ショウニ</t>
    </rPh>
    <rPh sb="3" eb="4">
      <t>モン</t>
    </rPh>
    <phoneticPr fontId="2"/>
  </si>
  <si>
    <t>（小児診脈）図</t>
    <rPh sb="6" eb="7">
      <t>ズ</t>
    </rPh>
    <phoneticPr fontId="2"/>
  </si>
  <si>
    <t>〈六脈部位の各書での相違〉</t>
    <rPh sb="6" eb="8">
      <t>カクショ</t>
    </rPh>
    <phoneticPr fontId="2"/>
  </si>
  <si>
    <t>（小児）痘疹法の事</t>
    <phoneticPr fontId="2"/>
  </si>
  <si>
    <t>（小児）虚実の事</t>
    <phoneticPr fontId="2"/>
  </si>
  <si>
    <t>（小児）悪証の事</t>
    <phoneticPr fontId="2"/>
  </si>
  <si>
    <t>（小児）重痘の歌訣</t>
    <phoneticPr fontId="2"/>
  </si>
  <si>
    <t>（小児）軽き者の事</t>
    <phoneticPr fontId="2"/>
  </si>
  <si>
    <t>（小児）軽痘の歌訣</t>
    <phoneticPr fontId="2"/>
  </si>
  <si>
    <t>（小児）禁物の事</t>
    <phoneticPr fontId="2"/>
  </si>
  <si>
    <t>（小児）治療の法</t>
    <phoneticPr fontId="2"/>
  </si>
  <si>
    <t>脈の按様（おしよう）の事</t>
    <rPh sb="11" eb="12">
      <t>コト</t>
    </rPh>
    <phoneticPr fontId="2"/>
  </si>
  <si>
    <t>老人臥（ふし）て不寐（ねられざる）事</t>
    <phoneticPr fontId="2"/>
  </si>
  <si>
    <t>　七表脈</t>
  </si>
  <si>
    <t>　　浮脈</t>
  </si>
  <si>
    <t>　　芤脈</t>
  </si>
  <si>
    <t>　　滑脈</t>
  </si>
  <si>
    <t>　　実脈</t>
  </si>
  <si>
    <t>　　弦脈</t>
  </si>
  <si>
    <t>　　緊脈</t>
  </si>
  <si>
    <t>　　洪脈</t>
  </si>
  <si>
    <t>　八裏脈</t>
  </si>
  <si>
    <t>　　微脈</t>
  </si>
  <si>
    <t>　　沈脈</t>
  </si>
  <si>
    <t>　　緩脈</t>
  </si>
  <si>
    <t>　　濇脈</t>
  </si>
  <si>
    <t>　　遅脈</t>
  </si>
  <si>
    <t>　　伏脈</t>
  </si>
  <si>
    <t>　　濡脈</t>
  </si>
  <si>
    <t>　九道脈</t>
  </si>
  <si>
    <t>　　弱脈</t>
  </si>
  <si>
    <t>　　短脈</t>
    <phoneticPr fontId="2"/>
  </si>
  <si>
    <t>　　虚脈</t>
    <phoneticPr fontId="2"/>
  </si>
  <si>
    <t>　　結脈</t>
    <phoneticPr fontId="2"/>
  </si>
  <si>
    <t>　　牢脈</t>
    <phoneticPr fontId="2"/>
  </si>
  <si>
    <t>　　動脈</t>
    <phoneticPr fontId="2"/>
  </si>
  <si>
    <t>　　細脈</t>
    <phoneticPr fontId="2"/>
  </si>
  <si>
    <t>　　代脈</t>
    <phoneticPr fontId="2"/>
  </si>
  <si>
    <t>　　長脈</t>
    <phoneticPr fontId="2"/>
  </si>
  <si>
    <t>　　促脈</t>
    <rPh sb="2" eb="3">
      <t>ソク</t>
    </rPh>
    <rPh sb="3" eb="4">
      <t>ミャク</t>
    </rPh>
    <phoneticPr fontId="2"/>
  </si>
  <si>
    <t>　　弾石脈</t>
  </si>
  <si>
    <t>　　解索脈</t>
  </si>
  <si>
    <t>　　雀啄脈</t>
  </si>
  <si>
    <t>　　屋漏脈</t>
  </si>
  <si>
    <t>　　蝦遊脈</t>
  </si>
  <si>
    <t>　　魚翔脈</t>
  </si>
  <si>
    <t>　　釜沸脈</t>
  </si>
  <si>
    <t>　中風</t>
  </si>
  <si>
    <t>　傷寒</t>
  </si>
  <si>
    <t>　温病</t>
  </si>
  <si>
    <t>　寒</t>
  </si>
  <si>
    <t>　暑</t>
  </si>
  <si>
    <t>　湿</t>
  </si>
  <si>
    <t>　瘧</t>
  </si>
  <si>
    <t>　痢</t>
  </si>
  <si>
    <t>　霍乱</t>
  </si>
  <si>
    <t>　嘔吐</t>
  </si>
  <si>
    <t>　泄瀉</t>
  </si>
  <si>
    <t>　秘結</t>
  </si>
  <si>
    <t>　咳嗽</t>
  </si>
  <si>
    <t>　痰</t>
  </si>
  <si>
    <t>　喘急</t>
  </si>
  <si>
    <t>　眩暈</t>
  </si>
  <si>
    <t>　五痺</t>
  </si>
  <si>
    <t>　失血</t>
  </si>
  <si>
    <t>　痔</t>
  </si>
  <si>
    <t>　脱肛</t>
  </si>
  <si>
    <t>　上気</t>
  </si>
  <si>
    <t>　汗</t>
  </si>
  <si>
    <t>　頭痛</t>
  </si>
  <si>
    <t>　心痛</t>
  </si>
  <si>
    <t>　腹痛</t>
  </si>
  <si>
    <t>　腰痛</t>
  </si>
  <si>
    <t>　鼻血</t>
  </si>
  <si>
    <t>　浮腫</t>
  </si>
  <si>
    <t>　痞満</t>
  </si>
  <si>
    <t>　飜胃</t>
  </si>
  <si>
    <t>　腸澼</t>
  </si>
  <si>
    <t>　唾血</t>
  </si>
  <si>
    <t>　脚気</t>
  </si>
  <si>
    <t>　内傷</t>
  </si>
  <si>
    <t>　咳逆</t>
  </si>
  <si>
    <t>　黄疸</t>
  </si>
  <si>
    <t>　金瘡</t>
  </si>
  <si>
    <t>　中毒</t>
  </si>
  <si>
    <t>　淋病</t>
  </si>
  <si>
    <t>　消渇</t>
  </si>
  <si>
    <t>　中悪</t>
  </si>
  <si>
    <t>　赤白濁</t>
  </si>
  <si>
    <t>　水腫</t>
  </si>
  <si>
    <t>　脹満</t>
  </si>
  <si>
    <t>　積聚</t>
  </si>
  <si>
    <t>　自汗</t>
  </si>
  <si>
    <t>　癲狂</t>
  </si>
  <si>
    <t>　諸気</t>
  </si>
  <si>
    <t>　疝気</t>
  </si>
  <si>
    <t>　脾胃</t>
  </si>
  <si>
    <t>　諸虚</t>
  </si>
  <si>
    <t>　癰疽</t>
  </si>
  <si>
    <t>　労瘵</t>
  </si>
  <si>
    <t>　痛風</t>
  </si>
  <si>
    <t>　火症</t>
  </si>
  <si>
    <t>　遺精</t>
  </si>
  <si>
    <t>　尿濁</t>
  </si>
  <si>
    <t>　鬱症</t>
  </si>
  <si>
    <t>　諸虫</t>
  </si>
  <si>
    <t>　班疹</t>
  </si>
  <si>
    <t>　損傷</t>
  </si>
  <si>
    <t>　眼目</t>
  </si>
  <si>
    <t>　耳病</t>
  </si>
  <si>
    <t>　鼻病</t>
  </si>
  <si>
    <t>　口舌</t>
  </si>
  <si>
    <t>　牙歯</t>
  </si>
  <si>
    <t>　喉痺</t>
  </si>
  <si>
    <t>　癘風</t>
  </si>
  <si>
    <t>　癇症</t>
    <rPh sb="1" eb="3">
      <t>カンショウ</t>
    </rPh>
    <rPh sb="2" eb="3">
      <t>ショウ</t>
    </rPh>
    <phoneticPr fontId="2"/>
  </si>
  <si>
    <t>　五労</t>
    <rPh sb="1" eb="3">
      <t>ゴロウ</t>
    </rPh>
    <phoneticPr fontId="2"/>
  </si>
  <si>
    <t>両腎に補の分別</t>
    <phoneticPr fontId="2"/>
  </si>
  <si>
    <t>手指の脈紋八叚錦</t>
    <phoneticPr fontId="2"/>
  </si>
  <si>
    <t>　浮沈遅数</t>
    <rPh sb="1" eb="3">
      <t>フチン</t>
    </rPh>
    <rPh sb="3" eb="5">
      <t>チサク</t>
    </rPh>
    <phoneticPr fontId="2"/>
  </si>
  <si>
    <t>新鐫増補脈論口訣 5巻</t>
  </si>
  <si>
    <t>レコードID　RB00003539</t>
  </si>
  <si>
    <t>出版年　1683</t>
  </si>
  <si>
    <t>タイトルヨミ　シンセン ゾウホ ミャクロン クケツ</t>
  </si>
  <si>
    <t>別タイトル　外題:増補脈論口訣</t>
  </si>
  <si>
    <t>ローマ字タイトル: Shinsen zouho myakuron kuketsu</t>
  </si>
  <si>
    <t>著者　林玉池斎輯</t>
  </si>
  <si>
    <t>冊数　1</t>
  </si>
  <si>
    <t>出版年（和暦）　天和3年</t>
  </si>
  <si>
    <t>←これを使い作業した</t>
    <rPh sb="4" eb="5">
      <t>ツカ</t>
    </rPh>
    <rPh sb="6" eb="8">
      <t>サギョウ</t>
    </rPh>
    <phoneticPr fontId="2"/>
  </si>
  <si>
    <t>ここにもあります。脈論口訣で検索</t>
    <phoneticPr fontId="2"/>
  </si>
  <si>
    <t>巻之二</t>
    <rPh sb="2" eb="3">
      <t>2</t>
    </rPh>
    <phoneticPr fontId="2"/>
  </si>
  <si>
    <t>燥証　※　削除されている</t>
    <rPh sb="5" eb="7">
      <t>サクジョ</t>
    </rPh>
    <phoneticPr fontId="2"/>
  </si>
  <si>
    <t>巻之三</t>
    <rPh sb="2" eb="3">
      <t>3</t>
    </rPh>
    <phoneticPr fontId="2"/>
  </si>
  <si>
    <t>巻之四</t>
    <rPh sb="2" eb="3">
      <t>4</t>
    </rPh>
    <phoneticPr fontId="2"/>
  </si>
  <si>
    <t>巻之五</t>
    <rPh sb="2" eb="3">
      <t>5</t>
    </rPh>
    <phoneticPr fontId="2"/>
  </si>
  <si>
    <t>巻之六</t>
    <rPh sb="2" eb="3">
      <t>6</t>
    </rPh>
    <phoneticPr fontId="2"/>
  </si>
  <si>
    <t>巻之七</t>
    <rPh sb="2" eb="3">
      <t>7</t>
    </rPh>
    <phoneticPr fontId="2"/>
  </si>
  <si>
    <t>巻之八</t>
    <rPh sb="2" eb="3">
      <t>8</t>
    </rPh>
    <phoneticPr fontId="2"/>
  </si>
  <si>
    <t>膁瘡</t>
    <phoneticPr fontId="2"/>
  </si>
  <si>
    <t>痜瘡</t>
    <phoneticPr fontId="2"/>
  </si>
  <si>
    <t>諸骨骾</t>
    <phoneticPr fontId="2"/>
  </si>
  <si>
    <t>和刻本ではないが、Ｗｅｂ上ではこの資料しかないので、この文献資料で作業した</t>
    <rPh sb="0" eb="2">
      <t>ワコク</t>
    </rPh>
    <rPh sb="2" eb="3">
      <t>ボン</t>
    </rPh>
    <rPh sb="12" eb="13">
      <t>ウエ</t>
    </rPh>
    <rPh sb="17" eb="19">
      <t>シリョウ</t>
    </rPh>
    <rPh sb="28" eb="30">
      <t>ブンケン</t>
    </rPh>
    <rPh sb="30" eb="32">
      <t>シリョウ</t>
    </rPh>
    <rPh sb="33" eb="35">
      <t>サギョウ</t>
    </rPh>
    <phoneticPr fontId="2"/>
  </si>
  <si>
    <t>○淳祐新添方</t>
    <rPh sb="2" eb="3">
      <t>ユウ</t>
    </rPh>
    <rPh sb="3" eb="5">
      <t>ニイゾエ</t>
    </rPh>
    <phoneticPr fontId="2"/>
  </si>
  <si>
    <t>人参順気散</t>
    <phoneticPr fontId="2"/>
  </si>
  <si>
    <t>六和湯</t>
    <rPh sb="0" eb="1">
      <t>6</t>
    </rPh>
    <rPh sb="1" eb="2">
      <t>ワ</t>
    </rPh>
    <rPh sb="2" eb="3">
      <t>ユ</t>
    </rPh>
    <phoneticPr fontId="2"/>
  </si>
  <si>
    <t>鍾乳補肺湯</t>
    <rPh sb="0" eb="1">
      <t>アツム</t>
    </rPh>
    <rPh sb="1" eb="2">
      <t>チチ</t>
    </rPh>
    <rPh sb="2" eb="3">
      <t>ホ</t>
    </rPh>
    <phoneticPr fontId="2"/>
  </si>
  <si>
    <t>降心丹</t>
    <phoneticPr fontId="2"/>
  </si>
  <si>
    <t>成煉鍾乳粉</t>
  </si>
  <si>
    <t>鍾乳白沢円</t>
  </si>
  <si>
    <t>曹公卓鍾乳円</t>
  </si>
  <si>
    <t>鍾乳沢蘭円</t>
  </si>
  <si>
    <t>鍾乳粉散</t>
  </si>
  <si>
    <t>○淳祐新添方</t>
  </si>
  <si>
    <t>明眼地黄円</t>
    <rPh sb="1" eb="2">
      <t>メ</t>
    </rPh>
    <phoneticPr fontId="2"/>
  </si>
  <si>
    <t>蝉花散</t>
  </si>
  <si>
    <t>蝉蛻散</t>
  </si>
  <si>
    <t>蝉花無比散</t>
  </si>
  <si>
    <t>石葦散</t>
    <phoneticPr fontId="2"/>
  </si>
  <si>
    <t>大嶽活血丹</t>
    <rPh sb="0" eb="1">
      <t>ダイ</t>
    </rPh>
    <rPh sb="1" eb="2">
      <t>ダケ</t>
    </rPh>
    <rPh sb="2" eb="4">
      <t>カッケツ</t>
    </rPh>
    <phoneticPr fontId="2"/>
  </si>
  <si>
    <t>牡丹煎円</t>
    <phoneticPr fontId="2"/>
  </si>
  <si>
    <t>催生如聖散</t>
    <rPh sb="0" eb="1">
      <t>サイ</t>
    </rPh>
    <rPh sb="1" eb="2">
      <t>ナマ</t>
    </rPh>
    <rPh sb="2" eb="3">
      <t>ニョ</t>
    </rPh>
    <rPh sb="3" eb="4">
      <t>ヒジリ</t>
    </rPh>
    <rPh sb="4" eb="5">
      <t>サン</t>
    </rPh>
    <phoneticPr fontId="2"/>
  </si>
  <si>
    <t>当帰黄耆湯</t>
    <rPh sb="2" eb="4">
      <t>オウギ</t>
    </rPh>
    <phoneticPr fontId="2"/>
  </si>
  <si>
    <t>全蝎観音散</t>
    <phoneticPr fontId="2"/>
  </si>
  <si>
    <t>蝦蟆円</t>
    <rPh sb="0" eb="2">
      <t>ガマ</t>
    </rPh>
    <phoneticPr fontId="2"/>
  </si>
  <si>
    <t>寧神膏（※寧志膏）</t>
    <rPh sb="0" eb="1">
      <t>ネイ</t>
    </rPh>
    <rPh sb="1" eb="2">
      <t>カミ</t>
    </rPh>
    <rPh sb="2" eb="3">
      <t>アブラ</t>
    </rPh>
    <rPh sb="7" eb="8">
      <t>アブラ</t>
    </rPh>
    <phoneticPr fontId="2"/>
  </si>
  <si>
    <t>論合和法</t>
    <phoneticPr fontId="2"/>
  </si>
  <si>
    <t>論処方法</t>
    <phoneticPr fontId="2"/>
  </si>
  <si>
    <t>論諸風証候</t>
    <rPh sb="1" eb="2">
      <t>ショ</t>
    </rPh>
    <phoneticPr fontId="2"/>
  </si>
  <si>
    <t>論傷寒証候</t>
    <rPh sb="1" eb="3">
      <t>ショウカン</t>
    </rPh>
    <phoneticPr fontId="2"/>
  </si>
  <si>
    <t>太平恵民和剤局方諸品薬石炮製総論</t>
  </si>
  <si>
    <t>玉石部</t>
  </si>
  <si>
    <t>草部</t>
  </si>
  <si>
    <t>木部</t>
  </si>
  <si>
    <t>獣禽部</t>
  </si>
  <si>
    <t>虫魚部</t>
  </si>
  <si>
    <t>果穀部</t>
  </si>
  <si>
    <t>解百薬及金石等毒例</t>
  </si>
  <si>
    <t>論諸薬不宜入湯酒者</t>
  </si>
  <si>
    <t>奥付</t>
    <rPh sb="0" eb="2">
      <t>オクヅケ</t>
    </rPh>
    <phoneticPr fontId="2"/>
  </si>
  <si>
    <t>太平和剤図経本草　薬性総論巻上</t>
  </si>
  <si>
    <t>玉石部　上品</t>
  </si>
  <si>
    <t>玉石部　中品</t>
  </si>
  <si>
    <t>玉石部　下品</t>
  </si>
  <si>
    <t>草部　上品之上</t>
  </si>
  <si>
    <t>草部　上品之下</t>
  </si>
  <si>
    <t>草部　中品之上</t>
  </si>
  <si>
    <t>草部　中品之下</t>
  </si>
  <si>
    <t>草部　下品之上</t>
  </si>
  <si>
    <t>草部　下品之下</t>
  </si>
  <si>
    <t>太平和剤図経本草　薬性総論巻下</t>
  </si>
  <si>
    <t>木部　上品</t>
  </si>
  <si>
    <t>木部　中品</t>
  </si>
  <si>
    <t>木部　下品</t>
  </si>
  <si>
    <t>人部</t>
  </si>
  <si>
    <t>獣部　上品</t>
  </si>
  <si>
    <t>獣部　中品</t>
  </si>
  <si>
    <t>獣部　下品</t>
  </si>
  <si>
    <t>虫魚部　上品</t>
  </si>
  <si>
    <t>虫魚部　中品</t>
  </si>
  <si>
    <t>虫魚部　下品</t>
  </si>
  <si>
    <t>果部</t>
  </si>
  <si>
    <t>米穀部</t>
  </si>
  <si>
    <t>菜部</t>
  </si>
  <si>
    <t>禽部</t>
    <phoneticPr fontId="2"/>
  </si>
  <si>
    <t>○第07-03</t>
    <rPh sb="1" eb="2">
      <t>ダイ</t>
    </rPh>
    <phoneticPr fontId="2"/>
  </si>
  <si>
    <t>(新鐫陶節庵家蔵)傷寒六書 4巻</t>
  </si>
  <si>
    <t>レコードID</t>
  </si>
  <si>
    <t>別タイトル　外題:傷寒六書</t>
  </si>
  <si>
    <t>著者　(明)餘杭節庵、陶華撰</t>
  </si>
  <si>
    <t>冊数　4</t>
  </si>
  <si>
    <t>形態・版情報　刊 和刻本</t>
  </si>
  <si>
    <t>傷寒瑣言</t>
  </si>
  <si>
    <t>雑病諸病方法</t>
  </si>
  <si>
    <t>傷寒表裏見証治例活法</t>
    <rPh sb="3" eb="4">
      <t>ウラ</t>
    </rPh>
    <phoneticPr fontId="2"/>
  </si>
  <si>
    <t>懊憹</t>
    <rPh sb="0" eb="1">
      <t>ナヤ</t>
    </rPh>
    <rPh sb="1" eb="2">
      <t>ノウ</t>
    </rPh>
    <phoneticPr fontId="2"/>
  </si>
  <si>
    <t>肉瞤筋惕</t>
    <rPh sb="1" eb="2">
      <t>シュン</t>
    </rPh>
    <phoneticPr fontId="2"/>
  </si>
  <si>
    <t>痓</t>
    <rPh sb="0" eb="1">
      <t>シ</t>
    </rPh>
    <phoneticPr fontId="2"/>
  </si>
  <si>
    <t>温毒中暍</t>
    <rPh sb="3" eb="4">
      <t>エツ</t>
    </rPh>
    <phoneticPr fontId="2"/>
  </si>
  <si>
    <t>太陽陽明併病</t>
    <rPh sb="4" eb="5">
      <t>ヘイ</t>
    </rPh>
    <phoneticPr fontId="2"/>
  </si>
  <si>
    <t>懊憹</t>
    <rPh sb="1" eb="2">
      <t>ノウ</t>
    </rPh>
    <phoneticPr fontId="2"/>
  </si>
  <si>
    <t>筋瞤惕肉</t>
    <rPh sb="1" eb="2">
      <t>シュン</t>
    </rPh>
    <phoneticPr fontId="2"/>
  </si>
  <si>
    <t>瘈瘲</t>
  </si>
  <si>
    <t>四証類傷寒出出指掌図</t>
    <rPh sb="5" eb="6">
      <t>デ</t>
    </rPh>
    <phoneticPr fontId="2"/>
  </si>
  <si>
    <t>診脈之法</t>
    <rPh sb="0" eb="2">
      <t>シンミャク</t>
    </rPh>
    <rPh sb="2" eb="3">
      <t>ノ</t>
    </rPh>
    <rPh sb="3" eb="4">
      <t>ホウ</t>
    </rPh>
    <phoneticPr fontId="2"/>
  </si>
  <si>
    <t>傷寒脈治心法</t>
    <rPh sb="0" eb="2">
      <t>ショウカン</t>
    </rPh>
    <rPh sb="2" eb="3">
      <t>ミャク</t>
    </rPh>
    <rPh sb="3" eb="4">
      <t>チ</t>
    </rPh>
    <rPh sb="4" eb="5">
      <t>ココロ</t>
    </rPh>
    <rPh sb="5" eb="6">
      <t>ホウ</t>
    </rPh>
    <phoneticPr fontId="2"/>
  </si>
  <si>
    <t>目録</t>
    <rPh sb="0" eb="2">
      <t>モクロク</t>
    </rPh>
    <phoneticPr fontId="2"/>
  </si>
  <si>
    <t>○傷寒明理続論</t>
    <phoneticPr fontId="2"/>
  </si>
  <si>
    <t>○傷寒家秘論</t>
    <rPh sb="5" eb="6">
      <t>ロン</t>
    </rPh>
    <phoneticPr fontId="2"/>
  </si>
  <si>
    <t>○傷寒瑣言</t>
    <phoneticPr fontId="2"/>
  </si>
  <si>
    <t>○殺車槌法</t>
    <phoneticPr fontId="2"/>
  </si>
  <si>
    <t>○一提金啓蒙</t>
    <phoneticPr fontId="2"/>
  </si>
  <si>
    <t>○証脈截江網</t>
    <phoneticPr fontId="2"/>
  </si>
  <si>
    <t>http://www.wul.waseda.ac.jp/kotenseki/html/ya09/ya09_00165/index.html</t>
    <phoneticPr fontId="2"/>
  </si>
  <si>
    <t>○厳氏済生続方</t>
    <phoneticPr fontId="2"/>
  </si>
  <si>
    <t>○厳氏済生方</t>
    <phoneticPr fontId="2"/>
  </si>
  <si>
    <t>厳氏済生方 10巻</t>
  </si>
  <si>
    <t>レコードID　RB00002310</t>
  </si>
  <si>
    <t>出版年　1734</t>
  </si>
  <si>
    <t>タイトルヨミ　ゲンシ サイセイホウ</t>
  </si>
  <si>
    <t>著者　(宋)厳用和撰・安部昭(隆庵)校定</t>
  </si>
  <si>
    <t>冊数　5</t>
  </si>
  <si>
    <t>出版年（和暦）　享保19年</t>
  </si>
  <si>
    <t>形態・版情報　刊 和中</t>
  </si>
  <si>
    <t>富士川文庫資料</t>
    <rPh sb="0" eb="7">
      <t>フジカワブンコシリョウ</t>
    </rPh>
    <phoneticPr fontId="2"/>
  </si>
  <si>
    <t>序一　甲賀</t>
    <rPh sb="3" eb="5">
      <t>コウガ</t>
    </rPh>
    <phoneticPr fontId="2"/>
  </si>
  <si>
    <t>序二　安部</t>
    <rPh sb="3" eb="5">
      <t>アベ</t>
    </rPh>
    <phoneticPr fontId="2"/>
  </si>
  <si>
    <t>蠲痛円</t>
    <rPh sb="1" eb="2">
      <t>ツウ</t>
    </rPh>
    <phoneticPr fontId="2"/>
  </si>
  <si>
    <t>稀薟散</t>
    <phoneticPr fontId="2"/>
  </si>
  <si>
    <t>菓附湯</t>
    <rPh sb="0" eb="1">
      <t>カ</t>
    </rPh>
    <rPh sb="1" eb="2">
      <t>フ</t>
    </rPh>
    <phoneticPr fontId="2"/>
  </si>
  <si>
    <t>黄芪酒</t>
    <rPh sb="2" eb="3">
      <t>サケ</t>
    </rPh>
    <phoneticPr fontId="2"/>
  </si>
  <si>
    <t>香薷飲</t>
    <phoneticPr fontId="2"/>
  </si>
  <si>
    <t>　※　塩を臍に入れて灸</t>
    <rPh sb="3" eb="4">
      <t>シオ</t>
    </rPh>
    <rPh sb="5" eb="6">
      <t>ヘソ</t>
    </rPh>
    <rPh sb="7" eb="8">
      <t>イ</t>
    </rPh>
    <phoneticPr fontId="2"/>
  </si>
  <si>
    <t>心丹</t>
    <rPh sb="0" eb="1">
      <t>ココロ</t>
    </rPh>
    <rPh sb="1" eb="2">
      <t>タン</t>
    </rPh>
    <phoneticPr fontId="2"/>
  </si>
  <si>
    <t>秘精円</t>
    <rPh sb="0" eb="1">
      <t>ヒ</t>
    </rPh>
    <rPh sb="1" eb="2">
      <t>セイ</t>
    </rPh>
    <rPh sb="2" eb="3">
      <t>エン</t>
    </rPh>
    <phoneticPr fontId="2"/>
  </si>
  <si>
    <t>白濁赤濁論治</t>
    <phoneticPr fontId="2"/>
  </si>
  <si>
    <t>羊脛炭円</t>
    <rPh sb="2" eb="3">
      <t>スミ</t>
    </rPh>
    <phoneticPr fontId="2"/>
  </si>
  <si>
    <t>菴䕡円</t>
    <rPh sb="0" eb="1">
      <t>アン</t>
    </rPh>
    <phoneticPr fontId="2"/>
  </si>
  <si>
    <t>黄芪飲子</t>
  </si>
  <si>
    <t>黄芪湯</t>
  </si>
  <si>
    <t>茋附湯</t>
    <phoneticPr fontId="2"/>
  </si>
  <si>
    <t>薺苨円</t>
    <phoneticPr fontId="2"/>
  </si>
  <si>
    <t>黄芪散</t>
  </si>
  <si>
    <t>犀角地黄湯</t>
    <rPh sb="0" eb="2">
      <t>サイカク</t>
    </rPh>
    <rPh sb="2" eb="4">
      <t>ジオウ</t>
    </rPh>
    <rPh sb="4" eb="5">
      <t>ユ</t>
    </rPh>
    <phoneticPr fontId="2"/>
  </si>
  <si>
    <t>藕汁飲</t>
    <rPh sb="1" eb="2">
      <t>シル</t>
    </rPh>
    <phoneticPr fontId="2"/>
  </si>
  <si>
    <t>塗臍膏</t>
    <rPh sb="0" eb="1">
      <t>ヌ</t>
    </rPh>
    <phoneticPr fontId="2"/>
  </si>
  <si>
    <t>香稜円</t>
    <rPh sb="1" eb="2">
      <t>リョウ</t>
    </rPh>
    <phoneticPr fontId="2"/>
  </si>
  <si>
    <t>蜜兌法</t>
    <rPh sb="1" eb="2">
      <t>ダ</t>
    </rPh>
    <phoneticPr fontId="2"/>
  </si>
  <si>
    <t>胃風湯</t>
    <rPh sb="0" eb="1">
      <t>イ</t>
    </rPh>
    <rPh sb="1" eb="2">
      <t>カゼ</t>
    </rPh>
    <rPh sb="2" eb="3">
      <t>ユ</t>
    </rPh>
    <phoneticPr fontId="2"/>
  </si>
  <si>
    <t>蝟皮円</t>
    <phoneticPr fontId="2"/>
  </si>
  <si>
    <t>黄芪円</t>
  </si>
  <si>
    <t>婦人論</t>
    <phoneticPr fontId="2"/>
  </si>
  <si>
    <t>芎藭補中湯</t>
    <phoneticPr fontId="2"/>
  </si>
  <si>
    <t>調中湯</t>
    <rPh sb="0" eb="1">
      <t>チョウ</t>
    </rPh>
    <rPh sb="1" eb="2">
      <t>ナカ</t>
    </rPh>
    <rPh sb="2" eb="3">
      <t>ユ</t>
    </rPh>
    <phoneticPr fontId="2"/>
  </si>
  <si>
    <t>称痛散</t>
    <rPh sb="0" eb="1">
      <t>ショウ</t>
    </rPh>
    <rPh sb="1" eb="2">
      <t>ツウ</t>
    </rPh>
    <rPh sb="2" eb="3">
      <t>サン</t>
    </rPh>
    <phoneticPr fontId="2"/>
  </si>
  <si>
    <t>抵聖湯</t>
    <rPh sb="0" eb="1">
      <t>テイ</t>
    </rPh>
    <rPh sb="1" eb="2">
      <t>ヒジリ</t>
    </rPh>
    <rPh sb="2" eb="3">
      <t>ユ</t>
    </rPh>
    <phoneticPr fontId="2"/>
  </si>
  <si>
    <t>奪命丹</t>
    <rPh sb="0" eb="1">
      <t>ダツ</t>
    </rPh>
    <rPh sb="1" eb="2">
      <t>イノチ</t>
    </rPh>
    <rPh sb="2" eb="3">
      <t>タン</t>
    </rPh>
    <phoneticPr fontId="2"/>
  </si>
  <si>
    <t>大岩蜜湯</t>
    <rPh sb="1" eb="2">
      <t>イワ</t>
    </rPh>
    <phoneticPr fontId="2"/>
  </si>
  <si>
    <t>済危上丹</t>
    <rPh sb="0" eb="1">
      <t>スミ</t>
    </rPh>
    <rPh sb="1" eb="2">
      <t>キ</t>
    </rPh>
    <rPh sb="2" eb="3">
      <t>ジョウ</t>
    </rPh>
    <rPh sb="3" eb="4">
      <t>ニ</t>
    </rPh>
    <phoneticPr fontId="2"/>
  </si>
  <si>
    <t>産後雑病論治</t>
  </si>
  <si>
    <t>通経円</t>
    <rPh sb="0" eb="1">
      <t>ツウ</t>
    </rPh>
    <rPh sb="1" eb="2">
      <t>ケイ</t>
    </rPh>
    <rPh sb="2" eb="3">
      <t>エン</t>
    </rPh>
    <phoneticPr fontId="2"/>
  </si>
  <si>
    <t>熱</t>
    <phoneticPr fontId="2"/>
  </si>
  <si>
    <t>　五運主病枢要目</t>
    <phoneticPr fontId="2"/>
  </si>
  <si>
    <t>　一十八剤</t>
    <phoneticPr fontId="2"/>
  </si>
  <si>
    <t>　六経正病</t>
    <phoneticPr fontId="2"/>
  </si>
  <si>
    <t>内傷飢飽労倦総方</t>
    <phoneticPr fontId="2"/>
  </si>
  <si>
    <t>　風</t>
    <phoneticPr fontId="2"/>
  </si>
  <si>
    <t>　寒</t>
    <phoneticPr fontId="2"/>
  </si>
  <si>
    <t>　暑</t>
    <phoneticPr fontId="2"/>
  </si>
  <si>
    <t>　湿</t>
    <phoneticPr fontId="2"/>
  </si>
  <si>
    <t>　燥</t>
    <phoneticPr fontId="2"/>
  </si>
  <si>
    <t>　火</t>
    <phoneticPr fontId="2"/>
  </si>
  <si>
    <t>　調理脾胃</t>
    <phoneticPr fontId="2"/>
  </si>
  <si>
    <t>　気</t>
    <phoneticPr fontId="2"/>
  </si>
  <si>
    <t>　血</t>
    <phoneticPr fontId="2"/>
  </si>
  <si>
    <t>　痰</t>
    <phoneticPr fontId="2"/>
  </si>
  <si>
    <t>　積熱</t>
    <phoneticPr fontId="2"/>
  </si>
  <si>
    <t>　諸虚</t>
    <phoneticPr fontId="2"/>
  </si>
  <si>
    <t>　頭眩</t>
    <phoneticPr fontId="2"/>
  </si>
  <si>
    <t>　溺血</t>
    <phoneticPr fontId="2"/>
  </si>
  <si>
    <t>　拾遺</t>
    <phoneticPr fontId="2"/>
  </si>
  <si>
    <t>　気類</t>
    <phoneticPr fontId="2"/>
  </si>
  <si>
    <t>　血類</t>
    <phoneticPr fontId="2"/>
  </si>
  <si>
    <t>　痰類</t>
    <phoneticPr fontId="2"/>
  </si>
  <si>
    <t>　傷寒</t>
    <phoneticPr fontId="2"/>
  </si>
  <si>
    <t>急救諸方</t>
    <phoneticPr fontId="2"/>
  </si>
  <si>
    <t>怪疾</t>
    <phoneticPr fontId="2"/>
  </si>
  <si>
    <t>出版年　1619</t>
    <phoneticPr fontId="2"/>
  </si>
  <si>
    <t>(明)呉崑述　冊数　1</t>
    <phoneticPr fontId="2"/>
  </si>
  <si>
    <t>脈語　序</t>
    <phoneticPr fontId="2"/>
  </si>
  <si>
    <t>◎下学篇</t>
    <phoneticPr fontId="2"/>
  </si>
  <si>
    <t>◎上達篇</t>
    <phoneticPr fontId="2"/>
  </si>
  <si>
    <t>写本</t>
    <rPh sb="0" eb="2">
      <t>シャホン</t>
    </rPh>
    <phoneticPr fontId="2"/>
  </si>
  <si>
    <t>正保3年</t>
  </si>
  <si>
    <t>寛永21年</t>
  </si>
  <si>
    <t>察病指南 3巻</t>
  </si>
  <si>
    <t>レコードID　RB00002679</t>
  </si>
  <si>
    <t>レコードID　RB00002686</t>
  </si>
  <si>
    <t>出版年　1644</t>
  </si>
  <si>
    <t>タイトルヨミ　サツビョウ シナンショウ</t>
  </si>
  <si>
    <t>タイトルヨミ　サツビョウ シナン</t>
  </si>
  <si>
    <t>別タイトル　ローマ字タイトル: Satsubyou shinanshou</t>
  </si>
  <si>
    <t>別タイトル　ローマ字タイトル: Satsubyou shinan</t>
  </si>
  <si>
    <t>著者　(宋)施発撰・(日本)某氏抄訳</t>
  </si>
  <si>
    <t>著者　(宋)施発(政卿)撰</t>
  </si>
  <si>
    <t>冊数　2</t>
  </si>
  <si>
    <t>形態・版情報　刊 和大 (抄録)</t>
  </si>
  <si>
    <t>出版年（和暦）　寛永21年</t>
  </si>
  <si>
    <t>写刊の別　刊</t>
  </si>
  <si>
    <t>形態・版情報　刊 和大</t>
  </si>
  <si>
    <t>察病指南巻之上</t>
  </si>
  <si>
    <t>十二経総括</t>
  </si>
  <si>
    <t>診三部脈法</t>
  </si>
  <si>
    <t>左右三部六候</t>
  </si>
  <si>
    <t>四季脈名</t>
  </si>
  <si>
    <t>診五臓四季常脈</t>
  </si>
  <si>
    <t>定四季六臓平脈</t>
  </si>
  <si>
    <t>定四季相剋脈</t>
  </si>
  <si>
    <t>診五臓賊邪脈</t>
  </si>
  <si>
    <t>診四時虚実脈歌</t>
  </si>
  <si>
    <t>下指軽重法</t>
  </si>
  <si>
    <t>診五臓動脈法</t>
  </si>
  <si>
    <t>診六腑平脈法</t>
  </si>
  <si>
    <t>脈息大数</t>
  </si>
  <si>
    <t>診五臓脈訣</t>
  </si>
  <si>
    <t>男女反脈</t>
  </si>
  <si>
    <t>観人形性脈法</t>
  </si>
  <si>
    <t>察平人損至脈法</t>
  </si>
  <si>
    <t>診暴病脈法</t>
  </si>
  <si>
    <t>診祟脈法</t>
  </si>
  <si>
    <t>診病内外法</t>
  </si>
  <si>
    <t>診癥病脈法</t>
  </si>
  <si>
    <t>診候約法</t>
  </si>
  <si>
    <t>弁雑病脈吐汗温利可否法</t>
  </si>
  <si>
    <t>人迎気口脈</t>
  </si>
  <si>
    <t>弁三因</t>
  </si>
  <si>
    <t>定生死訣</t>
  </si>
  <si>
    <t>下指疏密法</t>
  </si>
  <si>
    <t>察病指南巻之中</t>
  </si>
  <si>
    <t>弁七表八裏九道七死脈</t>
  </si>
  <si>
    <t>七表脈</t>
  </si>
  <si>
    <t>　浮脈</t>
    <phoneticPr fontId="2"/>
  </si>
  <si>
    <t>　芤脈</t>
    <phoneticPr fontId="2"/>
  </si>
  <si>
    <t>　滑脈</t>
    <phoneticPr fontId="2"/>
  </si>
  <si>
    <t>　実脈</t>
    <phoneticPr fontId="2"/>
  </si>
  <si>
    <t>　弦脈</t>
    <phoneticPr fontId="2"/>
  </si>
  <si>
    <t>　緊脈</t>
    <phoneticPr fontId="2"/>
  </si>
  <si>
    <t>　洪脈</t>
    <phoneticPr fontId="2"/>
  </si>
  <si>
    <t>八裏脈</t>
  </si>
  <si>
    <t>　微脈</t>
    <phoneticPr fontId="2"/>
  </si>
  <si>
    <t>　沈脈</t>
    <phoneticPr fontId="2"/>
  </si>
  <si>
    <t>　緩脈</t>
    <phoneticPr fontId="2"/>
  </si>
  <si>
    <t>　濇脈</t>
    <phoneticPr fontId="2"/>
  </si>
  <si>
    <t>　遅脈</t>
    <phoneticPr fontId="2"/>
  </si>
  <si>
    <t>　伏脈</t>
    <phoneticPr fontId="2"/>
  </si>
  <si>
    <t>　濡脈</t>
    <phoneticPr fontId="2"/>
  </si>
  <si>
    <t>　弱脈</t>
    <phoneticPr fontId="2"/>
  </si>
  <si>
    <t>九道脈</t>
  </si>
  <si>
    <t>　長脈属陽</t>
    <phoneticPr fontId="2"/>
  </si>
  <si>
    <t>　促脈属陽</t>
    <phoneticPr fontId="2"/>
  </si>
  <si>
    <t>　短脈属陰</t>
    <phoneticPr fontId="2"/>
  </si>
  <si>
    <t>　虚脈属陰</t>
    <phoneticPr fontId="2"/>
  </si>
  <si>
    <t>　結脈属陰</t>
    <phoneticPr fontId="2"/>
  </si>
  <si>
    <t>　牢脈属陰</t>
    <phoneticPr fontId="2"/>
  </si>
  <si>
    <t>　動脈属陰</t>
    <phoneticPr fontId="2"/>
  </si>
  <si>
    <t>　細脈属陰</t>
    <phoneticPr fontId="2"/>
  </si>
  <si>
    <t>　代脈属陰</t>
    <phoneticPr fontId="2"/>
  </si>
  <si>
    <t>　数脈属陽</t>
    <phoneticPr fontId="2"/>
  </si>
  <si>
    <t>　大脈属陽</t>
    <phoneticPr fontId="2"/>
  </si>
  <si>
    <t>七死脈</t>
  </si>
  <si>
    <t>　弾石脈</t>
    <phoneticPr fontId="2"/>
  </si>
  <si>
    <t>　解索脈</t>
    <phoneticPr fontId="2"/>
  </si>
  <si>
    <t>　雀啄脈</t>
    <phoneticPr fontId="2"/>
  </si>
  <si>
    <t>　屋漏脈</t>
    <phoneticPr fontId="2"/>
  </si>
  <si>
    <t>　蝦遊脈</t>
    <phoneticPr fontId="2"/>
  </si>
  <si>
    <t>　魚翔脈</t>
    <phoneticPr fontId="2"/>
  </si>
  <si>
    <t>　釜沸脈</t>
    <phoneticPr fontId="2"/>
  </si>
  <si>
    <t>診七表相承病法</t>
    <rPh sb="0" eb="1">
      <t>ミ</t>
    </rPh>
    <rPh sb="1" eb="3">
      <t>ナナヒョウ</t>
    </rPh>
    <rPh sb="3" eb="5">
      <t>ソウショウ</t>
    </rPh>
    <rPh sb="5" eb="6">
      <t>ビョウ</t>
    </rPh>
    <rPh sb="6" eb="7">
      <t>ホウ</t>
    </rPh>
    <phoneticPr fontId="2"/>
  </si>
  <si>
    <t>察病指南巻之下</t>
  </si>
  <si>
    <t>察諸病生死脈法</t>
  </si>
  <si>
    <t>傷寒類</t>
  </si>
  <si>
    <t>温病類</t>
  </si>
  <si>
    <t>熱病類</t>
  </si>
  <si>
    <t>水病類</t>
  </si>
  <si>
    <t>消渇類</t>
  </si>
  <si>
    <t>泄瀉類</t>
  </si>
  <si>
    <t>下痢類</t>
  </si>
  <si>
    <t>腸澼類（痔也）</t>
  </si>
  <si>
    <t>咳嗽類</t>
  </si>
  <si>
    <t>上気類</t>
  </si>
  <si>
    <t>中風類</t>
  </si>
  <si>
    <t>癲狂類</t>
  </si>
  <si>
    <t>霍乱類</t>
  </si>
  <si>
    <t>頭目類</t>
  </si>
  <si>
    <t>心腹類</t>
  </si>
  <si>
    <t>汗類</t>
  </si>
  <si>
    <t>血類</t>
  </si>
  <si>
    <t>金瘡類</t>
  </si>
  <si>
    <t>墜圧類</t>
  </si>
  <si>
    <t>中毒類</t>
  </si>
  <si>
    <t>雑病類</t>
  </si>
  <si>
    <t>診太衝衝陽脈</t>
  </si>
  <si>
    <t>論病之本</t>
  </si>
  <si>
    <t>察雑病生死証</t>
  </si>
  <si>
    <t>五臓虚実外候</t>
  </si>
  <si>
    <t>臓腑病外候</t>
  </si>
  <si>
    <t>診婦人病脈生死訣</t>
  </si>
  <si>
    <t>弁胎脈</t>
  </si>
  <si>
    <t>外候胎法</t>
  </si>
  <si>
    <t>妊娠雑病生死外候</t>
  </si>
  <si>
    <t>産難外候</t>
  </si>
  <si>
    <t>診小児雑病脈法</t>
  </si>
  <si>
    <t>弁小児生死脈</t>
  </si>
  <si>
    <t>小児死証一十五候歌</t>
  </si>
  <si>
    <t>看小児虎口訣</t>
  </si>
  <si>
    <t>聴声験病訣</t>
  </si>
  <si>
    <t>察五臓色知生死訣</t>
  </si>
  <si>
    <t>考味知病法</t>
  </si>
  <si>
    <t>原夢</t>
  </si>
  <si>
    <t>○厳氏済生方</t>
  </si>
  <si>
    <t>○第07-02</t>
    <rPh sb="1" eb="2">
      <t>ダイ</t>
    </rPh>
    <phoneticPr fontId="2"/>
  </si>
  <si>
    <t>内外傷弁惑論（東垣十書）</t>
    <phoneticPr fontId="2"/>
  </si>
  <si>
    <r>
      <rPr>
        <sz val="11"/>
        <color theme="1"/>
        <rFont val="ＭＳ Ｐゴシック"/>
        <family val="3"/>
        <charset val="134"/>
        <scheme val="minor"/>
      </rPr>
      <t>攧</t>
    </r>
    <r>
      <rPr>
        <sz val="11"/>
        <color theme="1"/>
        <rFont val="ＭＳ Ｐゴシック"/>
        <family val="2"/>
        <charset val="128"/>
        <scheme val="minor"/>
      </rPr>
      <t>撲</t>
    </r>
    <phoneticPr fontId="2"/>
  </si>
  <si>
    <t>疿</t>
    <phoneticPr fontId="2"/>
  </si>
  <si>
    <t>痘疥　※痘疹</t>
    <rPh sb="5" eb="6">
      <t>シン</t>
    </rPh>
    <phoneticPr fontId="2"/>
  </si>
  <si>
    <t>停飲伏痰</t>
    <phoneticPr fontId="2"/>
  </si>
  <si>
    <t>証治要訣・類方</t>
    <rPh sb="5" eb="6">
      <t>ルイ</t>
    </rPh>
    <rPh sb="6" eb="7">
      <t>ホウ</t>
    </rPh>
    <phoneticPr fontId="2"/>
  </si>
  <si>
    <t>→</t>
    <phoneticPr fontId="2"/>
  </si>
  <si>
    <t>○名医類案</t>
    <phoneticPr fontId="2"/>
  </si>
  <si>
    <t>○万病回春</t>
    <phoneticPr fontId="2"/>
  </si>
  <si>
    <t>○種杏仙方</t>
    <phoneticPr fontId="2"/>
  </si>
  <si>
    <t>○傷寒論条弁</t>
    <phoneticPr fontId="2"/>
  </si>
  <si>
    <t>○雲林神彀</t>
    <phoneticPr fontId="2"/>
  </si>
  <si>
    <t>○魯府禁方</t>
    <phoneticPr fontId="2"/>
  </si>
  <si>
    <t>○済世全書</t>
    <phoneticPr fontId="2"/>
  </si>
  <si>
    <t>○医宗必読</t>
    <phoneticPr fontId="2"/>
  </si>
  <si>
    <t>○傷寒尚論篇</t>
    <phoneticPr fontId="2"/>
  </si>
  <si>
    <t>○傷寒一百十三方発明</t>
    <rPh sb="5" eb="7">
      <t>13</t>
    </rPh>
    <phoneticPr fontId="2"/>
  </si>
  <si>
    <t>○傷寒抉疑</t>
    <phoneticPr fontId="2"/>
  </si>
  <si>
    <t>○傷寒図論</t>
    <phoneticPr fontId="2"/>
  </si>
  <si>
    <t>○傷寒論後条弁</t>
    <phoneticPr fontId="2"/>
  </si>
  <si>
    <t>○仲景全書</t>
    <phoneticPr fontId="2"/>
  </si>
  <si>
    <t>○　集注傷寒論（仲景全書）</t>
    <phoneticPr fontId="2"/>
  </si>
  <si>
    <t>○訂正仲景全書傷寒論註</t>
    <phoneticPr fontId="2"/>
  </si>
  <si>
    <t>○　金匱要略（仲景全書）</t>
    <phoneticPr fontId="2"/>
  </si>
  <si>
    <t>○第04-02</t>
    <phoneticPr fontId="2"/>
  </si>
  <si>
    <t>○第04-03　未</t>
    <rPh sb="8" eb="9">
      <t>ミ</t>
    </rPh>
    <phoneticPr fontId="2"/>
  </si>
  <si>
    <t>○第06-00　未</t>
    <rPh sb="8" eb="9">
      <t>ミ</t>
    </rPh>
    <phoneticPr fontId="2"/>
  </si>
  <si>
    <t>○第06-01　未</t>
    <phoneticPr fontId="2"/>
  </si>
  <si>
    <t>○第06-02　未</t>
    <phoneticPr fontId="2"/>
  </si>
  <si>
    <t>○第06-03　未</t>
    <phoneticPr fontId="2"/>
  </si>
  <si>
    <t>○第06-04　未</t>
    <phoneticPr fontId="2"/>
  </si>
  <si>
    <t>○第06-05　未</t>
    <phoneticPr fontId="2"/>
  </si>
  <si>
    <t>○第06-06　未</t>
    <phoneticPr fontId="2"/>
  </si>
  <si>
    <t>○第06-07　未</t>
    <phoneticPr fontId="2"/>
  </si>
  <si>
    <t>○第06-08　未</t>
    <phoneticPr fontId="2"/>
  </si>
  <si>
    <t>○第06-09　未</t>
    <phoneticPr fontId="2"/>
  </si>
  <si>
    <t>○第06-10　未</t>
    <phoneticPr fontId="2"/>
  </si>
  <si>
    <t>○第06-12-01　未</t>
    <phoneticPr fontId="2"/>
  </si>
  <si>
    <t>○第06-12-02　未</t>
    <phoneticPr fontId="2"/>
  </si>
  <si>
    <t>○第06-12-03　未</t>
    <phoneticPr fontId="2"/>
  </si>
  <si>
    <t>○第06-11　未</t>
    <phoneticPr fontId="2"/>
  </si>
  <si>
    <t>○第07-04　未</t>
    <phoneticPr fontId="2"/>
  </si>
  <si>
    <t>○第07-05　未</t>
    <phoneticPr fontId="2"/>
  </si>
  <si>
    <t>○第08-01　未</t>
    <phoneticPr fontId="2"/>
  </si>
  <si>
    <t>○第08-02　未</t>
    <phoneticPr fontId="2"/>
  </si>
  <si>
    <t>○第08-03　未</t>
    <phoneticPr fontId="2"/>
  </si>
  <si>
    <t>○第10-01　未</t>
    <rPh sb="1" eb="2">
      <t>ダイ</t>
    </rPh>
    <phoneticPr fontId="2"/>
  </si>
  <si>
    <t>○第11-01　未</t>
    <rPh sb="1" eb="2">
      <t>ダイ</t>
    </rPh>
    <phoneticPr fontId="2"/>
  </si>
  <si>
    <t>○第11-03　未</t>
    <rPh sb="1" eb="2">
      <t>ダイ</t>
    </rPh>
    <phoneticPr fontId="2"/>
  </si>
  <si>
    <t>○第12-01　未</t>
    <rPh sb="1" eb="2">
      <t>ダイ</t>
    </rPh>
    <phoneticPr fontId="2"/>
  </si>
  <si>
    <t>○第12-02　未</t>
    <phoneticPr fontId="2"/>
  </si>
  <si>
    <t>○第12-03　未</t>
    <phoneticPr fontId="2"/>
  </si>
  <si>
    <t>○第12-04　未</t>
    <rPh sb="1" eb="2">
      <t>ダイ</t>
    </rPh>
    <phoneticPr fontId="2"/>
  </si>
  <si>
    <t>○第13-01　未</t>
    <rPh sb="1" eb="2">
      <t>ダイ</t>
    </rPh>
    <phoneticPr fontId="2"/>
  </si>
  <si>
    <t>○第14-01　未</t>
    <rPh sb="1" eb="2">
      <t>ダイ</t>
    </rPh>
    <phoneticPr fontId="2"/>
  </si>
  <si>
    <t>○第15-01　未</t>
    <rPh sb="1" eb="2">
      <t>ダイ</t>
    </rPh>
    <phoneticPr fontId="2"/>
  </si>
  <si>
    <t>○尚論篇編次仲景原文</t>
    <phoneticPr fontId="2"/>
  </si>
  <si>
    <t>○第15-02　未</t>
    <rPh sb="1" eb="2">
      <t>ダイ</t>
    </rPh>
    <phoneticPr fontId="2"/>
  </si>
  <si>
    <t>○第15-03　未</t>
    <rPh sb="1" eb="2">
      <t>ダイ</t>
    </rPh>
    <phoneticPr fontId="2"/>
  </si>
  <si>
    <t>○第15-04　未</t>
    <rPh sb="1" eb="2">
      <t>ダイ</t>
    </rPh>
    <phoneticPr fontId="2"/>
  </si>
  <si>
    <t>○第15-05　未</t>
    <rPh sb="1" eb="2">
      <t>ダイ</t>
    </rPh>
    <phoneticPr fontId="2"/>
  </si>
  <si>
    <t>○第16-01　未</t>
    <rPh sb="1" eb="2">
      <t>ダイ</t>
    </rPh>
    <phoneticPr fontId="2"/>
  </si>
  <si>
    <t>○第16-03　未</t>
    <rPh sb="1" eb="2">
      <t>ダイ</t>
    </rPh>
    <phoneticPr fontId="2"/>
  </si>
  <si>
    <t>○第16-03-01　未</t>
    <rPh sb="1" eb="2">
      <t>ダイ</t>
    </rPh>
    <phoneticPr fontId="2"/>
  </si>
  <si>
    <t>○第16-03-02　未</t>
    <rPh sb="1" eb="2">
      <t>ダイ</t>
    </rPh>
    <phoneticPr fontId="2"/>
  </si>
  <si>
    <t>http://square.umin.ac.jp/mayanagi/paper03/wakoku.html</t>
    <phoneticPr fontId="2"/>
  </si>
  <si>
    <t>参考：真柳先生HP</t>
    <rPh sb="0" eb="2">
      <t>サンコウ</t>
    </rPh>
    <rPh sb="3" eb="5">
      <t>マヤナギ</t>
    </rPh>
    <rPh sb="5" eb="7">
      <t>センセイ</t>
    </rPh>
    <phoneticPr fontId="2"/>
  </si>
  <si>
    <t>序</t>
    <rPh sb="0" eb="1">
      <t>ジョ</t>
    </rPh>
    <phoneticPr fontId="2"/>
  </si>
  <si>
    <t>序　源元凱</t>
    <rPh sb="0" eb="1">
      <t>ジョ</t>
    </rPh>
    <phoneticPr fontId="2"/>
  </si>
  <si>
    <t>(明)陳実功(若虚)纂・源元凱撰</t>
    <phoneticPr fontId="2"/>
  </si>
  <si>
    <t>自序</t>
    <rPh sb="0" eb="2">
      <t>ジジョ</t>
    </rPh>
    <phoneticPr fontId="2"/>
  </si>
  <si>
    <t>目録</t>
    <rPh sb="0" eb="2">
      <t>モクロク</t>
    </rPh>
    <phoneticPr fontId="2"/>
  </si>
  <si>
    <t>時毒論　第二十七</t>
  </si>
  <si>
    <t>癭瘤論　第二十八</t>
  </si>
  <si>
    <t>肺癰論　第二十九</t>
  </si>
  <si>
    <t>流註論　第三十</t>
  </si>
  <si>
    <t>腸癰論　第三十三</t>
  </si>
  <si>
    <t>臓毒論　第三十四</t>
  </si>
  <si>
    <t>痔瘡論　第三十五</t>
  </si>
  <si>
    <t>下疳論　第三十六</t>
  </si>
  <si>
    <t>魚口便毒論　第三十七</t>
  </si>
  <si>
    <t>囊癰論　第三十八</t>
  </si>
  <si>
    <t>懸癰論　第三十九</t>
  </si>
  <si>
    <t>臀癰論　第四十</t>
  </si>
  <si>
    <t>楊梅瘡論　第四十一</t>
  </si>
  <si>
    <t>結毒論　第四十二</t>
  </si>
  <si>
    <t>多骨疽論　第四十三</t>
  </si>
  <si>
    <t>陰瘡論　第四十四</t>
  </si>
  <si>
    <t>傷寒発頤　第四十五</t>
  </si>
  <si>
    <t>痼発　第四十六</t>
  </si>
  <si>
    <t>瘭疽　第四十七</t>
  </si>
  <si>
    <t>小腹癰　第四十八</t>
  </si>
  <si>
    <t>鸛口疽　第四十九</t>
  </si>
  <si>
    <t>龍泉疽虎鬚毒　第五十</t>
  </si>
  <si>
    <t>石榴疽　第五十一</t>
  </si>
  <si>
    <t>穿踝疽　第五十二</t>
  </si>
  <si>
    <t>大麻風　第五十三</t>
  </si>
  <si>
    <t>翻花瘡　第五十四</t>
  </si>
  <si>
    <t>腋癰　第五十五</t>
  </si>
  <si>
    <t>脇癰　第五十六</t>
  </si>
  <si>
    <t>鼻痔　第五十七</t>
  </si>
  <si>
    <t>骨槽風　第五十八</t>
  </si>
  <si>
    <t>歯病　第六十</t>
  </si>
  <si>
    <t>脳漏　第六十一</t>
  </si>
  <si>
    <t>破傷風　第六十二</t>
  </si>
  <si>
    <t>跌撲　第六十三</t>
  </si>
  <si>
    <t>金瘡　第六十四</t>
  </si>
  <si>
    <t>杖瘡　第六十五</t>
  </si>
  <si>
    <t>湯潑火焼　第六十六</t>
  </si>
  <si>
    <t>甲疽　第六十七</t>
  </si>
  <si>
    <t>繭唇　第六十八</t>
  </si>
  <si>
    <t>痞癖　第六十九</t>
  </si>
  <si>
    <t>天蛇毒　第七十</t>
  </si>
  <si>
    <t>頭痛　第七十一</t>
  </si>
  <si>
    <t>合谷毒　第七十二</t>
  </si>
  <si>
    <t>鼻出血　第七十三</t>
  </si>
  <si>
    <t>牙縫出血　第七十四</t>
  </si>
  <si>
    <t>血箭血痣　第七十五</t>
  </si>
  <si>
    <t>鵝掌風　第七十六</t>
  </si>
  <si>
    <t>腎囊風　第七十七</t>
  </si>
  <si>
    <t>疥瘡論　第七十八</t>
  </si>
  <si>
    <t>血風瘡　第八十</t>
  </si>
  <si>
    <t>頑癬　第八十一</t>
  </si>
  <si>
    <t>膿窠瘡　第八十二</t>
  </si>
  <si>
    <t>凍風　第八十三</t>
  </si>
  <si>
    <t>火丹　第八十四</t>
  </si>
  <si>
    <t>天泡　第八十五</t>
  </si>
  <si>
    <t>雀斑　第八十七</t>
  </si>
  <si>
    <t>油風　第八十八</t>
  </si>
  <si>
    <t>白屑風　第八十九</t>
  </si>
  <si>
    <t>耳病　第九十</t>
  </si>
  <si>
    <t>漆瘡　第九十一</t>
  </si>
  <si>
    <t>竹木刺　第九十二</t>
  </si>
  <si>
    <t>痤痱瘡　第九十三</t>
  </si>
  <si>
    <t>痰包　第九十五</t>
  </si>
  <si>
    <t>癩風　第九十六</t>
  </si>
  <si>
    <t>咬傷　第九十八</t>
  </si>
  <si>
    <t>女人面生黧黒斑　第一百</t>
  </si>
  <si>
    <t>枯筋箭　第一百二</t>
  </si>
  <si>
    <t>手足破裂　第一百四</t>
  </si>
  <si>
    <t>眼丹　第一百五</t>
  </si>
  <si>
    <t>黒子　第一百六</t>
  </si>
  <si>
    <t>眼胞菌毒　第一百七</t>
  </si>
  <si>
    <t>体気　第一百八</t>
  </si>
  <si>
    <t>白禿瘡　第一百九</t>
  </si>
  <si>
    <t>奶癬　第一百十</t>
  </si>
  <si>
    <t>小児遺毒爛斑　第一百十二</t>
  </si>
  <si>
    <t>螻蛄串　第一百十三</t>
  </si>
  <si>
    <t>小児痘風瘡　第一百十四</t>
  </si>
  <si>
    <t>走馬疳　第一百十六</t>
  </si>
  <si>
    <t>重舌　第一百十七</t>
  </si>
  <si>
    <t>胎瘤　第一百十八</t>
  </si>
  <si>
    <t>鵝口瘡　第一百十九</t>
  </si>
  <si>
    <t>痘癰　第一百二十</t>
  </si>
  <si>
    <t>痘疔　第一百二十一</t>
  </si>
  <si>
    <t>黄水瘡　第一百二十二</t>
  </si>
  <si>
    <t>大人口破　第一百二十三</t>
  </si>
  <si>
    <t>臭田螺　第一百二十四</t>
  </si>
  <si>
    <t>牛程蹇　第一百二十五</t>
  </si>
  <si>
    <t>僵螂蛀　第一百二十六</t>
  </si>
  <si>
    <t>田螺泡　第一百二十七</t>
  </si>
  <si>
    <t>陰虱　第一百二十九</t>
  </si>
  <si>
    <t>葡萄疫　第一百三十</t>
  </si>
  <si>
    <t>百蟲入耳　第一百三十一</t>
  </si>
  <si>
    <t>悪蟲叮咬　第一百三十二</t>
  </si>
  <si>
    <t>人面瘡　第一百三十三</t>
  </si>
  <si>
    <t>誤呑針鉄骨哽咽喉　第一百三十四</t>
  </si>
  <si>
    <t>中砒毒　第一百三十五</t>
  </si>
  <si>
    <t>落下頦拿法　第一百三十六</t>
  </si>
  <si>
    <t>救自刎断喉法　第一百三十七</t>
  </si>
  <si>
    <t>陰毒　第一百三十八</t>
  </si>
  <si>
    <t>失栄症　第一百三十九</t>
  </si>
  <si>
    <t>試知百病死生法　第一百四十</t>
  </si>
  <si>
    <t>第一百四十一</t>
  </si>
  <si>
    <t>仙方活命飲今古不同論　第一百四十二</t>
  </si>
  <si>
    <t>拾遺症　第一百四十三</t>
  </si>
  <si>
    <t>唇風　第一百四十四</t>
  </si>
  <si>
    <t>繃縛背瘡　第一百四十五</t>
  </si>
  <si>
    <t>癰疽内肉不合法　第一百四十六</t>
  </si>
  <si>
    <t>煉玄明粉法　第一百四十七</t>
  </si>
  <si>
    <t>　第一百四十八</t>
  </si>
  <si>
    <t>煉金頂砒法　第一百四十九</t>
  </si>
  <si>
    <t>煉消石法　第一百五十</t>
  </si>
  <si>
    <t>取蟾酥法　第一百五十一</t>
  </si>
  <si>
    <t>製附子法　第一百五十二</t>
  </si>
  <si>
    <t>昇白霊薬法　第一百五十三</t>
  </si>
  <si>
    <t>製寒食麵法　第一百五十四</t>
  </si>
  <si>
    <t>　第一百五十五</t>
  </si>
  <si>
    <t>　第一百五十六</t>
  </si>
  <si>
    <t>　第一百五十七</t>
  </si>
  <si>
    <t>製炒諸薬　第一百五十八</t>
  </si>
  <si>
    <t>　第一百五十九</t>
  </si>
  <si>
    <t>　第一百六十</t>
  </si>
  <si>
    <t>開割披針喉針形</t>
  </si>
  <si>
    <t>補遺汗斑方</t>
  </si>
  <si>
    <t>乳癰論　附乳岩　第三十一</t>
    <rPh sb="4" eb="5">
      <t>フ</t>
    </rPh>
    <rPh sb="5" eb="6">
      <t>チチ</t>
    </rPh>
    <rPh sb="6" eb="7">
      <t>イワ</t>
    </rPh>
    <phoneticPr fontId="2"/>
  </si>
  <si>
    <t>附骨疽　附鶴膝風　第三十二</t>
    <rPh sb="4" eb="5">
      <t>フ</t>
    </rPh>
    <rPh sb="5" eb="6">
      <t>ツル</t>
    </rPh>
    <rPh sb="6" eb="7">
      <t>ヒザ</t>
    </rPh>
    <rPh sb="7" eb="8">
      <t>カゼ</t>
    </rPh>
    <phoneticPr fontId="2"/>
  </si>
  <si>
    <t>巻之四</t>
    <rPh sb="0" eb="1">
      <t>マキ</t>
    </rPh>
    <rPh sb="1" eb="2">
      <t>ノ</t>
    </rPh>
    <rPh sb="2" eb="3">
      <t>4</t>
    </rPh>
    <phoneticPr fontId="2"/>
  </si>
  <si>
    <t>紫白癜風　第五十九</t>
    <rPh sb="0" eb="1">
      <t>ムラサキ</t>
    </rPh>
    <phoneticPr fontId="2"/>
  </si>
  <si>
    <t>？瘡論　第七十九</t>
    <phoneticPr fontId="2"/>
  </si>
  <si>
    <t>肺風粉刺酒皶鼻　第八十六</t>
    <rPh sb="4" eb="6">
      <t>シュサ</t>
    </rPh>
    <phoneticPr fontId="2"/>
  </si>
  <si>
    <t>？　第九十四</t>
    <phoneticPr fontId="2"/>
  </si>
  <si>
    <t>？湿腫　第九十七</t>
    <phoneticPr fontId="2"/>
  </si>
  <si>
    <t>風（瘋）犬傷　第九十九</t>
    <rPh sb="0" eb="1">
      <t>カゼ</t>
    </rPh>
    <phoneticPr fontId="2"/>
  </si>
  <si>
    <t>鈕叩風　第一百一</t>
    <rPh sb="1" eb="2">
      <t>ヒカエル</t>
    </rPh>
    <rPh sb="2" eb="3">
      <t>フウ</t>
    </rPh>
    <phoneticPr fontId="2"/>
  </si>
  <si>
    <t>婦人脚丫作痒　第一百三</t>
    <rPh sb="5" eb="6">
      <t>ヨウ</t>
    </rPh>
    <phoneticPr fontId="2"/>
  </si>
  <si>
    <t>？拱頭　第一百十一</t>
    <rPh sb="2" eb="3">
      <t>アタマ</t>
    </rPh>
    <phoneticPr fontId="2"/>
  </si>
  <si>
    <t>小児赤遊丹　第一百十五</t>
    <rPh sb="3" eb="4">
      <t>アソ</t>
    </rPh>
    <phoneticPr fontId="2"/>
  </si>
  <si>
    <t>　鍼砭法</t>
    <rPh sb="1" eb="2">
      <t>ハリ</t>
    </rPh>
    <rPh sb="2" eb="3">
      <t>ヘン</t>
    </rPh>
    <rPh sb="3" eb="4">
      <t>ホウ</t>
    </rPh>
    <phoneticPr fontId="2"/>
  </si>
  <si>
    <t>？痛　第一百二十八</t>
    <phoneticPr fontId="2"/>
  </si>
  <si>
    <t>瘡瘍看法　十五</t>
  </si>
  <si>
    <t>腫瘍治法　十六</t>
  </si>
  <si>
    <t>癰疽治験　十七</t>
  </si>
  <si>
    <t>腫瘍主治方　十八</t>
  </si>
  <si>
    <t>潰瘍治法　十九</t>
  </si>
  <si>
    <t>潰瘍主治方　十九</t>
  </si>
  <si>
    <t>癰疽図経　第二十</t>
  </si>
  <si>
    <t>癰疽諸症瘡名十律</t>
  </si>
  <si>
    <t>脳疽論　第二十一</t>
  </si>
  <si>
    <t>　灸法</t>
  </si>
  <si>
    <t>疔瘡　第二十二</t>
  </si>
  <si>
    <t>脱疽論　第二十三</t>
  </si>
  <si>
    <t>瘰癧論　第二十四</t>
  </si>
  <si>
    <t>　火鍼法</t>
  </si>
  <si>
    <t>鬢疽論　第二十五</t>
  </si>
  <si>
    <t>咽喉論　第二十六</t>
  </si>
  <si>
    <t>癰疽原委論　第一</t>
    <phoneticPr fontId="2"/>
  </si>
  <si>
    <t>癰疽治法総論　第二</t>
    <phoneticPr fontId="2"/>
  </si>
  <si>
    <t>癰疽陽症歌　第三</t>
    <phoneticPr fontId="2"/>
  </si>
  <si>
    <t>癰疽陰症歌　第四</t>
    <phoneticPr fontId="2"/>
  </si>
  <si>
    <t>癰疽半陰半陽症歌　第五</t>
    <phoneticPr fontId="2"/>
  </si>
  <si>
    <t>癰疽五善歌　第六</t>
    <phoneticPr fontId="2"/>
  </si>
  <si>
    <t>癰疽七悪歌　第七</t>
    <phoneticPr fontId="2"/>
  </si>
  <si>
    <t>治病則例歌　第八</t>
    <phoneticPr fontId="2"/>
  </si>
  <si>
    <t>癰疽灸法併禁灸瘡穴　第九</t>
    <rPh sb="4" eb="5">
      <t>ヘイ</t>
    </rPh>
    <phoneticPr fontId="2"/>
  </si>
  <si>
    <t>論病生死法　第十</t>
    <phoneticPr fontId="2"/>
  </si>
  <si>
    <t>察形色順逆　第十一</t>
    <phoneticPr fontId="2"/>
  </si>
  <si>
    <t>病有三因受病主治不同論　第十二</t>
    <phoneticPr fontId="2"/>
  </si>
  <si>
    <t>調理須知　第十三</t>
    <phoneticPr fontId="2"/>
  </si>
  <si>
    <t>雑忌須知　第十四</t>
    <phoneticPr fontId="2"/>
  </si>
  <si>
    <t>○外科正宗</t>
    <phoneticPr fontId="2"/>
  </si>
  <si>
    <t>東京国立博物館所蔵　デジタルライブラリー</t>
    <rPh sb="0" eb="2">
      <t>トウキョウ</t>
    </rPh>
    <rPh sb="2" eb="4">
      <t>コクリツ</t>
    </rPh>
    <rPh sb="4" eb="7">
      <t>ハクブツカン</t>
    </rPh>
    <rPh sb="7" eb="9">
      <t>ショゾウ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</si>
</sst>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rgb="FF00B0F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11"/>
      <color rgb="FF333333"/>
      <name val="ＭＳ Ｐゴシック"/>
      <family val="3"/>
      <charset val="128"/>
      <scheme val="major"/>
    </font>
    <font>
      <sz val="9"/>
      <color rgb="FF000000"/>
      <name val="Tahoma"/>
      <family val="2"/>
    </font>
    <font>
      <sz val="11"/>
      <color theme="0"/>
      <name val="ＭＳ Ｐゴシック"/>
      <family val="3"/>
      <charset val="128"/>
      <scheme val="minor"/>
    </font>
    <font>
      <sz val="12"/>
      <color rgb="FF333333"/>
      <name val="Arial"/>
      <family val="2"/>
    </font>
    <font>
      <sz val="9"/>
      <color rgb="FF666666"/>
      <name val="Verdana"/>
      <family val="2"/>
    </font>
    <font>
      <sz val="9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36"/>
      <scheme val="minor"/>
    </font>
    <font>
      <sz val="11"/>
      <name val="ＭＳ Ｐゴシック"/>
      <family val="3"/>
      <charset val="128"/>
      <scheme val="minor"/>
    </font>
    <font>
      <u/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34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u/>
      <sz val="11"/>
      <name val="ＭＳ Ｐゴシック"/>
      <family val="2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11" borderId="2" applyNumberFormat="0" applyFon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3" applyNumberFormat="0" applyAlignment="0" applyProtection="0">
      <alignment vertical="center"/>
    </xf>
  </cellStyleXfs>
  <cellXfs count="124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0" fillId="4" borderId="1" xfId="0" applyFill="1" applyBorder="1">
      <alignment vertical="center"/>
    </xf>
    <xf numFmtId="0" fontId="4" fillId="0" borderId="1" xfId="1" applyBorder="1">
      <alignment vertical="center"/>
    </xf>
    <xf numFmtId="0" fontId="5" fillId="4" borderId="1" xfId="0" applyFont="1" applyFill="1" applyBorder="1">
      <alignment vertical="center"/>
    </xf>
    <xf numFmtId="0" fontId="0" fillId="5" borderId="1" xfId="0" applyFill="1" applyBorder="1">
      <alignment vertical="center"/>
    </xf>
    <xf numFmtId="0" fontId="5" fillId="5" borderId="1" xfId="0" applyFont="1" applyFill="1" applyBorder="1">
      <alignment vertical="center"/>
    </xf>
    <xf numFmtId="49" fontId="0" fillId="0" borderId="1" xfId="0" applyNumberFormat="1" applyFill="1" applyBorder="1">
      <alignment vertical="center"/>
    </xf>
    <xf numFmtId="0" fontId="4" fillId="0" borderId="1" xfId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0" fillId="6" borderId="1" xfId="0" applyFill="1" applyBorder="1">
      <alignment vertical="center"/>
    </xf>
    <xf numFmtId="0" fontId="4" fillId="0" borderId="0" xfId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center"/>
    </xf>
    <xf numFmtId="0" fontId="4" fillId="0" borderId="0" xfId="1" applyAlignment="1">
      <alignment horizontal="left" vertical="center"/>
    </xf>
    <xf numFmtId="0" fontId="1" fillId="7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7" borderId="0" xfId="0" applyFill="1" applyAlignment="1">
      <alignment horizontal="left" vertical="center"/>
    </xf>
    <xf numFmtId="0" fontId="9" fillId="7" borderId="0" xfId="0" applyFont="1" applyFill="1" applyAlignment="1">
      <alignment horizontal="left" vertical="center"/>
    </xf>
    <xf numFmtId="0" fontId="0" fillId="7" borderId="0" xfId="0" applyFill="1">
      <alignment vertical="center"/>
    </xf>
    <xf numFmtId="0" fontId="9" fillId="0" borderId="0" xfId="0" applyFont="1" applyAlignment="1">
      <alignment horizontal="left" vertical="center"/>
    </xf>
    <xf numFmtId="0" fontId="0" fillId="0" borderId="1" xfId="0" applyFill="1" applyBorder="1">
      <alignment vertical="center"/>
    </xf>
    <xf numFmtId="0" fontId="0" fillId="9" borderId="1" xfId="0" applyFill="1" applyBorder="1">
      <alignment vertical="center"/>
    </xf>
    <xf numFmtId="0" fontId="7" fillId="10" borderId="1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left" vertical="top"/>
    </xf>
    <xf numFmtId="0" fontId="12" fillId="10" borderId="1" xfId="0" applyFont="1" applyFill="1" applyBorder="1">
      <alignment vertical="center"/>
    </xf>
    <xf numFmtId="0" fontId="14" fillId="0" borderId="0" xfId="0" applyFont="1">
      <alignment vertical="center"/>
    </xf>
    <xf numFmtId="0" fontId="4" fillId="0" borderId="1" xfId="1" applyBorder="1" applyAlignment="1">
      <alignment horizontal="left" vertical="center" wrapText="1"/>
    </xf>
    <xf numFmtId="49" fontId="0" fillId="6" borderId="1" xfId="0" applyNumberFormat="1" applyFill="1" applyBorder="1">
      <alignment vertical="center"/>
    </xf>
    <xf numFmtId="49" fontId="3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7" fillId="8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left" vertical="top"/>
    </xf>
    <xf numFmtId="0" fontId="12" fillId="8" borderId="1" xfId="0" applyFont="1" applyFill="1" applyBorder="1">
      <alignment vertical="center"/>
    </xf>
    <xf numFmtId="0" fontId="4" fillId="9" borderId="1" xfId="1" applyFill="1" applyBorder="1">
      <alignment vertical="center"/>
    </xf>
    <xf numFmtId="0" fontId="4" fillId="6" borderId="1" xfId="1" applyFill="1" applyBorder="1">
      <alignment vertical="center"/>
    </xf>
    <xf numFmtId="0" fontId="4" fillId="7" borderId="1" xfId="1" applyFill="1" applyBorder="1">
      <alignment vertical="center"/>
    </xf>
    <xf numFmtId="0" fontId="0" fillId="0" borderId="1" xfId="0" applyFont="1" applyFill="1" applyBorder="1" applyAlignment="1">
      <alignment vertical="center" wrapText="1"/>
    </xf>
    <xf numFmtId="0" fontId="13" fillId="0" borderId="1" xfId="0" applyFont="1" applyBorder="1">
      <alignment vertical="center"/>
    </xf>
    <xf numFmtId="0" fontId="0" fillId="0" borderId="1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0" fillId="2" borderId="0" xfId="0" applyFill="1" applyBorder="1">
      <alignment vertical="center"/>
    </xf>
    <xf numFmtId="0" fontId="1" fillId="0" borderId="0" xfId="0" applyFont="1">
      <alignment vertical="center"/>
    </xf>
    <xf numFmtId="14" fontId="0" fillId="0" borderId="0" xfId="0" applyNumberFormat="1">
      <alignment vertical="center"/>
    </xf>
    <xf numFmtId="56" fontId="0" fillId="0" borderId="0" xfId="0" applyNumberFormat="1">
      <alignment vertical="center"/>
    </xf>
    <xf numFmtId="0" fontId="0" fillId="10" borderId="1" xfId="0" applyFill="1" applyBorder="1" applyAlignment="1">
      <alignment horizontal="center" vertical="center"/>
    </xf>
    <xf numFmtId="0" fontId="0" fillId="11" borderId="2" xfId="2" applyFont="1">
      <alignment vertical="center"/>
    </xf>
    <xf numFmtId="0" fontId="19" fillId="0" borderId="1" xfId="1" applyFont="1" applyBorder="1">
      <alignment vertical="center"/>
    </xf>
    <xf numFmtId="0" fontId="19" fillId="0" borderId="0" xfId="1" applyFont="1">
      <alignment vertical="center"/>
    </xf>
    <xf numFmtId="0" fontId="11" fillId="0" borderId="0" xfId="0" applyFont="1">
      <alignment vertical="center"/>
    </xf>
    <xf numFmtId="0" fontId="1" fillId="0" borderId="1" xfId="0" applyFont="1" applyBorder="1">
      <alignment vertical="center"/>
    </xf>
    <xf numFmtId="0" fontId="4" fillId="0" borderId="0" xfId="1" applyAlignment="1">
      <alignment horizontal="left" vertical="center" wrapText="1" indent="1"/>
    </xf>
    <xf numFmtId="0" fontId="8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0" fillId="0" borderId="0" xfId="0" applyBorder="1">
      <alignment vertical="center"/>
    </xf>
    <xf numFmtId="0" fontId="21" fillId="12" borderId="0" xfId="3">
      <alignment vertical="center"/>
    </xf>
    <xf numFmtId="0" fontId="0" fillId="4" borderId="4" xfId="0" applyFill="1" applyBorder="1">
      <alignment vertical="center"/>
    </xf>
    <xf numFmtId="0" fontId="0" fillId="8" borderId="1" xfId="0" applyFill="1" applyBorder="1">
      <alignment vertical="center"/>
    </xf>
    <xf numFmtId="0" fontId="21" fillId="12" borderId="1" xfId="3" applyBorder="1">
      <alignment vertical="center"/>
    </xf>
    <xf numFmtId="0" fontId="0" fillId="11" borderId="1" xfId="2" applyFont="1" applyBorder="1">
      <alignment vertical="center"/>
    </xf>
    <xf numFmtId="0" fontId="22" fillId="13" borderId="1" xfId="4" applyBorder="1">
      <alignment vertical="center"/>
    </xf>
    <xf numFmtId="0" fontId="21" fillId="12" borderId="0" xfId="3" applyBorder="1">
      <alignment vertical="center"/>
    </xf>
    <xf numFmtId="0" fontId="0" fillId="0" borderId="5" xfId="0" applyBorder="1">
      <alignment vertical="center"/>
    </xf>
    <xf numFmtId="0" fontId="0" fillId="0" borderId="5" xfId="0" quotePrefix="1" applyBorder="1">
      <alignment vertical="center"/>
    </xf>
    <xf numFmtId="0" fontId="4" fillId="0" borderId="4" xfId="1" applyBorder="1">
      <alignment vertical="center"/>
    </xf>
    <xf numFmtId="0" fontId="18" fillId="0" borderId="1" xfId="0" applyFont="1" applyBorder="1">
      <alignment vertical="center"/>
    </xf>
    <xf numFmtId="0" fontId="6" fillId="0" borderId="1" xfId="1" applyFont="1" applyBorder="1">
      <alignment vertical="center"/>
    </xf>
    <xf numFmtId="0" fontId="1" fillId="11" borderId="1" xfId="2" applyFont="1" applyBorder="1">
      <alignment vertical="center"/>
    </xf>
    <xf numFmtId="0" fontId="6" fillId="0" borderId="1" xfId="1" applyFont="1" applyFill="1" applyBorder="1">
      <alignment vertical="center"/>
    </xf>
    <xf numFmtId="0" fontId="6" fillId="0" borderId="1" xfId="0" applyFont="1" applyFill="1" applyBorder="1">
      <alignment vertical="center"/>
    </xf>
    <xf numFmtId="56" fontId="1" fillId="0" borderId="1" xfId="0" applyNumberFormat="1" applyFont="1" applyBorder="1">
      <alignment vertical="center"/>
    </xf>
    <xf numFmtId="49" fontId="1" fillId="0" borderId="1" xfId="0" applyNumberFormat="1" applyFont="1" applyBorder="1">
      <alignment vertical="center"/>
    </xf>
    <xf numFmtId="49" fontId="1" fillId="0" borderId="1" xfId="0" applyNumberFormat="1" applyFont="1" applyFill="1" applyBorder="1">
      <alignment vertical="center"/>
    </xf>
    <xf numFmtId="0" fontId="0" fillId="5" borderId="4" xfId="0" applyFill="1" applyBorder="1">
      <alignment vertical="center"/>
    </xf>
    <xf numFmtId="49" fontId="6" fillId="0" borderId="1" xfId="0" applyNumberFormat="1" applyFont="1" applyBorder="1">
      <alignment vertical="center"/>
    </xf>
    <xf numFmtId="0" fontId="24" fillId="0" borderId="1" xfId="1" applyFont="1" applyBorder="1">
      <alignment vertical="center"/>
    </xf>
    <xf numFmtId="0" fontId="1" fillId="2" borderId="0" xfId="0" applyFont="1" applyFill="1">
      <alignment vertical="center"/>
    </xf>
    <xf numFmtId="0" fontId="4" fillId="12" borderId="1" xfId="1" applyFill="1" applyBorder="1">
      <alignment vertical="center"/>
    </xf>
    <xf numFmtId="0" fontId="0" fillId="5" borderId="6" xfId="0" applyFill="1" applyBorder="1">
      <alignment vertical="center"/>
    </xf>
    <xf numFmtId="0" fontId="0" fillId="0" borderId="4" xfId="0" applyBorder="1">
      <alignment vertical="center"/>
    </xf>
    <xf numFmtId="0" fontId="0" fillId="11" borderId="1" xfId="2" applyFont="1" applyBorder="1" applyAlignment="1">
      <alignment horizontal="center" vertical="center"/>
    </xf>
    <xf numFmtId="0" fontId="0" fillId="0" borderId="1" xfId="0" quotePrefix="1" applyBorder="1">
      <alignment vertical="center"/>
    </xf>
    <xf numFmtId="0" fontId="6" fillId="11" borderId="1" xfId="2" applyFont="1" applyBorder="1">
      <alignment vertical="center"/>
    </xf>
    <xf numFmtId="0" fontId="0" fillId="0" borderId="7" xfId="0" applyBorder="1">
      <alignment vertical="center"/>
    </xf>
    <xf numFmtId="0" fontId="4" fillId="0" borderId="0" xfId="1" applyBorder="1">
      <alignment vertical="center"/>
    </xf>
    <xf numFmtId="49" fontId="1" fillId="6" borderId="1" xfId="0" applyNumberFormat="1" applyFont="1" applyFill="1" applyBorder="1">
      <alignment vertical="center"/>
    </xf>
    <xf numFmtId="0" fontId="1" fillId="12" borderId="1" xfId="3" applyFont="1" applyBorder="1">
      <alignment vertical="center"/>
    </xf>
    <xf numFmtId="0" fontId="8" fillId="12" borderId="1" xfId="3" applyFont="1" applyBorder="1">
      <alignment vertical="center"/>
    </xf>
    <xf numFmtId="0" fontId="18" fillId="0" borderId="1" xfId="1" applyFont="1" applyBorder="1">
      <alignment vertical="center"/>
    </xf>
    <xf numFmtId="0" fontId="0" fillId="2" borderId="0" xfId="0" applyFill="1">
      <alignment vertical="center"/>
    </xf>
    <xf numFmtId="0" fontId="0" fillId="5" borderId="8" xfId="0" applyFill="1" applyBorder="1">
      <alignment vertical="center"/>
    </xf>
    <xf numFmtId="0" fontId="21" fillId="2" borderId="1" xfId="3" applyFill="1" applyBorder="1">
      <alignment vertical="center"/>
    </xf>
    <xf numFmtId="49" fontId="6" fillId="0" borderId="0" xfId="0" applyNumberFormat="1" applyFont="1" applyBorder="1">
      <alignment vertical="center"/>
    </xf>
    <xf numFmtId="49" fontId="6" fillId="0" borderId="1" xfId="0" applyNumberFormat="1" applyFont="1" applyFill="1" applyBorder="1">
      <alignment vertical="center"/>
    </xf>
    <xf numFmtId="0" fontId="13" fillId="0" borderId="0" xfId="0" applyFont="1">
      <alignment vertical="center"/>
    </xf>
    <xf numFmtId="49" fontId="8" fillId="0" borderId="1" xfId="0" applyNumberFormat="1" applyFont="1" applyBorder="1">
      <alignment vertical="center"/>
    </xf>
    <xf numFmtId="49" fontId="8" fillId="0" borderId="1" xfId="0" applyNumberFormat="1" applyFont="1" applyFill="1" applyBorder="1">
      <alignment vertical="center"/>
    </xf>
    <xf numFmtId="49" fontId="8" fillId="6" borderId="1" xfId="0" applyNumberFormat="1" applyFont="1" applyFill="1" applyBorder="1">
      <alignment vertical="center"/>
    </xf>
    <xf numFmtId="0" fontId="20" fillId="0" borderId="1" xfId="0" applyFont="1" applyBorder="1">
      <alignment vertical="center"/>
    </xf>
    <xf numFmtId="49" fontId="18" fillId="0" borderId="1" xfId="0" applyNumberFormat="1" applyFont="1" applyBorder="1">
      <alignment vertical="center"/>
    </xf>
    <xf numFmtId="0" fontId="6" fillId="5" borderId="1" xfId="0" applyFont="1" applyFill="1" applyBorder="1">
      <alignment vertical="center"/>
    </xf>
    <xf numFmtId="0" fontId="18" fillId="5" borderId="1" xfId="0" applyFont="1" applyFill="1" applyBorder="1">
      <alignment vertical="center"/>
    </xf>
    <xf numFmtId="0" fontId="18" fillId="0" borderId="0" xfId="0" applyFont="1">
      <alignment vertical="center"/>
    </xf>
    <xf numFmtId="0" fontId="0" fillId="5" borderId="7" xfId="0" applyFill="1" applyBorder="1">
      <alignment vertical="center"/>
    </xf>
    <xf numFmtId="0" fontId="6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0" fillId="11" borderId="2" xfId="2" applyFont="1" applyBorder="1">
      <alignment vertical="center"/>
    </xf>
    <xf numFmtId="0" fontId="23" fillId="14" borderId="3" xfId="5" applyBorder="1">
      <alignment vertical="center"/>
    </xf>
    <xf numFmtId="0" fontId="0" fillId="0" borderId="0" xfId="0" applyFill="1" applyBorder="1">
      <alignment vertical="center"/>
    </xf>
    <xf numFmtId="0" fontId="21" fillId="0" borderId="0" xfId="3" applyFill="1" applyBorder="1">
      <alignment vertical="center"/>
    </xf>
    <xf numFmtId="0" fontId="22" fillId="13" borderId="0" xfId="4">
      <alignment vertical="center"/>
    </xf>
  </cellXfs>
  <cellStyles count="6">
    <cellStyle name="チェック セル" xfId="5" builtinId="23"/>
    <cellStyle name="ハイパーリンク" xfId="1" builtinId="8"/>
    <cellStyle name="メモ" xfId="2" builtinId="10"/>
    <cellStyle name="悪い" xfId="4" builtinId="27"/>
    <cellStyle name="標準" xfId="0" builtinId="0"/>
    <cellStyle name="良い" xfId="3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rmda.kulib.kyoto-u.ac.jp/item/rb00001187" TargetMode="External"/><Relationship Id="rId18" Type="http://schemas.openxmlformats.org/officeDocument/2006/relationships/hyperlink" Target="https://jigen.net/kanji/22956" TargetMode="External"/><Relationship Id="rId26" Type="http://schemas.openxmlformats.org/officeDocument/2006/relationships/hyperlink" Target="http://archive.wul.waseda.ac.jp/kosho/ya09/ya09_00099/ya09_00099_0002/ya09_00099_0002.html" TargetMode="External"/><Relationship Id="rId39" Type="http://schemas.openxmlformats.org/officeDocument/2006/relationships/hyperlink" Target="https://rmda.kulib.kyoto-u.ac.jp/item/rb00000899" TargetMode="External"/><Relationship Id="rId21" Type="http://schemas.openxmlformats.org/officeDocument/2006/relationships/hyperlink" Target="http://archive.wul.waseda.ac.jp/kosho/ya09/ya09_00099/ya09_00099_0002/ya09_00099_0002.html" TargetMode="External"/><Relationship Id="rId34" Type="http://schemas.openxmlformats.org/officeDocument/2006/relationships/hyperlink" Target="http://www.wul.waseda.ac.jp/kotenseki/html/ya09/ya09_00165/index.html" TargetMode="External"/><Relationship Id="rId42" Type="http://schemas.openxmlformats.org/officeDocument/2006/relationships/hyperlink" Target="https://rmda.kulib.kyoto-u.ac.jp/item/rb00002679" TargetMode="External"/><Relationship Id="rId47" Type="http://schemas.openxmlformats.org/officeDocument/2006/relationships/hyperlink" Target="http://square.umin.ac.jp/mayanagi/paper01/toenkaidai.html" TargetMode="External"/><Relationship Id="rId50" Type="http://schemas.openxmlformats.org/officeDocument/2006/relationships/hyperlink" Target="http://square.umin.ac.jp/mayanagi/paper01/okoko.html" TargetMode="External"/><Relationship Id="rId55" Type="http://schemas.openxmlformats.org/officeDocument/2006/relationships/hyperlink" Target="https://rmda.kulib.kyoto-u.ac.jp/item/rb00004306" TargetMode="External"/><Relationship Id="rId63" Type="http://schemas.openxmlformats.org/officeDocument/2006/relationships/hyperlink" Target="https://rmda.kulib.kyoto-u.ac.jp/item/rb00004306" TargetMode="External"/><Relationship Id="rId68" Type="http://schemas.openxmlformats.org/officeDocument/2006/relationships/hyperlink" Target="https://rmda.kulib.kyoto-u.ac.jp/item/rb00000950" TargetMode="External"/><Relationship Id="rId7" Type="http://schemas.openxmlformats.org/officeDocument/2006/relationships/hyperlink" Target="https://rmda.kulib.kyoto-u.ac.jp/item/rb00002477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://www.wul.waseda.ac.jp/kotenseki/html/ya09/ya09_00099/index.html" TargetMode="External"/><Relationship Id="rId16" Type="http://schemas.openxmlformats.org/officeDocument/2006/relationships/hyperlink" Target="https://rmda.kulib.kyoto-u.ac.jp/item/rb00003046" TargetMode="External"/><Relationship Id="rId29" Type="http://schemas.openxmlformats.org/officeDocument/2006/relationships/hyperlink" Target="https://www.digital.archives.go.jp/das/image-j/M1000000000000092121" TargetMode="External"/><Relationship Id="rId1" Type="http://schemas.openxmlformats.org/officeDocument/2006/relationships/hyperlink" Target="http://dl.ndl.go.jp/info:ndljp/pid/2532207" TargetMode="External"/><Relationship Id="rId6" Type="http://schemas.openxmlformats.org/officeDocument/2006/relationships/hyperlink" Target="https://rmda.kulib.kyoto-u.ac.jp/item/rb00013381" TargetMode="External"/><Relationship Id="rId11" Type="http://schemas.openxmlformats.org/officeDocument/2006/relationships/hyperlink" Target="https://kotenseki.nijl.ac.jp/biblio/100245458/viewer" TargetMode="External"/><Relationship Id="rId24" Type="http://schemas.openxmlformats.org/officeDocument/2006/relationships/hyperlink" Target="https://rmda.kulib.kyoto-u.ac.jp/item/rb00000426" TargetMode="External"/><Relationship Id="rId32" Type="http://schemas.openxmlformats.org/officeDocument/2006/relationships/hyperlink" Target="https://rmda.kulib.kyoto-u.ac.jp/item/rb00000562" TargetMode="External"/><Relationship Id="rId37" Type="http://schemas.openxmlformats.org/officeDocument/2006/relationships/hyperlink" Target="https://rmda.kulib.kyoto-u.ac.jp/item/rb00008736" TargetMode="External"/><Relationship Id="rId40" Type="http://schemas.openxmlformats.org/officeDocument/2006/relationships/hyperlink" Target="https://rmda.kulib.kyoto-u.ac.jp/item/rb00000898" TargetMode="External"/><Relationship Id="rId45" Type="http://schemas.openxmlformats.org/officeDocument/2006/relationships/hyperlink" Target="http://square.umin.ac.jp/mayanagi/paper01/touen10sho.html" TargetMode="External"/><Relationship Id="rId53" Type="http://schemas.openxmlformats.org/officeDocument/2006/relationships/hyperlink" Target="https://rmda.kulib.kyoto-u.ac.jp/item/rb00004306" TargetMode="External"/><Relationship Id="rId58" Type="http://schemas.openxmlformats.org/officeDocument/2006/relationships/hyperlink" Target="https://rmda.kulib.kyoto-u.ac.jp/item/rb00004306" TargetMode="External"/><Relationship Id="rId66" Type="http://schemas.openxmlformats.org/officeDocument/2006/relationships/hyperlink" Target="http://www.wul.waseda.ac.jp/kotenseki/html/ya09/ya09_00188/index.html" TargetMode="External"/><Relationship Id="rId5" Type="http://schemas.openxmlformats.org/officeDocument/2006/relationships/hyperlink" Target="https://kotenseki.nijl.ac.jp/biblio/100232443/viewer" TargetMode="External"/><Relationship Id="rId15" Type="http://schemas.openxmlformats.org/officeDocument/2006/relationships/hyperlink" Target="https://rmda.kulib.kyoto-u.ac.jp/item/rb00004957" TargetMode="External"/><Relationship Id="rId23" Type="http://schemas.openxmlformats.org/officeDocument/2006/relationships/hyperlink" Target="https://rmda.kulib.kyoto-u.ac.jp/item/rb00002724" TargetMode="External"/><Relationship Id="rId28" Type="http://schemas.openxmlformats.org/officeDocument/2006/relationships/hyperlink" Target="https://www.digital.archives.go.jp/das/image-j/M1000000000000092121" TargetMode="External"/><Relationship Id="rId36" Type="http://schemas.openxmlformats.org/officeDocument/2006/relationships/hyperlink" Target="https://rmda.kulib.kyoto-u.ac.jp/item/rb00002310" TargetMode="External"/><Relationship Id="rId49" Type="http://schemas.openxmlformats.org/officeDocument/2006/relationships/hyperlink" Target="http://square.umin.ac.jp/mayanagi/paper01/okoko.html" TargetMode="External"/><Relationship Id="rId57" Type="http://schemas.openxmlformats.org/officeDocument/2006/relationships/hyperlink" Target="https://rmda.kulib.kyoto-u.ac.jp/item/rb00004306" TargetMode="External"/><Relationship Id="rId61" Type="http://schemas.openxmlformats.org/officeDocument/2006/relationships/hyperlink" Target="https://rmda.kulib.kyoto-u.ac.jp/item/rb00004306" TargetMode="External"/><Relationship Id="rId10" Type="http://schemas.openxmlformats.org/officeDocument/2006/relationships/hyperlink" Target="https://rmda.kulib.kyoto-u.ac.jp/item/rb00003208" TargetMode="External"/><Relationship Id="rId19" Type="http://schemas.openxmlformats.org/officeDocument/2006/relationships/hyperlink" Target="https://rmda.kulib.kyoto-u.ac.jp/item/rb00002955" TargetMode="External"/><Relationship Id="rId31" Type="http://schemas.openxmlformats.org/officeDocument/2006/relationships/hyperlink" Target="http://www.wul.waseda.ac.jp/kotenseki/html/ya09/ya09_00238/index.html" TargetMode="External"/><Relationship Id="rId44" Type="http://schemas.openxmlformats.org/officeDocument/2006/relationships/hyperlink" Target="https://kotenseki.nijl.ac.jp/biblio/100245458/viewer" TargetMode="External"/><Relationship Id="rId52" Type="http://schemas.openxmlformats.org/officeDocument/2006/relationships/hyperlink" Target="http://square.umin.ac.jp/mayanagi/paper01/kakuchikaidai.html" TargetMode="External"/><Relationship Id="rId60" Type="http://schemas.openxmlformats.org/officeDocument/2006/relationships/hyperlink" Target="https://rmda.kulib.kyoto-u.ac.jp/item/rb00004306" TargetMode="External"/><Relationship Id="rId65" Type="http://schemas.openxmlformats.org/officeDocument/2006/relationships/hyperlink" Target="http://www.wul.waseda.ac.jp/kotenseki/html/ya09/ya09_00133/index.html" TargetMode="External"/><Relationship Id="rId4" Type="http://schemas.openxmlformats.org/officeDocument/2006/relationships/hyperlink" Target="https://rmda.kulib.kyoto-u.ac.jp/item/rb00003934" TargetMode="External"/><Relationship Id="rId9" Type="http://schemas.openxmlformats.org/officeDocument/2006/relationships/hyperlink" Target="https://rmda.kulib.kyoto-u.ac.jp/item/rb00008882" TargetMode="External"/><Relationship Id="rId14" Type="http://schemas.openxmlformats.org/officeDocument/2006/relationships/hyperlink" Target="https://rmda.kulib.kyoto-u.ac.jp/item/rb00001995" TargetMode="External"/><Relationship Id="rId22" Type="http://schemas.openxmlformats.org/officeDocument/2006/relationships/hyperlink" Target="https://rmda.kulib.kyoto-u.ac.jp/item/rb00005781" TargetMode="External"/><Relationship Id="rId27" Type="http://schemas.openxmlformats.org/officeDocument/2006/relationships/hyperlink" Target="https://rmda.kulib.kyoto-u.ac.jp/item/rb00003883" TargetMode="External"/><Relationship Id="rId30" Type="http://schemas.openxmlformats.org/officeDocument/2006/relationships/hyperlink" Target="https://www.digital.archives.go.jp/das/image-j/M1000000000000092121" TargetMode="External"/><Relationship Id="rId35" Type="http://schemas.openxmlformats.org/officeDocument/2006/relationships/hyperlink" Target="https://rmda.kulib.kyoto-u.ac.jp/item/rb00013649" TargetMode="External"/><Relationship Id="rId43" Type="http://schemas.openxmlformats.org/officeDocument/2006/relationships/hyperlink" Target="https://rmda.kulib.kyoto-u.ac.jp/item/rb00002686" TargetMode="External"/><Relationship Id="rId48" Type="http://schemas.openxmlformats.org/officeDocument/2006/relationships/hyperlink" Target="http://square.umin.ac.jp/mayanagi/paper01/toenkaidai.html" TargetMode="External"/><Relationship Id="rId56" Type="http://schemas.openxmlformats.org/officeDocument/2006/relationships/hyperlink" Target="https://rmda.kulib.kyoto-u.ac.jp/item/rb00004306" TargetMode="External"/><Relationship Id="rId64" Type="http://schemas.openxmlformats.org/officeDocument/2006/relationships/hyperlink" Target="http://www.wul.waseda.ac.jp/kotenseki/html/ya09/ya09_01177/index.html" TargetMode="External"/><Relationship Id="rId69" Type="http://schemas.openxmlformats.org/officeDocument/2006/relationships/hyperlink" Target="http://www.wul.waseda.ac.jp/kotenseki/html/ya09/ya09_01104/index.html" TargetMode="External"/><Relationship Id="rId8" Type="http://schemas.openxmlformats.org/officeDocument/2006/relationships/hyperlink" Target="https://rmda.kulib.kyoto-u.ac.jp/item/rb00004134" TargetMode="External"/><Relationship Id="rId51" Type="http://schemas.openxmlformats.org/officeDocument/2006/relationships/hyperlink" Target="http://square.umin.ac.jp/mayanagi/paper01/kakuchikaidai.html" TargetMode="External"/><Relationship Id="rId3" Type="http://schemas.openxmlformats.org/officeDocument/2006/relationships/hyperlink" Target="https://rmda.kulib.kyoto-u.ac.jp/item/rb00002405" TargetMode="External"/><Relationship Id="rId12" Type="http://schemas.openxmlformats.org/officeDocument/2006/relationships/hyperlink" Target="https://rmda.kulib.kyoto-u.ac.jp/item/rb00002248" TargetMode="External"/><Relationship Id="rId17" Type="http://schemas.openxmlformats.org/officeDocument/2006/relationships/hyperlink" Target="https://rmda.kulib.kyoto-u.ac.jp/item/rb00008739" TargetMode="External"/><Relationship Id="rId25" Type="http://schemas.openxmlformats.org/officeDocument/2006/relationships/hyperlink" Target="http://archive.wul.waseda.ac.jp/kosho/ya09/ya09_00099/ya09_00099_0001/ya09_00099_0001.html" TargetMode="External"/><Relationship Id="rId33" Type="http://schemas.openxmlformats.org/officeDocument/2006/relationships/hyperlink" Target="http://dl.ndl.go.jp/info:ndljp/pid/2605298" TargetMode="External"/><Relationship Id="rId38" Type="http://schemas.openxmlformats.org/officeDocument/2006/relationships/hyperlink" Target="https://rmda.kulib.kyoto-u.ac.jp/item/rb00000897" TargetMode="External"/><Relationship Id="rId46" Type="http://schemas.openxmlformats.org/officeDocument/2006/relationships/hyperlink" Target="http://square.umin.ac.jp/mayanagi/paper01/toenkaidai.html" TargetMode="External"/><Relationship Id="rId59" Type="http://schemas.openxmlformats.org/officeDocument/2006/relationships/hyperlink" Target="https://rmda.kulib.kyoto-u.ac.jp/item/rb00004306" TargetMode="External"/><Relationship Id="rId67" Type="http://schemas.openxmlformats.org/officeDocument/2006/relationships/hyperlink" Target="https://rmda.kulib.kyoto-u.ac.jp/item/rb00004306" TargetMode="External"/><Relationship Id="rId20" Type="http://schemas.openxmlformats.org/officeDocument/2006/relationships/hyperlink" Target="http://archive.wul.waseda.ac.jp/kosho/ya09/ya09_00099/ya09_00099_0001/ya09_00099_0001.html" TargetMode="External"/><Relationship Id="rId41" Type="http://schemas.openxmlformats.org/officeDocument/2006/relationships/hyperlink" Target="https://rmda.kulib.kyoto-u.ac.jp/item/rb00008891" TargetMode="External"/><Relationship Id="rId54" Type="http://schemas.openxmlformats.org/officeDocument/2006/relationships/hyperlink" Target="https://rmda.kulib.kyoto-u.ac.jp/item/rb00004306" TargetMode="External"/><Relationship Id="rId62" Type="http://schemas.openxmlformats.org/officeDocument/2006/relationships/hyperlink" Target="https://rmda.kulib.kyoto-u.ac.jp/item/rb00004306" TargetMode="External"/><Relationship Id="rId70" Type="http://schemas.openxmlformats.org/officeDocument/2006/relationships/hyperlink" Target="https://rmda.kulib.kyoto-u.ac.jp/item/rb00000562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rmda.kulib.kyoto-u.ac.jp/item/rb00002955" TargetMode="External"/><Relationship Id="rId117" Type="http://schemas.openxmlformats.org/officeDocument/2006/relationships/hyperlink" Target="https://rmda.kulib.kyoto-u.ac.jp/item/rb00008892" TargetMode="External"/><Relationship Id="rId21" Type="http://schemas.openxmlformats.org/officeDocument/2006/relationships/hyperlink" Target="http://square.umin.ac.jp/mayanagi/paper01/ikan.html" TargetMode="External"/><Relationship Id="rId42" Type="http://schemas.openxmlformats.org/officeDocument/2006/relationships/hyperlink" Target="http://www.wul.waseda.ac.jp/kotenseki/html/ya09/ya09_00127/index.html" TargetMode="External"/><Relationship Id="rId47" Type="http://schemas.openxmlformats.org/officeDocument/2006/relationships/hyperlink" Target="http://www.wul.waseda.ac.jp/kotenseki/html/ya09/ya09_00413/index.html" TargetMode="External"/><Relationship Id="rId63" Type="http://schemas.openxmlformats.org/officeDocument/2006/relationships/hyperlink" Target="http://www.wul.waseda.ac.jp/kotenseki/html/ya09/ya09_00308/index.html" TargetMode="External"/><Relationship Id="rId68" Type="http://schemas.openxmlformats.org/officeDocument/2006/relationships/hyperlink" Target="http://www.wul.waseda.ac.jp/kotenseki/html/ya09/ya09_00205/index.html" TargetMode="External"/><Relationship Id="rId84" Type="http://schemas.openxmlformats.org/officeDocument/2006/relationships/hyperlink" Target="https://rmda.kulib.kyoto-u.ac.jp/item/rb00002724" TargetMode="External"/><Relationship Id="rId89" Type="http://schemas.openxmlformats.org/officeDocument/2006/relationships/hyperlink" Target="https://rmda.kulib.kyoto-u.ac.jp/item/rb00002405" TargetMode="External"/><Relationship Id="rId112" Type="http://schemas.openxmlformats.org/officeDocument/2006/relationships/hyperlink" Target="https://rmda.kulib.kyoto-u.ac.jp/item/rb00001160" TargetMode="External"/><Relationship Id="rId133" Type="http://schemas.openxmlformats.org/officeDocument/2006/relationships/hyperlink" Target="https://rmda.kulib.kyoto-u.ac.jp/item/rb00003179" TargetMode="External"/><Relationship Id="rId138" Type="http://schemas.openxmlformats.org/officeDocument/2006/relationships/hyperlink" Target="https://www.digital.archives.go.jp/das/image-j/M1000000000000092120" TargetMode="External"/><Relationship Id="rId154" Type="http://schemas.openxmlformats.org/officeDocument/2006/relationships/hyperlink" Target="https://rmda.kulib.kyoto-u.ac.jp/item/rb00004134" TargetMode="External"/><Relationship Id="rId159" Type="http://schemas.openxmlformats.org/officeDocument/2006/relationships/hyperlink" Target="https://rmda.kulib.kyoto-u.ac.jp/item/rb00000897" TargetMode="External"/><Relationship Id="rId16" Type="http://schemas.openxmlformats.org/officeDocument/2006/relationships/hyperlink" Target="http://square.umin.ac.jp/mayanagi/paper01/meii.html" TargetMode="External"/><Relationship Id="rId107" Type="http://schemas.openxmlformats.org/officeDocument/2006/relationships/hyperlink" Target="https://rmda.kulib.kyoto-u.ac.jp/item/rb00001027" TargetMode="External"/><Relationship Id="rId11" Type="http://schemas.openxmlformats.org/officeDocument/2006/relationships/hyperlink" Target="http://square.umin.ac.jp/mayanagi/paper01/okoko.html" TargetMode="External"/><Relationship Id="rId32" Type="http://schemas.openxmlformats.org/officeDocument/2006/relationships/hyperlink" Target="https://rmda.kulib.kyoto-u.ac.jp/item/rb00004306" TargetMode="External"/><Relationship Id="rId37" Type="http://schemas.openxmlformats.org/officeDocument/2006/relationships/hyperlink" Target="https://rmda.kulib.kyoto-u.ac.jp/item/rb00004306" TargetMode="External"/><Relationship Id="rId53" Type="http://schemas.openxmlformats.org/officeDocument/2006/relationships/hyperlink" Target="http://www.wul.waseda.ac.jp/kotenseki/html/ya09/ya09_00410/index.html" TargetMode="External"/><Relationship Id="rId58" Type="http://schemas.openxmlformats.org/officeDocument/2006/relationships/hyperlink" Target="http://www.wul.waseda.ac.jp/kotenseki/html/ya09/ya09_00238/index.html" TargetMode="External"/><Relationship Id="rId74" Type="http://schemas.openxmlformats.org/officeDocument/2006/relationships/hyperlink" Target="http://dl.ndl.go.jp/info:ndljp/pid/2605826" TargetMode="External"/><Relationship Id="rId79" Type="http://schemas.openxmlformats.org/officeDocument/2006/relationships/hyperlink" Target="http://dl.ndl.go.jp/info:ndljp/pid/2605794" TargetMode="External"/><Relationship Id="rId102" Type="http://schemas.openxmlformats.org/officeDocument/2006/relationships/hyperlink" Target="https://rmda.kulib.kyoto-u.ac.jp/item/rb00002309" TargetMode="External"/><Relationship Id="rId123" Type="http://schemas.openxmlformats.org/officeDocument/2006/relationships/hyperlink" Target="https://rmda.kulib.kyoto-u.ac.jp/item/rb00008891" TargetMode="External"/><Relationship Id="rId128" Type="http://schemas.openxmlformats.org/officeDocument/2006/relationships/hyperlink" Target="https://rmda.kulib.kyoto-u.ac.jp/item/rb00000410" TargetMode="External"/><Relationship Id="rId144" Type="http://schemas.openxmlformats.org/officeDocument/2006/relationships/hyperlink" Target="https://rmda.kulib.kyoto-u.ac.jp/item/rb00000426" TargetMode="External"/><Relationship Id="rId149" Type="http://schemas.openxmlformats.org/officeDocument/2006/relationships/hyperlink" Target="https://rmda.kulib.kyoto-u.ac.jp/item/rb00004957" TargetMode="External"/><Relationship Id="rId5" Type="http://schemas.openxmlformats.org/officeDocument/2006/relationships/hyperlink" Target="http://square.umin.ac.jp/mayanagi/paper01/saiseihou.html" TargetMode="External"/><Relationship Id="rId90" Type="http://schemas.openxmlformats.org/officeDocument/2006/relationships/hyperlink" Target="https://rmda.kulib.kyoto-u.ac.jp/item/rb00002247" TargetMode="External"/><Relationship Id="rId95" Type="http://schemas.openxmlformats.org/officeDocument/2006/relationships/hyperlink" Target="https://rmda.kulib.kyoto-u.ac.jp/item/rb00002683" TargetMode="External"/><Relationship Id="rId160" Type="http://schemas.openxmlformats.org/officeDocument/2006/relationships/hyperlink" Target="https://rmda.kulib.kyoto-u.ac.jp/item/rb00000899" TargetMode="External"/><Relationship Id="rId165" Type="http://schemas.openxmlformats.org/officeDocument/2006/relationships/printerSettings" Target="../printerSettings/printerSettings2.bin"/><Relationship Id="rId22" Type="http://schemas.openxmlformats.org/officeDocument/2006/relationships/hyperlink" Target="http://square.umin.ac.jp/mayanagi/paper01/ruian.html" TargetMode="External"/><Relationship Id="rId27" Type="http://schemas.openxmlformats.org/officeDocument/2006/relationships/hyperlink" Target="https://rmda.kulib.kyoto-u.ac.jp/item/rb00004306" TargetMode="External"/><Relationship Id="rId43" Type="http://schemas.openxmlformats.org/officeDocument/2006/relationships/hyperlink" Target="http://www.wul.waseda.ac.jp/kotenseki/html/ya09/ya09_00042/index.html" TargetMode="External"/><Relationship Id="rId48" Type="http://schemas.openxmlformats.org/officeDocument/2006/relationships/hyperlink" Target="http://www.wul.waseda.ac.jp/kotenseki/html/ya09/ya09_01177/index.html" TargetMode="External"/><Relationship Id="rId64" Type="http://schemas.openxmlformats.org/officeDocument/2006/relationships/hyperlink" Target="http://www.wul.waseda.ac.jp/kotenseki/html/ya09/ya09_00233/index.html" TargetMode="External"/><Relationship Id="rId69" Type="http://schemas.openxmlformats.org/officeDocument/2006/relationships/hyperlink" Target="http://www.wul.waseda.ac.jp/kotenseki/html/ya09/ya09_00180/index.html" TargetMode="External"/><Relationship Id="rId113" Type="http://schemas.openxmlformats.org/officeDocument/2006/relationships/hyperlink" Target="https://rmda.kulib.kyoto-u.ac.jp/item/rb00001157" TargetMode="External"/><Relationship Id="rId118" Type="http://schemas.openxmlformats.org/officeDocument/2006/relationships/hyperlink" Target="https://rmda.kulib.kyoto-u.ac.jp/item/rb00003418" TargetMode="External"/><Relationship Id="rId134" Type="http://schemas.openxmlformats.org/officeDocument/2006/relationships/hyperlink" Target="https://rmda.kulib.kyoto-u.ac.jp/item/rb00003286" TargetMode="External"/><Relationship Id="rId139" Type="http://schemas.openxmlformats.org/officeDocument/2006/relationships/hyperlink" Target="https://www.digital.archives.go.jp/das/image-j/M1000000000000092121" TargetMode="External"/><Relationship Id="rId80" Type="http://schemas.openxmlformats.org/officeDocument/2006/relationships/hyperlink" Target="http://dl.ndl.go.jp/info:ndljp/pid/2605556" TargetMode="External"/><Relationship Id="rId85" Type="http://schemas.openxmlformats.org/officeDocument/2006/relationships/hyperlink" Target="https://rmda.kulib.kyoto-u.ac.jp/item/rb00005783" TargetMode="External"/><Relationship Id="rId150" Type="http://schemas.openxmlformats.org/officeDocument/2006/relationships/hyperlink" Target="https://rmda.kulib.kyoto-u.ac.jp/item/rb00003249" TargetMode="External"/><Relationship Id="rId155" Type="http://schemas.openxmlformats.org/officeDocument/2006/relationships/hyperlink" Target="https://rmda.kulib.kyoto-u.ac.jp/item/rb00008882" TargetMode="External"/><Relationship Id="rId12" Type="http://schemas.openxmlformats.org/officeDocument/2006/relationships/hyperlink" Target="http://square.umin.ac.jp/mayanagi/paper01/kakuchikaidai.html" TargetMode="External"/><Relationship Id="rId17" Type="http://schemas.openxmlformats.org/officeDocument/2006/relationships/hyperlink" Target="http://square.umin.ac.jp/mayanagi/paper01/jouben.html" TargetMode="External"/><Relationship Id="rId33" Type="http://schemas.openxmlformats.org/officeDocument/2006/relationships/hyperlink" Target="https://rmda.kulib.kyoto-u.ac.jp/item/rb00004306" TargetMode="External"/><Relationship Id="rId38" Type="http://schemas.openxmlformats.org/officeDocument/2006/relationships/hyperlink" Target="https://rmda.kulib.kyoto-u.ac.jp/item/rb00003208" TargetMode="External"/><Relationship Id="rId59" Type="http://schemas.openxmlformats.org/officeDocument/2006/relationships/hyperlink" Target="http://www.wul.waseda.ac.jp/kotenseki/html/ya09/ya09_00239/index.html" TargetMode="External"/><Relationship Id="rId103" Type="http://schemas.openxmlformats.org/officeDocument/2006/relationships/hyperlink" Target="https://rmda.kulib.kyoto-u.ac.jp/item/rb00001995" TargetMode="External"/><Relationship Id="rId108" Type="http://schemas.openxmlformats.org/officeDocument/2006/relationships/hyperlink" Target="https://rmda.kulib.kyoto-u.ac.jp/item/rb00005393" TargetMode="External"/><Relationship Id="rId124" Type="http://schemas.openxmlformats.org/officeDocument/2006/relationships/hyperlink" Target="https://rmda.kulib.kyoto-u.ac.jp/item/rb00008739" TargetMode="External"/><Relationship Id="rId129" Type="http://schemas.openxmlformats.org/officeDocument/2006/relationships/hyperlink" Target="https://rmda.kulib.kyoto-u.ac.jp/item/rb00005836" TargetMode="External"/><Relationship Id="rId54" Type="http://schemas.openxmlformats.org/officeDocument/2006/relationships/hyperlink" Target="http://www.wul.waseda.ac.jp/kotenseki/html/ya09/ya09_00591/index.html" TargetMode="External"/><Relationship Id="rId70" Type="http://schemas.openxmlformats.org/officeDocument/2006/relationships/hyperlink" Target="http://www.wul.waseda.ac.jp/kotenseki/html/ya09/ya09_01164/index.html" TargetMode="External"/><Relationship Id="rId75" Type="http://schemas.openxmlformats.org/officeDocument/2006/relationships/hyperlink" Target="http://dl.ndl.go.jp/info:ndljp/pid/2535684" TargetMode="External"/><Relationship Id="rId91" Type="http://schemas.openxmlformats.org/officeDocument/2006/relationships/hyperlink" Target="https://rmda.kulib.kyoto-u.ac.jp/item/rb00002248" TargetMode="External"/><Relationship Id="rId96" Type="http://schemas.openxmlformats.org/officeDocument/2006/relationships/hyperlink" Target="https://rmda.kulib.kyoto-u.ac.jp/item/rb00002679" TargetMode="External"/><Relationship Id="rId140" Type="http://schemas.openxmlformats.org/officeDocument/2006/relationships/hyperlink" Target="https://kotenseki.nijl.ac.jp/biblio/100232443/viewer" TargetMode="External"/><Relationship Id="rId145" Type="http://schemas.openxmlformats.org/officeDocument/2006/relationships/hyperlink" Target="https://rmda.kulib.kyoto-u.ac.jp/item/rb00004972" TargetMode="External"/><Relationship Id="rId161" Type="http://schemas.openxmlformats.org/officeDocument/2006/relationships/hyperlink" Target="https://rmda.kulib.kyoto-u.ac.jp/item/rb00000898" TargetMode="External"/><Relationship Id="rId1" Type="http://schemas.openxmlformats.org/officeDocument/2006/relationships/hyperlink" Target="http://square.umin.ac.jp/mayanagi/paper01/unkioukaidai.htm" TargetMode="External"/><Relationship Id="rId6" Type="http://schemas.openxmlformats.org/officeDocument/2006/relationships/hyperlink" Target="http://square.umin.ac.jp/mayanagi/paper01/touen10sho.html" TargetMode="External"/><Relationship Id="rId15" Type="http://schemas.openxmlformats.org/officeDocument/2006/relationships/hyperlink" Target="http://square.umin.ac.jp/mayanagi/paper01/rikusho.html" TargetMode="External"/><Relationship Id="rId23" Type="http://schemas.openxmlformats.org/officeDocument/2006/relationships/hyperlink" Target="http://square.umin.ac.jp/mayanagi/paper01/chukai.html" TargetMode="External"/><Relationship Id="rId28" Type="http://schemas.openxmlformats.org/officeDocument/2006/relationships/hyperlink" Target="https://rmda.kulib.kyoto-u.ac.jp/item/rb00004306" TargetMode="External"/><Relationship Id="rId36" Type="http://schemas.openxmlformats.org/officeDocument/2006/relationships/hyperlink" Target="https://rmda.kulib.kyoto-u.ac.jp/item/rb00004306" TargetMode="External"/><Relationship Id="rId49" Type="http://schemas.openxmlformats.org/officeDocument/2006/relationships/hyperlink" Target="http://www.wul.waseda.ac.jp/kotenseki/html/ya09/ya09_00133/index.html" TargetMode="External"/><Relationship Id="rId57" Type="http://schemas.openxmlformats.org/officeDocument/2006/relationships/hyperlink" Target="http://www.wul.waseda.ac.jp/kotenseki/html/ya09/ya09_00617/index.html" TargetMode="External"/><Relationship Id="rId106" Type="http://schemas.openxmlformats.org/officeDocument/2006/relationships/hyperlink" Target="https://rmda.kulib.kyoto-u.ac.jp/item/rb00008737" TargetMode="External"/><Relationship Id="rId114" Type="http://schemas.openxmlformats.org/officeDocument/2006/relationships/hyperlink" Target="https://rmda.kulib.kyoto-u.ac.jp/item/rb00001159" TargetMode="External"/><Relationship Id="rId119" Type="http://schemas.openxmlformats.org/officeDocument/2006/relationships/hyperlink" Target="https://rmda.kulib.kyoto-u.ac.jp/item/rb00002504" TargetMode="External"/><Relationship Id="rId127" Type="http://schemas.openxmlformats.org/officeDocument/2006/relationships/hyperlink" Target="https://rmda.kulib.kyoto-u.ac.jp/item/rb00013388" TargetMode="External"/><Relationship Id="rId10" Type="http://schemas.openxmlformats.org/officeDocument/2006/relationships/hyperlink" Target="http://square.umin.ac.jp/mayanagi/paper01/okoko.html" TargetMode="External"/><Relationship Id="rId31" Type="http://schemas.openxmlformats.org/officeDocument/2006/relationships/hyperlink" Target="https://rmda.kulib.kyoto-u.ac.jp/item/rb00004306" TargetMode="External"/><Relationship Id="rId44" Type="http://schemas.openxmlformats.org/officeDocument/2006/relationships/hyperlink" Target="http://www.wul.waseda.ac.jp/kotenseki/html/ya09/ya09_00584_0038/index.html" TargetMode="External"/><Relationship Id="rId52" Type="http://schemas.openxmlformats.org/officeDocument/2006/relationships/hyperlink" Target="http://www.wul.waseda.ac.jp/kotenseki/html/ya09/ya09_01168/index.html" TargetMode="External"/><Relationship Id="rId60" Type="http://schemas.openxmlformats.org/officeDocument/2006/relationships/hyperlink" Target="http://www.wul.waseda.ac.jp/kotenseki/html/ya09/ya09_00517/index.html" TargetMode="External"/><Relationship Id="rId65" Type="http://schemas.openxmlformats.org/officeDocument/2006/relationships/hyperlink" Target="http://www.wul.waseda.ac.jp/kotenseki/html/ya09/ya09_01104/index.html" TargetMode="External"/><Relationship Id="rId73" Type="http://schemas.openxmlformats.org/officeDocument/2006/relationships/hyperlink" Target="http://dl.ndl.go.jp/info:ndljp/pid/2606410" TargetMode="External"/><Relationship Id="rId78" Type="http://schemas.openxmlformats.org/officeDocument/2006/relationships/hyperlink" Target="http://dl.ndl.go.jp/info:ndljp/pid/2605298" TargetMode="External"/><Relationship Id="rId81" Type="http://schemas.openxmlformats.org/officeDocument/2006/relationships/hyperlink" Target="https://rmda.kulib.kyoto-u.ac.jp/item/rb00003413" TargetMode="External"/><Relationship Id="rId86" Type="http://schemas.openxmlformats.org/officeDocument/2006/relationships/hyperlink" Target="https://rmda.kulib.kyoto-u.ac.jp/item/rb00004957" TargetMode="External"/><Relationship Id="rId94" Type="http://schemas.openxmlformats.org/officeDocument/2006/relationships/hyperlink" Target="https://rmda.kulib.kyoto-u.ac.jp/item/rb00002684" TargetMode="External"/><Relationship Id="rId99" Type="http://schemas.openxmlformats.org/officeDocument/2006/relationships/hyperlink" Target="https://rmda.kulib.kyoto-u.ac.jp/item/rb00019945" TargetMode="External"/><Relationship Id="rId101" Type="http://schemas.openxmlformats.org/officeDocument/2006/relationships/hyperlink" Target="https://rmda.kulib.kyoto-u.ac.jp/item/rb00002310" TargetMode="External"/><Relationship Id="rId122" Type="http://schemas.openxmlformats.org/officeDocument/2006/relationships/hyperlink" Target="https://rmda.kulib.kyoto-u.ac.jp/item/rb00005305" TargetMode="External"/><Relationship Id="rId130" Type="http://schemas.openxmlformats.org/officeDocument/2006/relationships/hyperlink" Target="https://rmda.kulib.kyoto-u.ac.jp/item/rb00003419" TargetMode="External"/><Relationship Id="rId135" Type="http://schemas.openxmlformats.org/officeDocument/2006/relationships/hyperlink" Target="https://rmda.kulib.kyoto-u.ac.jp/item/rb00001187" TargetMode="External"/><Relationship Id="rId143" Type="http://schemas.openxmlformats.org/officeDocument/2006/relationships/hyperlink" Target="https://kotenseki.nijl.ac.jp/biblio/100244243/viewer" TargetMode="External"/><Relationship Id="rId148" Type="http://schemas.openxmlformats.org/officeDocument/2006/relationships/hyperlink" Target="http://www.wul.waseda.ac.jp/kotenseki/html/ya09/ya09_00099/index.html" TargetMode="External"/><Relationship Id="rId151" Type="http://schemas.openxmlformats.org/officeDocument/2006/relationships/hyperlink" Target="https://rmda.kulib.kyoto-u.ac.jp/item/rb00003250" TargetMode="External"/><Relationship Id="rId156" Type="http://schemas.openxmlformats.org/officeDocument/2006/relationships/hyperlink" Target="https://kotenseki.nijl.ac.jp/biblio/100245458/viewer/4" TargetMode="External"/><Relationship Id="rId164" Type="http://schemas.openxmlformats.org/officeDocument/2006/relationships/hyperlink" Target="http://square.umin.ac.jp/mayanagi/paper03/wakoku.html" TargetMode="External"/><Relationship Id="rId4" Type="http://schemas.openxmlformats.org/officeDocument/2006/relationships/hyperlink" Target="http://square.umin.ac.jp/mayanagi/paper01/liuwansu.html" TargetMode="External"/><Relationship Id="rId9" Type="http://schemas.openxmlformats.org/officeDocument/2006/relationships/hyperlink" Target="http://square.umin.ac.jp/mayanagi/paper01/toenkaidai.html" TargetMode="External"/><Relationship Id="rId13" Type="http://schemas.openxmlformats.org/officeDocument/2006/relationships/hyperlink" Target="http://square.umin.ac.jp/mayanagi/paper01/kakuchikaidai.html" TargetMode="External"/><Relationship Id="rId18" Type="http://schemas.openxmlformats.org/officeDocument/2006/relationships/hyperlink" Target="http://square.umin.ac.jp/mayanagi/paper01/chukei.html" TargetMode="External"/><Relationship Id="rId39" Type="http://schemas.openxmlformats.org/officeDocument/2006/relationships/hyperlink" Target="http://www.wul.waseda.ac.jp/kotenseki/html/ya09/ya09_00900/index.html" TargetMode="External"/><Relationship Id="rId109" Type="http://schemas.openxmlformats.org/officeDocument/2006/relationships/hyperlink" Target="https://rmda.kulib.kyoto-u.ac.jp/item/rb00013646" TargetMode="External"/><Relationship Id="rId34" Type="http://schemas.openxmlformats.org/officeDocument/2006/relationships/hyperlink" Target="https://rmda.kulib.kyoto-u.ac.jp/item/rb00004306" TargetMode="External"/><Relationship Id="rId50" Type="http://schemas.openxmlformats.org/officeDocument/2006/relationships/hyperlink" Target="http://www.wul.waseda.ac.jp/kotenseki/html/ya09/ya09_00188/index.html" TargetMode="External"/><Relationship Id="rId55" Type="http://schemas.openxmlformats.org/officeDocument/2006/relationships/hyperlink" Target="http://www.wul.waseda.ac.jp/kotenseki/html/ya09/ya09_00355/index.html" TargetMode="External"/><Relationship Id="rId76" Type="http://schemas.openxmlformats.org/officeDocument/2006/relationships/hyperlink" Target="http://dl.ndl.go.jp/info:ndljp/pid/2536095" TargetMode="External"/><Relationship Id="rId97" Type="http://schemas.openxmlformats.org/officeDocument/2006/relationships/hyperlink" Target="https://rmda.kulib.kyoto-u.ac.jp/item/rb00002681" TargetMode="External"/><Relationship Id="rId104" Type="http://schemas.openxmlformats.org/officeDocument/2006/relationships/hyperlink" Target="https://rmda.kulib.kyoto-u.ac.jp/item/rb00004306" TargetMode="External"/><Relationship Id="rId120" Type="http://schemas.openxmlformats.org/officeDocument/2006/relationships/hyperlink" Target="https://rmda.kulib.kyoto-u.ac.jp/item/rb00008882" TargetMode="External"/><Relationship Id="rId125" Type="http://schemas.openxmlformats.org/officeDocument/2006/relationships/hyperlink" Target="https://rmda.kulib.kyoto-u.ac.jp/item/rb00003410" TargetMode="External"/><Relationship Id="rId141" Type="http://schemas.openxmlformats.org/officeDocument/2006/relationships/hyperlink" Target="https://kotenseki.nijl.ac.jp/biblio/100242000/viewer" TargetMode="External"/><Relationship Id="rId146" Type="http://schemas.openxmlformats.org/officeDocument/2006/relationships/hyperlink" Target="https://rmda.kulib.kyoto-u.ac.jp/item/rb00000950" TargetMode="External"/><Relationship Id="rId7" Type="http://schemas.openxmlformats.org/officeDocument/2006/relationships/hyperlink" Target="http://square.umin.ac.jp/mayanagi/paper01/toenkaidai.html" TargetMode="External"/><Relationship Id="rId71" Type="http://schemas.openxmlformats.org/officeDocument/2006/relationships/hyperlink" Target="http://dl.ndl.go.jp/info:ndljp/pid/2532207" TargetMode="External"/><Relationship Id="rId92" Type="http://schemas.openxmlformats.org/officeDocument/2006/relationships/hyperlink" Target="https://rmda.kulib.kyoto-u.ac.jp/item/rb00002682" TargetMode="External"/><Relationship Id="rId162" Type="http://schemas.openxmlformats.org/officeDocument/2006/relationships/hyperlink" Target="https://www.digital.archives.go.jp/" TargetMode="External"/><Relationship Id="rId2" Type="http://schemas.openxmlformats.org/officeDocument/2006/relationships/hyperlink" Target="http://square.umin.ac.jp/mayanagi/paper01/meirironkaidai.html" TargetMode="External"/><Relationship Id="rId29" Type="http://schemas.openxmlformats.org/officeDocument/2006/relationships/hyperlink" Target="https://rmda.kulib.kyoto-u.ac.jp/item/rb00004306" TargetMode="External"/><Relationship Id="rId24" Type="http://schemas.openxmlformats.org/officeDocument/2006/relationships/hyperlink" Target="https://rmda.kulib.kyoto-u.ac.jp/item/rb00002686" TargetMode="External"/><Relationship Id="rId40" Type="http://schemas.openxmlformats.org/officeDocument/2006/relationships/hyperlink" Target="http://www.wul.waseda.ac.jp/kotenseki/html/ya09/ya09_00099/index.html" TargetMode="External"/><Relationship Id="rId45" Type="http://schemas.openxmlformats.org/officeDocument/2006/relationships/hyperlink" Target="http://www.wul.waseda.ac.jp/kotenseki/html/ya09/ya09_00412/index.html" TargetMode="External"/><Relationship Id="rId66" Type="http://schemas.openxmlformats.org/officeDocument/2006/relationships/hyperlink" Target="http://www.wul.waseda.ac.jp/kotenseki/html/ya09/ya09_00239/index.html" TargetMode="External"/><Relationship Id="rId87" Type="http://schemas.openxmlformats.org/officeDocument/2006/relationships/hyperlink" Target="https://rmda.kulib.kyoto-u.ac.jp/item/rb00003046" TargetMode="External"/><Relationship Id="rId110" Type="http://schemas.openxmlformats.org/officeDocument/2006/relationships/hyperlink" Target="https://rmda.kulib.kyoto-u.ac.jp/item/rb00001158" TargetMode="External"/><Relationship Id="rId115" Type="http://schemas.openxmlformats.org/officeDocument/2006/relationships/hyperlink" Target="https://rmda.kulib.kyoto-u.ac.jp/item/rb00008738" TargetMode="External"/><Relationship Id="rId131" Type="http://schemas.openxmlformats.org/officeDocument/2006/relationships/hyperlink" Target="https://rmda.kulib.kyoto-u.ac.jp/item/rb00000562" TargetMode="External"/><Relationship Id="rId136" Type="http://schemas.openxmlformats.org/officeDocument/2006/relationships/hyperlink" Target="https://rmda.kulib.kyoto-u.ac.jp/item/rb00001444" TargetMode="External"/><Relationship Id="rId157" Type="http://schemas.openxmlformats.org/officeDocument/2006/relationships/hyperlink" Target="https://rmda.kulib.kyoto-u.ac.jp/item/rb00000175" TargetMode="External"/><Relationship Id="rId61" Type="http://schemas.openxmlformats.org/officeDocument/2006/relationships/hyperlink" Target="http://www.wul.waseda.ac.jp/kotenseki/html/ya09/ya09_00458/index.html" TargetMode="External"/><Relationship Id="rId82" Type="http://schemas.openxmlformats.org/officeDocument/2006/relationships/hyperlink" Target="https://rmda.kulib.kyoto-u.ac.jp/item/rb00003414" TargetMode="External"/><Relationship Id="rId152" Type="http://schemas.openxmlformats.org/officeDocument/2006/relationships/hyperlink" Target="https://rmda.kulib.kyoto-u.ac.jp/item/rb00003251" TargetMode="External"/><Relationship Id="rId19" Type="http://schemas.openxmlformats.org/officeDocument/2006/relationships/hyperlink" Target="http://square.umin.ac.jp/mayanagi/paper01/uneki.html" TargetMode="External"/><Relationship Id="rId14" Type="http://schemas.openxmlformats.org/officeDocument/2006/relationships/hyperlink" Target="http://square.umin.ac.jp/mayanagi/paper01/syouchi.html" TargetMode="External"/><Relationship Id="rId30" Type="http://schemas.openxmlformats.org/officeDocument/2006/relationships/hyperlink" Target="https://rmda.kulib.kyoto-u.ac.jp/item/rb00004306" TargetMode="External"/><Relationship Id="rId35" Type="http://schemas.openxmlformats.org/officeDocument/2006/relationships/hyperlink" Target="https://rmda.kulib.kyoto-u.ac.jp/item/rb00004306" TargetMode="External"/><Relationship Id="rId56" Type="http://schemas.openxmlformats.org/officeDocument/2006/relationships/hyperlink" Target="http://www.wul.waseda.ac.jp/kotenseki/html/ya09/ya09_01114/index.html" TargetMode="External"/><Relationship Id="rId77" Type="http://schemas.openxmlformats.org/officeDocument/2006/relationships/hyperlink" Target="http://dl.ndl.go.jp/info:ndljp/pid/2608264" TargetMode="External"/><Relationship Id="rId100" Type="http://schemas.openxmlformats.org/officeDocument/2006/relationships/hyperlink" Target="https://rmda.kulib.kyoto-u.ac.jp/item/rb00002955" TargetMode="External"/><Relationship Id="rId105" Type="http://schemas.openxmlformats.org/officeDocument/2006/relationships/hyperlink" Target="https://rmda.kulib.kyoto-u.ac.jp/item/rb00013649" TargetMode="External"/><Relationship Id="rId126" Type="http://schemas.openxmlformats.org/officeDocument/2006/relationships/hyperlink" Target="https://rmda.kulib.kyoto-u.ac.jp/item/rb00003411" TargetMode="External"/><Relationship Id="rId147" Type="http://schemas.openxmlformats.org/officeDocument/2006/relationships/hyperlink" Target="https://kotenseki.nijl.ac.jp/biblio/200011886/viewer" TargetMode="External"/><Relationship Id="rId8" Type="http://schemas.openxmlformats.org/officeDocument/2006/relationships/hyperlink" Target="http://square.umin.ac.jp/mayanagi/paper01/toenkaidai.html" TargetMode="External"/><Relationship Id="rId51" Type="http://schemas.openxmlformats.org/officeDocument/2006/relationships/hyperlink" Target="http://www.wul.waseda.ac.jp/kotenseki/html/ya09/ya09_00165/index.html" TargetMode="External"/><Relationship Id="rId72" Type="http://schemas.openxmlformats.org/officeDocument/2006/relationships/hyperlink" Target="http://dl.ndl.go.jp/info:ndljp/pid/2535939" TargetMode="External"/><Relationship Id="rId93" Type="http://schemas.openxmlformats.org/officeDocument/2006/relationships/hyperlink" Target="https://rmda.kulib.kyoto-u.ac.jp/item/rb00002680" TargetMode="External"/><Relationship Id="rId98" Type="http://schemas.openxmlformats.org/officeDocument/2006/relationships/hyperlink" Target="https://rmda.kulib.kyoto-u.ac.jp/item/rb00002686" TargetMode="External"/><Relationship Id="rId121" Type="http://schemas.openxmlformats.org/officeDocument/2006/relationships/hyperlink" Target="https://rmda.kulib.kyoto-u.ac.jp/item/rb00005304" TargetMode="External"/><Relationship Id="rId142" Type="http://schemas.openxmlformats.org/officeDocument/2006/relationships/hyperlink" Target="https://kotenseki.nijl.ac.jp/biblio/100222524/viewer" TargetMode="External"/><Relationship Id="rId163" Type="http://schemas.openxmlformats.org/officeDocument/2006/relationships/hyperlink" Target="https://rmda.kulib.kyoto-u.ac.jp/item/rb00005781" TargetMode="External"/><Relationship Id="rId3" Type="http://schemas.openxmlformats.org/officeDocument/2006/relationships/hyperlink" Target="http://square.umin.ac.jp/mayanagi/paper01/jumonjishin.html" TargetMode="External"/><Relationship Id="rId25" Type="http://schemas.openxmlformats.org/officeDocument/2006/relationships/hyperlink" Target="https://rmda.kulib.kyoto-u.ac.jp/item/rb00019945" TargetMode="External"/><Relationship Id="rId46" Type="http://schemas.openxmlformats.org/officeDocument/2006/relationships/hyperlink" Target="http://www.wul.waseda.ac.jp/kotenseki/html/ya09/ya09_00558/index.html" TargetMode="External"/><Relationship Id="rId67" Type="http://schemas.openxmlformats.org/officeDocument/2006/relationships/hyperlink" Target="http://www.wul.waseda.ac.jp/kotenseki/html/ya09/ya09_00007/index.html" TargetMode="External"/><Relationship Id="rId116" Type="http://schemas.openxmlformats.org/officeDocument/2006/relationships/hyperlink" Target="https://rmda.kulib.kyoto-u.ac.jp/item/rb00005348" TargetMode="External"/><Relationship Id="rId137" Type="http://schemas.openxmlformats.org/officeDocument/2006/relationships/hyperlink" Target="https://www.digital.archives.go.jp/das/image-j/M1000000000000092119" TargetMode="External"/><Relationship Id="rId158" Type="http://schemas.openxmlformats.org/officeDocument/2006/relationships/hyperlink" Target="https://rmda.kulib.kyoto-u.ac.jp/item/rb00008736" TargetMode="External"/><Relationship Id="rId20" Type="http://schemas.openxmlformats.org/officeDocument/2006/relationships/hyperlink" Target="http://square.umin.ac.jp/mayanagi/paper01/yukagen.html" TargetMode="External"/><Relationship Id="rId41" Type="http://schemas.openxmlformats.org/officeDocument/2006/relationships/hyperlink" Target="http://www.wul.waseda.ac.jp/kotenseki/html/ya09/ya09_00528/index.html" TargetMode="External"/><Relationship Id="rId62" Type="http://schemas.openxmlformats.org/officeDocument/2006/relationships/hyperlink" Target="http://www.wul.waseda.ac.jp/kotenseki/html/ya09/ya09_00613/index.html" TargetMode="External"/><Relationship Id="rId83" Type="http://schemas.openxmlformats.org/officeDocument/2006/relationships/hyperlink" Target="https://rmda.kulib.kyoto-u.ac.jp/item/rb00003936" TargetMode="External"/><Relationship Id="rId88" Type="http://schemas.openxmlformats.org/officeDocument/2006/relationships/hyperlink" Target="https://rmda.kulib.kyoto-u.ac.jp/item/rb00003934" TargetMode="External"/><Relationship Id="rId111" Type="http://schemas.openxmlformats.org/officeDocument/2006/relationships/hyperlink" Target="https://rmda.kulib.kyoto-u.ac.jp/item/rb00000402" TargetMode="External"/><Relationship Id="rId132" Type="http://schemas.openxmlformats.org/officeDocument/2006/relationships/hyperlink" Target="https://rmda.kulib.kyoto-u.ac.jp/item/rb00002477" TargetMode="External"/><Relationship Id="rId153" Type="http://schemas.openxmlformats.org/officeDocument/2006/relationships/hyperlink" Target="https://rmda.kulib.kyoto-u.ac.jp/item/rb00013381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kotenseki.nijl.ac.jp/biblio/100232337/viewer/6" TargetMode="External"/><Relationship Id="rId18" Type="http://schemas.openxmlformats.org/officeDocument/2006/relationships/hyperlink" Target="https://kotenseki.nijl.ac.jp/biblio/100259589/viewer" TargetMode="External"/><Relationship Id="rId26" Type="http://schemas.openxmlformats.org/officeDocument/2006/relationships/hyperlink" Target="https://kotenseki.nijl.ac.jp/biblio/100079278/viewer" TargetMode="External"/><Relationship Id="rId39" Type="http://schemas.openxmlformats.org/officeDocument/2006/relationships/hyperlink" Target="http://dl.ndl.go.jp/info:ndljp/pid/2536404" TargetMode="External"/><Relationship Id="rId21" Type="http://schemas.openxmlformats.org/officeDocument/2006/relationships/hyperlink" Target="https://kotenseki.nijl.ac.jp/biblio/200005551/viewer" TargetMode="External"/><Relationship Id="rId34" Type="http://schemas.openxmlformats.org/officeDocument/2006/relationships/hyperlink" Target="https://rmda.kulib.kyoto-u.ac.jp/item/rb00003367" TargetMode="External"/><Relationship Id="rId42" Type="http://schemas.openxmlformats.org/officeDocument/2006/relationships/hyperlink" Target="http://dl.ndl.go.jp/info:ndljp/pid/2536125" TargetMode="External"/><Relationship Id="rId47" Type="http://schemas.openxmlformats.org/officeDocument/2006/relationships/hyperlink" Target="http://dl.ndl.go.jp/info:ndljp/pid/833236" TargetMode="External"/><Relationship Id="rId50" Type="http://schemas.openxmlformats.org/officeDocument/2006/relationships/hyperlink" Target="https://www.digital.archives.go.jp/das/meta/M2015070810584355759" TargetMode="External"/><Relationship Id="rId55" Type="http://schemas.openxmlformats.org/officeDocument/2006/relationships/hyperlink" Target="https://rmda.kulib.kyoto-u.ac.jp/item/rb00003094" TargetMode="External"/><Relationship Id="rId7" Type="http://schemas.openxmlformats.org/officeDocument/2006/relationships/hyperlink" Target="https://rmda.kulib.kyoto-u.ac.jp/item/rb00000400" TargetMode="External"/><Relationship Id="rId12" Type="http://schemas.openxmlformats.org/officeDocument/2006/relationships/hyperlink" Target="https://rmda.kulib.kyoto-u.ac.jp/item/rb00000220" TargetMode="External"/><Relationship Id="rId17" Type="http://schemas.openxmlformats.org/officeDocument/2006/relationships/hyperlink" Target="https://kotenseki.nijl.ac.jp/biblio/100260985/viewer" TargetMode="External"/><Relationship Id="rId25" Type="http://schemas.openxmlformats.org/officeDocument/2006/relationships/hyperlink" Target="https://kotenseki.nijl.ac.jp/biblio/100245393/viewer" TargetMode="External"/><Relationship Id="rId33" Type="http://schemas.openxmlformats.org/officeDocument/2006/relationships/hyperlink" Target="https://kotenseki.nijl.ac.jp/biblio/100241806/viewer" TargetMode="External"/><Relationship Id="rId38" Type="http://schemas.openxmlformats.org/officeDocument/2006/relationships/hyperlink" Target="http://dl.ndl.go.jp/info:ndljp/pid/2536404" TargetMode="External"/><Relationship Id="rId46" Type="http://schemas.openxmlformats.org/officeDocument/2006/relationships/hyperlink" Target="http://dl.ndl.go.jp/info:ndljp/pid/833235" TargetMode="External"/><Relationship Id="rId59" Type="http://schemas.openxmlformats.org/officeDocument/2006/relationships/hyperlink" Target="http://libir.josai.ac.jp/contents/josai/kanpou/5201020265-20276.html" TargetMode="External"/><Relationship Id="rId2" Type="http://schemas.openxmlformats.org/officeDocument/2006/relationships/hyperlink" Target="https://rmda.kulib.kyoto-u.ac.jp/item/rb00000725" TargetMode="External"/><Relationship Id="rId16" Type="http://schemas.openxmlformats.org/officeDocument/2006/relationships/hyperlink" Target="https://kotenseki.nijl.ac.jp/biblio/100243432/viewer" TargetMode="External"/><Relationship Id="rId20" Type="http://schemas.openxmlformats.org/officeDocument/2006/relationships/hyperlink" Target="https://kotenseki.nijl.ac.jp/biblio/100241932/viewer" TargetMode="External"/><Relationship Id="rId29" Type="http://schemas.openxmlformats.org/officeDocument/2006/relationships/hyperlink" Target="https://kotenseki.nijl.ac.jp/biblio/100229685/viewer" TargetMode="External"/><Relationship Id="rId41" Type="http://schemas.openxmlformats.org/officeDocument/2006/relationships/hyperlink" Target="http://dl.ndl.go.jp/info:ndljp/pid/901902" TargetMode="External"/><Relationship Id="rId54" Type="http://schemas.openxmlformats.org/officeDocument/2006/relationships/hyperlink" Target="https://rmda.kulib.kyoto-u.ac.jp/item/rb00005041" TargetMode="External"/><Relationship Id="rId1" Type="http://schemas.openxmlformats.org/officeDocument/2006/relationships/hyperlink" Target="https://rmda.kulib.kyoto-u.ac.jp/item/rb00000446" TargetMode="External"/><Relationship Id="rId6" Type="http://schemas.openxmlformats.org/officeDocument/2006/relationships/hyperlink" Target="https://rmda.kulib.kyoto-u.ac.jp/item/rb00000730" TargetMode="External"/><Relationship Id="rId11" Type="http://schemas.openxmlformats.org/officeDocument/2006/relationships/hyperlink" Target="https://rmda.kulib.kyoto-u.ac.jp/item/rb00013363" TargetMode="External"/><Relationship Id="rId24" Type="http://schemas.openxmlformats.org/officeDocument/2006/relationships/hyperlink" Target="https://kotenseki.nijl.ac.jp/biblio/100229682/viewer" TargetMode="External"/><Relationship Id="rId32" Type="http://schemas.openxmlformats.org/officeDocument/2006/relationships/hyperlink" Target="https://kotenseki.nijl.ac.jp/biblio/100239270/viewer/6" TargetMode="External"/><Relationship Id="rId37" Type="http://schemas.openxmlformats.org/officeDocument/2006/relationships/hyperlink" Target="http://dl.ndl.go.jp/info:ndljp/pid/1243127/17" TargetMode="External"/><Relationship Id="rId40" Type="http://schemas.openxmlformats.org/officeDocument/2006/relationships/hyperlink" Target="http://dl.ndl.go.jp/info:ndljp/pid/2539521" TargetMode="External"/><Relationship Id="rId45" Type="http://schemas.openxmlformats.org/officeDocument/2006/relationships/hyperlink" Target="http://dl.ndl.go.jp/info:ndljp/pid/2557211?tocOpened=1" TargetMode="External"/><Relationship Id="rId53" Type="http://schemas.openxmlformats.org/officeDocument/2006/relationships/hyperlink" Target="https://rmda.kulib.kyoto-u.ac.jp/item/rb00000994" TargetMode="External"/><Relationship Id="rId58" Type="http://schemas.openxmlformats.org/officeDocument/2006/relationships/hyperlink" Target="http://www.wul.waseda.ac.jp/kotenseki/html/ya09/ya09_00488/index.html" TargetMode="External"/><Relationship Id="rId5" Type="http://schemas.openxmlformats.org/officeDocument/2006/relationships/hyperlink" Target="https://rmda.kulib.kyoto-u.ac.jp/item/rb00005451" TargetMode="External"/><Relationship Id="rId15" Type="http://schemas.openxmlformats.org/officeDocument/2006/relationships/hyperlink" Target="https://kotenseki.nijl.ac.jp/biblio/100243410/viewer" TargetMode="External"/><Relationship Id="rId23" Type="http://schemas.openxmlformats.org/officeDocument/2006/relationships/hyperlink" Target="https://kotenseki.nijl.ac.jp/biblio/100229660/viewer" TargetMode="External"/><Relationship Id="rId28" Type="http://schemas.openxmlformats.org/officeDocument/2006/relationships/hyperlink" Target="https://kotenseki.nijl.ac.jp/biblio/100229687/viewer" TargetMode="External"/><Relationship Id="rId36" Type="http://schemas.openxmlformats.org/officeDocument/2006/relationships/hyperlink" Target="http://dl.ndl.go.jp/info:ndljp/pid/1765936/9" TargetMode="External"/><Relationship Id="rId49" Type="http://schemas.openxmlformats.org/officeDocument/2006/relationships/hyperlink" Target="http://dl.ndl.go.jp/info:ndljp/pid/2605882" TargetMode="External"/><Relationship Id="rId57" Type="http://schemas.openxmlformats.org/officeDocument/2006/relationships/hyperlink" Target="https://rmda.kulib.kyoto-u.ac.jp/item/rb00004393" TargetMode="External"/><Relationship Id="rId10" Type="http://schemas.openxmlformats.org/officeDocument/2006/relationships/hyperlink" Target="https://rmda.kulib.kyoto-u.ac.jp/item/rb00004046" TargetMode="External"/><Relationship Id="rId19" Type="http://schemas.openxmlformats.org/officeDocument/2006/relationships/hyperlink" Target="https://kotenseki.nijl.ac.jp/biblio/100242531/viewer" TargetMode="External"/><Relationship Id="rId31" Type="http://schemas.openxmlformats.org/officeDocument/2006/relationships/hyperlink" Target="https://kotenseki.nijl.ac.jp/biblio/100257466/viewer" TargetMode="External"/><Relationship Id="rId44" Type="http://schemas.openxmlformats.org/officeDocument/2006/relationships/hyperlink" Target="http://dl.ndl.go.jp/info:ndljp/pid/2605599?tocOpened=1" TargetMode="External"/><Relationship Id="rId52" Type="http://schemas.openxmlformats.org/officeDocument/2006/relationships/hyperlink" Target="https://www.digital.archives.go.jp/das/meta/M2015070810591655762" TargetMode="External"/><Relationship Id="rId60" Type="http://schemas.openxmlformats.org/officeDocument/2006/relationships/printerSettings" Target="../printerSettings/printerSettings3.bin"/><Relationship Id="rId4" Type="http://schemas.openxmlformats.org/officeDocument/2006/relationships/hyperlink" Target="https://rmda.kulib.kyoto-u.ac.jp/item/rb00005452" TargetMode="External"/><Relationship Id="rId9" Type="http://schemas.openxmlformats.org/officeDocument/2006/relationships/hyperlink" Target="https://rmda.kulib.kyoto-u.ac.jp/item/rb00002049" TargetMode="External"/><Relationship Id="rId14" Type="http://schemas.openxmlformats.org/officeDocument/2006/relationships/hyperlink" Target="https://kotenseki.nijl.ac.jp/biblio/100243584/viewer/" TargetMode="External"/><Relationship Id="rId22" Type="http://schemas.openxmlformats.org/officeDocument/2006/relationships/hyperlink" Target="https://kotenseki.nijl.ac.jp/biblio/100232367/viewer" TargetMode="External"/><Relationship Id="rId27" Type="http://schemas.openxmlformats.org/officeDocument/2006/relationships/hyperlink" Target="https://kotenseki.nijl.ac.jp/biblio/200007941/viewer" TargetMode="External"/><Relationship Id="rId30" Type="http://schemas.openxmlformats.org/officeDocument/2006/relationships/hyperlink" Target="https://kotenseki.nijl.ac.jp/biblio/100229677/viewer" TargetMode="External"/><Relationship Id="rId35" Type="http://schemas.openxmlformats.org/officeDocument/2006/relationships/hyperlink" Target="http://www.wul.waseda.ac.jp/kotenseki/html/ya09/ya09_00053/index.html" TargetMode="External"/><Relationship Id="rId43" Type="http://schemas.openxmlformats.org/officeDocument/2006/relationships/hyperlink" Target="http://dl.ndl.go.jp/info:ndljp/pid/833215" TargetMode="External"/><Relationship Id="rId48" Type="http://schemas.openxmlformats.org/officeDocument/2006/relationships/hyperlink" Target="http://dl.ndl.go.jp/info:ndljp/pid/935250" TargetMode="External"/><Relationship Id="rId56" Type="http://schemas.openxmlformats.org/officeDocument/2006/relationships/hyperlink" Target="http://libir.josai.ac.jp/contents/josai/kanpou/JOS-5201153482/index.html" TargetMode="External"/><Relationship Id="rId8" Type="http://schemas.openxmlformats.org/officeDocument/2006/relationships/hyperlink" Target="https://rmda.kulib.kyoto-u.ac.jp/item/rb00000639" TargetMode="External"/><Relationship Id="rId51" Type="http://schemas.openxmlformats.org/officeDocument/2006/relationships/hyperlink" Target="https://www.digital.archives.go.jp/das/meta/M2015070810585455760" TargetMode="External"/><Relationship Id="rId3" Type="http://schemas.openxmlformats.org/officeDocument/2006/relationships/hyperlink" Target="https://rmda.kulib.kyoto-u.ac.jp/item/rb00000724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wul.waseda.ac.jp/kotenseki/" TargetMode="External"/><Relationship Id="rId13" Type="http://schemas.openxmlformats.org/officeDocument/2006/relationships/hyperlink" Target="http://base1.nijl.ac.jp/infolib/meta_pub/G0001401KTG" TargetMode="External"/><Relationship Id="rId18" Type="http://schemas.openxmlformats.org/officeDocument/2006/relationships/hyperlink" Target="https://catalog.lib.kyushu-u.ac.jp/opac_browse/rare/?lang=0" TargetMode="External"/><Relationship Id="rId3" Type="http://schemas.openxmlformats.org/officeDocument/2006/relationships/hyperlink" Target="http://base1.nijl.ac.jp/~tkoten/owners/syuusyuu_list.html" TargetMode="External"/><Relationship Id="rId7" Type="http://schemas.openxmlformats.org/officeDocument/2006/relationships/hyperlink" Target="https://rmda.kulib.kyoto-u.ac.jp/search" TargetMode="External"/><Relationship Id="rId12" Type="http://schemas.openxmlformats.org/officeDocument/2006/relationships/hyperlink" Target="https://www.digital.archives.go.jp/" TargetMode="External"/><Relationship Id="rId17" Type="http://schemas.openxmlformats.org/officeDocument/2006/relationships/hyperlink" Target="http://www.kulib.kyoto-u.ac.jp/rdl/digital_fujikawa/" TargetMode="External"/><Relationship Id="rId2" Type="http://schemas.openxmlformats.org/officeDocument/2006/relationships/hyperlink" Target="https://base1.nijl.ac.jp/~tkoten/" TargetMode="External"/><Relationship Id="rId16" Type="http://schemas.openxmlformats.org/officeDocument/2006/relationships/hyperlink" Target="https://iiif.dl.itc.u-tokyo.ac.jp/repo/s/fujikawa/page/home" TargetMode="External"/><Relationship Id="rId20" Type="http://schemas.openxmlformats.org/officeDocument/2006/relationships/hyperlink" Target="http://libir.josai.ac.jp/contents/josai/kanpou/" TargetMode="External"/><Relationship Id="rId1" Type="http://schemas.openxmlformats.org/officeDocument/2006/relationships/hyperlink" Target="https://kotenseki.nijl.ac.jp/" TargetMode="External"/><Relationship Id="rId6" Type="http://schemas.openxmlformats.org/officeDocument/2006/relationships/hyperlink" Target="https://rmda.kulib.kyoto-u.ac.jp/collection/fujikawa" TargetMode="External"/><Relationship Id="rId11" Type="http://schemas.openxmlformats.org/officeDocument/2006/relationships/hyperlink" Target="http://www.emuseum.jp/" TargetMode="External"/><Relationship Id="rId5" Type="http://schemas.openxmlformats.org/officeDocument/2006/relationships/hyperlink" Target="https://rmda.kulib.kyoto-u.ac.jp/" TargetMode="External"/><Relationship Id="rId15" Type="http://schemas.openxmlformats.org/officeDocument/2006/relationships/hyperlink" Target="http://dcollections.lib.keio.ac.jp/ja/koisho" TargetMode="External"/><Relationship Id="rId10" Type="http://schemas.openxmlformats.org/officeDocument/2006/relationships/hyperlink" Target="https://shoryobu.kunaicho.go.jp/" TargetMode="External"/><Relationship Id="rId19" Type="http://schemas.openxmlformats.org/officeDocument/2006/relationships/hyperlink" Target="https://webarchives.tnm.jp/dlib/" TargetMode="External"/><Relationship Id="rId4" Type="http://schemas.openxmlformats.org/officeDocument/2006/relationships/hyperlink" Target="http://dl.ndl.go.jp/" TargetMode="External"/><Relationship Id="rId9" Type="http://schemas.openxmlformats.org/officeDocument/2006/relationships/hyperlink" Target="http://db.sido.keio.ac.jp/kanseki/T_bib_search.php" TargetMode="External"/><Relationship Id="rId14" Type="http://schemas.openxmlformats.org/officeDocument/2006/relationships/hyperlink" Target="https://www.nijl.ac.jp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rmda.kulib.kyoto-u.ac.jp/item/rb00003539" TargetMode="External"/><Relationship Id="rId3" Type="http://schemas.openxmlformats.org/officeDocument/2006/relationships/hyperlink" Target="https://rmda.kulib.kyoto-u.ac.jp/item/rb00003538" TargetMode="External"/><Relationship Id="rId7" Type="http://schemas.openxmlformats.org/officeDocument/2006/relationships/hyperlink" Target="http://www.wul.waseda.ac.jp/kotenseki/search.php?cndbn=%E8%84%88%E8%AB%96%E5%8F%A3%E8%A8%A3&amp;szlmt=30" TargetMode="External"/><Relationship Id="rId2" Type="http://schemas.openxmlformats.org/officeDocument/2006/relationships/hyperlink" Target="https://rmda.kulib.kyoto-u.ac.jp/item/rb00003539" TargetMode="External"/><Relationship Id="rId1" Type="http://schemas.openxmlformats.org/officeDocument/2006/relationships/hyperlink" Target="https://rmda.kulib.kyoto-u.ac.jp/item/rb00003540" TargetMode="External"/><Relationship Id="rId6" Type="http://schemas.openxmlformats.org/officeDocument/2006/relationships/hyperlink" Target="https://kotenseki.nijl.ac.jp/biblio/100145052/viewer/2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s://www.digital.archives.go.jp/" TargetMode="External"/><Relationship Id="rId10" Type="http://schemas.openxmlformats.org/officeDocument/2006/relationships/hyperlink" Target="https://rmda.kulib.kyoto-u.ac.jp/item/rb00003539" TargetMode="External"/><Relationship Id="rId4" Type="http://schemas.openxmlformats.org/officeDocument/2006/relationships/hyperlink" Target="https://rmda.kulib.kyoto-u.ac.jp/item/rb00003541" TargetMode="External"/><Relationship Id="rId9" Type="http://schemas.openxmlformats.org/officeDocument/2006/relationships/hyperlink" Target="https://rmda.kulib.kyoto-u.ac.jp/item/rb000035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5298"/>
  <sheetViews>
    <sheetView zoomScale="190" zoomScaleNormal="190" workbookViewId="0">
      <pane ySplit="1" topLeftCell="A2" activePane="bottomLeft" state="frozen"/>
      <selection pane="bottomLeft"/>
    </sheetView>
  </sheetViews>
  <sheetFormatPr defaultRowHeight="13.5" x14ac:dyDescent="0.15"/>
  <cols>
    <col min="1" max="1" width="26.25" customWidth="1"/>
    <col min="2" max="2" width="25.625" customWidth="1"/>
    <col min="3" max="3" width="5.875" customWidth="1"/>
    <col min="4" max="4" width="23.25" customWidth="1"/>
    <col min="5" max="5" width="11" customWidth="1"/>
    <col min="6" max="6" width="25.125" customWidth="1"/>
    <col min="8" max="8" width="18.5" customWidth="1"/>
  </cols>
  <sheetData>
    <row r="1" spans="1:4" x14ac:dyDescent="0.15">
      <c r="A1" s="70" t="s">
        <v>1370</v>
      </c>
      <c r="B1" s="70" t="s">
        <v>3488</v>
      </c>
      <c r="C1" s="70" t="s">
        <v>4840</v>
      </c>
      <c r="D1" s="70" t="s">
        <v>4841</v>
      </c>
    </row>
    <row r="2" spans="1:4" x14ac:dyDescent="0.15">
      <c r="A2" s="8" t="s">
        <v>5214</v>
      </c>
      <c r="B2" s="8" t="s">
        <v>79</v>
      </c>
      <c r="C2" s="6"/>
      <c r="D2" s="6"/>
    </row>
    <row r="3" spans="1:4" x14ac:dyDescent="0.15">
      <c r="A3" s="83" t="s">
        <v>5439</v>
      </c>
      <c r="B3" s="71" t="s">
        <v>4836</v>
      </c>
      <c r="C3" s="6"/>
      <c r="D3" s="6"/>
    </row>
    <row r="4" spans="1:4" x14ac:dyDescent="0.15">
      <c r="A4" s="6"/>
      <c r="B4" s="71" t="s">
        <v>4837</v>
      </c>
      <c r="C4" s="6"/>
      <c r="D4" s="6"/>
    </row>
    <row r="5" spans="1:4" x14ac:dyDescent="0.15">
      <c r="A5" s="6"/>
      <c r="B5" s="71" t="s">
        <v>4838</v>
      </c>
      <c r="C5" s="6"/>
      <c r="D5" s="6"/>
    </row>
    <row r="6" spans="1:4" x14ac:dyDescent="0.15">
      <c r="A6" s="6"/>
      <c r="B6" s="71" t="s">
        <v>4839</v>
      </c>
      <c r="C6" s="6"/>
      <c r="D6" s="6"/>
    </row>
    <row r="7" spans="1:4" x14ac:dyDescent="0.15">
      <c r="A7" s="6" t="s">
        <v>78</v>
      </c>
      <c r="B7" s="71" t="s">
        <v>5213</v>
      </c>
      <c r="C7" s="6"/>
      <c r="D7" s="9" t="s">
        <v>1407</v>
      </c>
    </row>
    <row r="8" spans="1:4" x14ac:dyDescent="0.15">
      <c r="A8" s="6" t="s">
        <v>78</v>
      </c>
      <c r="B8" s="6" t="s">
        <v>1371</v>
      </c>
      <c r="C8" s="6">
        <v>2</v>
      </c>
      <c r="D8" s="6" t="str">
        <f>HYPERLINK("http://dl.ndl.go.jp/info:ndljp/pid/2532207/2")</f>
        <v>http://dl.ndl.go.jp/info:ndljp/pid/2532207/2</v>
      </c>
    </row>
    <row r="9" spans="1:4" x14ac:dyDescent="0.15">
      <c r="A9" s="6" t="s">
        <v>78</v>
      </c>
      <c r="B9" s="6" t="s">
        <v>1372</v>
      </c>
      <c r="C9" s="6">
        <v>3</v>
      </c>
      <c r="D9" s="6" t="str">
        <f>HYPERLINK("http://dl.ndl.go.jp/info:ndljp/pid/2532207/3")</f>
        <v>http://dl.ndl.go.jp/info:ndljp/pid/2532207/3</v>
      </c>
    </row>
    <row r="10" spans="1:4" x14ac:dyDescent="0.15">
      <c r="A10" s="6" t="s">
        <v>78</v>
      </c>
      <c r="B10" s="72" t="s">
        <v>1373</v>
      </c>
      <c r="C10" s="6">
        <v>6</v>
      </c>
      <c r="D10" s="6" t="str">
        <f>HYPERLINK("http://dl.ndl.go.jp/info:ndljp/pid/2532207/6")</f>
        <v>http://dl.ndl.go.jp/info:ndljp/pid/2532207/6</v>
      </c>
    </row>
    <row r="11" spans="1:4" x14ac:dyDescent="0.15">
      <c r="A11" s="6" t="s">
        <v>78</v>
      </c>
      <c r="B11" s="6" t="s">
        <v>1374</v>
      </c>
      <c r="C11" s="6">
        <v>6</v>
      </c>
      <c r="D11" s="6" t="str">
        <f>HYPERLINK("http://dl.ndl.go.jp/info:ndljp/pid/2532207/6")</f>
        <v>http://dl.ndl.go.jp/info:ndljp/pid/2532207/6</v>
      </c>
    </row>
    <row r="12" spans="1:4" x14ac:dyDescent="0.15">
      <c r="A12" s="6" t="s">
        <v>78</v>
      </c>
      <c r="B12" s="6" t="s">
        <v>1375</v>
      </c>
      <c r="C12" s="6">
        <v>8</v>
      </c>
      <c r="D12" s="6" t="str">
        <f>HYPERLINK("http://dl.ndl.go.jp/info:ndljp/pid/2532207/8")</f>
        <v>http://dl.ndl.go.jp/info:ndljp/pid/2532207/8</v>
      </c>
    </row>
    <row r="13" spans="1:4" x14ac:dyDescent="0.15">
      <c r="A13" s="6" t="s">
        <v>78</v>
      </c>
      <c r="B13" s="6" t="s">
        <v>1376</v>
      </c>
      <c r="C13" s="6">
        <v>10</v>
      </c>
      <c r="D13" s="6" t="str">
        <f>HYPERLINK("http://dl.ndl.go.jp/info:ndljp/pid/2532207/10")</f>
        <v>http://dl.ndl.go.jp/info:ndljp/pid/2532207/10</v>
      </c>
    </row>
    <row r="14" spans="1:4" x14ac:dyDescent="0.15">
      <c r="A14" s="6" t="s">
        <v>78</v>
      </c>
      <c r="B14" s="6" t="s">
        <v>1377</v>
      </c>
      <c r="C14" s="6">
        <v>13</v>
      </c>
      <c r="D14" s="6" t="str">
        <f>HYPERLINK("http://dl.ndl.go.jp/info:ndljp/pid/2532207/13")</f>
        <v>http://dl.ndl.go.jp/info:ndljp/pid/2532207/13</v>
      </c>
    </row>
    <row r="15" spans="1:4" x14ac:dyDescent="0.15">
      <c r="A15" s="6" t="s">
        <v>78</v>
      </c>
      <c r="B15" s="6" t="s">
        <v>1378</v>
      </c>
      <c r="C15" s="6">
        <v>15</v>
      </c>
      <c r="D15" s="6" t="str">
        <f>HYPERLINK("http://dl.ndl.go.jp/info:ndljp/pid/2532207/15")</f>
        <v>http://dl.ndl.go.jp/info:ndljp/pid/2532207/15</v>
      </c>
    </row>
    <row r="16" spans="1:4" x14ac:dyDescent="0.15">
      <c r="A16" s="6" t="s">
        <v>78</v>
      </c>
      <c r="B16" s="6" t="s">
        <v>1379</v>
      </c>
      <c r="C16" s="6">
        <v>18</v>
      </c>
      <c r="D16" s="6" t="str">
        <f>HYPERLINK("http://dl.ndl.go.jp/info:ndljp/pid/2532207/18")</f>
        <v>http://dl.ndl.go.jp/info:ndljp/pid/2532207/18</v>
      </c>
    </row>
    <row r="17" spans="1:4" x14ac:dyDescent="0.15">
      <c r="A17" s="6" t="s">
        <v>78</v>
      </c>
      <c r="B17" s="6" t="s">
        <v>1380</v>
      </c>
      <c r="C17" s="6">
        <v>21</v>
      </c>
      <c r="D17" s="6" t="str">
        <f>HYPERLINK("http://dl.ndl.go.jp/info:ndljp/pid/2532207/21")</f>
        <v>http://dl.ndl.go.jp/info:ndljp/pid/2532207/21</v>
      </c>
    </row>
    <row r="18" spans="1:4" x14ac:dyDescent="0.15">
      <c r="A18" s="6" t="s">
        <v>78</v>
      </c>
      <c r="B18" s="6" t="s">
        <v>1381</v>
      </c>
      <c r="C18" s="6">
        <v>23</v>
      </c>
      <c r="D18" s="6" t="str">
        <f>HYPERLINK("http://dl.ndl.go.jp/info:ndljp/pid/2532207/23")</f>
        <v>http://dl.ndl.go.jp/info:ndljp/pid/2532207/23</v>
      </c>
    </row>
    <row r="19" spans="1:4" x14ac:dyDescent="0.15">
      <c r="A19" s="6" t="s">
        <v>78</v>
      </c>
      <c r="B19" s="6" t="s">
        <v>1382</v>
      </c>
      <c r="C19" s="6">
        <v>24</v>
      </c>
      <c r="D19" s="6" t="str">
        <f>HYPERLINK("http://dl.ndl.go.jp/info:ndljp/pid/2532207/24")</f>
        <v>http://dl.ndl.go.jp/info:ndljp/pid/2532207/24</v>
      </c>
    </row>
    <row r="20" spans="1:4" x14ac:dyDescent="0.15">
      <c r="A20" s="6" t="s">
        <v>78</v>
      </c>
      <c r="B20" s="6" t="s">
        <v>1383</v>
      </c>
      <c r="C20" s="6">
        <v>26</v>
      </c>
      <c r="D20" s="6" t="str">
        <f>HYPERLINK("http://dl.ndl.go.jp/info:ndljp/pid/2532207/26")</f>
        <v>http://dl.ndl.go.jp/info:ndljp/pid/2532207/26</v>
      </c>
    </row>
    <row r="21" spans="1:4" x14ac:dyDescent="0.15">
      <c r="A21" s="6" t="s">
        <v>78</v>
      </c>
      <c r="B21" s="72" t="s">
        <v>1384</v>
      </c>
      <c r="C21" s="6">
        <v>28</v>
      </c>
      <c r="D21" s="6" t="str">
        <f>HYPERLINK("http://dl.ndl.go.jp/info:ndljp/pid/2532207/28")</f>
        <v>http://dl.ndl.go.jp/info:ndljp/pid/2532207/28</v>
      </c>
    </row>
    <row r="22" spans="1:4" x14ac:dyDescent="0.15">
      <c r="A22" s="6" t="s">
        <v>78</v>
      </c>
      <c r="B22" s="6" t="s">
        <v>1385</v>
      </c>
      <c r="C22" s="6">
        <v>28</v>
      </c>
      <c r="D22" s="6" t="str">
        <f>HYPERLINK("http://dl.ndl.go.jp/info:ndljp/pid/2532207/28")</f>
        <v>http://dl.ndl.go.jp/info:ndljp/pid/2532207/28</v>
      </c>
    </row>
    <row r="23" spans="1:4" x14ac:dyDescent="0.15">
      <c r="A23" s="6" t="s">
        <v>78</v>
      </c>
      <c r="B23" s="6" t="s">
        <v>1386</v>
      </c>
      <c r="C23" s="6">
        <v>30</v>
      </c>
      <c r="D23" s="6" t="str">
        <f>HYPERLINK("http://dl.ndl.go.jp/info:ndljp/pid/2532207/30")</f>
        <v>http://dl.ndl.go.jp/info:ndljp/pid/2532207/30</v>
      </c>
    </row>
    <row r="24" spans="1:4" x14ac:dyDescent="0.15">
      <c r="A24" s="6" t="s">
        <v>78</v>
      </c>
      <c r="B24" s="6" t="s">
        <v>1387</v>
      </c>
      <c r="C24" s="6">
        <v>32</v>
      </c>
      <c r="D24" s="6" t="str">
        <f>HYPERLINK("http://dl.ndl.go.jp/info:ndljp/pid/2532207/32")</f>
        <v>http://dl.ndl.go.jp/info:ndljp/pid/2532207/32</v>
      </c>
    </row>
    <row r="25" spans="1:4" x14ac:dyDescent="0.15">
      <c r="A25" s="6" t="s">
        <v>78</v>
      </c>
      <c r="B25" s="6" t="s">
        <v>1388</v>
      </c>
      <c r="C25" s="6">
        <v>32</v>
      </c>
      <c r="D25" s="6" t="str">
        <f>HYPERLINK("http://dl.ndl.go.jp/info:ndljp/pid/2532207/32")</f>
        <v>http://dl.ndl.go.jp/info:ndljp/pid/2532207/32</v>
      </c>
    </row>
    <row r="26" spans="1:4" x14ac:dyDescent="0.15">
      <c r="A26" s="6" t="s">
        <v>78</v>
      </c>
      <c r="B26" s="6" t="s">
        <v>1389</v>
      </c>
      <c r="C26" s="6">
        <v>34</v>
      </c>
      <c r="D26" s="6" t="str">
        <f>HYPERLINK("http://dl.ndl.go.jp/info:ndljp/pid/2532207/34")</f>
        <v>http://dl.ndl.go.jp/info:ndljp/pid/2532207/34</v>
      </c>
    </row>
    <row r="27" spans="1:4" x14ac:dyDescent="0.15">
      <c r="A27" s="6" t="s">
        <v>78</v>
      </c>
      <c r="B27" s="6" t="s">
        <v>1390</v>
      </c>
      <c r="C27" s="6">
        <v>36</v>
      </c>
      <c r="D27" s="6" t="str">
        <f>HYPERLINK("http://dl.ndl.go.jp/info:ndljp/pid/2532207/36")</f>
        <v>http://dl.ndl.go.jp/info:ndljp/pid/2532207/36</v>
      </c>
    </row>
    <row r="28" spans="1:4" x14ac:dyDescent="0.15">
      <c r="A28" s="6" t="s">
        <v>78</v>
      </c>
      <c r="B28" s="6" t="s">
        <v>1391</v>
      </c>
      <c r="C28" s="6">
        <v>38</v>
      </c>
      <c r="D28" s="6" t="str">
        <f>HYPERLINK("http://dl.ndl.go.jp/info:ndljp/pid/2532207/38")</f>
        <v>http://dl.ndl.go.jp/info:ndljp/pid/2532207/38</v>
      </c>
    </row>
    <row r="29" spans="1:4" x14ac:dyDescent="0.15">
      <c r="A29" s="6" t="s">
        <v>78</v>
      </c>
      <c r="B29" s="6" t="s">
        <v>1392</v>
      </c>
      <c r="C29" s="6">
        <v>40</v>
      </c>
      <c r="D29" s="6" t="str">
        <f>HYPERLINK("http://dl.ndl.go.jp/info:ndljp/pid/2532207/40")</f>
        <v>http://dl.ndl.go.jp/info:ndljp/pid/2532207/40</v>
      </c>
    </row>
    <row r="30" spans="1:4" x14ac:dyDescent="0.15">
      <c r="A30" s="6" t="s">
        <v>78</v>
      </c>
      <c r="B30" s="6" t="s">
        <v>1393</v>
      </c>
      <c r="C30" s="6">
        <v>41</v>
      </c>
      <c r="D30" s="6" t="str">
        <f>HYPERLINK("http://dl.ndl.go.jp/info:ndljp/pid/2532207/41")</f>
        <v>http://dl.ndl.go.jp/info:ndljp/pid/2532207/41</v>
      </c>
    </row>
    <row r="31" spans="1:4" x14ac:dyDescent="0.15">
      <c r="A31" s="6" t="s">
        <v>78</v>
      </c>
      <c r="B31" s="6" t="s">
        <v>1394</v>
      </c>
      <c r="C31" s="6">
        <v>42</v>
      </c>
      <c r="D31" s="6" t="str">
        <f>HYPERLINK("http://dl.ndl.go.jp/info:ndljp/pid/2532207/42")</f>
        <v>http://dl.ndl.go.jp/info:ndljp/pid/2532207/42</v>
      </c>
    </row>
    <row r="32" spans="1:4" x14ac:dyDescent="0.15">
      <c r="A32" s="6" t="s">
        <v>78</v>
      </c>
      <c r="B32" s="72" t="s">
        <v>1395</v>
      </c>
      <c r="C32" s="6">
        <v>43</v>
      </c>
      <c r="D32" s="6" t="str">
        <f>HYPERLINK("http://dl.ndl.go.jp/info:ndljp/pid/2532207/43")</f>
        <v>http://dl.ndl.go.jp/info:ndljp/pid/2532207/43</v>
      </c>
    </row>
    <row r="33" spans="1:4" x14ac:dyDescent="0.15">
      <c r="A33" s="6" t="s">
        <v>78</v>
      </c>
      <c r="B33" s="6" t="s">
        <v>1396</v>
      </c>
      <c r="C33" s="6">
        <v>43</v>
      </c>
      <c r="D33" s="6" t="str">
        <f>HYPERLINK("http://dl.ndl.go.jp/info:ndljp/pid/2532207/43")</f>
        <v>http://dl.ndl.go.jp/info:ndljp/pid/2532207/43</v>
      </c>
    </row>
    <row r="34" spans="1:4" x14ac:dyDescent="0.15">
      <c r="A34" s="6" t="s">
        <v>78</v>
      </c>
      <c r="B34" s="6" t="s">
        <v>1397</v>
      </c>
      <c r="C34" s="6">
        <v>46</v>
      </c>
      <c r="D34" s="6" t="str">
        <f>HYPERLINK("http://dl.ndl.go.jp/info:ndljp/pid/2532207/46")</f>
        <v>http://dl.ndl.go.jp/info:ndljp/pid/2532207/46</v>
      </c>
    </row>
    <row r="35" spans="1:4" x14ac:dyDescent="0.15">
      <c r="A35" s="6" t="s">
        <v>78</v>
      </c>
      <c r="B35" s="6" t="s">
        <v>1398</v>
      </c>
      <c r="C35" s="6">
        <v>48</v>
      </c>
      <c r="D35" s="6" t="str">
        <f>HYPERLINK("http://dl.ndl.go.jp/info:ndljp/pid/2532207/48")</f>
        <v>http://dl.ndl.go.jp/info:ndljp/pid/2532207/48</v>
      </c>
    </row>
    <row r="36" spans="1:4" x14ac:dyDescent="0.15">
      <c r="A36" s="6" t="s">
        <v>78</v>
      </c>
      <c r="B36" s="6" t="s">
        <v>1399</v>
      </c>
      <c r="C36" s="6">
        <v>51</v>
      </c>
      <c r="D36" s="6" t="str">
        <f>HYPERLINK("http://dl.ndl.go.jp/info:ndljp/pid/2532207/51")</f>
        <v>http://dl.ndl.go.jp/info:ndljp/pid/2532207/51</v>
      </c>
    </row>
    <row r="37" spans="1:4" x14ac:dyDescent="0.15">
      <c r="A37" s="6" t="s">
        <v>78</v>
      </c>
      <c r="B37" s="6" t="s">
        <v>1400</v>
      </c>
      <c r="C37" s="6">
        <v>53</v>
      </c>
      <c r="D37" s="6" t="str">
        <f>HYPERLINK("http://dl.ndl.go.jp/info:ndljp/pid/2532207/53")</f>
        <v>http://dl.ndl.go.jp/info:ndljp/pid/2532207/53</v>
      </c>
    </row>
    <row r="38" spans="1:4" x14ac:dyDescent="0.15">
      <c r="A38" s="6" t="s">
        <v>78</v>
      </c>
      <c r="B38" s="6" t="s">
        <v>1401</v>
      </c>
      <c r="C38" s="6">
        <v>55</v>
      </c>
      <c r="D38" s="6" t="str">
        <f>HYPERLINK("http://dl.ndl.go.jp/info:ndljp/pid/2532207/55")</f>
        <v>http://dl.ndl.go.jp/info:ndljp/pid/2532207/55</v>
      </c>
    </row>
    <row r="39" spans="1:4" x14ac:dyDescent="0.15">
      <c r="A39" s="6" t="s">
        <v>78</v>
      </c>
      <c r="B39" s="6" t="s">
        <v>1402</v>
      </c>
      <c r="C39" s="6">
        <v>57</v>
      </c>
      <c r="D39" s="6" t="str">
        <f>HYPERLINK("http://dl.ndl.go.jp/info:ndljp/pid/2532207/57")</f>
        <v>http://dl.ndl.go.jp/info:ndljp/pid/2532207/57</v>
      </c>
    </row>
    <row r="40" spans="1:4" x14ac:dyDescent="0.15">
      <c r="A40" s="6" t="s">
        <v>78</v>
      </c>
      <c r="B40" s="6" t="s">
        <v>1403</v>
      </c>
      <c r="C40" s="6">
        <v>57</v>
      </c>
      <c r="D40" s="6" t="str">
        <f>HYPERLINK("http://dl.ndl.go.jp/info:ndljp/pid/2532207/57")</f>
        <v>http://dl.ndl.go.jp/info:ndljp/pid/2532207/57</v>
      </c>
    </row>
    <row r="41" spans="1:4" x14ac:dyDescent="0.15">
      <c r="A41" s="6" t="s">
        <v>78</v>
      </c>
      <c r="B41" s="6" t="s">
        <v>1404</v>
      </c>
      <c r="C41" s="6">
        <v>60</v>
      </c>
      <c r="D41" s="6" t="str">
        <f>HYPERLINK("http://dl.ndl.go.jp/info:ndljp/pid/2532207/60")</f>
        <v>http://dl.ndl.go.jp/info:ndljp/pid/2532207/60</v>
      </c>
    </row>
    <row r="42" spans="1:4" x14ac:dyDescent="0.15">
      <c r="A42" s="6" t="s">
        <v>78</v>
      </c>
      <c r="B42" s="6" t="s">
        <v>1405</v>
      </c>
      <c r="C42" s="6">
        <v>63</v>
      </c>
      <c r="D42" s="6" t="str">
        <f>HYPERLINK("http://dl.ndl.go.jp/info:ndljp/pid/2532207/63")</f>
        <v>http://dl.ndl.go.jp/info:ndljp/pid/2532207/63</v>
      </c>
    </row>
    <row r="43" spans="1:4" x14ac:dyDescent="0.15">
      <c r="A43" s="6" t="s">
        <v>78</v>
      </c>
      <c r="B43" s="6" t="s">
        <v>1406</v>
      </c>
      <c r="C43" s="6">
        <v>68</v>
      </c>
      <c r="D43" s="6" t="str">
        <f>HYPERLINK("http://dl.ndl.go.jp/info:ndljp/pid/2532207/68")</f>
        <v>http://dl.ndl.go.jp/info:ndljp/pid/2532207/68</v>
      </c>
    </row>
    <row r="44" spans="1:4" x14ac:dyDescent="0.15">
      <c r="A44" s="11" t="s">
        <v>5215</v>
      </c>
      <c r="B44" s="11" t="s">
        <v>87</v>
      </c>
      <c r="C44" s="6"/>
      <c r="D44" s="6"/>
    </row>
    <row r="45" spans="1:4" x14ac:dyDescent="0.15">
      <c r="A45" s="84" t="s">
        <v>5440</v>
      </c>
      <c r="B45" s="74" t="s">
        <v>5480</v>
      </c>
      <c r="C45" s="6"/>
      <c r="D45" s="67"/>
    </row>
    <row r="46" spans="1:4" x14ac:dyDescent="0.15">
      <c r="B46" s="68" t="s">
        <v>5481</v>
      </c>
      <c r="C46" s="6"/>
    </row>
    <row r="47" spans="1:4" x14ac:dyDescent="0.15">
      <c r="A47" s="87"/>
      <c r="B47" s="71" t="s">
        <v>5216</v>
      </c>
      <c r="C47" s="6"/>
      <c r="D47" s="9" t="s">
        <v>1475</v>
      </c>
    </row>
    <row r="48" spans="1:4" x14ac:dyDescent="0.15">
      <c r="A48" s="6" t="s">
        <v>86</v>
      </c>
      <c r="B48" s="6" t="s">
        <v>1371</v>
      </c>
      <c r="C48" s="6">
        <v>2</v>
      </c>
      <c r="D48" s="9" t="s">
        <v>4842</v>
      </c>
    </row>
    <row r="49" spans="1:4" x14ac:dyDescent="0.15">
      <c r="A49" s="6" t="s">
        <v>86</v>
      </c>
      <c r="B49" s="6" t="s">
        <v>1371</v>
      </c>
      <c r="C49" s="6">
        <v>3</v>
      </c>
      <c r="D49" s="9" t="s">
        <v>4842</v>
      </c>
    </row>
    <row r="50" spans="1:4" x14ac:dyDescent="0.15">
      <c r="A50" s="6" t="s">
        <v>86</v>
      </c>
      <c r="B50" s="6" t="s">
        <v>1476</v>
      </c>
      <c r="C50" s="6">
        <v>7</v>
      </c>
      <c r="D50" s="9" t="s">
        <v>4842</v>
      </c>
    </row>
    <row r="51" spans="1:4" x14ac:dyDescent="0.15">
      <c r="A51" s="6" t="s">
        <v>86</v>
      </c>
      <c r="B51" s="72" t="s">
        <v>1472</v>
      </c>
      <c r="C51" s="6">
        <v>8</v>
      </c>
      <c r="D51" s="9" t="s">
        <v>4842</v>
      </c>
    </row>
    <row r="52" spans="1:4" x14ac:dyDescent="0.15">
      <c r="A52" s="6" t="s">
        <v>86</v>
      </c>
      <c r="B52" s="6" t="s">
        <v>1408</v>
      </c>
      <c r="C52" s="6">
        <v>8</v>
      </c>
      <c r="D52" s="9" t="s">
        <v>4842</v>
      </c>
    </row>
    <row r="53" spans="1:4" x14ac:dyDescent="0.15">
      <c r="A53" s="6" t="s">
        <v>86</v>
      </c>
      <c r="B53" s="6" t="s">
        <v>1409</v>
      </c>
      <c r="C53" s="6">
        <v>10</v>
      </c>
      <c r="D53" s="9" t="s">
        <v>4842</v>
      </c>
    </row>
    <row r="54" spans="1:4" x14ac:dyDescent="0.15">
      <c r="A54" s="6" t="s">
        <v>86</v>
      </c>
      <c r="B54" s="6" t="s">
        <v>1410</v>
      </c>
      <c r="C54" s="6">
        <v>11</v>
      </c>
      <c r="D54" s="9" t="s">
        <v>4842</v>
      </c>
    </row>
    <row r="55" spans="1:4" x14ac:dyDescent="0.15">
      <c r="A55" s="6" t="s">
        <v>86</v>
      </c>
      <c r="B55" s="6" t="s">
        <v>1411</v>
      </c>
      <c r="C55" s="6">
        <v>13</v>
      </c>
      <c r="D55" s="9" t="s">
        <v>4842</v>
      </c>
    </row>
    <row r="56" spans="1:4" x14ac:dyDescent="0.15">
      <c r="A56" s="6" t="s">
        <v>86</v>
      </c>
      <c r="B56" s="6" t="s">
        <v>1412</v>
      </c>
      <c r="C56" s="6">
        <v>14</v>
      </c>
      <c r="D56" s="9" t="s">
        <v>4842</v>
      </c>
    </row>
    <row r="57" spans="1:4" x14ac:dyDescent="0.15">
      <c r="A57" s="6" t="s">
        <v>86</v>
      </c>
      <c r="B57" s="6" t="s">
        <v>1413</v>
      </c>
      <c r="C57" s="6">
        <v>15</v>
      </c>
      <c r="D57" s="9" t="s">
        <v>4842</v>
      </c>
    </row>
    <row r="58" spans="1:4" x14ac:dyDescent="0.15">
      <c r="A58" s="6" t="s">
        <v>86</v>
      </c>
      <c r="B58" s="6" t="s">
        <v>1414</v>
      </c>
      <c r="C58" s="6">
        <v>17</v>
      </c>
      <c r="D58" s="9" t="s">
        <v>4842</v>
      </c>
    </row>
    <row r="59" spans="1:4" x14ac:dyDescent="0.15">
      <c r="A59" s="6" t="s">
        <v>86</v>
      </c>
      <c r="B59" s="6" t="s">
        <v>1415</v>
      </c>
      <c r="C59" s="6">
        <v>17</v>
      </c>
      <c r="D59" s="9" t="s">
        <v>4842</v>
      </c>
    </row>
    <row r="60" spans="1:4" x14ac:dyDescent="0.15">
      <c r="A60" s="6" t="s">
        <v>86</v>
      </c>
      <c r="B60" s="6" t="s">
        <v>1416</v>
      </c>
      <c r="C60" s="6">
        <v>19</v>
      </c>
      <c r="D60" s="9" t="s">
        <v>4842</v>
      </c>
    </row>
    <row r="61" spans="1:4" x14ac:dyDescent="0.15">
      <c r="A61" s="6" t="s">
        <v>86</v>
      </c>
      <c r="B61" s="6" t="s">
        <v>1417</v>
      </c>
      <c r="C61" s="6">
        <v>20</v>
      </c>
      <c r="D61" s="9" t="s">
        <v>4842</v>
      </c>
    </row>
    <row r="62" spans="1:4" x14ac:dyDescent="0.15">
      <c r="A62" s="6" t="s">
        <v>86</v>
      </c>
      <c r="B62" s="6" t="s">
        <v>1418</v>
      </c>
      <c r="C62" s="6">
        <v>21</v>
      </c>
      <c r="D62" s="9" t="s">
        <v>4842</v>
      </c>
    </row>
    <row r="63" spans="1:4" x14ac:dyDescent="0.15">
      <c r="A63" s="6" t="s">
        <v>86</v>
      </c>
      <c r="B63" s="6" t="s">
        <v>1419</v>
      </c>
      <c r="C63" s="6">
        <v>23</v>
      </c>
      <c r="D63" s="9" t="s">
        <v>4842</v>
      </c>
    </row>
    <row r="64" spans="1:4" x14ac:dyDescent="0.15">
      <c r="A64" s="6" t="s">
        <v>86</v>
      </c>
      <c r="B64" s="6" t="s">
        <v>1420</v>
      </c>
      <c r="C64" s="6">
        <v>24</v>
      </c>
      <c r="D64" s="9" t="s">
        <v>4842</v>
      </c>
    </row>
    <row r="65" spans="1:4" x14ac:dyDescent="0.15">
      <c r="A65" s="6" t="s">
        <v>86</v>
      </c>
      <c r="B65" s="6" t="s">
        <v>1421</v>
      </c>
      <c r="C65" s="6">
        <v>25</v>
      </c>
      <c r="D65" s="9" t="s">
        <v>4842</v>
      </c>
    </row>
    <row r="66" spans="1:4" x14ac:dyDescent="0.15">
      <c r="A66" s="6" t="s">
        <v>86</v>
      </c>
      <c r="B66" s="6" t="s">
        <v>1422</v>
      </c>
      <c r="C66" s="6">
        <v>26</v>
      </c>
      <c r="D66" s="9" t="s">
        <v>4842</v>
      </c>
    </row>
    <row r="67" spans="1:4" x14ac:dyDescent="0.15">
      <c r="A67" s="6" t="s">
        <v>86</v>
      </c>
      <c r="B67" s="6" t="s">
        <v>1423</v>
      </c>
      <c r="C67" s="6">
        <v>28</v>
      </c>
      <c r="D67" s="9" t="s">
        <v>4842</v>
      </c>
    </row>
    <row r="68" spans="1:4" x14ac:dyDescent="0.15">
      <c r="A68" s="6" t="s">
        <v>86</v>
      </c>
      <c r="B68" s="6" t="s">
        <v>1424</v>
      </c>
      <c r="C68" s="6">
        <v>30</v>
      </c>
      <c r="D68" s="9" t="s">
        <v>4842</v>
      </c>
    </row>
    <row r="69" spans="1:4" x14ac:dyDescent="0.15">
      <c r="A69" s="6" t="s">
        <v>86</v>
      </c>
      <c r="B69" s="6" t="s">
        <v>1425</v>
      </c>
      <c r="C69" s="6">
        <v>32</v>
      </c>
      <c r="D69" s="9" t="s">
        <v>4842</v>
      </c>
    </row>
    <row r="70" spans="1:4" x14ac:dyDescent="0.15">
      <c r="A70" s="6" t="s">
        <v>86</v>
      </c>
      <c r="B70" s="72" t="s">
        <v>1471</v>
      </c>
      <c r="C70" s="6">
        <v>33</v>
      </c>
      <c r="D70" s="9" t="s">
        <v>4842</v>
      </c>
    </row>
    <row r="71" spans="1:4" x14ac:dyDescent="0.15">
      <c r="A71" s="6" t="s">
        <v>86</v>
      </c>
      <c r="B71" s="6" t="s">
        <v>1426</v>
      </c>
      <c r="C71" s="6">
        <v>33</v>
      </c>
      <c r="D71" s="9" t="s">
        <v>4842</v>
      </c>
    </row>
    <row r="72" spans="1:4" x14ac:dyDescent="0.15">
      <c r="A72" s="6" t="s">
        <v>86</v>
      </c>
      <c r="B72" s="6" t="s">
        <v>1427</v>
      </c>
      <c r="C72" s="6">
        <v>35</v>
      </c>
      <c r="D72" s="9" t="s">
        <v>4842</v>
      </c>
    </row>
    <row r="73" spans="1:4" x14ac:dyDescent="0.15">
      <c r="A73" s="6" t="s">
        <v>86</v>
      </c>
      <c r="B73" s="6" t="s">
        <v>1477</v>
      </c>
      <c r="C73" s="6">
        <v>36</v>
      </c>
      <c r="D73" s="9" t="s">
        <v>4842</v>
      </c>
    </row>
    <row r="74" spans="1:4" x14ac:dyDescent="0.15">
      <c r="A74" s="6" t="s">
        <v>86</v>
      </c>
      <c r="B74" s="6" t="s">
        <v>1428</v>
      </c>
      <c r="C74" s="6">
        <v>37</v>
      </c>
      <c r="D74" s="9" t="s">
        <v>4842</v>
      </c>
    </row>
    <row r="75" spans="1:4" x14ac:dyDescent="0.15">
      <c r="A75" s="6" t="s">
        <v>86</v>
      </c>
      <c r="B75" s="6" t="s">
        <v>1429</v>
      </c>
      <c r="C75" s="6">
        <v>38</v>
      </c>
      <c r="D75" s="9" t="s">
        <v>4842</v>
      </c>
    </row>
    <row r="76" spans="1:4" x14ac:dyDescent="0.15">
      <c r="A76" s="6" t="s">
        <v>86</v>
      </c>
      <c r="B76" s="6" t="s">
        <v>1430</v>
      </c>
      <c r="C76" s="6">
        <v>40</v>
      </c>
      <c r="D76" s="9" t="s">
        <v>4842</v>
      </c>
    </row>
    <row r="77" spans="1:4" x14ac:dyDescent="0.15">
      <c r="A77" s="6" t="s">
        <v>86</v>
      </c>
      <c r="B77" s="6" t="s">
        <v>1431</v>
      </c>
      <c r="C77" s="6">
        <v>41</v>
      </c>
      <c r="D77" s="9" t="s">
        <v>4842</v>
      </c>
    </row>
    <row r="78" spans="1:4" x14ac:dyDescent="0.15">
      <c r="A78" s="6" t="s">
        <v>86</v>
      </c>
      <c r="B78" s="6" t="s">
        <v>1432</v>
      </c>
      <c r="C78" s="6">
        <v>43</v>
      </c>
      <c r="D78" s="9" t="s">
        <v>4842</v>
      </c>
    </row>
    <row r="79" spans="1:4" x14ac:dyDescent="0.15">
      <c r="A79" s="6" t="s">
        <v>86</v>
      </c>
      <c r="B79" s="6" t="s">
        <v>1433</v>
      </c>
      <c r="C79" s="6">
        <v>44</v>
      </c>
      <c r="D79" s="9" t="s">
        <v>4842</v>
      </c>
    </row>
    <row r="80" spans="1:4" x14ac:dyDescent="0.15">
      <c r="A80" s="6" t="s">
        <v>86</v>
      </c>
      <c r="B80" s="6" t="s">
        <v>1434</v>
      </c>
      <c r="C80" s="6">
        <v>46</v>
      </c>
      <c r="D80" s="9" t="s">
        <v>4842</v>
      </c>
    </row>
    <row r="81" spans="1:4" x14ac:dyDescent="0.15">
      <c r="A81" s="6" t="s">
        <v>86</v>
      </c>
      <c r="B81" s="6" t="s">
        <v>1435</v>
      </c>
      <c r="C81" s="6">
        <v>47</v>
      </c>
      <c r="D81" s="9" t="s">
        <v>4842</v>
      </c>
    </row>
    <row r="82" spans="1:4" x14ac:dyDescent="0.15">
      <c r="A82" s="6" t="s">
        <v>86</v>
      </c>
      <c r="B82" s="6" t="s">
        <v>1436</v>
      </c>
      <c r="C82" s="6">
        <v>49</v>
      </c>
      <c r="D82" s="9" t="s">
        <v>4842</v>
      </c>
    </row>
    <row r="83" spans="1:4" x14ac:dyDescent="0.15">
      <c r="A83" s="6" t="s">
        <v>86</v>
      </c>
      <c r="B83" s="6" t="s">
        <v>1437</v>
      </c>
      <c r="C83" s="6">
        <v>50</v>
      </c>
      <c r="D83" s="9" t="s">
        <v>4842</v>
      </c>
    </row>
    <row r="84" spans="1:4" x14ac:dyDescent="0.15">
      <c r="A84" s="6" t="s">
        <v>86</v>
      </c>
      <c r="B84" s="6" t="s">
        <v>1438</v>
      </c>
      <c r="C84" s="6">
        <v>51</v>
      </c>
      <c r="D84" s="9" t="s">
        <v>4842</v>
      </c>
    </row>
    <row r="85" spans="1:4" x14ac:dyDescent="0.15">
      <c r="A85" s="6" t="s">
        <v>86</v>
      </c>
      <c r="B85" s="6" t="s">
        <v>1439</v>
      </c>
      <c r="C85" s="6">
        <v>52</v>
      </c>
      <c r="D85" s="9" t="s">
        <v>4842</v>
      </c>
    </row>
    <row r="86" spans="1:4" x14ac:dyDescent="0.15">
      <c r="A86" s="6" t="s">
        <v>86</v>
      </c>
      <c r="B86" s="6" t="s">
        <v>1440</v>
      </c>
      <c r="C86" s="6">
        <v>53</v>
      </c>
      <c r="D86" s="9" t="s">
        <v>4842</v>
      </c>
    </row>
    <row r="87" spans="1:4" x14ac:dyDescent="0.15">
      <c r="A87" s="6" t="s">
        <v>86</v>
      </c>
      <c r="B87" s="6" t="s">
        <v>1441</v>
      </c>
      <c r="C87" s="6">
        <v>54</v>
      </c>
      <c r="D87" s="9" t="s">
        <v>4842</v>
      </c>
    </row>
    <row r="88" spans="1:4" x14ac:dyDescent="0.15">
      <c r="A88" s="6" t="s">
        <v>86</v>
      </c>
      <c r="B88" s="6" t="s">
        <v>1442</v>
      </c>
      <c r="C88" s="6">
        <v>56</v>
      </c>
      <c r="D88" s="9" t="s">
        <v>4842</v>
      </c>
    </row>
    <row r="89" spans="1:4" x14ac:dyDescent="0.15">
      <c r="A89" s="6" t="s">
        <v>86</v>
      </c>
      <c r="B89" s="72" t="s">
        <v>1473</v>
      </c>
      <c r="C89" s="6">
        <v>2</v>
      </c>
      <c r="D89" s="60" t="s">
        <v>4843</v>
      </c>
    </row>
    <row r="90" spans="1:4" x14ac:dyDescent="0.15">
      <c r="A90" s="6" t="s">
        <v>86</v>
      </c>
      <c r="B90" s="6" t="s">
        <v>1443</v>
      </c>
      <c r="C90" s="6">
        <v>2</v>
      </c>
      <c r="D90" s="60" t="s">
        <v>4843</v>
      </c>
    </row>
    <row r="91" spans="1:4" x14ac:dyDescent="0.15">
      <c r="A91" s="6" t="s">
        <v>86</v>
      </c>
      <c r="B91" s="6" t="s">
        <v>1478</v>
      </c>
      <c r="C91" s="6">
        <v>3</v>
      </c>
      <c r="D91" s="60" t="s">
        <v>4843</v>
      </c>
    </row>
    <row r="92" spans="1:4" x14ac:dyDescent="0.15">
      <c r="A92" s="6" t="s">
        <v>86</v>
      </c>
      <c r="B92" s="6" t="s">
        <v>1444</v>
      </c>
      <c r="C92" s="6">
        <v>4</v>
      </c>
      <c r="D92" s="60" t="s">
        <v>4843</v>
      </c>
    </row>
    <row r="93" spans="1:4" x14ac:dyDescent="0.15">
      <c r="A93" s="6" t="s">
        <v>86</v>
      </c>
      <c r="B93" s="6" t="s">
        <v>1445</v>
      </c>
      <c r="C93" s="6">
        <v>5</v>
      </c>
      <c r="D93" s="60" t="s">
        <v>4843</v>
      </c>
    </row>
    <row r="94" spans="1:4" x14ac:dyDescent="0.15">
      <c r="A94" s="6" t="s">
        <v>86</v>
      </c>
      <c r="B94" s="6" t="s">
        <v>1479</v>
      </c>
      <c r="C94" s="6">
        <v>6</v>
      </c>
      <c r="D94" s="60" t="s">
        <v>4843</v>
      </c>
    </row>
    <row r="95" spans="1:4" x14ac:dyDescent="0.15">
      <c r="A95" s="6" t="s">
        <v>86</v>
      </c>
      <c r="B95" s="6" t="s">
        <v>1446</v>
      </c>
      <c r="C95" s="6">
        <v>7</v>
      </c>
      <c r="D95" s="60" t="s">
        <v>4843</v>
      </c>
    </row>
    <row r="96" spans="1:4" x14ac:dyDescent="0.15">
      <c r="A96" s="6" t="s">
        <v>86</v>
      </c>
      <c r="B96" s="6" t="s">
        <v>1447</v>
      </c>
      <c r="C96" s="6">
        <v>8</v>
      </c>
      <c r="D96" s="60" t="s">
        <v>4843</v>
      </c>
    </row>
    <row r="97" spans="1:4" x14ac:dyDescent="0.15">
      <c r="A97" s="6" t="s">
        <v>86</v>
      </c>
      <c r="B97" s="6" t="s">
        <v>1480</v>
      </c>
      <c r="C97" s="6">
        <v>11</v>
      </c>
      <c r="D97" s="60" t="s">
        <v>4843</v>
      </c>
    </row>
    <row r="98" spans="1:4" x14ac:dyDescent="0.15">
      <c r="A98" s="6" t="s">
        <v>86</v>
      </c>
      <c r="B98" s="6" t="s">
        <v>1448</v>
      </c>
      <c r="C98" s="6">
        <v>12</v>
      </c>
      <c r="D98" s="60" t="s">
        <v>4843</v>
      </c>
    </row>
    <row r="99" spans="1:4" x14ac:dyDescent="0.15">
      <c r="A99" s="6" t="s">
        <v>86</v>
      </c>
      <c r="B99" s="6" t="s">
        <v>1449</v>
      </c>
      <c r="C99" s="6">
        <v>14</v>
      </c>
      <c r="D99" s="60" t="s">
        <v>4843</v>
      </c>
    </row>
    <row r="100" spans="1:4" x14ac:dyDescent="0.15">
      <c r="A100" s="6" t="s">
        <v>86</v>
      </c>
      <c r="B100" s="6" t="s">
        <v>1450</v>
      </c>
      <c r="C100" s="6">
        <v>16</v>
      </c>
      <c r="D100" s="60" t="s">
        <v>4843</v>
      </c>
    </row>
    <row r="101" spans="1:4" x14ac:dyDescent="0.15">
      <c r="A101" s="6" t="s">
        <v>86</v>
      </c>
      <c r="B101" s="6" t="s">
        <v>1451</v>
      </c>
      <c r="C101" s="6">
        <v>17</v>
      </c>
      <c r="D101" s="60" t="s">
        <v>4843</v>
      </c>
    </row>
    <row r="102" spans="1:4" x14ac:dyDescent="0.15">
      <c r="A102" s="6" t="s">
        <v>86</v>
      </c>
      <c r="B102" s="6" t="s">
        <v>1481</v>
      </c>
      <c r="C102" s="6">
        <v>18</v>
      </c>
      <c r="D102" s="60" t="s">
        <v>4843</v>
      </c>
    </row>
    <row r="103" spans="1:4" x14ac:dyDescent="0.15">
      <c r="A103" s="6" t="s">
        <v>86</v>
      </c>
      <c r="B103" s="6" t="s">
        <v>1452</v>
      </c>
      <c r="C103" s="6">
        <v>20</v>
      </c>
      <c r="D103" s="60" t="s">
        <v>4843</v>
      </c>
    </row>
    <row r="104" spans="1:4" x14ac:dyDescent="0.15">
      <c r="A104" s="72" t="s">
        <v>5482</v>
      </c>
      <c r="B104" s="72" t="s">
        <v>1474</v>
      </c>
      <c r="C104" s="6">
        <v>22</v>
      </c>
      <c r="D104" s="60" t="s">
        <v>4843</v>
      </c>
    </row>
    <row r="105" spans="1:4" x14ac:dyDescent="0.15">
      <c r="A105" s="85" t="s">
        <v>5441</v>
      </c>
      <c r="B105" s="72" t="s">
        <v>1474</v>
      </c>
      <c r="C105" s="6"/>
      <c r="D105" s="60"/>
    </row>
    <row r="106" spans="1:4" x14ac:dyDescent="0.15">
      <c r="A106" s="6" t="s">
        <v>5217</v>
      </c>
      <c r="B106" s="6" t="s">
        <v>1453</v>
      </c>
      <c r="C106" s="6">
        <v>22</v>
      </c>
      <c r="D106" s="60" t="s">
        <v>4843</v>
      </c>
    </row>
    <row r="107" spans="1:4" x14ac:dyDescent="0.15">
      <c r="A107" s="6" t="s">
        <v>5217</v>
      </c>
      <c r="B107" s="6" t="s">
        <v>1454</v>
      </c>
      <c r="C107" s="6">
        <v>24</v>
      </c>
      <c r="D107" s="60" t="s">
        <v>4843</v>
      </c>
    </row>
    <row r="108" spans="1:4" x14ac:dyDescent="0.15">
      <c r="A108" s="6" t="s">
        <v>5217</v>
      </c>
      <c r="B108" s="6" t="s">
        <v>1455</v>
      </c>
      <c r="C108" s="6">
        <v>25</v>
      </c>
      <c r="D108" s="60" t="s">
        <v>4843</v>
      </c>
    </row>
    <row r="109" spans="1:4" x14ac:dyDescent="0.15">
      <c r="A109" s="6" t="s">
        <v>5217</v>
      </c>
      <c r="B109" s="6" t="s">
        <v>1456</v>
      </c>
      <c r="C109" s="6">
        <v>27</v>
      </c>
      <c r="D109" s="60" t="s">
        <v>4843</v>
      </c>
    </row>
    <row r="110" spans="1:4" x14ac:dyDescent="0.15">
      <c r="A110" s="6" t="s">
        <v>5217</v>
      </c>
      <c r="B110" s="6" t="s">
        <v>1457</v>
      </c>
      <c r="C110" s="6">
        <v>30</v>
      </c>
      <c r="D110" s="60" t="s">
        <v>4843</v>
      </c>
    </row>
    <row r="111" spans="1:4" x14ac:dyDescent="0.15">
      <c r="A111" s="6" t="s">
        <v>5217</v>
      </c>
      <c r="B111" s="6" t="s">
        <v>1458</v>
      </c>
      <c r="C111" s="6">
        <v>31</v>
      </c>
      <c r="D111" s="60" t="s">
        <v>4843</v>
      </c>
    </row>
    <row r="112" spans="1:4" x14ac:dyDescent="0.15">
      <c r="A112" s="6" t="s">
        <v>5217</v>
      </c>
      <c r="B112" s="6" t="s">
        <v>1459</v>
      </c>
      <c r="C112" s="6">
        <v>32</v>
      </c>
      <c r="D112" s="60" t="s">
        <v>4843</v>
      </c>
    </row>
    <row r="113" spans="1:5" x14ac:dyDescent="0.15">
      <c r="A113" s="6" t="s">
        <v>5217</v>
      </c>
      <c r="B113" s="6" t="s">
        <v>1460</v>
      </c>
      <c r="C113" s="6">
        <v>35</v>
      </c>
      <c r="D113" s="60" t="s">
        <v>4843</v>
      </c>
    </row>
    <row r="114" spans="1:5" x14ac:dyDescent="0.15">
      <c r="A114" s="6" t="s">
        <v>5217</v>
      </c>
      <c r="B114" s="6" t="s">
        <v>1482</v>
      </c>
      <c r="C114" s="6">
        <v>36</v>
      </c>
      <c r="D114" s="60" t="s">
        <v>4843</v>
      </c>
    </row>
    <row r="115" spans="1:5" x14ac:dyDescent="0.15">
      <c r="A115" s="6" t="s">
        <v>5217</v>
      </c>
      <c r="B115" s="6" t="s">
        <v>1461</v>
      </c>
      <c r="C115" s="6">
        <v>37</v>
      </c>
      <c r="D115" s="60" t="s">
        <v>4843</v>
      </c>
    </row>
    <row r="116" spans="1:5" x14ac:dyDescent="0.15">
      <c r="A116" s="6" t="s">
        <v>5217</v>
      </c>
      <c r="B116" s="6" t="s">
        <v>1462</v>
      </c>
      <c r="C116" s="6">
        <v>38</v>
      </c>
      <c r="D116" s="60" t="s">
        <v>4843</v>
      </c>
    </row>
    <row r="117" spans="1:5" x14ac:dyDescent="0.15">
      <c r="A117" s="6" t="s">
        <v>5217</v>
      </c>
      <c r="B117" s="6" t="s">
        <v>1483</v>
      </c>
      <c r="C117" s="6">
        <v>39</v>
      </c>
      <c r="D117" s="60" t="s">
        <v>4843</v>
      </c>
    </row>
    <row r="118" spans="1:5" x14ac:dyDescent="0.15">
      <c r="A118" s="6" t="s">
        <v>5217</v>
      </c>
      <c r="B118" s="6" t="s">
        <v>1463</v>
      </c>
      <c r="C118" s="6">
        <v>40</v>
      </c>
      <c r="D118" s="60" t="s">
        <v>4843</v>
      </c>
    </row>
    <row r="119" spans="1:5" x14ac:dyDescent="0.15">
      <c r="A119" s="6" t="s">
        <v>5217</v>
      </c>
      <c r="B119" s="6" t="s">
        <v>1464</v>
      </c>
      <c r="C119" s="6">
        <v>41</v>
      </c>
      <c r="D119" s="60" t="s">
        <v>4843</v>
      </c>
    </row>
    <row r="120" spans="1:5" x14ac:dyDescent="0.15">
      <c r="A120" s="6" t="s">
        <v>5217</v>
      </c>
      <c r="B120" s="6" t="s">
        <v>1465</v>
      </c>
      <c r="C120" s="6">
        <v>42</v>
      </c>
      <c r="D120" s="60" t="s">
        <v>4843</v>
      </c>
    </row>
    <row r="121" spans="1:5" x14ac:dyDescent="0.15">
      <c r="A121" s="6" t="s">
        <v>5217</v>
      </c>
      <c r="B121" s="6" t="s">
        <v>1466</v>
      </c>
      <c r="C121" s="6">
        <v>44</v>
      </c>
      <c r="D121" s="60" t="s">
        <v>4843</v>
      </c>
    </row>
    <row r="122" spans="1:5" x14ac:dyDescent="0.15">
      <c r="A122" s="6" t="s">
        <v>5217</v>
      </c>
      <c r="B122" s="6" t="s">
        <v>1467</v>
      </c>
      <c r="C122" s="6">
        <v>45</v>
      </c>
      <c r="D122" s="60" t="s">
        <v>4843</v>
      </c>
    </row>
    <row r="123" spans="1:5" x14ac:dyDescent="0.15">
      <c r="A123" s="6" t="s">
        <v>5217</v>
      </c>
      <c r="B123" s="6" t="s">
        <v>1468</v>
      </c>
      <c r="C123" s="6">
        <v>46</v>
      </c>
      <c r="D123" s="60" t="s">
        <v>4843</v>
      </c>
    </row>
    <row r="124" spans="1:5" x14ac:dyDescent="0.15">
      <c r="A124" s="6" t="s">
        <v>5217</v>
      </c>
      <c r="B124" s="6" t="s">
        <v>1469</v>
      </c>
      <c r="C124" s="6">
        <v>47</v>
      </c>
      <c r="D124" s="60" t="s">
        <v>4843</v>
      </c>
    </row>
    <row r="125" spans="1:5" x14ac:dyDescent="0.15">
      <c r="A125" s="6" t="s">
        <v>5217</v>
      </c>
      <c r="B125" s="6" t="s">
        <v>1470</v>
      </c>
      <c r="C125" s="6">
        <v>48</v>
      </c>
      <c r="D125" s="60" t="s">
        <v>4843</v>
      </c>
    </row>
    <row r="126" spans="1:5" x14ac:dyDescent="0.15">
      <c r="A126" s="8" t="s">
        <v>5218</v>
      </c>
      <c r="B126" s="8" t="s">
        <v>94</v>
      </c>
      <c r="C126" s="6"/>
      <c r="D126" s="6"/>
    </row>
    <row r="127" spans="1:5" x14ac:dyDescent="0.15">
      <c r="A127" s="85" t="s">
        <v>5442</v>
      </c>
      <c r="B127" s="71" t="s">
        <v>5229</v>
      </c>
      <c r="C127" s="6"/>
      <c r="D127" s="9" t="s">
        <v>4189</v>
      </c>
      <c r="E127" s="67"/>
    </row>
    <row r="128" spans="1:5" x14ac:dyDescent="0.15">
      <c r="A128" s="13"/>
      <c r="B128" s="71" t="s">
        <v>5230</v>
      </c>
      <c r="C128" s="6"/>
      <c r="D128" s="9"/>
      <c r="E128" s="67"/>
    </row>
    <row r="129" spans="1:4" x14ac:dyDescent="0.15">
      <c r="A129" s="6" t="s">
        <v>93</v>
      </c>
      <c r="B129" s="6" t="s">
        <v>1371</v>
      </c>
      <c r="C129" s="6">
        <v>4</v>
      </c>
      <c r="D129" s="9" t="str">
        <f>HYPERLINK("https://rmda.kulib.kyoto-u.ac.jp/item/rb00005781#?c=0&amp;m=0&amp;s=0&amp;cv=3")</f>
        <v>https://rmda.kulib.kyoto-u.ac.jp/item/rb00005781#?c=0&amp;m=0&amp;s=0&amp;cv=3</v>
      </c>
    </row>
    <row r="130" spans="1:4" x14ac:dyDescent="0.15">
      <c r="A130" s="6" t="s">
        <v>93</v>
      </c>
      <c r="B130" s="6" t="s">
        <v>1371</v>
      </c>
      <c r="C130" s="6">
        <v>7</v>
      </c>
      <c r="D130" s="6" t="str">
        <f>HYPERLINK("https://rmda.kulib.kyoto-u.ac.jp/item/rb00005781#?c=0&amp;m=0&amp;s=0&amp;cv=6")</f>
        <v>https://rmda.kulib.kyoto-u.ac.jp/item/rb00005781#?c=0&amp;m=0&amp;s=0&amp;cv=6</v>
      </c>
    </row>
    <row r="131" spans="1:4" x14ac:dyDescent="0.15">
      <c r="A131" s="6" t="s">
        <v>93</v>
      </c>
      <c r="B131" s="6" t="s">
        <v>1371</v>
      </c>
      <c r="C131" s="6">
        <v>10</v>
      </c>
      <c r="D131" s="6" t="str">
        <f>HYPERLINK("https://rmda.kulib.kyoto-u.ac.jp/item/rb00005781#?c=0&amp;m=0&amp;s=0&amp;cv=9")</f>
        <v>https://rmda.kulib.kyoto-u.ac.jp/item/rb00005781#?c=0&amp;m=0&amp;s=0&amp;cv=9</v>
      </c>
    </row>
    <row r="132" spans="1:4" x14ac:dyDescent="0.15">
      <c r="A132" s="6" t="s">
        <v>93</v>
      </c>
      <c r="B132" s="6" t="s">
        <v>1371</v>
      </c>
      <c r="C132" s="6">
        <v>11</v>
      </c>
      <c r="D132" s="6" t="str">
        <f>HYPERLINK("https://rmda.kulib.kyoto-u.ac.jp/item/rb00005781#?c=0&amp;m=0&amp;s=0&amp;cv=10")</f>
        <v>https://rmda.kulib.kyoto-u.ac.jp/item/rb00005781#?c=0&amp;m=0&amp;s=0&amp;cv=10</v>
      </c>
    </row>
    <row r="133" spans="1:4" x14ac:dyDescent="0.15">
      <c r="A133" s="6" t="s">
        <v>93</v>
      </c>
      <c r="B133" s="6" t="s">
        <v>4844</v>
      </c>
      <c r="C133" s="6">
        <v>13</v>
      </c>
      <c r="D133" s="6" t="str">
        <f>HYPERLINK("https://rmda.kulib.kyoto-u.ac.jp/item/rb00005781#?c=0&amp;m=0&amp;s=0&amp;cv=12")</f>
        <v>https://rmda.kulib.kyoto-u.ac.jp/item/rb00005781#?c=0&amp;m=0&amp;s=0&amp;cv=12</v>
      </c>
    </row>
    <row r="134" spans="1:4" x14ac:dyDescent="0.15">
      <c r="A134" s="6" t="s">
        <v>93</v>
      </c>
      <c r="B134" s="6" t="s">
        <v>1372</v>
      </c>
      <c r="C134" s="6">
        <v>15</v>
      </c>
      <c r="D134" s="6" t="str">
        <f>HYPERLINK("https://rmda.kulib.kyoto-u.ac.jp/item/rb00005781#?c=0&amp;m=0&amp;s=0&amp;cv=14")</f>
        <v>https://rmda.kulib.kyoto-u.ac.jp/item/rb00005781#?c=0&amp;m=0&amp;s=0&amp;cv=14</v>
      </c>
    </row>
    <row r="135" spans="1:4" x14ac:dyDescent="0.15">
      <c r="A135" s="6" t="s">
        <v>93</v>
      </c>
      <c r="B135" s="72" t="s">
        <v>2201</v>
      </c>
      <c r="C135" s="6">
        <v>31</v>
      </c>
      <c r="D135" s="6" t="str">
        <f>HYPERLINK("https://rmda.kulib.kyoto-u.ac.jp/item/rb00005781#?c=0&amp;m=0&amp;s=0&amp;cv=30")</f>
        <v>https://rmda.kulib.kyoto-u.ac.jp/item/rb00005781#?c=0&amp;m=0&amp;s=0&amp;cv=30</v>
      </c>
    </row>
    <row r="136" spans="1:4" x14ac:dyDescent="0.15">
      <c r="A136" s="6" t="s">
        <v>93</v>
      </c>
      <c r="B136" s="6" t="s">
        <v>1484</v>
      </c>
      <c r="C136" s="6">
        <v>31</v>
      </c>
      <c r="D136" s="6" t="str">
        <f>HYPERLINK("https://rmda.kulib.kyoto-u.ac.jp/item/rb00005781#?c=0&amp;m=0&amp;s=0&amp;cv=30")</f>
        <v>https://rmda.kulib.kyoto-u.ac.jp/item/rb00005781#?c=0&amp;m=0&amp;s=0&amp;cv=30</v>
      </c>
    </row>
    <row r="137" spans="1:4" x14ac:dyDescent="0.15">
      <c r="A137" s="6" t="s">
        <v>93</v>
      </c>
      <c r="B137" s="6" t="s">
        <v>1486</v>
      </c>
      <c r="C137" s="6">
        <v>31</v>
      </c>
      <c r="D137" s="6" t="str">
        <f>HYPERLINK("https://rmda.kulib.kyoto-u.ac.jp/item/rb00005781#?c=0&amp;m=0&amp;s=0&amp;cv=30")</f>
        <v>https://rmda.kulib.kyoto-u.ac.jp/item/rb00005781#?c=0&amp;m=0&amp;s=0&amp;cv=30</v>
      </c>
    </row>
    <row r="138" spans="1:4" x14ac:dyDescent="0.15">
      <c r="A138" s="6" t="s">
        <v>93</v>
      </c>
      <c r="B138" s="6" t="s">
        <v>4845</v>
      </c>
      <c r="C138" s="6">
        <v>32</v>
      </c>
      <c r="D138" s="6" t="str">
        <f>HYPERLINK("https://rmda.kulib.kyoto-u.ac.jp/item/rb00005781#?c=0&amp;m=0&amp;s=0&amp;cv=31")</f>
        <v>https://rmda.kulib.kyoto-u.ac.jp/item/rb00005781#?c=0&amp;m=0&amp;s=0&amp;cv=31</v>
      </c>
    </row>
    <row r="139" spans="1:4" x14ac:dyDescent="0.15">
      <c r="A139" s="6" t="s">
        <v>93</v>
      </c>
      <c r="B139" s="6" t="s">
        <v>1487</v>
      </c>
      <c r="C139" s="6">
        <v>33</v>
      </c>
      <c r="D139" s="6" t="str">
        <f>HYPERLINK("https://rmda.kulib.kyoto-u.ac.jp/item/rb00005781#?c=0&amp;m=0&amp;s=0&amp;cv=32")</f>
        <v>https://rmda.kulib.kyoto-u.ac.jp/item/rb00005781#?c=0&amp;m=0&amp;s=0&amp;cv=32</v>
      </c>
    </row>
    <row r="140" spans="1:4" x14ac:dyDescent="0.15">
      <c r="A140" s="6" t="s">
        <v>93</v>
      </c>
      <c r="B140" s="6" t="s">
        <v>1488</v>
      </c>
      <c r="C140" s="6">
        <v>33</v>
      </c>
      <c r="D140" s="6" t="str">
        <f>HYPERLINK("https://rmda.kulib.kyoto-u.ac.jp/item/rb00005781#?c=0&amp;m=0&amp;s=0&amp;cv=32")</f>
        <v>https://rmda.kulib.kyoto-u.ac.jp/item/rb00005781#?c=0&amp;m=0&amp;s=0&amp;cv=32</v>
      </c>
    </row>
    <row r="141" spans="1:4" x14ac:dyDescent="0.15">
      <c r="A141" s="6" t="s">
        <v>93</v>
      </c>
      <c r="B141" s="6" t="s">
        <v>4846</v>
      </c>
      <c r="C141" s="6">
        <v>33</v>
      </c>
      <c r="D141" s="6" t="str">
        <f>HYPERLINK("https://rmda.kulib.kyoto-u.ac.jp/item/rb00005781#?c=0&amp;m=0&amp;s=0&amp;cv=32")</f>
        <v>https://rmda.kulib.kyoto-u.ac.jp/item/rb00005781#?c=0&amp;m=0&amp;s=0&amp;cv=32</v>
      </c>
    </row>
    <row r="142" spans="1:4" x14ac:dyDescent="0.15">
      <c r="A142" s="6" t="s">
        <v>93</v>
      </c>
      <c r="B142" s="6" t="s">
        <v>4847</v>
      </c>
      <c r="C142" s="6">
        <v>34</v>
      </c>
      <c r="D142" s="6" t="str">
        <f>HYPERLINK("https://rmda.kulib.kyoto-u.ac.jp/item/rb00005781#?c=0&amp;m=0&amp;s=0&amp;cv=33")</f>
        <v>https://rmda.kulib.kyoto-u.ac.jp/item/rb00005781#?c=0&amp;m=0&amp;s=0&amp;cv=33</v>
      </c>
    </row>
    <row r="143" spans="1:4" x14ac:dyDescent="0.15">
      <c r="A143" s="6" t="s">
        <v>93</v>
      </c>
      <c r="B143" s="6" t="s">
        <v>1510</v>
      </c>
      <c r="C143" s="6">
        <v>35</v>
      </c>
      <c r="D143" s="6" t="str">
        <f>HYPERLINK("https://rmda.kulib.kyoto-u.ac.jp/item/rb00005781#?c=0&amp;m=0&amp;s=0&amp;cv=34")</f>
        <v>https://rmda.kulib.kyoto-u.ac.jp/item/rb00005781#?c=0&amp;m=0&amp;s=0&amp;cv=34</v>
      </c>
    </row>
    <row r="144" spans="1:4" x14ac:dyDescent="0.15">
      <c r="A144" s="6" t="s">
        <v>93</v>
      </c>
      <c r="B144" s="6" t="s">
        <v>1485</v>
      </c>
      <c r="C144" s="6">
        <v>36</v>
      </c>
      <c r="D144" s="6" t="str">
        <f>HYPERLINK("https://rmda.kulib.kyoto-u.ac.jp/item/rb00005781#?c=0&amp;m=0&amp;s=0&amp;cv=35")</f>
        <v>https://rmda.kulib.kyoto-u.ac.jp/item/rb00005781#?c=0&amp;m=0&amp;s=0&amp;cv=35</v>
      </c>
    </row>
    <row r="145" spans="1:4" x14ac:dyDescent="0.15">
      <c r="A145" s="6" t="s">
        <v>93</v>
      </c>
      <c r="B145" s="6" t="s">
        <v>4848</v>
      </c>
      <c r="C145" s="6">
        <v>38</v>
      </c>
      <c r="D145" s="6" t="str">
        <f>HYPERLINK("https://rmda.kulib.kyoto-u.ac.jp/item/rb00005781#?c=0&amp;m=0&amp;s=0&amp;cv=37")</f>
        <v>https://rmda.kulib.kyoto-u.ac.jp/item/rb00005781#?c=0&amp;m=0&amp;s=0&amp;cv=37</v>
      </c>
    </row>
    <row r="146" spans="1:4" x14ac:dyDescent="0.15">
      <c r="A146" s="6" t="s">
        <v>93</v>
      </c>
      <c r="B146" s="6" t="s">
        <v>1489</v>
      </c>
      <c r="C146" s="6">
        <v>39</v>
      </c>
      <c r="D146" s="6" t="str">
        <f>HYPERLINK("https://rmda.kulib.kyoto-u.ac.jp/item/rb00005781#?c=0&amp;m=0&amp;s=0&amp;cv=38")</f>
        <v>https://rmda.kulib.kyoto-u.ac.jp/item/rb00005781#?c=0&amp;m=0&amp;s=0&amp;cv=38</v>
      </c>
    </row>
    <row r="147" spans="1:4" x14ac:dyDescent="0.15">
      <c r="A147" s="6" t="s">
        <v>93</v>
      </c>
      <c r="B147" s="6" t="s">
        <v>1490</v>
      </c>
      <c r="C147" s="6">
        <v>40</v>
      </c>
      <c r="D147" s="6" t="str">
        <f>HYPERLINK("https://rmda.kulib.kyoto-u.ac.jp/item/rb00005781#?c=0&amp;m=0&amp;s=0&amp;cv=39")</f>
        <v>https://rmda.kulib.kyoto-u.ac.jp/item/rb00005781#?c=0&amp;m=0&amp;s=0&amp;cv=39</v>
      </c>
    </row>
    <row r="148" spans="1:4" x14ac:dyDescent="0.15">
      <c r="A148" s="6" t="s">
        <v>93</v>
      </c>
      <c r="B148" s="6" t="s">
        <v>1491</v>
      </c>
      <c r="C148" s="6">
        <v>40</v>
      </c>
      <c r="D148" s="6" t="str">
        <f>HYPERLINK("https://rmda.kulib.kyoto-u.ac.jp/item/rb00005781#?c=0&amp;m=0&amp;s=0&amp;cv=39")</f>
        <v>https://rmda.kulib.kyoto-u.ac.jp/item/rb00005781#?c=0&amp;m=0&amp;s=0&amp;cv=39</v>
      </c>
    </row>
    <row r="149" spans="1:4" x14ac:dyDescent="0.15">
      <c r="A149" s="6" t="s">
        <v>93</v>
      </c>
      <c r="B149" s="72" t="s">
        <v>2231</v>
      </c>
      <c r="C149" s="6">
        <v>45</v>
      </c>
      <c r="D149" s="6" t="str">
        <f>HYPERLINK("https://rmda.kulib.kyoto-u.ac.jp/item/rb00005781#?c=0&amp;m=0&amp;s=0&amp;cv=44")</f>
        <v>https://rmda.kulib.kyoto-u.ac.jp/item/rb00005781#?c=0&amp;m=0&amp;s=0&amp;cv=44</v>
      </c>
    </row>
    <row r="150" spans="1:4" x14ac:dyDescent="0.15">
      <c r="A150" s="6" t="s">
        <v>93</v>
      </c>
      <c r="B150" s="6" t="s">
        <v>1493</v>
      </c>
      <c r="C150" s="6">
        <v>45</v>
      </c>
      <c r="D150" s="6" t="str">
        <f>HYPERLINK("https://rmda.kulib.kyoto-u.ac.jp/item/rb00005781#?c=0&amp;m=0&amp;s=0&amp;cv=44")</f>
        <v>https://rmda.kulib.kyoto-u.ac.jp/item/rb00005781#?c=0&amp;m=0&amp;s=0&amp;cv=44</v>
      </c>
    </row>
    <row r="151" spans="1:4" x14ac:dyDescent="0.15">
      <c r="A151" s="6" t="s">
        <v>93</v>
      </c>
      <c r="B151" s="6" t="s">
        <v>4849</v>
      </c>
      <c r="C151" s="6">
        <v>47</v>
      </c>
      <c r="D151" s="6" t="str">
        <f>HYPERLINK("https://rmda.kulib.kyoto-u.ac.jp/item/rb00005781#?c=0&amp;m=0&amp;s=0&amp;cv=46")</f>
        <v>https://rmda.kulib.kyoto-u.ac.jp/item/rb00005781#?c=0&amp;m=0&amp;s=0&amp;cv=46</v>
      </c>
    </row>
    <row r="152" spans="1:4" x14ac:dyDescent="0.15">
      <c r="A152" s="6" t="s">
        <v>93</v>
      </c>
      <c r="B152" s="6" t="s">
        <v>1494</v>
      </c>
      <c r="C152" s="6">
        <v>47</v>
      </c>
      <c r="D152" s="6" t="str">
        <f>HYPERLINK("https://rmda.kulib.kyoto-u.ac.jp/item/rb00005781#?c=0&amp;m=0&amp;s=0&amp;cv=46")</f>
        <v>https://rmda.kulib.kyoto-u.ac.jp/item/rb00005781#?c=0&amp;m=0&amp;s=0&amp;cv=46</v>
      </c>
    </row>
    <row r="153" spans="1:4" x14ac:dyDescent="0.15">
      <c r="A153" s="6" t="s">
        <v>93</v>
      </c>
      <c r="B153" s="6" t="s">
        <v>1492</v>
      </c>
      <c r="C153" s="6">
        <v>47</v>
      </c>
      <c r="D153" s="6" t="str">
        <f>HYPERLINK("https://rmda.kulib.kyoto-u.ac.jp/item/rb00005781#?c=0&amp;m=0&amp;s=0&amp;cv=46")</f>
        <v>https://rmda.kulib.kyoto-u.ac.jp/item/rb00005781#?c=0&amp;m=0&amp;s=0&amp;cv=46</v>
      </c>
    </row>
    <row r="154" spans="1:4" x14ac:dyDescent="0.15">
      <c r="A154" s="6" t="s">
        <v>93</v>
      </c>
      <c r="B154" s="6" t="s">
        <v>2885</v>
      </c>
      <c r="C154" s="6">
        <v>50</v>
      </c>
      <c r="D154" s="6" t="str">
        <f>HYPERLINK("https://rmda.kulib.kyoto-u.ac.jp/item/rb00005781#?c=0&amp;m=0&amp;s=0&amp;cv=49")</f>
        <v>https://rmda.kulib.kyoto-u.ac.jp/item/rb00005781#?c=0&amp;m=0&amp;s=0&amp;cv=49</v>
      </c>
    </row>
    <row r="155" spans="1:4" x14ac:dyDescent="0.15">
      <c r="A155" s="6" t="s">
        <v>93</v>
      </c>
      <c r="B155" s="6" t="s">
        <v>4850</v>
      </c>
      <c r="C155" s="6">
        <v>52</v>
      </c>
      <c r="D155" s="6" t="str">
        <f>HYPERLINK("https://rmda.kulib.kyoto-u.ac.jp/item/rb00005781#?c=0&amp;m=0&amp;s=0&amp;cv=51")</f>
        <v>https://rmda.kulib.kyoto-u.ac.jp/item/rb00005781#?c=0&amp;m=0&amp;s=0&amp;cv=51</v>
      </c>
    </row>
    <row r="156" spans="1:4" x14ac:dyDescent="0.15">
      <c r="A156" s="6" t="s">
        <v>93</v>
      </c>
      <c r="B156" s="6" t="s">
        <v>4851</v>
      </c>
      <c r="C156" s="6">
        <v>52</v>
      </c>
      <c r="D156" s="6" t="str">
        <f>HYPERLINK("https://rmda.kulib.kyoto-u.ac.jp/item/rb00005781#?c=0&amp;m=0&amp;s=0&amp;cv=51")</f>
        <v>https://rmda.kulib.kyoto-u.ac.jp/item/rb00005781#?c=0&amp;m=0&amp;s=0&amp;cv=51</v>
      </c>
    </row>
    <row r="157" spans="1:4" x14ac:dyDescent="0.15">
      <c r="A157" s="6" t="s">
        <v>93</v>
      </c>
      <c r="B157" s="6" t="s">
        <v>4852</v>
      </c>
      <c r="C157" s="6">
        <v>53</v>
      </c>
      <c r="D157" s="6" t="str">
        <f>HYPERLINK("https://rmda.kulib.kyoto-u.ac.jp/item/rb00005781#?c=0&amp;m=0&amp;s=0&amp;cv=52")</f>
        <v>https://rmda.kulib.kyoto-u.ac.jp/item/rb00005781#?c=0&amp;m=0&amp;s=0&amp;cv=52</v>
      </c>
    </row>
    <row r="158" spans="1:4" x14ac:dyDescent="0.15">
      <c r="A158" s="6" t="s">
        <v>93</v>
      </c>
      <c r="B158" s="72" t="s">
        <v>2125</v>
      </c>
      <c r="C158" s="6">
        <v>54</v>
      </c>
      <c r="D158" s="6" t="str">
        <f>HYPERLINK("https://rmda.kulib.kyoto-u.ac.jp/item/rb00005781#?c=0&amp;m=0&amp;s=0&amp;cv=53")</f>
        <v>https://rmda.kulib.kyoto-u.ac.jp/item/rb00005781#?c=0&amp;m=0&amp;s=0&amp;cv=53</v>
      </c>
    </row>
    <row r="159" spans="1:4" x14ac:dyDescent="0.15">
      <c r="A159" s="6" t="s">
        <v>93</v>
      </c>
      <c r="B159" s="6" t="s">
        <v>4853</v>
      </c>
      <c r="C159" s="6">
        <v>54</v>
      </c>
      <c r="D159" s="6" t="str">
        <f>HYPERLINK("https://rmda.kulib.kyoto-u.ac.jp/item/rb00005781#?c=0&amp;m=0&amp;s=0&amp;cv=53")</f>
        <v>https://rmda.kulib.kyoto-u.ac.jp/item/rb00005781#?c=0&amp;m=0&amp;s=0&amp;cv=53</v>
      </c>
    </row>
    <row r="160" spans="1:4" x14ac:dyDescent="0.15">
      <c r="A160" s="6" t="s">
        <v>93</v>
      </c>
      <c r="B160" s="6" t="s">
        <v>1497</v>
      </c>
      <c r="C160" s="6">
        <v>56</v>
      </c>
      <c r="D160" s="6" t="str">
        <f>HYPERLINK("https://rmda.kulib.kyoto-u.ac.jp/item/rb00005781#?c=0&amp;m=0&amp;s=0&amp;cv=55")</f>
        <v>https://rmda.kulib.kyoto-u.ac.jp/item/rb00005781#?c=0&amp;m=0&amp;s=0&amp;cv=55</v>
      </c>
    </row>
    <row r="161" spans="1:4" x14ac:dyDescent="0.15">
      <c r="A161" s="6" t="s">
        <v>93</v>
      </c>
      <c r="B161" s="6" t="s">
        <v>4854</v>
      </c>
      <c r="C161" s="6">
        <v>57</v>
      </c>
      <c r="D161" s="6" t="str">
        <f>HYPERLINK("https://rmda.kulib.kyoto-u.ac.jp/item/rb00005781#?c=0&amp;m=0&amp;s=0&amp;cv=56")</f>
        <v>https://rmda.kulib.kyoto-u.ac.jp/item/rb00005781#?c=0&amp;m=0&amp;s=0&amp;cv=56</v>
      </c>
    </row>
    <row r="162" spans="1:4" x14ac:dyDescent="0.15">
      <c r="A162" s="6" t="s">
        <v>93</v>
      </c>
      <c r="B162" s="6" t="s">
        <v>1500</v>
      </c>
      <c r="C162" s="6">
        <v>57</v>
      </c>
      <c r="D162" s="6" t="str">
        <f>HYPERLINK("https://rmda.kulib.kyoto-u.ac.jp/item/rb00005781#?c=0&amp;m=0&amp;s=0&amp;cv=56")</f>
        <v>https://rmda.kulib.kyoto-u.ac.jp/item/rb00005781#?c=0&amp;m=0&amp;s=0&amp;cv=56</v>
      </c>
    </row>
    <row r="163" spans="1:4" x14ac:dyDescent="0.15">
      <c r="A163" s="6" t="s">
        <v>93</v>
      </c>
      <c r="B163" s="6" t="s">
        <v>1499</v>
      </c>
      <c r="C163" s="6">
        <v>57</v>
      </c>
      <c r="D163" s="6" t="str">
        <f>HYPERLINK("https://rmda.kulib.kyoto-u.ac.jp/item/rb00005781#?c=0&amp;m=0&amp;s=0&amp;cv=56")</f>
        <v>https://rmda.kulib.kyoto-u.ac.jp/item/rb00005781#?c=0&amp;m=0&amp;s=0&amp;cv=56</v>
      </c>
    </row>
    <row r="164" spans="1:4" x14ac:dyDescent="0.15">
      <c r="A164" s="6" t="s">
        <v>93</v>
      </c>
      <c r="B164" s="6" t="s">
        <v>1501</v>
      </c>
      <c r="C164" s="6">
        <v>57</v>
      </c>
      <c r="D164" s="6" t="str">
        <f>HYPERLINK("https://rmda.kulib.kyoto-u.ac.jp/item/rb00005781#?c=0&amp;m=0&amp;s=0&amp;cv=56")</f>
        <v>https://rmda.kulib.kyoto-u.ac.jp/item/rb00005781#?c=0&amp;m=0&amp;s=0&amp;cv=56</v>
      </c>
    </row>
    <row r="165" spans="1:4" x14ac:dyDescent="0.15">
      <c r="A165" s="6" t="s">
        <v>93</v>
      </c>
      <c r="B165" s="6" t="s">
        <v>4855</v>
      </c>
      <c r="C165" s="6">
        <v>58</v>
      </c>
      <c r="D165" s="6" t="str">
        <f>HYPERLINK("https://rmda.kulib.kyoto-u.ac.jp/item/rb00005781#?c=0&amp;m=0&amp;s=0&amp;cv=57")</f>
        <v>https://rmda.kulib.kyoto-u.ac.jp/item/rb00005781#?c=0&amp;m=0&amp;s=0&amp;cv=57</v>
      </c>
    </row>
    <row r="166" spans="1:4" x14ac:dyDescent="0.15">
      <c r="A166" s="6" t="s">
        <v>93</v>
      </c>
      <c r="B166" s="6" t="s">
        <v>2700</v>
      </c>
      <c r="C166" s="6">
        <v>59</v>
      </c>
      <c r="D166" s="6" t="str">
        <f>HYPERLINK("https://rmda.kulib.kyoto-u.ac.jp/item/rb00005781#?c=0&amp;m=0&amp;s=0&amp;cv=58")</f>
        <v>https://rmda.kulib.kyoto-u.ac.jp/item/rb00005781#?c=0&amp;m=0&amp;s=0&amp;cv=58</v>
      </c>
    </row>
    <row r="167" spans="1:4" x14ac:dyDescent="0.15">
      <c r="A167" s="6" t="s">
        <v>93</v>
      </c>
      <c r="B167" s="6" t="s">
        <v>4856</v>
      </c>
      <c r="C167" s="6">
        <v>59</v>
      </c>
      <c r="D167" s="6" t="str">
        <f>HYPERLINK("https://rmda.kulib.kyoto-u.ac.jp/item/rb00005781#?c=0&amp;m=0&amp;s=0&amp;cv=58")</f>
        <v>https://rmda.kulib.kyoto-u.ac.jp/item/rb00005781#?c=0&amp;m=0&amp;s=0&amp;cv=58</v>
      </c>
    </row>
    <row r="168" spans="1:4" x14ac:dyDescent="0.15">
      <c r="A168" s="6" t="s">
        <v>93</v>
      </c>
      <c r="B168" s="6" t="s">
        <v>4857</v>
      </c>
      <c r="C168" s="6">
        <v>60</v>
      </c>
      <c r="D168" s="6" t="str">
        <f>HYPERLINK("https://rmda.kulib.kyoto-u.ac.jp/item/rb00005781#?c=0&amp;m=0&amp;s=0&amp;cv=59")</f>
        <v>https://rmda.kulib.kyoto-u.ac.jp/item/rb00005781#?c=0&amp;m=0&amp;s=0&amp;cv=59</v>
      </c>
    </row>
    <row r="169" spans="1:4" x14ac:dyDescent="0.15">
      <c r="A169" s="6" t="s">
        <v>93</v>
      </c>
      <c r="B169" s="6" t="s">
        <v>1503</v>
      </c>
      <c r="C169" s="6">
        <v>60</v>
      </c>
      <c r="D169" s="6" t="str">
        <f>HYPERLINK("https://rmda.kulib.kyoto-u.ac.jp/item/rb00005781#?c=0&amp;m=0&amp;s=0&amp;cv=59")</f>
        <v>https://rmda.kulib.kyoto-u.ac.jp/item/rb00005781#?c=0&amp;m=0&amp;s=0&amp;cv=59</v>
      </c>
    </row>
    <row r="170" spans="1:4" x14ac:dyDescent="0.15">
      <c r="A170" s="6" t="s">
        <v>93</v>
      </c>
      <c r="B170" s="6" t="s">
        <v>1505</v>
      </c>
      <c r="C170" s="6">
        <v>60</v>
      </c>
      <c r="D170" s="6" t="str">
        <f>HYPERLINK("https://rmda.kulib.kyoto-u.ac.jp/item/rb00005781#?c=0&amp;m=0&amp;s=0&amp;cv=59")</f>
        <v>https://rmda.kulib.kyoto-u.ac.jp/item/rb00005781#?c=0&amp;m=0&amp;s=0&amp;cv=59</v>
      </c>
    </row>
    <row r="171" spans="1:4" x14ac:dyDescent="0.15">
      <c r="A171" s="6" t="s">
        <v>93</v>
      </c>
      <c r="B171" s="6" t="s">
        <v>4858</v>
      </c>
      <c r="C171" s="6">
        <v>60</v>
      </c>
      <c r="D171" s="6" t="str">
        <f>HYPERLINK("https://rmda.kulib.kyoto-u.ac.jp/item/rb00005781#?c=0&amp;m=0&amp;s=0&amp;cv=59")</f>
        <v>https://rmda.kulib.kyoto-u.ac.jp/item/rb00005781#?c=0&amp;m=0&amp;s=0&amp;cv=59</v>
      </c>
    </row>
    <row r="172" spans="1:4" x14ac:dyDescent="0.15">
      <c r="A172" s="6" t="s">
        <v>93</v>
      </c>
      <c r="B172" s="6" t="s">
        <v>1504</v>
      </c>
      <c r="C172" s="6">
        <v>61</v>
      </c>
      <c r="D172" s="6" t="str">
        <f>HYPERLINK("https://rmda.kulib.kyoto-u.ac.jp/item/rb00005781#?c=0&amp;m=0&amp;s=0&amp;cv=60")</f>
        <v>https://rmda.kulib.kyoto-u.ac.jp/item/rb00005781#?c=0&amp;m=0&amp;s=0&amp;cv=60</v>
      </c>
    </row>
    <row r="173" spans="1:4" x14ac:dyDescent="0.15">
      <c r="A173" s="6" t="s">
        <v>93</v>
      </c>
      <c r="B173" s="6" t="s">
        <v>4859</v>
      </c>
      <c r="C173" s="6">
        <v>61</v>
      </c>
      <c r="D173" s="6" t="str">
        <f>HYPERLINK("https://rmda.kulib.kyoto-u.ac.jp/item/rb00005781#?c=0&amp;m=0&amp;s=0&amp;cv=60")</f>
        <v>https://rmda.kulib.kyoto-u.ac.jp/item/rb00005781#?c=0&amp;m=0&amp;s=0&amp;cv=60</v>
      </c>
    </row>
    <row r="174" spans="1:4" x14ac:dyDescent="0.15">
      <c r="A174" s="6" t="s">
        <v>93</v>
      </c>
      <c r="B174" s="6" t="s">
        <v>1509</v>
      </c>
      <c r="C174" s="6">
        <v>61</v>
      </c>
      <c r="D174" s="6" t="str">
        <f>HYPERLINK("https://rmda.kulib.kyoto-u.ac.jp/item/rb00005781#?c=0&amp;m=0&amp;s=0&amp;cv=60")</f>
        <v>https://rmda.kulib.kyoto-u.ac.jp/item/rb00005781#?c=0&amp;m=0&amp;s=0&amp;cv=60</v>
      </c>
    </row>
    <row r="175" spans="1:4" x14ac:dyDescent="0.15">
      <c r="A175" s="6" t="s">
        <v>93</v>
      </c>
      <c r="B175" s="6" t="s">
        <v>4860</v>
      </c>
      <c r="C175" s="6">
        <v>62</v>
      </c>
      <c r="D175" s="6" t="str">
        <f>HYPERLINK("https://rmda.kulib.kyoto-u.ac.jp/item/rb00005781#?c=0&amp;m=0&amp;s=0&amp;cv=61")</f>
        <v>https://rmda.kulib.kyoto-u.ac.jp/item/rb00005781#?c=0&amp;m=0&amp;s=0&amp;cv=61</v>
      </c>
    </row>
    <row r="176" spans="1:4" x14ac:dyDescent="0.15">
      <c r="A176" s="6" t="s">
        <v>93</v>
      </c>
      <c r="B176" s="6" t="s">
        <v>1511</v>
      </c>
      <c r="C176" s="6">
        <v>64</v>
      </c>
      <c r="D176" s="6" t="str">
        <f>HYPERLINK("https://rmda.kulib.kyoto-u.ac.jp/item/rb00005781#?c=0&amp;m=0&amp;s=0&amp;cv=63")</f>
        <v>https://rmda.kulib.kyoto-u.ac.jp/item/rb00005781#?c=0&amp;m=0&amp;s=0&amp;cv=63</v>
      </c>
    </row>
    <row r="177" spans="1:4" x14ac:dyDescent="0.15">
      <c r="A177" s="6" t="s">
        <v>93</v>
      </c>
      <c r="B177" s="6" t="s">
        <v>2301</v>
      </c>
      <c r="C177" s="6">
        <v>68</v>
      </c>
      <c r="D177" s="6" t="str">
        <f>HYPERLINK("https://rmda.kulib.kyoto-u.ac.jp/item/rb00005781#?c=0&amp;m=0&amp;s=0&amp;cv=67")</f>
        <v>https://rmda.kulib.kyoto-u.ac.jp/item/rb00005781#?c=0&amp;m=0&amp;s=0&amp;cv=67</v>
      </c>
    </row>
    <row r="178" spans="1:4" x14ac:dyDescent="0.15">
      <c r="A178" s="6" t="s">
        <v>93</v>
      </c>
      <c r="B178" s="6" t="s">
        <v>4861</v>
      </c>
      <c r="C178" s="6">
        <v>68</v>
      </c>
      <c r="D178" s="6" t="str">
        <f>HYPERLINK("https://rmda.kulib.kyoto-u.ac.jp/item/rb00005781#?c=0&amp;m=0&amp;s=0&amp;cv=67")</f>
        <v>https://rmda.kulib.kyoto-u.ac.jp/item/rb00005781#?c=0&amp;m=0&amp;s=0&amp;cv=67</v>
      </c>
    </row>
    <row r="179" spans="1:4" x14ac:dyDescent="0.15">
      <c r="A179" s="6" t="s">
        <v>93</v>
      </c>
      <c r="B179" s="6" t="s">
        <v>4862</v>
      </c>
      <c r="C179" s="6">
        <v>68</v>
      </c>
      <c r="D179" s="6" t="str">
        <f>HYPERLINK("https://rmda.kulib.kyoto-u.ac.jp/item/rb00005781#?c=0&amp;m=0&amp;s=0&amp;cv=67")</f>
        <v>https://rmda.kulib.kyoto-u.ac.jp/item/rb00005781#?c=0&amp;m=0&amp;s=0&amp;cv=67</v>
      </c>
    </row>
    <row r="180" spans="1:4" x14ac:dyDescent="0.15">
      <c r="A180" s="6" t="s">
        <v>93</v>
      </c>
      <c r="B180" s="6" t="s">
        <v>4863</v>
      </c>
      <c r="C180" s="6">
        <v>69</v>
      </c>
      <c r="D180" s="6" t="str">
        <f>HYPERLINK("https://rmda.kulib.kyoto-u.ac.jp/item/rb00005781#?c=0&amp;m=0&amp;s=0&amp;cv=68")</f>
        <v>https://rmda.kulib.kyoto-u.ac.jp/item/rb00005781#?c=0&amp;m=0&amp;s=0&amp;cv=68</v>
      </c>
    </row>
    <row r="181" spans="1:4" x14ac:dyDescent="0.15">
      <c r="A181" s="6" t="s">
        <v>93</v>
      </c>
      <c r="B181" s="6" t="s">
        <v>4864</v>
      </c>
      <c r="C181" s="6">
        <v>70</v>
      </c>
      <c r="D181" s="6" t="str">
        <f>HYPERLINK("https://rmda.kulib.kyoto-u.ac.jp/item/rb00005781#?c=0&amp;m=0&amp;s=0&amp;cv=69")</f>
        <v>https://rmda.kulib.kyoto-u.ac.jp/item/rb00005781#?c=0&amp;m=0&amp;s=0&amp;cv=69</v>
      </c>
    </row>
    <row r="182" spans="1:4" x14ac:dyDescent="0.15">
      <c r="A182" s="6" t="s">
        <v>93</v>
      </c>
      <c r="B182" s="6" t="s">
        <v>4865</v>
      </c>
      <c r="C182" s="6">
        <v>70</v>
      </c>
      <c r="D182" s="6" t="str">
        <f>HYPERLINK("https://rmda.kulib.kyoto-u.ac.jp/item/rb00005781#?c=0&amp;m=0&amp;s=0&amp;cv=69")</f>
        <v>https://rmda.kulib.kyoto-u.ac.jp/item/rb00005781#?c=0&amp;m=0&amp;s=0&amp;cv=69</v>
      </c>
    </row>
    <row r="183" spans="1:4" x14ac:dyDescent="0.15">
      <c r="A183" s="6" t="s">
        <v>93</v>
      </c>
      <c r="B183" s="6" t="s">
        <v>4866</v>
      </c>
      <c r="C183" s="6">
        <v>71</v>
      </c>
      <c r="D183" s="6" t="str">
        <f>HYPERLINK("https://rmda.kulib.kyoto-u.ac.jp/item/rb00005781#?c=0&amp;m=0&amp;s=0&amp;cv=70")</f>
        <v>https://rmda.kulib.kyoto-u.ac.jp/item/rb00005781#?c=0&amp;m=0&amp;s=0&amp;cv=70</v>
      </c>
    </row>
    <row r="184" spans="1:4" x14ac:dyDescent="0.15">
      <c r="A184" s="6" t="s">
        <v>93</v>
      </c>
      <c r="B184" s="6" t="s">
        <v>4867</v>
      </c>
      <c r="C184" s="6">
        <v>72</v>
      </c>
      <c r="D184" s="6" t="str">
        <f>HYPERLINK("https://rmda.kulib.kyoto-u.ac.jp/item/rb00005781#?c=0&amp;m=0&amp;s=0&amp;cv=71")</f>
        <v>https://rmda.kulib.kyoto-u.ac.jp/item/rb00005781#?c=0&amp;m=0&amp;s=0&amp;cv=71</v>
      </c>
    </row>
    <row r="185" spans="1:4" x14ac:dyDescent="0.15">
      <c r="A185" s="6" t="s">
        <v>93</v>
      </c>
      <c r="B185" s="6" t="s">
        <v>4868</v>
      </c>
      <c r="C185" s="6">
        <v>73</v>
      </c>
      <c r="D185" s="6" t="str">
        <f>HYPERLINK("https://rmda.kulib.kyoto-u.ac.jp/item/rb00005781#?c=0&amp;m=0&amp;s=0&amp;cv=72")</f>
        <v>https://rmda.kulib.kyoto-u.ac.jp/item/rb00005781#?c=0&amp;m=0&amp;s=0&amp;cv=72</v>
      </c>
    </row>
    <row r="186" spans="1:4" x14ac:dyDescent="0.15">
      <c r="A186" s="6" t="s">
        <v>93</v>
      </c>
      <c r="B186" s="6" t="s">
        <v>4869</v>
      </c>
      <c r="C186" s="6">
        <v>73</v>
      </c>
      <c r="D186" s="6" t="str">
        <f>HYPERLINK("https://rmda.kulib.kyoto-u.ac.jp/item/rb00005781#?c=0&amp;m=0&amp;s=0&amp;cv=72")</f>
        <v>https://rmda.kulib.kyoto-u.ac.jp/item/rb00005781#?c=0&amp;m=0&amp;s=0&amp;cv=72</v>
      </c>
    </row>
    <row r="187" spans="1:4" x14ac:dyDescent="0.15">
      <c r="A187" s="6" t="s">
        <v>93</v>
      </c>
      <c r="B187" s="6" t="s">
        <v>4870</v>
      </c>
      <c r="C187" s="6">
        <v>73</v>
      </c>
      <c r="D187" s="6" t="str">
        <f>HYPERLINK("https://rmda.kulib.kyoto-u.ac.jp/item/rb00005781#?c=0&amp;m=0&amp;s=0&amp;cv=72")</f>
        <v>https://rmda.kulib.kyoto-u.ac.jp/item/rb00005781#?c=0&amp;m=0&amp;s=0&amp;cv=72</v>
      </c>
    </row>
    <row r="188" spans="1:4" x14ac:dyDescent="0.15">
      <c r="A188" s="6" t="s">
        <v>93</v>
      </c>
      <c r="B188" s="6" t="s">
        <v>4871</v>
      </c>
      <c r="C188" s="6">
        <v>75</v>
      </c>
      <c r="D188" s="6" t="str">
        <f>HYPERLINK("https://rmda.kulib.kyoto-u.ac.jp/item/rb00005781#?c=0&amp;m=0&amp;s=0&amp;cv=74")</f>
        <v>https://rmda.kulib.kyoto-u.ac.jp/item/rb00005781#?c=0&amp;m=0&amp;s=0&amp;cv=74</v>
      </c>
    </row>
    <row r="189" spans="1:4" x14ac:dyDescent="0.15">
      <c r="A189" s="6" t="s">
        <v>93</v>
      </c>
      <c r="B189" s="6" t="s">
        <v>4872</v>
      </c>
      <c r="C189" s="6">
        <v>76</v>
      </c>
      <c r="D189" s="6" t="str">
        <f>HYPERLINK("https://rmda.kulib.kyoto-u.ac.jp/item/rb00005781#?c=0&amp;m=0&amp;s=0&amp;cv=75")</f>
        <v>https://rmda.kulib.kyoto-u.ac.jp/item/rb00005781#?c=0&amp;m=0&amp;s=0&amp;cv=75</v>
      </c>
    </row>
    <row r="190" spans="1:4" x14ac:dyDescent="0.15">
      <c r="A190" s="6" t="s">
        <v>93</v>
      </c>
      <c r="B190" s="6" t="s">
        <v>4873</v>
      </c>
      <c r="C190" s="6">
        <v>76</v>
      </c>
      <c r="D190" s="6" t="str">
        <f>HYPERLINK("https://rmda.kulib.kyoto-u.ac.jp/item/rb00005781#?c=0&amp;m=0&amp;s=0&amp;cv=75")</f>
        <v>https://rmda.kulib.kyoto-u.ac.jp/item/rb00005781#?c=0&amp;m=0&amp;s=0&amp;cv=75</v>
      </c>
    </row>
    <row r="191" spans="1:4" x14ac:dyDescent="0.15">
      <c r="A191" s="6" t="s">
        <v>93</v>
      </c>
      <c r="B191" s="6" t="s">
        <v>4874</v>
      </c>
      <c r="C191" s="6">
        <v>77</v>
      </c>
      <c r="D191" s="6" t="str">
        <f>HYPERLINK("https://rmda.kulib.kyoto-u.ac.jp/item/rb00005781#?c=0&amp;m=0&amp;s=0&amp;cv=76")</f>
        <v>https://rmda.kulib.kyoto-u.ac.jp/item/rb00005781#?c=0&amp;m=0&amp;s=0&amp;cv=76</v>
      </c>
    </row>
    <row r="192" spans="1:4" x14ac:dyDescent="0.15">
      <c r="A192" s="6" t="s">
        <v>93</v>
      </c>
      <c r="B192" s="6" t="s">
        <v>4875</v>
      </c>
      <c r="C192" s="6">
        <v>78</v>
      </c>
      <c r="D192" s="6" t="str">
        <f>HYPERLINK("https://rmda.kulib.kyoto-u.ac.jp/item/rb00005781#?c=0&amp;m=0&amp;s=0&amp;cv=77")</f>
        <v>https://rmda.kulib.kyoto-u.ac.jp/item/rb00005781#?c=0&amp;m=0&amp;s=0&amp;cv=77</v>
      </c>
    </row>
    <row r="193" spans="1:4" x14ac:dyDescent="0.15">
      <c r="A193" s="6" t="s">
        <v>93</v>
      </c>
      <c r="B193" s="6" t="s">
        <v>4876</v>
      </c>
      <c r="C193" s="6">
        <v>78</v>
      </c>
      <c r="D193" s="6" t="str">
        <f>HYPERLINK("https://rmda.kulib.kyoto-u.ac.jp/item/rb00005781#?c=0&amp;m=0&amp;s=0&amp;cv=77")</f>
        <v>https://rmda.kulib.kyoto-u.ac.jp/item/rb00005781#?c=0&amp;m=0&amp;s=0&amp;cv=77</v>
      </c>
    </row>
    <row r="194" spans="1:4" x14ac:dyDescent="0.15">
      <c r="A194" s="6" t="s">
        <v>93</v>
      </c>
      <c r="B194" s="6" t="s">
        <v>4877</v>
      </c>
      <c r="C194" s="6">
        <v>79</v>
      </c>
      <c r="D194" s="6" t="str">
        <f>HYPERLINK("https://rmda.kulib.kyoto-u.ac.jp/item/rb00005781#?c=0&amp;m=0&amp;s=0&amp;cv=78")</f>
        <v>https://rmda.kulib.kyoto-u.ac.jp/item/rb00005781#?c=0&amp;m=0&amp;s=0&amp;cv=78</v>
      </c>
    </row>
    <row r="195" spans="1:4" x14ac:dyDescent="0.15">
      <c r="A195" s="6" t="s">
        <v>93</v>
      </c>
      <c r="B195" s="6" t="s">
        <v>4878</v>
      </c>
      <c r="C195" s="6">
        <v>81</v>
      </c>
      <c r="D195" s="6" t="str">
        <f>HYPERLINK("https://rmda.kulib.kyoto-u.ac.jp/item/rb00005781#?c=0&amp;m=0&amp;s=0&amp;cv=80")</f>
        <v>https://rmda.kulib.kyoto-u.ac.jp/item/rb00005781#?c=0&amp;m=0&amp;s=0&amp;cv=80</v>
      </c>
    </row>
    <row r="196" spans="1:4" x14ac:dyDescent="0.15">
      <c r="A196" s="6" t="s">
        <v>93</v>
      </c>
      <c r="B196" s="6" t="s">
        <v>4879</v>
      </c>
      <c r="C196" s="6">
        <v>81</v>
      </c>
      <c r="D196" s="6" t="str">
        <f>HYPERLINK("https://rmda.kulib.kyoto-u.ac.jp/item/rb00005781#?c=0&amp;m=0&amp;s=0&amp;cv=80")</f>
        <v>https://rmda.kulib.kyoto-u.ac.jp/item/rb00005781#?c=0&amp;m=0&amp;s=0&amp;cv=80</v>
      </c>
    </row>
    <row r="197" spans="1:4" x14ac:dyDescent="0.15">
      <c r="A197" s="6" t="s">
        <v>93</v>
      </c>
      <c r="B197" s="6" t="s">
        <v>4880</v>
      </c>
      <c r="C197" s="6">
        <v>81</v>
      </c>
      <c r="D197" s="6" t="str">
        <f>HYPERLINK("https://rmda.kulib.kyoto-u.ac.jp/item/rb00005781#?c=0&amp;m=0&amp;s=0&amp;cv=80")</f>
        <v>https://rmda.kulib.kyoto-u.ac.jp/item/rb00005781#?c=0&amp;m=0&amp;s=0&amp;cv=80</v>
      </c>
    </row>
    <row r="198" spans="1:4" x14ac:dyDescent="0.15">
      <c r="A198" s="6" t="s">
        <v>93</v>
      </c>
      <c r="B198" s="6" t="s">
        <v>4881</v>
      </c>
      <c r="C198" s="6">
        <v>82</v>
      </c>
      <c r="D198" s="6" t="str">
        <f>HYPERLINK("https://rmda.kulib.kyoto-u.ac.jp/item/rb00005781#?c=0&amp;m=0&amp;s=0&amp;cv=81")</f>
        <v>https://rmda.kulib.kyoto-u.ac.jp/item/rb00005781#?c=0&amp;m=0&amp;s=0&amp;cv=81</v>
      </c>
    </row>
    <row r="199" spans="1:4" x14ac:dyDescent="0.15">
      <c r="A199" s="6" t="s">
        <v>93</v>
      </c>
      <c r="B199" s="6" t="s">
        <v>4882</v>
      </c>
      <c r="C199" s="6">
        <v>83</v>
      </c>
      <c r="D199" s="6" t="str">
        <f>HYPERLINK("https://rmda.kulib.kyoto-u.ac.jp/item/rb00005781#?c=0&amp;m=0&amp;s=0&amp;cv=82")</f>
        <v>https://rmda.kulib.kyoto-u.ac.jp/item/rb00005781#?c=0&amp;m=0&amp;s=0&amp;cv=82</v>
      </c>
    </row>
    <row r="200" spans="1:4" x14ac:dyDescent="0.15">
      <c r="A200" s="6" t="s">
        <v>93</v>
      </c>
      <c r="B200" s="6" t="s">
        <v>4883</v>
      </c>
      <c r="C200" s="6">
        <v>83</v>
      </c>
      <c r="D200" s="6" t="str">
        <f>HYPERLINK("https://rmda.kulib.kyoto-u.ac.jp/item/rb00005781#?c=0&amp;m=0&amp;s=0&amp;cv=82")</f>
        <v>https://rmda.kulib.kyoto-u.ac.jp/item/rb00005781#?c=0&amp;m=0&amp;s=0&amp;cv=82</v>
      </c>
    </row>
    <row r="201" spans="1:4" x14ac:dyDescent="0.15">
      <c r="A201" s="6" t="s">
        <v>93</v>
      </c>
      <c r="B201" s="6" t="s">
        <v>4884</v>
      </c>
      <c r="C201" s="6">
        <v>83</v>
      </c>
      <c r="D201" s="6" t="str">
        <f>HYPERLINK("https://rmda.kulib.kyoto-u.ac.jp/item/rb00005781#?c=0&amp;m=0&amp;s=0&amp;cv=82")</f>
        <v>https://rmda.kulib.kyoto-u.ac.jp/item/rb00005781#?c=0&amp;m=0&amp;s=0&amp;cv=82</v>
      </c>
    </row>
    <row r="202" spans="1:4" x14ac:dyDescent="0.15">
      <c r="A202" s="6" t="s">
        <v>93</v>
      </c>
      <c r="B202" s="72" t="s">
        <v>4885</v>
      </c>
      <c r="C202" s="6">
        <v>84</v>
      </c>
      <c r="D202" s="6" t="str">
        <f>HYPERLINK("https://rmda.kulib.kyoto-u.ac.jp/item/rb00005781#?c=0&amp;m=0&amp;s=0&amp;cv=83")</f>
        <v>https://rmda.kulib.kyoto-u.ac.jp/item/rb00005781#?c=0&amp;m=0&amp;s=0&amp;cv=83</v>
      </c>
    </row>
    <row r="203" spans="1:4" x14ac:dyDescent="0.15">
      <c r="A203" s="6" t="s">
        <v>93</v>
      </c>
      <c r="B203" s="30" t="s">
        <v>4886</v>
      </c>
      <c r="C203" s="6">
        <v>84</v>
      </c>
      <c r="D203" s="6" t="str">
        <f>HYPERLINK("https://rmda.kulib.kyoto-u.ac.jp/item/rb00005781#?c=0&amp;m=0&amp;s=0&amp;cv=83")</f>
        <v>https://rmda.kulib.kyoto-u.ac.jp/item/rb00005781#?c=0&amp;m=0&amp;s=0&amp;cv=83</v>
      </c>
    </row>
    <row r="204" spans="1:4" x14ac:dyDescent="0.15">
      <c r="A204" s="6" t="s">
        <v>93</v>
      </c>
      <c r="B204" s="66" t="s">
        <v>1512</v>
      </c>
      <c r="C204" s="6">
        <v>84</v>
      </c>
      <c r="D204" s="6" t="str">
        <f>HYPERLINK("https://rmda.kulib.kyoto-u.ac.jp/item/rb00005781#?c=0&amp;m=0&amp;s=0&amp;cv=83")</f>
        <v>https://rmda.kulib.kyoto-u.ac.jp/item/rb00005781#?c=0&amp;m=0&amp;s=0&amp;cv=83</v>
      </c>
    </row>
    <row r="205" spans="1:4" x14ac:dyDescent="0.15">
      <c r="A205" s="6" t="s">
        <v>93</v>
      </c>
      <c r="B205" s="6" t="s">
        <v>1513</v>
      </c>
      <c r="C205" s="6">
        <v>85</v>
      </c>
      <c r="D205" s="6" t="str">
        <f>HYPERLINK("https://rmda.kulib.kyoto-u.ac.jp/item/rb00005781#?c=0&amp;m=0&amp;s=0&amp;cv=84")</f>
        <v>https://rmda.kulib.kyoto-u.ac.jp/item/rb00005781#?c=0&amp;m=0&amp;s=0&amp;cv=84</v>
      </c>
    </row>
    <row r="206" spans="1:4" x14ac:dyDescent="0.15">
      <c r="A206" s="6" t="s">
        <v>93</v>
      </c>
      <c r="B206" s="6" t="s">
        <v>1514</v>
      </c>
      <c r="C206" s="6">
        <v>85</v>
      </c>
      <c r="D206" s="6" t="str">
        <f>HYPERLINK("https://rmda.kulib.kyoto-u.ac.jp/item/rb00005781#?c=0&amp;m=0&amp;s=0&amp;cv=84")</f>
        <v>https://rmda.kulib.kyoto-u.ac.jp/item/rb00005781#?c=0&amp;m=0&amp;s=0&amp;cv=84</v>
      </c>
    </row>
    <row r="207" spans="1:4" x14ac:dyDescent="0.15">
      <c r="A207" s="6" t="s">
        <v>93</v>
      </c>
      <c r="B207" s="6" t="s">
        <v>1515</v>
      </c>
      <c r="C207" s="6">
        <v>86</v>
      </c>
      <c r="D207" s="6" t="str">
        <f>HYPERLINK("https://rmda.kulib.kyoto-u.ac.jp/item/rb00005781#?c=0&amp;m=0&amp;s=0&amp;cv=85")</f>
        <v>https://rmda.kulib.kyoto-u.ac.jp/item/rb00005781#?c=0&amp;m=0&amp;s=0&amp;cv=85</v>
      </c>
    </row>
    <row r="208" spans="1:4" x14ac:dyDescent="0.15">
      <c r="A208" s="6" t="s">
        <v>93</v>
      </c>
      <c r="B208" s="6" t="s">
        <v>1516</v>
      </c>
      <c r="C208" s="6">
        <v>86</v>
      </c>
      <c r="D208" s="6" t="str">
        <f>HYPERLINK("https://rmda.kulib.kyoto-u.ac.jp/item/rb00005781#?c=0&amp;m=0&amp;s=0&amp;cv=85")</f>
        <v>https://rmda.kulib.kyoto-u.ac.jp/item/rb00005781#?c=0&amp;m=0&amp;s=0&amp;cv=85</v>
      </c>
    </row>
    <row r="209" spans="1:4" x14ac:dyDescent="0.15">
      <c r="A209" s="6" t="s">
        <v>93</v>
      </c>
      <c r="B209" s="6" t="s">
        <v>1517</v>
      </c>
      <c r="C209" s="6">
        <v>86</v>
      </c>
      <c r="D209" s="6" t="str">
        <f>HYPERLINK("https://rmda.kulib.kyoto-u.ac.jp/item/rb00005781#?c=0&amp;m=0&amp;s=0&amp;cv=85")</f>
        <v>https://rmda.kulib.kyoto-u.ac.jp/item/rb00005781#?c=0&amp;m=0&amp;s=0&amp;cv=85</v>
      </c>
    </row>
    <row r="210" spans="1:4" x14ac:dyDescent="0.15">
      <c r="A210" s="6" t="s">
        <v>93</v>
      </c>
      <c r="B210" s="6" t="s">
        <v>1518</v>
      </c>
      <c r="C210" s="6">
        <v>87</v>
      </c>
      <c r="D210" s="6" t="str">
        <f>HYPERLINK("https://rmda.kulib.kyoto-u.ac.jp/item/rb00005781#?c=0&amp;m=0&amp;s=0&amp;cv=86")</f>
        <v>https://rmda.kulib.kyoto-u.ac.jp/item/rb00005781#?c=0&amp;m=0&amp;s=0&amp;cv=86</v>
      </c>
    </row>
    <row r="211" spans="1:4" x14ac:dyDescent="0.15">
      <c r="A211" s="6" t="s">
        <v>93</v>
      </c>
      <c r="B211" s="6" t="s">
        <v>1519</v>
      </c>
      <c r="C211" s="6">
        <v>87</v>
      </c>
      <c r="D211" s="6" t="str">
        <f>HYPERLINK("https://rmda.kulib.kyoto-u.ac.jp/item/rb00005781#?c=0&amp;m=0&amp;s=0&amp;cv=86")</f>
        <v>https://rmda.kulib.kyoto-u.ac.jp/item/rb00005781#?c=0&amp;m=0&amp;s=0&amp;cv=86</v>
      </c>
    </row>
    <row r="212" spans="1:4" x14ac:dyDescent="0.15">
      <c r="A212" s="6" t="s">
        <v>93</v>
      </c>
      <c r="B212" s="6" t="s">
        <v>1520</v>
      </c>
      <c r="C212" s="6">
        <v>87</v>
      </c>
      <c r="D212" s="6" t="str">
        <f>HYPERLINK("https://rmda.kulib.kyoto-u.ac.jp/item/rb00005781#?c=0&amp;m=0&amp;s=0&amp;cv=86")</f>
        <v>https://rmda.kulib.kyoto-u.ac.jp/item/rb00005781#?c=0&amp;m=0&amp;s=0&amp;cv=86</v>
      </c>
    </row>
    <row r="213" spans="1:4" x14ac:dyDescent="0.15">
      <c r="A213" s="6" t="s">
        <v>93</v>
      </c>
      <c r="B213" s="6" t="s">
        <v>1521</v>
      </c>
      <c r="C213" s="6">
        <v>87</v>
      </c>
      <c r="D213" s="6" t="str">
        <f>HYPERLINK("https://rmda.kulib.kyoto-u.ac.jp/item/rb00005781#?c=0&amp;m=0&amp;s=0&amp;cv=86")</f>
        <v>https://rmda.kulib.kyoto-u.ac.jp/item/rb00005781#?c=0&amp;m=0&amp;s=0&amp;cv=86</v>
      </c>
    </row>
    <row r="214" spans="1:4" x14ac:dyDescent="0.15">
      <c r="A214" s="6" t="s">
        <v>93</v>
      </c>
      <c r="B214" s="6" t="s">
        <v>1522</v>
      </c>
      <c r="C214" s="6">
        <v>88</v>
      </c>
      <c r="D214" s="6" t="str">
        <f>HYPERLINK("https://rmda.kulib.kyoto-u.ac.jp/item/rb00005781#?c=0&amp;m=0&amp;s=0&amp;cv=87")</f>
        <v>https://rmda.kulib.kyoto-u.ac.jp/item/rb00005781#?c=0&amp;m=0&amp;s=0&amp;cv=87</v>
      </c>
    </row>
    <row r="215" spans="1:4" x14ac:dyDescent="0.15">
      <c r="A215" s="6" t="s">
        <v>93</v>
      </c>
      <c r="B215" s="6" t="s">
        <v>4887</v>
      </c>
      <c r="C215" s="6">
        <v>89</v>
      </c>
      <c r="D215" s="6" t="str">
        <f>HYPERLINK("https://rmda.kulib.kyoto-u.ac.jp/item/rb00005781#?c=0&amp;m=0&amp;s=0&amp;cv=88")</f>
        <v>https://rmda.kulib.kyoto-u.ac.jp/item/rb00005781#?c=0&amp;m=0&amp;s=0&amp;cv=88</v>
      </c>
    </row>
    <row r="216" spans="1:4" x14ac:dyDescent="0.15">
      <c r="A216" s="6" t="s">
        <v>93</v>
      </c>
      <c r="B216" s="6" t="s">
        <v>1523</v>
      </c>
      <c r="C216" s="6">
        <v>89</v>
      </c>
      <c r="D216" s="6" t="str">
        <f>HYPERLINK("https://rmda.kulib.kyoto-u.ac.jp/item/rb00005781#?c=0&amp;m=0&amp;s=0&amp;cv=88")</f>
        <v>https://rmda.kulib.kyoto-u.ac.jp/item/rb00005781#?c=0&amp;m=0&amp;s=0&amp;cv=88</v>
      </c>
    </row>
    <row r="217" spans="1:4" x14ac:dyDescent="0.15">
      <c r="A217" s="6" t="s">
        <v>93</v>
      </c>
      <c r="B217" s="6" t="s">
        <v>1524</v>
      </c>
      <c r="C217" s="6">
        <v>89</v>
      </c>
      <c r="D217" s="6" t="str">
        <f>HYPERLINK("https://rmda.kulib.kyoto-u.ac.jp/item/rb00005781#?c=0&amp;m=0&amp;s=0&amp;cv=88")</f>
        <v>https://rmda.kulib.kyoto-u.ac.jp/item/rb00005781#?c=0&amp;m=0&amp;s=0&amp;cv=88</v>
      </c>
    </row>
    <row r="218" spans="1:4" x14ac:dyDescent="0.15">
      <c r="A218" s="6" t="s">
        <v>93</v>
      </c>
      <c r="B218" s="6" t="s">
        <v>1525</v>
      </c>
      <c r="C218" s="6">
        <v>89</v>
      </c>
      <c r="D218" s="6" t="str">
        <f>HYPERLINK("https://rmda.kulib.kyoto-u.ac.jp/item/rb00005781#?c=0&amp;m=0&amp;s=0&amp;cv=88")</f>
        <v>https://rmda.kulib.kyoto-u.ac.jp/item/rb00005781#?c=0&amp;m=0&amp;s=0&amp;cv=88</v>
      </c>
    </row>
    <row r="219" spans="1:4" x14ac:dyDescent="0.15">
      <c r="A219" s="6" t="s">
        <v>93</v>
      </c>
      <c r="B219" s="6" t="s">
        <v>4888</v>
      </c>
      <c r="C219" s="6">
        <v>90</v>
      </c>
      <c r="D219" s="6" t="str">
        <f>HYPERLINK("https://rmda.kulib.kyoto-u.ac.jp/item/rb00005781#?c=0&amp;m=0&amp;s=0&amp;cv=89")</f>
        <v>https://rmda.kulib.kyoto-u.ac.jp/item/rb00005781#?c=0&amp;m=0&amp;s=0&amp;cv=89</v>
      </c>
    </row>
    <row r="220" spans="1:4" x14ac:dyDescent="0.15">
      <c r="A220" s="6" t="s">
        <v>93</v>
      </c>
      <c r="B220" s="6" t="s">
        <v>1526</v>
      </c>
      <c r="C220" s="6">
        <v>90</v>
      </c>
      <c r="D220" s="6" t="str">
        <f>HYPERLINK("https://rmda.kulib.kyoto-u.ac.jp/item/rb00005781#?c=0&amp;m=0&amp;s=0&amp;cv=89")</f>
        <v>https://rmda.kulib.kyoto-u.ac.jp/item/rb00005781#?c=0&amp;m=0&amp;s=0&amp;cv=89</v>
      </c>
    </row>
    <row r="221" spans="1:4" x14ac:dyDescent="0.15">
      <c r="A221" s="6" t="s">
        <v>93</v>
      </c>
      <c r="B221" s="6" t="s">
        <v>1527</v>
      </c>
      <c r="C221" s="6">
        <v>90</v>
      </c>
      <c r="D221" s="6" t="str">
        <f>HYPERLINK("https://rmda.kulib.kyoto-u.ac.jp/item/rb00005781#?c=0&amp;m=0&amp;s=0&amp;cv=89")</f>
        <v>https://rmda.kulib.kyoto-u.ac.jp/item/rb00005781#?c=0&amp;m=0&amp;s=0&amp;cv=89</v>
      </c>
    </row>
    <row r="222" spans="1:4" x14ac:dyDescent="0.15">
      <c r="A222" s="6" t="s">
        <v>93</v>
      </c>
      <c r="B222" s="6" t="s">
        <v>1528</v>
      </c>
      <c r="C222" s="6">
        <v>90</v>
      </c>
      <c r="D222" s="6" t="str">
        <f>HYPERLINK("https://rmda.kulib.kyoto-u.ac.jp/item/rb00005781#?c=0&amp;m=0&amp;s=0&amp;cv=89")</f>
        <v>https://rmda.kulib.kyoto-u.ac.jp/item/rb00005781#?c=0&amp;m=0&amp;s=0&amp;cv=89</v>
      </c>
    </row>
    <row r="223" spans="1:4" x14ac:dyDescent="0.15">
      <c r="A223" s="6" t="s">
        <v>93</v>
      </c>
      <c r="B223" s="6" t="s">
        <v>1529</v>
      </c>
      <c r="C223" s="6">
        <v>91</v>
      </c>
      <c r="D223" s="6" t="str">
        <f>HYPERLINK("https://rmda.kulib.kyoto-u.ac.jp/item/rb00005781#?c=0&amp;m=0&amp;s=0&amp;cv=90")</f>
        <v>https://rmda.kulib.kyoto-u.ac.jp/item/rb00005781#?c=0&amp;m=0&amp;s=0&amp;cv=90</v>
      </c>
    </row>
    <row r="224" spans="1:4" x14ac:dyDescent="0.15">
      <c r="A224" s="6" t="s">
        <v>93</v>
      </c>
      <c r="B224" s="6" t="s">
        <v>1530</v>
      </c>
      <c r="C224" s="6">
        <v>91</v>
      </c>
      <c r="D224" s="6" t="str">
        <f>HYPERLINK("https://rmda.kulib.kyoto-u.ac.jp/item/rb00005781#?c=0&amp;m=0&amp;s=0&amp;cv=90")</f>
        <v>https://rmda.kulib.kyoto-u.ac.jp/item/rb00005781#?c=0&amp;m=0&amp;s=0&amp;cv=90</v>
      </c>
    </row>
    <row r="225" spans="1:4" x14ac:dyDescent="0.15">
      <c r="A225" s="6" t="s">
        <v>93</v>
      </c>
      <c r="B225" s="6" t="s">
        <v>1531</v>
      </c>
      <c r="C225" s="6">
        <v>91</v>
      </c>
      <c r="D225" s="6" t="str">
        <f>HYPERLINK("https://rmda.kulib.kyoto-u.ac.jp/item/rb00005781#?c=0&amp;m=0&amp;s=0&amp;cv=90")</f>
        <v>https://rmda.kulib.kyoto-u.ac.jp/item/rb00005781#?c=0&amp;m=0&amp;s=0&amp;cv=90</v>
      </c>
    </row>
    <row r="226" spans="1:4" x14ac:dyDescent="0.15">
      <c r="A226" s="6" t="s">
        <v>93</v>
      </c>
      <c r="B226" s="6" t="s">
        <v>1532</v>
      </c>
      <c r="C226" s="6">
        <v>91</v>
      </c>
      <c r="D226" s="6" t="str">
        <f>HYPERLINK("https://rmda.kulib.kyoto-u.ac.jp/item/rb00005781#?c=0&amp;m=0&amp;s=0&amp;cv=90")</f>
        <v>https://rmda.kulib.kyoto-u.ac.jp/item/rb00005781#?c=0&amp;m=0&amp;s=0&amp;cv=90</v>
      </c>
    </row>
    <row r="227" spans="1:4" x14ac:dyDescent="0.15">
      <c r="A227" s="6" t="s">
        <v>93</v>
      </c>
      <c r="B227" s="6" t="s">
        <v>1533</v>
      </c>
      <c r="C227" s="6">
        <v>92</v>
      </c>
      <c r="D227" s="6" t="str">
        <f>HYPERLINK("https://rmda.kulib.kyoto-u.ac.jp/item/rb00005781#?c=0&amp;m=0&amp;s=0&amp;cv=91")</f>
        <v>https://rmda.kulib.kyoto-u.ac.jp/item/rb00005781#?c=0&amp;m=0&amp;s=0&amp;cv=91</v>
      </c>
    </row>
    <row r="228" spans="1:4" x14ac:dyDescent="0.15">
      <c r="A228" s="6" t="s">
        <v>93</v>
      </c>
      <c r="B228" s="6" t="s">
        <v>1534</v>
      </c>
      <c r="C228" s="6">
        <v>92</v>
      </c>
      <c r="D228" s="6" t="str">
        <f>HYPERLINK("https://rmda.kulib.kyoto-u.ac.jp/item/rb00005781#?c=0&amp;m=0&amp;s=0&amp;cv=91")</f>
        <v>https://rmda.kulib.kyoto-u.ac.jp/item/rb00005781#?c=0&amp;m=0&amp;s=0&amp;cv=91</v>
      </c>
    </row>
    <row r="229" spans="1:4" x14ac:dyDescent="0.15">
      <c r="A229" s="6" t="s">
        <v>93</v>
      </c>
      <c r="B229" s="6" t="s">
        <v>1535</v>
      </c>
      <c r="C229" s="6">
        <v>92</v>
      </c>
      <c r="D229" s="6" t="str">
        <f>HYPERLINK("https://rmda.kulib.kyoto-u.ac.jp/item/rb00005781#?c=0&amp;m=0&amp;s=0&amp;cv=91")</f>
        <v>https://rmda.kulib.kyoto-u.ac.jp/item/rb00005781#?c=0&amp;m=0&amp;s=0&amp;cv=91</v>
      </c>
    </row>
    <row r="230" spans="1:4" x14ac:dyDescent="0.15">
      <c r="A230" s="6" t="s">
        <v>93</v>
      </c>
      <c r="B230" s="6" t="s">
        <v>1536</v>
      </c>
      <c r="C230" s="6">
        <v>92</v>
      </c>
      <c r="D230" s="6" t="str">
        <f>HYPERLINK("https://rmda.kulib.kyoto-u.ac.jp/item/rb00005781#?c=0&amp;m=0&amp;s=0&amp;cv=91")</f>
        <v>https://rmda.kulib.kyoto-u.ac.jp/item/rb00005781#?c=0&amp;m=0&amp;s=0&amp;cv=91</v>
      </c>
    </row>
    <row r="231" spans="1:4" x14ac:dyDescent="0.15">
      <c r="A231" s="6" t="s">
        <v>93</v>
      </c>
      <c r="B231" s="6" t="s">
        <v>1537</v>
      </c>
      <c r="C231" s="6">
        <v>93</v>
      </c>
      <c r="D231" s="6" t="str">
        <f>HYPERLINK("https://rmda.kulib.kyoto-u.ac.jp/item/rb00005781#?c=0&amp;m=0&amp;s=0&amp;cv=92")</f>
        <v>https://rmda.kulib.kyoto-u.ac.jp/item/rb00005781#?c=0&amp;m=0&amp;s=0&amp;cv=92</v>
      </c>
    </row>
    <row r="232" spans="1:4" x14ac:dyDescent="0.15">
      <c r="A232" s="6" t="s">
        <v>93</v>
      </c>
      <c r="B232" s="6" t="s">
        <v>1538</v>
      </c>
      <c r="C232" s="6">
        <v>93</v>
      </c>
      <c r="D232" s="6" t="str">
        <f>HYPERLINK("https://rmda.kulib.kyoto-u.ac.jp/item/rb00005781#?c=0&amp;m=0&amp;s=0&amp;cv=92")</f>
        <v>https://rmda.kulib.kyoto-u.ac.jp/item/rb00005781#?c=0&amp;m=0&amp;s=0&amp;cv=92</v>
      </c>
    </row>
    <row r="233" spans="1:4" x14ac:dyDescent="0.15">
      <c r="A233" s="6" t="s">
        <v>93</v>
      </c>
      <c r="B233" s="6" t="s">
        <v>4889</v>
      </c>
      <c r="C233" s="6">
        <v>93</v>
      </c>
      <c r="D233" s="6" t="str">
        <f>HYPERLINK("https://rmda.kulib.kyoto-u.ac.jp/item/rb00005781#?c=0&amp;m=0&amp;s=0&amp;cv=92")</f>
        <v>https://rmda.kulib.kyoto-u.ac.jp/item/rb00005781#?c=0&amp;m=0&amp;s=0&amp;cv=92</v>
      </c>
    </row>
    <row r="234" spans="1:4" x14ac:dyDescent="0.15">
      <c r="A234" s="6" t="s">
        <v>93</v>
      </c>
      <c r="B234" s="6" t="s">
        <v>1539</v>
      </c>
      <c r="C234" s="6">
        <v>93</v>
      </c>
      <c r="D234" s="6" t="str">
        <f>HYPERLINK("https://rmda.kulib.kyoto-u.ac.jp/item/rb00005781#?c=0&amp;m=0&amp;s=0&amp;cv=92")</f>
        <v>https://rmda.kulib.kyoto-u.ac.jp/item/rb00005781#?c=0&amp;m=0&amp;s=0&amp;cv=92</v>
      </c>
    </row>
    <row r="235" spans="1:4" x14ac:dyDescent="0.15">
      <c r="A235" s="6" t="s">
        <v>93</v>
      </c>
      <c r="B235" s="6" t="s">
        <v>1540</v>
      </c>
      <c r="C235" s="6">
        <v>94</v>
      </c>
      <c r="D235" s="6" t="str">
        <f>HYPERLINK("https://rmda.kulib.kyoto-u.ac.jp/item/rb00005781#?c=0&amp;m=0&amp;s=0&amp;cv=93")</f>
        <v>https://rmda.kulib.kyoto-u.ac.jp/item/rb00005781#?c=0&amp;m=0&amp;s=0&amp;cv=93</v>
      </c>
    </row>
    <row r="236" spans="1:4" x14ac:dyDescent="0.15">
      <c r="A236" s="6" t="s">
        <v>93</v>
      </c>
      <c r="B236" s="6" t="s">
        <v>1541</v>
      </c>
      <c r="C236" s="6">
        <v>94</v>
      </c>
      <c r="D236" s="6" t="str">
        <f>HYPERLINK("https://rmda.kulib.kyoto-u.ac.jp/item/rb00005781#?c=0&amp;m=0&amp;s=0&amp;cv=93")</f>
        <v>https://rmda.kulib.kyoto-u.ac.jp/item/rb00005781#?c=0&amp;m=0&amp;s=0&amp;cv=93</v>
      </c>
    </row>
    <row r="237" spans="1:4" x14ac:dyDescent="0.15">
      <c r="A237" s="6" t="s">
        <v>93</v>
      </c>
      <c r="B237" s="6" t="s">
        <v>1542</v>
      </c>
      <c r="C237" s="6">
        <v>94</v>
      </c>
      <c r="D237" s="6" t="str">
        <f>HYPERLINK("https://rmda.kulib.kyoto-u.ac.jp/item/rb00005781#?c=0&amp;m=0&amp;s=0&amp;cv=93")</f>
        <v>https://rmda.kulib.kyoto-u.ac.jp/item/rb00005781#?c=0&amp;m=0&amp;s=0&amp;cv=93</v>
      </c>
    </row>
    <row r="238" spans="1:4" x14ac:dyDescent="0.15">
      <c r="A238" s="6" t="s">
        <v>93</v>
      </c>
      <c r="B238" s="6" t="s">
        <v>4890</v>
      </c>
      <c r="C238" s="6">
        <v>94</v>
      </c>
      <c r="D238" s="6" t="str">
        <f>HYPERLINK("https://rmda.kulib.kyoto-u.ac.jp/item/rb00005781#?c=0&amp;m=0&amp;s=0&amp;cv=93")</f>
        <v>https://rmda.kulib.kyoto-u.ac.jp/item/rb00005781#?c=0&amp;m=0&amp;s=0&amp;cv=93</v>
      </c>
    </row>
    <row r="239" spans="1:4" x14ac:dyDescent="0.15">
      <c r="A239" s="6" t="s">
        <v>93</v>
      </c>
      <c r="B239" s="6" t="s">
        <v>1543</v>
      </c>
      <c r="C239" s="6">
        <v>94</v>
      </c>
      <c r="D239" s="6" t="str">
        <f>HYPERLINK("https://rmda.kulib.kyoto-u.ac.jp/item/rb00005781#?c=0&amp;m=0&amp;s=0&amp;cv=93")</f>
        <v>https://rmda.kulib.kyoto-u.ac.jp/item/rb00005781#?c=0&amp;m=0&amp;s=0&amp;cv=93</v>
      </c>
    </row>
    <row r="240" spans="1:4" x14ac:dyDescent="0.15">
      <c r="A240" s="6" t="s">
        <v>93</v>
      </c>
      <c r="B240" s="6" t="s">
        <v>1544</v>
      </c>
      <c r="C240" s="6">
        <v>95</v>
      </c>
      <c r="D240" s="6" t="str">
        <f>HYPERLINK("https://rmda.kulib.kyoto-u.ac.jp/item/rb00005781#?c=0&amp;m=0&amp;s=0&amp;cv=94")</f>
        <v>https://rmda.kulib.kyoto-u.ac.jp/item/rb00005781#?c=0&amp;m=0&amp;s=0&amp;cv=94</v>
      </c>
    </row>
    <row r="241" spans="1:4" x14ac:dyDescent="0.15">
      <c r="A241" s="6" t="s">
        <v>93</v>
      </c>
      <c r="B241" s="72" t="s">
        <v>4891</v>
      </c>
      <c r="C241" s="6">
        <v>98</v>
      </c>
      <c r="D241" s="6" t="str">
        <f>HYPERLINK("https://rmda.kulib.kyoto-u.ac.jp/item/rb00005781#?c=0&amp;m=0&amp;s=0&amp;cv=97")</f>
        <v>https://rmda.kulib.kyoto-u.ac.jp/item/rb00005781#?c=0&amp;m=0&amp;s=0&amp;cv=97</v>
      </c>
    </row>
    <row r="242" spans="1:4" x14ac:dyDescent="0.15">
      <c r="A242" s="6" t="s">
        <v>93</v>
      </c>
      <c r="B242" s="6" t="s">
        <v>4892</v>
      </c>
      <c r="C242" s="6">
        <v>98</v>
      </c>
      <c r="D242" s="6" t="str">
        <f>HYPERLINK("https://rmda.kulib.kyoto-u.ac.jp/item/rb00005781#?c=0&amp;m=0&amp;s=0&amp;cv=97")</f>
        <v>https://rmda.kulib.kyoto-u.ac.jp/item/rb00005781#?c=0&amp;m=0&amp;s=0&amp;cv=97</v>
      </c>
    </row>
    <row r="243" spans="1:4" x14ac:dyDescent="0.15">
      <c r="A243" s="6" t="s">
        <v>93</v>
      </c>
      <c r="B243" s="6" t="s">
        <v>1545</v>
      </c>
      <c r="C243" s="6">
        <v>99</v>
      </c>
      <c r="D243" s="6" t="str">
        <f>HYPERLINK("https://rmda.kulib.kyoto-u.ac.jp/item/rb00005781#?c=0&amp;m=0&amp;s=0&amp;cv=98")</f>
        <v>https://rmda.kulib.kyoto-u.ac.jp/item/rb00005781#?c=0&amp;m=0&amp;s=0&amp;cv=98</v>
      </c>
    </row>
    <row r="244" spans="1:4" x14ac:dyDescent="0.15">
      <c r="A244" s="6" t="s">
        <v>93</v>
      </c>
      <c r="B244" s="6" t="s">
        <v>1546</v>
      </c>
      <c r="C244" s="6">
        <v>99</v>
      </c>
      <c r="D244" s="6" t="str">
        <f>HYPERLINK("https://rmda.kulib.kyoto-u.ac.jp/item/rb00005781#?c=0&amp;m=0&amp;s=0&amp;cv=98")</f>
        <v>https://rmda.kulib.kyoto-u.ac.jp/item/rb00005781#?c=0&amp;m=0&amp;s=0&amp;cv=98</v>
      </c>
    </row>
    <row r="245" spans="1:4" x14ac:dyDescent="0.15">
      <c r="A245" s="6" t="s">
        <v>93</v>
      </c>
      <c r="B245" s="6" t="s">
        <v>1547</v>
      </c>
      <c r="C245" s="6">
        <v>99</v>
      </c>
      <c r="D245" s="6" t="str">
        <f>HYPERLINK("https://rmda.kulib.kyoto-u.ac.jp/item/rb00005781#?c=0&amp;m=0&amp;s=0&amp;cv=98")</f>
        <v>https://rmda.kulib.kyoto-u.ac.jp/item/rb00005781#?c=0&amp;m=0&amp;s=0&amp;cv=98</v>
      </c>
    </row>
    <row r="246" spans="1:4" x14ac:dyDescent="0.15">
      <c r="A246" s="6" t="s">
        <v>93</v>
      </c>
      <c r="B246" s="6" t="s">
        <v>1548</v>
      </c>
      <c r="C246" s="6">
        <v>99</v>
      </c>
      <c r="D246" s="6" t="str">
        <f>HYPERLINK("https://rmda.kulib.kyoto-u.ac.jp/item/rb00005781#?c=0&amp;m=0&amp;s=0&amp;cv=98")</f>
        <v>https://rmda.kulib.kyoto-u.ac.jp/item/rb00005781#?c=0&amp;m=0&amp;s=0&amp;cv=98</v>
      </c>
    </row>
    <row r="247" spans="1:4" x14ac:dyDescent="0.15">
      <c r="A247" s="6" t="s">
        <v>93</v>
      </c>
      <c r="B247" s="6" t="s">
        <v>1549</v>
      </c>
      <c r="C247" s="6">
        <v>100</v>
      </c>
      <c r="D247" s="6" t="str">
        <f>HYPERLINK("https://rmda.kulib.kyoto-u.ac.jp/item/rb00005781#?c=0&amp;m=0&amp;s=0&amp;cv=99")</f>
        <v>https://rmda.kulib.kyoto-u.ac.jp/item/rb00005781#?c=0&amp;m=0&amp;s=0&amp;cv=99</v>
      </c>
    </row>
    <row r="248" spans="1:4" x14ac:dyDescent="0.15">
      <c r="A248" s="6" t="s">
        <v>93</v>
      </c>
      <c r="B248" s="6" t="s">
        <v>4893</v>
      </c>
      <c r="C248" s="6">
        <v>100</v>
      </c>
      <c r="D248" s="6" t="str">
        <f>HYPERLINK("https://rmda.kulib.kyoto-u.ac.jp/item/rb00005781#?c=0&amp;m=0&amp;s=0&amp;cv=99")</f>
        <v>https://rmda.kulib.kyoto-u.ac.jp/item/rb00005781#?c=0&amp;m=0&amp;s=0&amp;cv=99</v>
      </c>
    </row>
    <row r="249" spans="1:4" x14ac:dyDescent="0.15">
      <c r="A249" s="6" t="s">
        <v>93</v>
      </c>
      <c r="B249" s="6" t="s">
        <v>1550</v>
      </c>
      <c r="C249" s="6">
        <v>101</v>
      </c>
      <c r="D249" s="6" t="str">
        <f>HYPERLINK("https://rmda.kulib.kyoto-u.ac.jp/item/rb00005781#?c=0&amp;m=0&amp;s=0&amp;cv=100")</f>
        <v>https://rmda.kulib.kyoto-u.ac.jp/item/rb00005781#?c=0&amp;m=0&amp;s=0&amp;cv=100</v>
      </c>
    </row>
    <row r="250" spans="1:4" x14ac:dyDescent="0.15">
      <c r="A250" s="6" t="s">
        <v>93</v>
      </c>
      <c r="B250" s="6" t="s">
        <v>1551</v>
      </c>
      <c r="C250" s="6">
        <v>101</v>
      </c>
      <c r="D250" s="6" t="str">
        <f>HYPERLINK("https://rmda.kulib.kyoto-u.ac.jp/item/rb00005781#?c=0&amp;m=0&amp;s=0&amp;cv=100")</f>
        <v>https://rmda.kulib.kyoto-u.ac.jp/item/rb00005781#?c=0&amp;m=0&amp;s=0&amp;cv=100</v>
      </c>
    </row>
    <row r="251" spans="1:4" x14ac:dyDescent="0.15">
      <c r="A251" s="6" t="s">
        <v>93</v>
      </c>
      <c r="B251" s="6" t="s">
        <v>1552</v>
      </c>
      <c r="C251" s="6">
        <v>101</v>
      </c>
      <c r="D251" s="6" t="str">
        <f>HYPERLINK("https://rmda.kulib.kyoto-u.ac.jp/item/rb00005781#?c=0&amp;m=0&amp;s=0&amp;cv=100")</f>
        <v>https://rmda.kulib.kyoto-u.ac.jp/item/rb00005781#?c=0&amp;m=0&amp;s=0&amp;cv=100</v>
      </c>
    </row>
    <row r="252" spans="1:4" x14ac:dyDescent="0.15">
      <c r="A252" s="6" t="s">
        <v>93</v>
      </c>
      <c r="B252" s="6" t="s">
        <v>1553</v>
      </c>
      <c r="C252" s="6">
        <v>101</v>
      </c>
      <c r="D252" s="6" t="str">
        <f>HYPERLINK("https://rmda.kulib.kyoto-u.ac.jp/item/rb00005781#?c=0&amp;m=0&amp;s=0&amp;cv=100")</f>
        <v>https://rmda.kulib.kyoto-u.ac.jp/item/rb00005781#?c=0&amp;m=0&amp;s=0&amp;cv=100</v>
      </c>
    </row>
    <row r="253" spans="1:4" x14ac:dyDescent="0.15">
      <c r="A253" s="6" t="s">
        <v>93</v>
      </c>
      <c r="B253" s="6" t="s">
        <v>1554</v>
      </c>
      <c r="C253" s="6">
        <v>101</v>
      </c>
      <c r="D253" s="6" t="str">
        <f>HYPERLINK("https://rmda.kulib.kyoto-u.ac.jp/item/rb00005781#?c=0&amp;m=0&amp;s=0&amp;cv=100")</f>
        <v>https://rmda.kulib.kyoto-u.ac.jp/item/rb00005781#?c=0&amp;m=0&amp;s=0&amp;cv=100</v>
      </c>
    </row>
    <row r="254" spans="1:4" x14ac:dyDescent="0.15">
      <c r="A254" s="6" t="s">
        <v>93</v>
      </c>
      <c r="B254" s="6" t="s">
        <v>1555</v>
      </c>
      <c r="C254" s="6">
        <v>102</v>
      </c>
      <c r="D254" s="6" t="str">
        <f>HYPERLINK("https://rmda.kulib.kyoto-u.ac.jp/item/rb00005781#?c=0&amp;m=0&amp;s=0&amp;cv=101")</f>
        <v>https://rmda.kulib.kyoto-u.ac.jp/item/rb00005781#?c=0&amp;m=0&amp;s=0&amp;cv=101</v>
      </c>
    </row>
    <row r="255" spans="1:4" x14ac:dyDescent="0.15">
      <c r="A255" s="6" t="s">
        <v>93</v>
      </c>
      <c r="B255" s="6" t="s">
        <v>1556</v>
      </c>
      <c r="C255" s="6">
        <v>102</v>
      </c>
      <c r="D255" s="6" t="str">
        <f>HYPERLINK("https://rmda.kulib.kyoto-u.ac.jp/item/rb00005781#?c=0&amp;m=0&amp;s=0&amp;cv=101")</f>
        <v>https://rmda.kulib.kyoto-u.ac.jp/item/rb00005781#?c=0&amp;m=0&amp;s=0&amp;cv=101</v>
      </c>
    </row>
    <row r="256" spans="1:4" x14ac:dyDescent="0.15">
      <c r="A256" s="6" t="s">
        <v>93</v>
      </c>
      <c r="B256" s="6" t="s">
        <v>1557</v>
      </c>
      <c r="C256" s="6">
        <v>102</v>
      </c>
      <c r="D256" s="6" t="str">
        <f>HYPERLINK("https://rmda.kulib.kyoto-u.ac.jp/item/rb00005781#?c=0&amp;m=0&amp;s=0&amp;cv=101")</f>
        <v>https://rmda.kulib.kyoto-u.ac.jp/item/rb00005781#?c=0&amp;m=0&amp;s=0&amp;cv=101</v>
      </c>
    </row>
    <row r="257" spans="1:4" x14ac:dyDescent="0.15">
      <c r="A257" s="6" t="s">
        <v>93</v>
      </c>
      <c r="B257" s="6" t="s">
        <v>1558</v>
      </c>
      <c r="C257" s="6">
        <v>102</v>
      </c>
      <c r="D257" s="6" t="str">
        <f>HYPERLINK("https://rmda.kulib.kyoto-u.ac.jp/item/rb00005781#?c=0&amp;m=0&amp;s=0&amp;cv=101")</f>
        <v>https://rmda.kulib.kyoto-u.ac.jp/item/rb00005781#?c=0&amp;m=0&amp;s=0&amp;cv=101</v>
      </c>
    </row>
    <row r="258" spans="1:4" x14ac:dyDescent="0.15">
      <c r="A258" s="6" t="s">
        <v>93</v>
      </c>
      <c r="B258" s="6" t="s">
        <v>1559</v>
      </c>
      <c r="C258" s="6">
        <v>103</v>
      </c>
      <c r="D258" s="6" t="str">
        <f>HYPERLINK("https://rmda.kulib.kyoto-u.ac.jp/item/rb00005781#?c=0&amp;m=0&amp;s=0&amp;cv=102")</f>
        <v>https://rmda.kulib.kyoto-u.ac.jp/item/rb00005781#?c=0&amp;m=0&amp;s=0&amp;cv=102</v>
      </c>
    </row>
    <row r="259" spans="1:4" x14ac:dyDescent="0.15">
      <c r="A259" s="6" t="s">
        <v>93</v>
      </c>
      <c r="B259" s="6" t="s">
        <v>1560</v>
      </c>
      <c r="C259" s="6">
        <v>103</v>
      </c>
      <c r="D259" s="6" t="str">
        <f>HYPERLINK("https://rmda.kulib.kyoto-u.ac.jp/item/rb00005781#?c=0&amp;m=0&amp;s=0&amp;cv=102")</f>
        <v>https://rmda.kulib.kyoto-u.ac.jp/item/rb00005781#?c=0&amp;m=0&amp;s=0&amp;cv=102</v>
      </c>
    </row>
    <row r="260" spans="1:4" x14ac:dyDescent="0.15">
      <c r="A260" s="6" t="s">
        <v>93</v>
      </c>
      <c r="B260" s="6" t="s">
        <v>1561</v>
      </c>
      <c r="C260" s="6">
        <v>104</v>
      </c>
      <c r="D260" s="6" t="str">
        <f>HYPERLINK("https://rmda.kulib.kyoto-u.ac.jp/item/rb00005781#?c=0&amp;m=0&amp;s=0&amp;cv=103")</f>
        <v>https://rmda.kulib.kyoto-u.ac.jp/item/rb00005781#?c=0&amp;m=0&amp;s=0&amp;cv=103</v>
      </c>
    </row>
    <row r="261" spans="1:4" x14ac:dyDescent="0.15">
      <c r="A261" s="6" t="s">
        <v>93</v>
      </c>
      <c r="B261" s="6" t="s">
        <v>1562</v>
      </c>
      <c r="C261" s="6">
        <v>104</v>
      </c>
      <c r="D261" s="6" t="str">
        <f>HYPERLINK("https://rmda.kulib.kyoto-u.ac.jp/item/rb00005781#?c=0&amp;m=0&amp;s=0&amp;cv=103")</f>
        <v>https://rmda.kulib.kyoto-u.ac.jp/item/rb00005781#?c=0&amp;m=0&amp;s=0&amp;cv=103</v>
      </c>
    </row>
    <row r="262" spans="1:4" x14ac:dyDescent="0.15">
      <c r="A262" s="6" t="s">
        <v>93</v>
      </c>
      <c r="B262" s="6" t="s">
        <v>1563</v>
      </c>
      <c r="C262" s="6">
        <v>104</v>
      </c>
      <c r="D262" s="6" t="str">
        <f>HYPERLINK("https://rmda.kulib.kyoto-u.ac.jp/item/rb00005781#?c=0&amp;m=0&amp;s=0&amp;cv=103")</f>
        <v>https://rmda.kulib.kyoto-u.ac.jp/item/rb00005781#?c=0&amp;m=0&amp;s=0&amp;cv=103</v>
      </c>
    </row>
    <row r="263" spans="1:4" x14ac:dyDescent="0.15">
      <c r="A263" s="6" t="s">
        <v>93</v>
      </c>
      <c r="B263" s="6" t="s">
        <v>1564</v>
      </c>
      <c r="C263" s="6">
        <v>104</v>
      </c>
      <c r="D263" s="6" t="str">
        <f>HYPERLINK("https://rmda.kulib.kyoto-u.ac.jp/item/rb00005781#?c=0&amp;m=0&amp;s=0&amp;cv=103")</f>
        <v>https://rmda.kulib.kyoto-u.ac.jp/item/rb00005781#?c=0&amp;m=0&amp;s=0&amp;cv=103</v>
      </c>
    </row>
    <row r="264" spans="1:4" x14ac:dyDescent="0.15">
      <c r="A264" s="6" t="s">
        <v>93</v>
      </c>
      <c r="B264" s="6" t="s">
        <v>5987</v>
      </c>
      <c r="C264" s="6">
        <v>105</v>
      </c>
      <c r="D264" s="6" t="str">
        <f>HYPERLINK("https://rmda.kulib.kyoto-u.ac.jp/item/rb00005781#?c=0&amp;m=0&amp;s=0&amp;cv=104")</f>
        <v>https://rmda.kulib.kyoto-u.ac.jp/item/rb00005781#?c=0&amp;m=0&amp;s=0&amp;cv=104</v>
      </c>
    </row>
    <row r="265" spans="1:4" x14ac:dyDescent="0.15">
      <c r="A265" s="6" t="s">
        <v>93</v>
      </c>
      <c r="B265" s="6" t="s">
        <v>1565</v>
      </c>
      <c r="C265" s="6">
        <v>105</v>
      </c>
      <c r="D265" s="6" t="str">
        <f>HYPERLINK("https://rmda.kulib.kyoto-u.ac.jp/item/rb00005781#?c=0&amp;m=0&amp;s=0&amp;cv=104")</f>
        <v>https://rmda.kulib.kyoto-u.ac.jp/item/rb00005781#?c=0&amp;m=0&amp;s=0&amp;cv=104</v>
      </c>
    </row>
    <row r="266" spans="1:4" x14ac:dyDescent="0.15">
      <c r="A266" s="6" t="s">
        <v>93</v>
      </c>
      <c r="B266" s="6" t="s">
        <v>1566</v>
      </c>
      <c r="C266" s="6">
        <v>105</v>
      </c>
      <c r="D266" s="6" t="str">
        <f>HYPERLINK("https://rmda.kulib.kyoto-u.ac.jp/item/rb00005781#?c=0&amp;m=0&amp;s=0&amp;cv=104")</f>
        <v>https://rmda.kulib.kyoto-u.ac.jp/item/rb00005781#?c=0&amp;m=0&amp;s=0&amp;cv=104</v>
      </c>
    </row>
    <row r="267" spans="1:4" x14ac:dyDescent="0.15">
      <c r="A267" s="6" t="s">
        <v>93</v>
      </c>
      <c r="B267" s="6" t="s">
        <v>1567</v>
      </c>
      <c r="C267" s="6">
        <v>106</v>
      </c>
      <c r="D267" s="6" t="str">
        <f>HYPERLINK("https://rmda.kulib.kyoto-u.ac.jp/item/rb00005781#?c=0&amp;m=0&amp;s=0&amp;cv=105")</f>
        <v>https://rmda.kulib.kyoto-u.ac.jp/item/rb00005781#?c=0&amp;m=0&amp;s=0&amp;cv=105</v>
      </c>
    </row>
    <row r="268" spans="1:4" x14ac:dyDescent="0.15">
      <c r="A268" s="6" t="s">
        <v>93</v>
      </c>
      <c r="B268" s="6" t="s">
        <v>1568</v>
      </c>
      <c r="C268" s="6">
        <v>106</v>
      </c>
      <c r="D268" s="6" t="str">
        <f>HYPERLINK("https://rmda.kulib.kyoto-u.ac.jp/item/rb00005781#?c=0&amp;m=0&amp;s=0&amp;cv=105")</f>
        <v>https://rmda.kulib.kyoto-u.ac.jp/item/rb00005781#?c=0&amp;m=0&amp;s=0&amp;cv=105</v>
      </c>
    </row>
    <row r="269" spans="1:4" x14ac:dyDescent="0.15">
      <c r="A269" s="6" t="s">
        <v>93</v>
      </c>
      <c r="B269" s="72" t="s">
        <v>4894</v>
      </c>
      <c r="C269" s="6">
        <v>107</v>
      </c>
      <c r="D269" s="6" t="str">
        <f>HYPERLINK("https://rmda.kulib.kyoto-u.ac.jp/item/rb00005781#?c=0&amp;m=0&amp;s=0&amp;cv=106")</f>
        <v>https://rmda.kulib.kyoto-u.ac.jp/item/rb00005781#?c=0&amp;m=0&amp;s=0&amp;cv=106</v>
      </c>
    </row>
    <row r="270" spans="1:4" x14ac:dyDescent="0.15">
      <c r="A270" s="6" t="s">
        <v>93</v>
      </c>
      <c r="B270" s="6" t="s">
        <v>4895</v>
      </c>
      <c r="C270" s="6">
        <v>107</v>
      </c>
      <c r="D270" s="6" t="str">
        <f>HYPERLINK("https://rmda.kulib.kyoto-u.ac.jp/item/rb00005781#?c=0&amp;m=0&amp;s=0&amp;cv=106")</f>
        <v>https://rmda.kulib.kyoto-u.ac.jp/item/rb00005781#?c=0&amp;m=0&amp;s=0&amp;cv=106</v>
      </c>
    </row>
    <row r="271" spans="1:4" x14ac:dyDescent="0.15">
      <c r="A271" s="6" t="s">
        <v>93</v>
      </c>
      <c r="B271" s="6" t="s">
        <v>4896</v>
      </c>
      <c r="C271" s="6">
        <v>108</v>
      </c>
      <c r="D271" s="6" t="str">
        <f>HYPERLINK("https://rmda.kulib.kyoto-u.ac.jp/item/rb00005781#?c=0&amp;m=0&amp;s=0&amp;cv=107")</f>
        <v>https://rmda.kulib.kyoto-u.ac.jp/item/rb00005781#?c=0&amp;m=0&amp;s=0&amp;cv=107</v>
      </c>
    </row>
    <row r="272" spans="1:4" x14ac:dyDescent="0.15">
      <c r="A272" s="6" t="s">
        <v>93</v>
      </c>
      <c r="B272" s="6" t="s">
        <v>1543</v>
      </c>
      <c r="C272" s="6">
        <v>108</v>
      </c>
      <c r="D272" s="6" t="str">
        <f>HYPERLINK("https://rmda.kulib.kyoto-u.ac.jp/item/rb00005781#?c=0&amp;m=0&amp;s=0&amp;cv=107")</f>
        <v>https://rmda.kulib.kyoto-u.ac.jp/item/rb00005781#?c=0&amp;m=0&amp;s=0&amp;cv=107</v>
      </c>
    </row>
    <row r="273" spans="1:4" x14ac:dyDescent="0.15">
      <c r="A273" s="6" t="s">
        <v>93</v>
      </c>
      <c r="B273" s="6" t="s">
        <v>1569</v>
      </c>
      <c r="C273" s="6">
        <v>108</v>
      </c>
      <c r="D273" s="6" t="str">
        <f>HYPERLINK("https://rmda.kulib.kyoto-u.ac.jp/item/rb00005781#?c=0&amp;m=0&amp;s=0&amp;cv=107")</f>
        <v>https://rmda.kulib.kyoto-u.ac.jp/item/rb00005781#?c=0&amp;m=0&amp;s=0&amp;cv=107</v>
      </c>
    </row>
    <row r="274" spans="1:4" x14ac:dyDescent="0.15">
      <c r="A274" s="6" t="s">
        <v>93</v>
      </c>
      <c r="B274" s="6" t="s">
        <v>1570</v>
      </c>
      <c r="C274" s="6">
        <v>109</v>
      </c>
      <c r="D274" s="6" t="str">
        <f>HYPERLINK("https://rmda.kulib.kyoto-u.ac.jp/item/rb00005781#?c=0&amp;m=0&amp;s=0&amp;cv=108")</f>
        <v>https://rmda.kulib.kyoto-u.ac.jp/item/rb00005781#?c=0&amp;m=0&amp;s=0&amp;cv=108</v>
      </c>
    </row>
    <row r="275" spans="1:4" x14ac:dyDescent="0.15">
      <c r="A275" s="6" t="s">
        <v>93</v>
      </c>
      <c r="B275" s="6" t="s">
        <v>1571</v>
      </c>
      <c r="C275" s="6">
        <v>109</v>
      </c>
      <c r="D275" s="6" t="str">
        <f>HYPERLINK("https://rmda.kulib.kyoto-u.ac.jp/item/rb00005781#?c=0&amp;m=0&amp;s=0&amp;cv=108")</f>
        <v>https://rmda.kulib.kyoto-u.ac.jp/item/rb00005781#?c=0&amp;m=0&amp;s=0&amp;cv=108</v>
      </c>
    </row>
    <row r="276" spans="1:4" x14ac:dyDescent="0.15">
      <c r="A276" s="6" t="s">
        <v>93</v>
      </c>
      <c r="B276" s="6" t="s">
        <v>1572</v>
      </c>
      <c r="C276" s="6">
        <v>110</v>
      </c>
      <c r="D276" s="6" t="str">
        <f>HYPERLINK("https://rmda.kulib.kyoto-u.ac.jp/item/rb00005781#?c=0&amp;m=0&amp;s=0&amp;cv=109")</f>
        <v>https://rmda.kulib.kyoto-u.ac.jp/item/rb00005781#?c=0&amp;m=0&amp;s=0&amp;cv=109</v>
      </c>
    </row>
    <row r="277" spans="1:4" x14ac:dyDescent="0.15">
      <c r="A277" s="6" t="s">
        <v>93</v>
      </c>
      <c r="B277" s="6" t="s">
        <v>1573</v>
      </c>
      <c r="C277" s="6">
        <v>111</v>
      </c>
      <c r="D277" s="6" t="str">
        <f>HYPERLINK("https://rmda.kulib.kyoto-u.ac.jp/item/rb00005781#?c=0&amp;m=0&amp;s=0&amp;cv=110")</f>
        <v>https://rmda.kulib.kyoto-u.ac.jp/item/rb00005781#?c=0&amp;m=0&amp;s=0&amp;cv=110</v>
      </c>
    </row>
    <row r="278" spans="1:4" x14ac:dyDescent="0.15">
      <c r="A278" s="6" t="s">
        <v>93</v>
      </c>
      <c r="B278" s="6" t="s">
        <v>1574</v>
      </c>
      <c r="C278" s="6">
        <v>111</v>
      </c>
      <c r="D278" s="6" t="str">
        <f>HYPERLINK("https://rmda.kulib.kyoto-u.ac.jp/item/rb00005781#?c=0&amp;m=0&amp;s=0&amp;cv=110")</f>
        <v>https://rmda.kulib.kyoto-u.ac.jp/item/rb00005781#?c=0&amp;m=0&amp;s=0&amp;cv=110</v>
      </c>
    </row>
    <row r="279" spans="1:4" x14ac:dyDescent="0.15">
      <c r="A279" s="6" t="s">
        <v>93</v>
      </c>
      <c r="B279" s="6" t="s">
        <v>1575</v>
      </c>
      <c r="C279" s="6">
        <v>111</v>
      </c>
      <c r="D279" s="6" t="str">
        <f>HYPERLINK("https://rmda.kulib.kyoto-u.ac.jp/item/rb00005781#?c=0&amp;m=0&amp;s=0&amp;cv=110")</f>
        <v>https://rmda.kulib.kyoto-u.ac.jp/item/rb00005781#?c=0&amp;m=0&amp;s=0&amp;cv=110</v>
      </c>
    </row>
    <row r="280" spans="1:4" x14ac:dyDescent="0.15">
      <c r="A280" s="6" t="s">
        <v>93</v>
      </c>
      <c r="B280" s="6" t="s">
        <v>1576</v>
      </c>
      <c r="C280" s="6">
        <v>112</v>
      </c>
      <c r="D280" s="6" t="str">
        <f>HYPERLINK("https://rmda.kulib.kyoto-u.ac.jp/item/rb00005781#?c=0&amp;m=0&amp;s=0&amp;cv=111")</f>
        <v>https://rmda.kulib.kyoto-u.ac.jp/item/rb00005781#?c=0&amp;m=0&amp;s=0&amp;cv=111</v>
      </c>
    </row>
    <row r="281" spans="1:4" x14ac:dyDescent="0.15">
      <c r="A281" s="6" t="s">
        <v>93</v>
      </c>
      <c r="B281" s="6" t="s">
        <v>1577</v>
      </c>
      <c r="C281" s="6">
        <v>112</v>
      </c>
      <c r="D281" s="6" t="str">
        <f>HYPERLINK("https://rmda.kulib.kyoto-u.ac.jp/item/rb00005781#?c=0&amp;m=0&amp;s=0&amp;cv=111")</f>
        <v>https://rmda.kulib.kyoto-u.ac.jp/item/rb00005781#?c=0&amp;m=0&amp;s=0&amp;cv=111</v>
      </c>
    </row>
    <row r="282" spans="1:4" x14ac:dyDescent="0.15">
      <c r="A282" s="6" t="s">
        <v>93</v>
      </c>
      <c r="B282" s="6" t="s">
        <v>4897</v>
      </c>
      <c r="C282" s="6">
        <v>112</v>
      </c>
      <c r="D282" s="6" t="str">
        <f>HYPERLINK("https://rmda.kulib.kyoto-u.ac.jp/item/rb00005781#?c=0&amp;m=0&amp;s=0&amp;cv=111")</f>
        <v>https://rmda.kulib.kyoto-u.ac.jp/item/rb00005781#?c=0&amp;m=0&amp;s=0&amp;cv=111</v>
      </c>
    </row>
    <row r="283" spans="1:4" x14ac:dyDescent="0.15">
      <c r="A283" s="6" t="s">
        <v>93</v>
      </c>
      <c r="B283" s="6" t="s">
        <v>1578</v>
      </c>
      <c r="C283" s="6">
        <v>113</v>
      </c>
      <c r="D283" s="6" t="str">
        <f>HYPERLINK("https://rmda.kulib.kyoto-u.ac.jp/item/rb00005781#?c=0&amp;m=0&amp;s=0&amp;cv=112")</f>
        <v>https://rmda.kulib.kyoto-u.ac.jp/item/rb00005781#?c=0&amp;m=0&amp;s=0&amp;cv=112</v>
      </c>
    </row>
    <row r="284" spans="1:4" x14ac:dyDescent="0.15">
      <c r="A284" s="6" t="s">
        <v>93</v>
      </c>
      <c r="B284" s="6" t="s">
        <v>1579</v>
      </c>
      <c r="C284" s="6">
        <v>113</v>
      </c>
      <c r="D284" s="6" t="str">
        <f>HYPERLINK("https://rmda.kulib.kyoto-u.ac.jp/item/rb00005781#?c=0&amp;m=0&amp;s=0&amp;cv=112")</f>
        <v>https://rmda.kulib.kyoto-u.ac.jp/item/rb00005781#?c=0&amp;m=0&amp;s=0&amp;cv=112</v>
      </c>
    </row>
    <row r="285" spans="1:4" x14ac:dyDescent="0.15">
      <c r="A285" s="6" t="s">
        <v>93</v>
      </c>
      <c r="B285" s="6" t="s">
        <v>1580</v>
      </c>
      <c r="C285" s="6">
        <v>113</v>
      </c>
      <c r="D285" s="6" t="str">
        <f>HYPERLINK("https://rmda.kulib.kyoto-u.ac.jp/item/rb00005781#?c=0&amp;m=0&amp;s=0&amp;cv=112")</f>
        <v>https://rmda.kulib.kyoto-u.ac.jp/item/rb00005781#?c=0&amp;m=0&amp;s=0&amp;cv=112</v>
      </c>
    </row>
    <row r="286" spans="1:4" x14ac:dyDescent="0.15">
      <c r="A286" s="6" t="s">
        <v>93</v>
      </c>
      <c r="B286" s="6" t="s">
        <v>1581</v>
      </c>
      <c r="C286" s="6">
        <v>113</v>
      </c>
      <c r="D286" s="6" t="str">
        <f>HYPERLINK("https://rmda.kulib.kyoto-u.ac.jp/item/rb00005781#?c=0&amp;m=0&amp;s=0&amp;cv=112")</f>
        <v>https://rmda.kulib.kyoto-u.ac.jp/item/rb00005781#?c=0&amp;m=0&amp;s=0&amp;cv=112</v>
      </c>
    </row>
    <row r="287" spans="1:4" x14ac:dyDescent="0.15">
      <c r="A287" s="6" t="s">
        <v>93</v>
      </c>
      <c r="B287" s="6" t="s">
        <v>1582</v>
      </c>
      <c r="C287" s="6">
        <v>114</v>
      </c>
      <c r="D287" s="6" t="str">
        <f>HYPERLINK("https://rmda.kulib.kyoto-u.ac.jp/item/rb00005781#?c=0&amp;m=0&amp;s=0&amp;cv=113")</f>
        <v>https://rmda.kulib.kyoto-u.ac.jp/item/rb00005781#?c=0&amp;m=0&amp;s=0&amp;cv=113</v>
      </c>
    </row>
    <row r="288" spans="1:4" x14ac:dyDescent="0.15">
      <c r="A288" s="6" t="s">
        <v>93</v>
      </c>
      <c r="B288" s="6" t="s">
        <v>4898</v>
      </c>
      <c r="C288" s="6">
        <v>114</v>
      </c>
      <c r="D288" s="6" t="str">
        <f>HYPERLINK("https://rmda.kulib.kyoto-u.ac.jp/item/rb00005781#?c=0&amp;m=0&amp;s=0&amp;cv=113")</f>
        <v>https://rmda.kulib.kyoto-u.ac.jp/item/rb00005781#?c=0&amp;m=0&amp;s=0&amp;cv=113</v>
      </c>
    </row>
    <row r="289" spans="1:4" x14ac:dyDescent="0.15">
      <c r="A289" s="6" t="s">
        <v>93</v>
      </c>
      <c r="B289" s="6" t="s">
        <v>1583</v>
      </c>
      <c r="C289" s="6">
        <v>114</v>
      </c>
      <c r="D289" s="6" t="str">
        <f>HYPERLINK("https://rmda.kulib.kyoto-u.ac.jp/item/rb00005781#?c=0&amp;m=0&amp;s=0&amp;cv=113")</f>
        <v>https://rmda.kulib.kyoto-u.ac.jp/item/rb00005781#?c=0&amp;m=0&amp;s=0&amp;cv=113</v>
      </c>
    </row>
    <row r="290" spans="1:4" x14ac:dyDescent="0.15">
      <c r="A290" s="6" t="s">
        <v>93</v>
      </c>
      <c r="B290" s="6" t="s">
        <v>1584</v>
      </c>
      <c r="C290" s="6">
        <v>115</v>
      </c>
      <c r="D290" s="6" t="str">
        <f>HYPERLINK("https://rmda.kulib.kyoto-u.ac.jp/item/rb00005781#?c=0&amp;m=0&amp;s=0&amp;cv=114")</f>
        <v>https://rmda.kulib.kyoto-u.ac.jp/item/rb00005781#?c=0&amp;m=0&amp;s=0&amp;cv=114</v>
      </c>
    </row>
    <row r="291" spans="1:4" x14ac:dyDescent="0.15">
      <c r="A291" s="6" t="s">
        <v>93</v>
      </c>
      <c r="B291" s="6" t="s">
        <v>1585</v>
      </c>
      <c r="C291" s="6">
        <v>115</v>
      </c>
      <c r="D291" s="6" t="str">
        <f>HYPERLINK("https://rmda.kulib.kyoto-u.ac.jp/item/rb00005781#?c=0&amp;m=0&amp;s=0&amp;cv=114")</f>
        <v>https://rmda.kulib.kyoto-u.ac.jp/item/rb00005781#?c=0&amp;m=0&amp;s=0&amp;cv=114</v>
      </c>
    </row>
    <row r="292" spans="1:4" x14ac:dyDescent="0.15">
      <c r="A292" s="6" t="s">
        <v>93</v>
      </c>
      <c r="B292" s="6" t="s">
        <v>1586</v>
      </c>
      <c r="C292" s="6">
        <v>115</v>
      </c>
      <c r="D292" s="6" t="str">
        <f>HYPERLINK("https://rmda.kulib.kyoto-u.ac.jp/item/rb00005781#?c=0&amp;m=0&amp;s=0&amp;cv=114")</f>
        <v>https://rmda.kulib.kyoto-u.ac.jp/item/rb00005781#?c=0&amp;m=0&amp;s=0&amp;cv=114</v>
      </c>
    </row>
    <row r="293" spans="1:4" x14ac:dyDescent="0.15">
      <c r="A293" s="6" t="s">
        <v>93</v>
      </c>
      <c r="B293" s="6" t="s">
        <v>1587</v>
      </c>
      <c r="C293" s="6">
        <v>116</v>
      </c>
      <c r="D293" s="6" t="str">
        <f>HYPERLINK("https://rmda.kulib.kyoto-u.ac.jp/item/rb00005781#?c=0&amp;m=0&amp;s=0&amp;cv=115")</f>
        <v>https://rmda.kulib.kyoto-u.ac.jp/item/rb00005781#?c=0&amp;m=0&amp;s=0&amp;cv=115</v>
      </c>
    </row>
    <row r="294" spans="1:4" x14ac:dyDescent="0.15">
      <c r="A294" s="6" t="s">
        <v>93</v>
      </c>
      <c r="B294" s="6" t="s">
        <v>1588</v>
      </c>
      <c r="C294" s="6">
        <v>116</v>
      </c>
      <c r="D294" s="6" t="str">
        <f>HYPERLINK("https://rmda.kulib.kyoto-u.ac.jp/item/rb00005781#?c=0&amp;m=0&amp;s=0&amp;cv=115")</f>
        <v>https://rmda.kulib.kyoto-u.ac.jp/item/rb00005781#?c=0&amp;m=0&amp;s=0&amp;cv=115</v>
      </c>
    </row>
    <row r="295" spans="1:4" x14ac:dyDescent="0.15">
      <c r="A295" s="6" t="s">
        <v>93</v>
      </c>
      <c r="B295" s="6" t="s">
        <v>1589</v>
      </c>
      <c r="C295" s="6">
        <v>116</v>
      </c>
      <c r="D295" s="6" t="str">
        <f>HYPERLINK("https://rmda.kulib.kyoto-u.ac.jp/item/rb00005781#?c=0&amp;m=0&amp;s=0&amp;cv=115")</f>
        <v>https://rmda.kulib.kyoto-u.ac.jp/item/rb00005781#?c=0&amp;m=0&amp;s=0&amp;cv=115</v>
      </c>
    </row>
    <row r="296" spans="1:4" x14ac:dyDescent="0.15">
      <c r="A296" s="6" t="s">
        <v>93</v>
      </c>
      <c r="B296" s="6" t="s">
        <v>1590</v>
      </c>
      <c r="C296" s="6">
        <v>117</v>
      </c>
      <c r="D296" s="6" t="str">
        <f>HYPERLINK("https://rmda.kulib.kyoto-u.ac.jp/item/rb00005781#?c=0&amp;m=0&amp;s=0&amp;cv=116")</f>
        <v>https://rmda.kulib.kyoto-u.ac.jp/item/rb00005781#?c=0&amp;m=0&amp;s=0&amp;cv=116</v>
      </c>
    </row>
    <row r="297" spans="1:4" x14ac:dyDescent="0.15">
      <c r="A297" s="6" t="s">
        <v>93</v>
      </c>
      <c r="B297" s="6" t="s">
        <v>1591</v>
      </c>
      <c r="C297" s="6">
        <v>117</v>
      </c>
      <c r="D297" s="6" t="str">
        <f>HYPERLINK("https://rmda.kulib.kyoto-u.ac.jp/item/rb00005781#?c=0&amp;m=0&amp;s=0&amp;cv=116")</f>
        <v>https://rmda.kulib.kyoto-u.ac.jp/item/rb00005781#?c=0&amp;m=0&amp;s=0&amp;cv=116</v>
      </c>
    </row>
    <row r="298" spans="1:4" x14ac:dyDescent="0.15">
      <c r="A298" s="6" t="s">
        <v>93</v>
      </c>
      <c r="B298" s="72" t="s">
        <v>4899</v>
      </c>
      <c r="C298" s="6">
        <v>118</v>
      </c>
      <c r="D298" s="6" t="str">
        <f>HYPERLINK("https://rmda.kulib.kyoto-u.ac.jp/item/rb00005781#?c=0&amp;m=0&amp;s=0&amp;cv=117")</f>
        <v>https://rmda.kulib.kyoto-u.ac.jp/item/rb00005781#?c=0&amp;m=0&amp;s=0&amp;cv=117</v>
      </c>
    </row>
    <row r="299" spans="1:4" x14ac:dyDescent="0.15">
      <c r="A299" s="6" t="s">
        <v>93</v>
      </c>
      <c r="B299" s="6" t="s">
        <v>1592</v>
      </c>
      <c r="C299" s="6">
        <v>118</v>
      </c>
      <c r="D299" s="6" t="str">
        <f>HYPERLINK("https://rmda.kulib.kyoto-u.ac.jp/item/rb00005781#?c=0&amp;m=0&amp;s=0&amp;cv=117")</f>
        <v>https://rmda.kulib.kyoto-u.ac.jp/item/rb00005781#?c=0&amp;m=0&amp;s=0&amp;cv=117</v>
      </c>
    </row>
    <row r="300" spans="1:4" x14ac:dyDescent="0.15">
      <c r="A300" s="6" t="s">
        <v>93</v>
      </c>
      <c r="B300" s="6" t="s">
        <v>4900</v>
      </c>
      <c r="C300" s="6">
        <v>119</v>
      </c>
      <c r="D300" s="6" t="str">
        <f>HYPERLINK("https://rmda.kulib.kyoto-u.ac.jp/item/rb00005781#?c=0&amp;m=0&amp;s=0&amp;cv=118")</f>
        <v>https://rmda.kulib.kyoto-u.ac.jp/item/rb00005781#?c=0&amp;m=0&amp;s=0&amp;cv=118</v>
      </c>
    </row>
    <row r="301" spans="1:4" x14ac:dyDescent="0.15">
      <c r="A301" s="6" t="s">
        <v>93</v>
      </c>
      <c r="B301" s="6" t="s">
        <v>1593</v>
      </c>
      <c r="C301" s="6">
        <v>119</v>
      </c>
      <c r="D301" s="6" t="str">
        <f>HYPERLINK("https://rmda.kulib.kyoto-u.ac.jp/item/rb00005781#?c=0&amp;m=0&amp;s=0&amp;cv=118")</f>
        <v>https://rmda.kulib.kyoto-u.ac.jp/item/rb00005781#?c=0&amp;m=0&amp;s=0&amp;cv=118</v>
      </c>
    </row>
    <row r="302" spans="1:4" x14ac:dyDescent="0.15">
      <c r="A302" s="6" t="s">
        <v>93</v>
      </c>
      <c r="B302" s="6" t="s">
        <v>1594</v>
      </c>
      <c r="C302" s="6">
        <v>119</v>
      </c>
      <c r="D302" s="6" t="str">
        <f>HYPERLINK("https://rmda.kulib.kyoto-u.ac.jp/item/rb00005781#?c=0&amp;m=0&amp;s=0&amp;cv=118")</f>
        <v>https://rmda.kulib.kyoto-u.ac.jp/item/rb00005781#?c=0&amp;m=0&amp;s=0&amp;cv=118</v>
      </c>
    </row>
    <row r="303" spans="1:4" x14ac:dyDescent="0.15">
      <c r="A303" s="6" t="s">
        <v>93</v>
      </c>
      <c r="B303" s="6" t="s">
        <v>1595</v>
      </c>
      <c r="C303" s="6">
        <v>120</v>
      </c>
      <c r="D303" s="6" t="str">
        <f>HYPERLINK("https://rmda.kulib.kyoto-u.ac.jp/item/rb00005781#?c=0&amp;m=0&amp;s=0&amp;cv=119")</f>
        <v>https://rmda.kulib.kyoto-u.ac.jp/item/rb00005781#?c=0&amp;m=0&amp;s=0&amp;cv=119</v>
      </c>
    </row>
    <row r="304" spans="1:4" x14ac:dyDescent="0.15">
      <c r="A304" s="6" t="s">
        <v>93</v>
      </c>
      <c r="B304" s="6" t="s">
        <v>1596</v>
      </c>
      <c r="C304" s="6">
        <v>120</v>
      </c>
      <c r="D304" s="6" t="str">
        <f>HYPERLINK("https://rmda.kulib.kyoto-u.ac.jp/item/rb00005781#?c=0&amp;m=0&amp;s=0&amp;cv=119")</f>
        <v>https://rmda.kulib.kyoto-u.ac.jp/item/rb00005781#?c=0&amp;m=0&amp;s=0&amp;cv=119</v>
      </c>
    </row>
    <row r="305" spans="1:4" x14ac:dyDescent="0.15">
      <c r="A305" s="6" t="s">
        <v>93</v>
      </c>
      <c r="B305" s="6" t="s">
        <v>1597</v>
      </c>
      <c r="C305" s="6">
        <v>120</v>
      </c>
      <c r="D305" s="6" t="str">
        <f>HYPERLINK("https://rmda.kulib.kyoto-u.ac.jp/item/rb00005781#?c=0&amp;m=0&amp;s=0&amp;cv=119")</f>
        <v>https://rmda.kulib.kyoto-u.ac.jp/item/rb00005781#?c=0&amp;m=0&amp;s=0&amp;cv=119</v>
      </c>
    </row>
    <row r="306" spans="1:4" x14ac:dyDescent="0.15">
      <c r="A306" s="6" t="s">
        <v>93</v>
      </c>
      <c r="B306" s="6" t="s">
        <v>1598</v>
      </c>
      <c r="C306" s="6">
        <v>121</v>
      </c>
      <c r="D306" s="6" t="str">
        <f>HYPERLINK("https://rmda.kulib.kyoto-u.ac.jp/item/rb00005781#?c=0&amp;m=0&amp;s=0&amp;cv=120")</f>
        <v>https://rmda.kulib.kyoto-u.ac.jp/item/rb00005781#?c=0&amp;m=0&amp;s=0&amp;cv=120</v>
      </c>
    </row>
    <row r="307" spans="1:4" x14ac:dyDescent="0.15">
      <c r="A307" s="6" t="s">
        <v>93</v>
      </c>
      <c r="B307" s="6" t="s">
        <v>1599</v>
      </c>
      <c r="C307" s="6">
        <v>121</v>
      </c>
      <c r="D307" s="6" t="str">
        <f>HYPERLINK("https://rmda.kulib.kyoto-u.ac.jp/item/rb00005781#?c=0&amp;m=0&amp;s=0&amp;cv=120")</f>
        <v>https://rmda.kulib.kyoto-u.ac.jp/item/rb00005781#?c=0&amp;m=0&amp;s=0&amp;cv=120</v>
      </c>
    </row>
    <row r="308" spans="1:4" x14ac:dyDescent="0.15">
      <c r="A308" s="6" t="s">
        <v>93</v>
      </c>
      <c r="B308" s="6" t="s">
        <v>1600</v>
      </c>
      <c r="C308" s="6">
        <v>121</v>
      </c>
      <c r="D308" s="6" t="str">
        <f>HYPERLINK("https://rmda.kulib.kyoto-u.ac.jp/item/rb00005781#?c=0&amp;m=0&amp;s=0&amp;cv=120")</f>
        <v>https://rmda.kulib.kyoto-u.ac.jp/item/rb00005781#?c=0&amp;m=0&amp;s=0&amp;cv=120</v>
      </c>
    </row>
    <row r="309" spans="1:4" x14ac:dyDescent="0.15">
      <c r="A309" s="6" t="s">
        <v>93</v>
      </c>
      <c r="B309" s="6" t="s">
        <v>1601</v>
      </c>
      <c r="C309" s="6">
        <v>121</v>
      </c>
      <c r="D309" s="6" t="str">
        <f>HYPERLINK("https://rmda.kulib.kyoto-u.ac.jp/item/rb00005781#?c=0&amp;m=0&amp;s=0&amp;cv=120")</f>
        <v>https://rmda.kulib.kyoto-u.ac.jp/item/rb00005781#?c=0&amp;m=0&amp;s=0&amp;cv=120</v>
      </c>
    </row>
    <row r="310" spans="1:4" x14ac:dyDescent="0.15">
      <c r="A310" s="6" t="s">
        <v>93</v>
      </c>
      <c r="B310" s="6" t="s">
        <v>1602</v>
      </c>
      <c r="C310" s="6">
        <v>122</v>
      </c>
      <c r="D310" s="6" t="str">
        <f>HYPERLINK("https://rmda.kulib.kyoto-u.ac.jp/item/rb00005781#?c=0&amp;m=0&amp;s=0&amp;cv=121")</f>
        <v>https://rmda.kulib.kyoto-u.ac.jp/item/rb00005781#?c=0&amp;m=0&amp;s=0&amp;cv=121</v>
      </c>
    </row>
    <row r="311" spans="1:4" x14ac:dyDescent="0.15">
      <c r="A311" s="6" t="s">
        <v>93</v>
      </c>
      <c r="B311" s="6" t="s">
        <v>4901</v>
      </c>
      <c r="C311" s="6">
        <v>122</v>
      </c>
      <c r="D311" s="6" t="str">
        <f>HYPERLINK("https://rmda.kulib.kyoto-u.ac.jp/item/rb00005781#?c=0&amp;m=0&amp;s=0&amp;cv=121")</f>
        <v>https://rmda.kulib.kyoto-u.ac.jp/item/rb00005781#?c=0&amp;m=0&amp;s=0&amp;cv=121</v>
      </c>
    </row>
    <row r="312" spans="1:4" x14ac:dyDescent="0.15">
      <c r="A312" s="6" t="s">
        <v>93</v>
      </c>
      <c r="B312" s="6" t="s">
        <v>4902</v>
      </c>
      <c r="C312" s="6">
        <v>122</v>
      </c>
      <c r="D312" s="6" t="str">
        <f>HYPERLINK("https://rmda.kulib.kyoto-u.ac.jp/item/rb00005781#?c=0&amp;m=0&amp;s=0&amp;cv=121")</f>
        <v>https://rmda.kulib.kyoto-u.ac.jp/item/rb00005781#?c=0&amp;m=0&amp;s=0&amp;cv=121</v>
      </c>
    </row>
    <row r="313" spans="1:4" x14ac:dyDescent="0.15">
      <c r="A313" s="6" t="s">
        <v>93</v>
      </c>
      <c r="B313" s="6" t="s">
        <v>1603</v>
      </c>
      <c r="C313" s="6">
        <v>123</v>
      </c>
      <c r="D313" s="6" t="str">
        <f>HYPERLINK("https://rmda.kulib.kyoto-u.ac.jp/item/rb00005781#?c=0&amp;m=0&amp;s=0&amp;cv=122")</f>
        <v>https://rmda.kulib.kyoto-u.ac.jp/item/rb00005781#?c=0&amp;m=0&amp;s=0&amp;cv=122</v>
      </c>
    </row>
    <row r="314" spans="1:4" x14ac:dyDescent="0.15">
      <c r="A314" s="6" t="s">
        <v>93</v>
      </c>
      <c r="B314" s="6" t="s">
        <v>1604</v>
      </c>
      <c r="C314" s="6">
        <v>123</v>
      </c>
      <c r="D314" s="6" t="str">
        <f>HYPERLINK("https://rmda.kulib.kyoto-u.ac.jp/item/rb00005781#?c=0&amp;m=0&amp;s=0&amp;cv=122")</f>
        <v>https://rmda.kulib.kyoto-u.ac.jp/item/rb00005781#?c=0&amp;m=0&amp;s=0&amp;cv=122</v>
      </c>
    </row>
    <row r="315" spans="1:4" x14ac:dyDescent="0.15">
      <c r="A315" s="6" t="s">
        <v>93</v>
      </c>
      <c r="B315" s="6" t="s">
        <v>1605</v>
      </c>
      <c r="C315" s="6">
        <v>123</v>
      </c>
      <c r="D315" s="6" t="str">
        <f>HYPERLINK("https://rmda.kulib.kyoto-u.ac.jp/item/rb00005781#?c=0&amp;m=0&amp;s=0&amp;cv=122")</f>
        <v>https://rmda.kulib.kyoto-u.ac.jp/item/rb00005781#?c=0&amp;m=0&amp;s=0&amp;cv=122</v>
      </c>
    </row>
    <row r="316" spans="1:4" x14ac:dyDescent="0.15">
      <c r="A316" s="6" t="s">
        <v>93</v>
      </c>
      <c r="B316" s="6" t="s">
        <v>5988</v>
      </c>
      <c r="C316" s="6">
        <v>123</v>
      </c>
      <c r="D316" s="6" t="str">
        <f>HYPERLINK("https://rmda.kulib.kyoto-u.ac.jp/item/rb00005781#?c=0&amp;m=0&amp;s=0&amp;cv=122")</f>
        <v>https://rmda.kulib.kyoto-u.ac.jp/item/rb00005781#?c=0&amp;m=0&amp;s=0&amp;cv=122</v>
      </c>
    </row>
    <row r="317" spans="1:4" x14ac:dyDescent="0.15">
      <c r="A317" s="6" t="s">
        <v>93</v>
      </c>
      <c r="B317" s="6" t="s">
        <v>1606</v>
      </c>
      <c r="C317" s="6">
        <v>124</v>
      </c>
      <c r="D317" s="6" t="str">
        <f>HYPERLINK("https://rmda.kulib.kyoto-u.ac.jp/item/rb00005781#?c=0&amp;m=0&amp;s=0&amp;cv=123")</f>
        <v>https://rmda.kulib.kyoto-u.ac.jp/item/rb00005781#?c=0&amp;m=0&amp;s=0&amp;cv=123</v>
      </c>
    </row>
    <row r="318" spans="1:4" x14ac:dyDescent="0.15">
      <c r="A318" s="6" t="s">
        <v>93</v>
      </c>
      <c r="B318" s="6" t="s">
        <v>1607</v>
      </c>
      <c r="C318" s="6">
        <v>124</v>
      </c>
      <c r="D318" s="6" t="str">
        <f>HYPERLINK("https://rmda.kulib.kyoto-u.ac.jp/item/rb00005781#?c=0&amp;m=0&amp;s=0&amp;cv=123")</f>
        <v>https://rmda.kulib.kyoto-u.ac.jp/item/rb00005781#?c=0&amp;m=0&amp;s=0&amp;cv=123</v>
      </c>
    </row>
    <row r="319" spans="1:4" x14ac:dyDescent="0.15">
      <c r="A319" s="6" t="s">
        <v>93</v>
      </c>
      <c r="B319" s="6" t="s">
        <v>1608</v>
      </c>
      <c r="C319" s="6">
        <v>124</v>
      </c>
      <c r="D319" s="6" t="str">
        <f>HYPERLINK("https://rmda.kulib.kyoto-u.ac.jp/item/rb00005781#?c=0&amp;m=0&amp;s=0&amp;cv=123")</f>
        <v>https://rmda.kulib.kyoto-u.ac.jp/item/rb00005781#?c=0&amp;m=0&amp;s=0&amp;cv=123</v>
      </c>
    </row>
    <row r="320" spans="1:4" x14ac:dyDescent="0.15">
      <c r="A320" s="6" t="s">
        <v>93</v>
      </c>
      <c r="B320" s="6" t="s">
        <v>1609</v>
      </c>
      <c r="C320" s="6">
        <v>125</v>
      </c>
      <c r="D320" s="6" t="str">
        <f>HYPERLINK("https://rmda.kulib.kyoto-u.ac.jp/item/rb00005781#?c=0&amp;m=0&amp;s=0&amp;cv=124")</f>
        <v>https://rmda.kulib.kyoto-u.ac.jp/item/rb00005781#?c=0&amp;m=0&amp;s=0&amp;cv=124</v>
      </c>
    </row>
    <row r="321" spans="1:4" x14ac:dyDescent="0.15">
      <c r="A321" s="6" t="s">
        <v>93</v>
      </c>
      <c r="B321" s="6" t="s">
        <v>1610</v>
      </c>
      <c r="C321" s="6">
        <v>125</v>
      </c>
      <c r="D321" s="6" t="str">
        <f>HYPERLINK("https://rmda.kulib.kyoto-u.ac.jp/item/rb00005781#?c=0&amp;m=0&amp;s=0&amp;cv=124")</f>
        <v>https://rmda.kulib.kyoto-u.ac.jp/item/rb00005781#?c=0&amp;m=0&amp;s=0&amp;cv=124</v>
      </c>
    </row>
    <row r="322" spans="1:4" x14ac:dyDescent="0.15">
      <c r="A322" s="6" t="s">
        <v>93</v>
      </c>
      <c r="B322" s="6" t="s">
        <v>1611</v>
      </c>
      <c r="C322" s="6">
        <v>125</v>
      </c>
      <c r="D322" s="6" t="str">
        <f>HYPERLINK("https://rmda.kulib.kyoto-u.ac.jp/item/rb00005781#?c=0&amp;m=0&amp;s=0&amp;cv=124")</f>
        <v>https://rmda.kulib.kyoto-u.ac.jp/item/rb00005781#?c=0&amp;m=0&amp;s=0&amp;cv=124</v>
      </c>
    </row>
    <row r="323" spans="1:4" x14ac:dyDescent="0.15">
      <c r="A323" s="6" t="s">
        <v>93</v>
      </c>
      <c r="B323" s="6" t="s">
        <v>4903</v>
      </c>
      <c r="C323" s="6">
        <v>126</v>
      </c>
      <c r="D323" s="6" t="str">
        <f>HYPERLINK("https://rmda.kulib.kyoto-u.ac.jp/item/rb00005781#?c=0&amp;m=0&amp;s=0&amp;cv=125")</f>
        <v>https://rmda.kulib.kyoto-u.ac.jp/item/rb00005781#?c=0&amp;m=0&amp;s=0&amp;cv=125</v>
      </c>
    </row>
    <row r="324" spans="1:4" x14ac:dyDescent="0.15">
      <c r="A324" s="6" t="s">
        <v>93</v>
      </c>
      <c r="B324" s="6" t="s">
        <v>1612</v>
      </c>
      <c r="C324" s="6">
        <v>126</v>
      </c>
      <c r="D324" s="6" t="str">
        <f>HYPERLINK("https://rmda.kulib.kyoto-u.ac.jp/item/rb00005781#?c=0&amp;m=0&amp;s=0&amp;cv=125")</f>
        <v>https://rmda.kulib.kyoto-u.ac.jp/item/rb00005781#?c=0&amp;m=0&amp;s=0&amp;cv=125</v>
      </c>
    </row>
    <row r="325" spans="1:4" x14ac:dyDescent="0.15">
      <c r="A325" s="6" t="s">
        <v>93</v>
      </c>
      <c r="B325" s="6" t="s">
        <v>1613</v>
      </c>
      <c r="C325" s="6">
        <v>127</v>
      </c>
      <c r="D325" s="6" t="str">
        <f>HYPERLINK("https://rmda.kulib.kyoto-u.ac.jp/item/rb00005781#?c=0&amp;m=0&amp;s=0&amp;cv=126")</f>
        <v>https://rmda.kulib.kyoto-u.ac.jp/item/rb00005781#?c=0&amp;m=0&amp;s=0&amp;cv=126</v>
      </c>
    </row>
    <row r="326" spans="1:4" x14ac:dyDescent="0.15">
      <c r="A326" s="6" t="s">
        <v>93</v>
      </c>
      <c r="B326" s="66" t="s">
        <v>1614</v>
      </c>
      <c r="C326" s="6">
        <v>127</v>
      </c>
      <c r="D326" s="6" t="str">
        <f>HYPERLINK("https://rmda.kulib.kyoto-u.ac.jp/item/rb00005781#?c=0&amp;m=0&amp;s=0&amp;cv=126")</f>
        <v>https://rmda.kulib.kyoto-u.ac.jp/item/rb00005781#?c=0&amp;m=0&amp;s=0&amp;cv=126</v>
      </c>
    </row>
    <row r="327" spans="1:4" x14ac:dyDescent="0.15">
      <c r="A327" s="6" t="s">
        <v>93</v>
      </c>
      <c r="B327" s="72" t="s">
        <v>2400</v>
      </c>
      <c r="C327" s="6">
        <v>131</v>
      </c>
      <c r="D327" s="6" t="str">
        <f>HYPERLINK("https://rmda.kulib.kyoto-u.ac.jp/item/rb00005781#?c=0&amp;m=0&amp;s=0&amp;cv=130")</f>
        <v>https://rmda.kulib.kyoto-u.ac.jp/item/rb00005781#?c=0&amp;m=0&amp;s=0&amp;cv=130</v>
      </c>
    </row>
    <row r="328" spans="1:4" x14ac:dyDescent="0.15">
      <c r="A328" s="6" t="s">
        <v>93</v>
      </c>
      <c r="B328" s="6" t="s">
        <v>4904</v>
      </c>
      <c r="C328" s="6">
        <v>131</v>
      </c>
      <c r="D328" s="6" t="str">
        <f>HYPERLINK("https://rmda.kulib.kyoto-u.ac.jp/item/rb00005781#?c=0&amp;m=0&amp;s=0&amp;cv=130")</f>
        <v>https://rmda.kulib.kyoto-u.ac.jp/item/rb00005781#?c=0&amp;m=0&amp;s=0&amp;cv=130</v>
      </c>
    </row>
    <row r="329" spans="1:4" x14ac:dyDescent="0.15">
      <c r="A329" s="6" t="s">
        <v>93</v>
      </c>
      <c r="B329" s="6" t="s">
        <v>4905</v>
      </c>
      <c r="C329" s="6">
        <v>132</v>
      </c>
      <c r="D329" s="6" t="str">
        <f>HYPERLINK("https://rmda.kulib.kyoto-u.ac.jp/item/rb00005781#?c=0&amp;m=0&amp;s=0&amp;cv=131")</f>
        <v>https://rmda.kulib.kyoto-u.ac.jp/item/rb00005781#?c=0&amp;m=0&amp;s=0&amp;cv=131</v>
      </c>
    </row>
    <row r="330" spans="1:4" x14ac:dyDescent="0.15">
      <c r="A330" s="6" t="s">
        <v>93</v>
      </c>
      <c r="B330" s="6" t="s">
        <v>4906</v>
      </c>
      <c r="C330" s="6">
        <v>133</v>
      </c>
      <c r="D330" s="6" t="str">
        <f>HYPERLINK("https://rmda.kulib.kyoto-u.ac.jp/item/rb00005781#?c=0&amp;m=0&amp;s=0&amp;cv=132")</f>
        <v>https://rmda.kulib.kyoto-u.ac.jp/item/rb00005781#?c=0&amp;m=0&amp;s=0&amp;cv=132</v>
      </c>
    </row>
    <row r="331" spans="1:4" x14ac:dyDescent="0.15">
      <c r="A331" s="6" t="s">
        <v>93</v>
      </c>
      <c r="B331" s="6" t="s">
        <v>4907</v>
      </c>
      <c r="C331" s="6">
        <v>134</v>
      </c>
      <c r="D331" s="6" t="str">
        <f>HYPERLINK("https://rmda.kulib.kyoto-u.ac.jp/item/rb00005781#?c=0&amp;m=0&amp;s=0&amp;cv=133")</f>
        <v>https://rmda.kulib.kyoto-u.ac.jp/item/rb00005781#?c=0&amp;m=0&amp;s=0&amp;cv=133</v>
      </c>
    </row>
    <row r="332" spans="1:4" x14ac:dyDescent="0.15">
      <c r="A332" s="6" t="s">
        <v>93</v>
      </c>
      <c r="B332" s="6" t="s">
        <v>4908</v>
      </c>
      <c r="C332" s="6">
        <v>134</v>
      </c>
      <c r="D332" s="6" t="str">
        <f>HYPERLINK("https://rmda.kulib.kyoto-u.ac.jp/item/rb00005781#?c=0&amp;m=0&amp;s=0&amp;cv=133")</f>
        <v>https://rmda.kulib.kyoto-u.ac.jp/item/rb00005781#?c=0&amp;m=0&amp;s=0&amp;cv=133</v>
      </c>
    </row>
    <row r="333" spans="1:4" x14ac:dyDescent="0.15">
      <c r="A333" s="6" t="s">
        <v>93</v>
      </c>
      <c r="B333" s="6" t="s">
        <v>4909</v>
      </c>
      <c r="C333" s="6">
        <v>135</v>
      </c>
      <c r="D333" s="6" t="str">
        <f>HYPERLINK("https://rmda.kulib.kyoto-u.ac.jp/item/rb00005781#?c=0&amp;m=0&amp;s=0&amp;cv=134")</f>
        <v>https://rmda.kulib.kyoto-u.ac.jp/item/rb00005781#?c=0&amp;m=0&amp;s=0&amp;cv=134</v>
      </c>
    </row>
    <row r="334" spans="1:4" x14ac:dyDescent="0.15">
      <c r="A334" s="6" t="s">
        <v>93</v>
      </c>
      <c r="B334" s="6" t="s">
        <v>1615</v>
      </c>
      <c r="C334" s="6">
        <v>135</v>
      </c>
      <c r="D334" s="6" t="str">
        <f>HYPERLINK("https://rmda.kulib.kyoto-u.ac.jp/item/rb00005781#?c=0&amp;m=0&amp;s=0&amp;cv=134")</f>
        <v>https://rmda.kulib.kyoto-u.ac.jp/item/rb00005781#?c=0&amp;m=0&amp;s=0&amp;cv=134</v>
      </c>
    </row>
    <row r="335" spans="1:4" x14ac:dyDescent="0.15">
      <c r="A335" s="6" t="s">
        <v>93</v>
      </c>
      <c r="B335" s="6" t="s">
        <v>2236</v>
      </c>
      <c r="C335" s="6">
        <v>135</v>
      </c>
      <c r="D335" s="6" t="str">
        <f>HYPERLINK("https://rmda.kulib.kyoto-u.ac.jp/item/rb00005781#?c=0&amp;m=0&amp;s=0&amp;cv=134")</f>
        <v>https://rmda.kulib.kyoto-u.ac.jp/item/rb00005781#?c=0&amp;m=0&amp;s=0&amp;cv=134</v>
      </c>
    </row>
    <row r="336" spans="1:4" x14ac:dyDescent="0.15">
      <c r="A336" s="6" t="s">
        <v>93</v>
      </c>
      <c r="B336" s="6" t="s">
        <v>4910</v>
      </c>
      <c r="C336" s="6">
        <v>136</v>
      </c>
      <c r="D336" s="6" t="str">
        <f>HYPERLINK("https://rmda.kulib.kyoto-u.ac.jp/item/rb00005781#?c=0&amp;m=0&amp;s=0&amp;cv=135")</f>
        <v>https://rmda.kulib.kyoto-u.ac.jp/item/rb00005781#?c=0&amp;m=0&amp;s=0&amp;cv=135</v>
      </c>
    </row>
    <row r="337" spans="1:4" x14ac:dyDescent="0.15">
      <c r="A337" s="6" t="s">
        <v>93</v>
      </c>
      <c r="B337" s="6" t="s">
        <v>2048</v>
      </c>
      <c r="C337" s="6">
        <v>136</v>
      </c>
      <c r="D337" s="6" t="str">
        <f>HYPERLINK("https://rmda.kulib.kyoto-u.ac.jp/item/rb00005781#?c=0&amp;m=0&amp;s=0&amp;cv=135")</f>
        <v>https://rmda.kulib.kyoto-u.ac.jp/item/rb00005781#?c=0&amp;m=0&amp;s=0&amp;cv=135</v>
      </c>
    </row>
    <row r="338" spans="1:4" x14ac:dyDescent="0.15">
      <c r="A338" s="6" t="s">
        <v>93</v>
      </c>
      <c r="B338" s="6" t="s">
        <v>4911</v>
      </c>
      <c r="C338" s="6">
        <v>136</v>
      </c>
      <c r="D338" s="6" t="str">
        <f>HYPERLINK("https://rmda.kulib.kyoto-u.ac.jp/item/rb00005781#?c=0&amp;m=0&amp;s=0&amp;cv=135")</f>
        <v>https://rmda.kulib.kyoto-u.ac.jp/item/rb00005781#?c=0&amp;m=0&amp;s=0&amp;cv=135</v>
      </c>
    </row>
    <row r="339" spans="1:4" x14ac:dyDescent="0.15">
      <c r="A339" s="6" t="s">
        <v>93</v>
      </c>
      <c r="B339" s="6" t="s">
        <v>4912</v>
      </c>
      <c r="C339" s="6">
        <v>136</v>
      </c>
      <c r="D339" s="6" t="str">
        <f>HYPERLINK("https://rmda.kulib.kyoto-u.ac.jp/item/rb00005781#?c=0&amp;m=0&amp;s=0&amp;cv=135")</f>
        <v>https://rmda.kulib.kyoto-u.ac.jp/item/rb00005781#?c=0&amp;m=0&amp;s=0&amp;cv=135</v>
      </c>
    </row>
    <row r="340" spans="1:4" x14ac:dyDescent="0.15">
      <c r="A340" s="6" t="s">
        <v>93</v>
      </c>
      <c r="B340" s="6" t="s">
        <v>1890</v>
      </c>
      <c r="C340" s="6">
        <v>137</v>
      </c>
      <c r="D340" s="6" t="str">
        <f>HYPERLINK("https://rmda.kulib.kyoto-u.ac.jp/item/rb00005781#?c=0&amp;m=0&amp;s=0&amp;cv=136")</f>
        <v>https://rmda.kulib.kyoto-u.ac.jp/item/rb00005781#?c=0&amp;m=0&amp;s=0&amp;cv=136</v>
      </c>
    </row>
    <row r="341" spans="1:4" x14ac:dyDescent="0.15">
      <c r="A341" s="6" t="s">
        <v>93</v>
      </c>
      <c r="B341" s="6" t="s">
        <v>4913</v>
      </c>
      <c r="C341" s="6">
        <v>137</v>
      </c>
      <c r="D341" s="6" t="str">
        <f>HYPERLINK("https://rmda.kulib.kyoto-u.ac.jp/item/rb00005781#?c=0&amp;m=0&amp;s=0&amp;cv=136")</f>
        <v>https://rmda.kulib.kyoto-u.ac.jp/item/rb00005781#?c=0&amp;m=0&amp;s=0&amp;cv=136</v>
      </c>
    </row>
    <row r="342" spans="1:4" x14ac:dyDescent="0.15">
      <c r="A342" s="6" t="s">
        <v>93</v>
      </c>
      <c r="B342" s="6" t="s">
        <v>1909</v>
      </c>
      <c r="C342" s="6">
        <v>137</v>
      </c>
      <c r="D342" s="6" t="str">
        <f>HYPERLINK("https://rmda.kulib.kyoto-u.ac.jp/item/rb00005781#?c=0&amp;m=0&amp;s=0&amp;cv=136")</f>
        <v>https://rmda.kulib.kyoto-u.ac.jp/item/rb00005781#?c=0&amp;m=0&amp;s=0&amp;cv=136</v>
      </c>
    </row>
    <row r="343" spans="1:4" x14ac:dyDescent="0.15">
      <c r="A343" s="6" t="s">
        <v>93</v>
      </c>
      <c r="B343" s="6" t="s">
        <v>4914</v>
      </c>
      <c r="C343" s="6">
        <v>138</v>
      </c>
      <c r="D343" s="6" t="str">
        <f>HYPERLINK("https://rmda.kulib.kyoto-u.ac.jp/item/rb00005781#?c=0&amp;m=0&amp;s=0&amp;cv=137")</f>
        <v>https://rmda.kulib.kyoto-u.ac.jp/item/rb00005781#?c=0&amp;m=0&amp;s=0&amp;cv=137</v>
      </c>
    </row>
    <row r="344" spans="1:4" x14ac:dyDescent="0.15">
      <c r="A344" s="6" t="s">
        <v>93</v>
      </c>
      <c r="B344" s="6" t="s">
        <v>1725</v>
      </c>
      <c r="C344" s="6">
        <v>138</v>
      </c>
      <c r="D344" s="6" t="str">
        <f>HYPERLINK("https://rmda.kulib.kyoto-u.ac.jp/item/rb00005781#?c=0&amp;m=0&amp;s=0&amp;cv=137")</f>
        <v>https://rmda.kulib.kyoto-u.ac.jp/item/rb00005781#?c=0&amp;m=0&amp;s=0&amp;cv=137</v>
      </c>
    </row>
    <row r="345" spans="1:4" x14ac:dyDescent="0.15">
      <c r="A345" s="6" t="s">
        <v>93</v>
      </c>
      <c r="B345" s="6" t="s">
        <v>4915</v>
      </c>
      <c r="C345" s="6">
        <v>138</v>
      </c>
      <c r="D345" s="6" t="str">
        <f>HYPERLINK("https://rmda.kulib.kyoto-u.ac.jp/item/rb00005781#?c=0&amp;m=0&amp;s=0&amp;cv=137")</f>
        <v>https://rmda.kulib.kyoto-u.ac.jp/item/rb00005781#?c=0&amp;m=0&amp;s=0&amp;cv=137</v>
      </c>
    </row>
    <row r="346" spans="1:4" x14ac:dyDescent="0.15">
      <c r="A346" s="6" t="s">
        <v>93</v>
      </c>
      <c r="B346" s="6" t="s">
        <v>2039</v>
      </c>
      <c r="C346" s="6">
        <v>138</v>
      </c>
      <c r="D346" s="6" t="str">
        <f>HYPERLINK("https://rmda.kulib.kyoto-u.ac.jp/item/rb00005781#?c=0&amp;m=0&amp;s=0&amp;cv=137")</f>
        <v>https://rmda.kulib.kyoto-u.ac.jp/item/rb00005781#?c=0&amp;m=0&amp;s=0&amp;cv=137</v>
      </c>
    </row>
    <row r="347" spans="1:4" x14ac:dyDescent="0.15">
      <c r="A347" s="6" t="s">
        <v>93</v>
      </c>
      <c r="B347" s="6" t="s">
        <v>4916</v>
      </c>
      <c r="C347" s="6">
        <v>139</v>
      </c>
      <c r="D347" s="6" t="str">
        <f t="shared" ref="D347:D352" si="0">HYPERLINK("https://rmda.kulib.kyoto-u.ac.jp/item/rb00005781#?c=0&amp;m=0&amp;s=0&amp;cv=138")</f>
        <v>https://rmda.kulib.kyoto-u.ac.jp/item/rb00005781#?c=0&amp;m=0&amp;s=0&amp;cv=138</v>
      </c>
    </row>
    <row r="348" spans="1:4" x14ac:dyDescent="0.15">
      <c r="A348" s="6" t="s">
        <v>93</v>
      </c>
      <c r="B348" s="6" t="s">
        <v>4917</v>
      </c>
      <c r="C348" s="6">
        <v>139</v>
      </c>
      <c r="D348" s="6" t="str">
        <f t="shared" si="0"/>
        <v>https://rmda.kulib.kyoto-u.ac.jp/item/rb00005781#?c=0&amp;m=0&amp;s=0&amp;cv=138</v>
      </c>
    </row>
    <row r="349" spans="1:4" x14ac:dyDescent="0.15">
      <c r="A349" s="6" t="s">
        <v>93</v>
      </c>
      <c r="B349" s="6" t="s">
        <v>4918</v>
      </c>
      <c r="C349" s="6">
        <v>139</v>
      </c>
      <c r="D349" s="6" t="str">
        <f t="shared" si="0"/>
        <v>https://rmda.kulib.kyoto-u.ac.jp/item/rb00005781#?c=0&amp;m=0&amp;s=0&amp;cv=138</v>
      </c>
    </row>
    <row r="350" spans="1:4" x14ac:dyDescent="0.15">
      <c r="A350" s="6" t="s">
        <v>93</v>
      </c>
      <c r="B350" s="6" t="s">
        <v>4919</v>
      </c>
      <c r="C350" s="6">
        <v>139</v>
      </c>
      <c r="D350" s="6" t="str">
        <f t="shared" si="0"/>
        <v>https://rmda.kulib.kyoto-u.ac.jp/item/rb00005781#?c=0&amp;m=0&amp;s=0&amp;cv=138</v>
      </c>
    </row>
    <row r="351" spans="1:4" x14ac:dyDescent="0.15">
      <c r="A351" s="6" t="s">
        <v>93</v>
      </c>
      <c r="B351" s="6" t="s">
        <v>4920</v>
      </c>
      <c r="C351" s="6">
        <v>139</v>
      </c>
      <c r="D351" s="6" t="str">
        <f t="shared" si="0"/>
        <v>https://rmda.kulib.kyoto-u.ac.jp/item/rb00005781#?c=0&amp;m=0&amp;s=0&amp;cv=138</v>
      </c>
    </row>
    <row r="352" spans="1:4" x14ac:dyDescent="0.15">
      <c r="A352" s="6" t="s">
        <v>93</v>
      </c>
      <c r="B352" s="6" t="s">
        <v>4921</v>
      </c>
      <c r="C352" s="6">
        <v>139</v>
      </c>
      <c r="D352" s="6" t="str">
        <f t="shared" si="0"/>
        <v>https://rmda.kulib.kyoto-u.ac.jp/item/rb00005781#?c=0&amp;m=0&amp;s=0&amp;cv=138</v>
      </c>
    </row>
    <row r="353" spans="1:4" x14ac:dyDescent="0.15">
      <c r="A353" s="6" t="s">
        <v>93</v>
      </c>
      <c r="B353" s="6" t="s">
        <v>4922</v>
      </c>
      <c r="C353" s="6">
        <v>140</v>
      </c>
      <c r="D353" s="6" t="str">
        <f>HYPERLINK("https://rmda.kulib.kyoto-u.ac.jp/item/rb00005781#?c=0&amp;m=0&amp;s=0&amp;cv=139")</f>
        <v>https://rmda.kulib.kyoto-u.ac.jp/item/rb00005781#?c=0&amp;m=0&amp;s=0&amp;cv=139</v>
      </c>
    </row>
    <row r="354" spans="1:4" x14ac:dyDescent="0.15">
      <c r="A354" s="6" t="s">
        <v>93</v>
      </c>
      <c r="B354" s="6" t="s">
        <v>2057</v>
      </c>
      <c r="C354" s="6">
        <v>140</v>
      </c>
      <c r="D354" s="6" t="str">
        <f>HYPERLINK("https://rmda.kulib.kyoto-u.ac.jp/item/rb00005781#?c=0&amp;m=0&amp;s=0&amp;cv=139")</f>
        <v>https://rmda.kulib.kyoto-u.ac.jp/item/rb00005781#?c=0&amp;m=0&amp;s=0&amp;cv=139</v>
      </c>
    </row>
    <row r="355" spans="1:4" x14ac:dyDescent="0.15">
      <c r="A355" s="6" t="s">
        <v>93</v>
      </c>
      <c r="B355" s="72" t="s">
        <v>2425</v>
      </c>
      <c r="C355" s="6">
        <v>140</v>
      </c>
      <c r="D355" s="6" t="str">
        <f>HYPERLINK("https://rmda.kulib.kyoto-u.ac.jp/item/rb00005781#?c=0&amp;m=0&amp;s=0&amp;cv=139")</f>
        <v>https://rmda.kulib.kyoto-u.ac.jp/item/rb00005781#?c=0&amp;m=0&amp;s=0&amp;cv=139</v>
      </c>
    </row>
    <row r="356" spans="1:4" x14ac:dyDescent="0.15">
      <c r="A356" s="6" t="s">
        <v>93</v>
      </c>
      <c r="B356" s="6" t="s">
        <v>4923</v>
      </c>
      <c r="C356" s="6">
        <v>140</v>
      </c>
      <c r="D356" s="6" t="str">
        <f>HYPERLINK("https://rmda.kulib.kyoto-u.ac.jp/item/rb00005781#?c=0&amp;m=0&amp;s=0&amp;cv=139")</f>
        <v>https://rmda.kulib.kyoto-u.ac.jp/item/rb00005781#?c=0&amp;m=0&amp;s=0&amp;cv=139</v>
      </c>
    </row>
    <row r="357" spans="1:4" x14ac:dyDescent="0.15">
      <c r="A357" s="6" t="s">
        <v>93</v>
      </c>
      <c r="B357" s="6" t="s">
        <v>2448</v>
      </c>
      <c r="C357" s="6">
        <v>140</v>
      </c>
      <c r="D357" s="6" t="str">
        <f>HYPERLINK("https://rmda.kulib.kyoto-u.ac.jp/item/rb00005781#?c=0&amp;m=0&amp;s=0&amp;cv=139")</f>
        <v>https://rmda.kulib.kyoto-u.ac.jp/item/rb00005781#?c=0&amp;m=0&amp;s=0&amp;cv=139</v>
      </c>
    </row>
    <row r="358" spans="1:4" x14ac:dyDescent="0.15">
      <c r="A358" s="6" t="s">
        <v>93</v>
      </c>
      <c r="B358" s="6" t="s">
        <v>4924</v>
      </c>
      <c r="C358" s="6">
        <v>141</v>
      </c>
      <c r="D358" s="6" t="str">
        <f>HYPERLINK("https://rmda.kulib.kyoto-u.ac.jp/item/rb00005781#?c=0&amp;m=0&amp;s=0&amp;cv=140")</f>
        <v>https://rmda.kulib.kyoto-u.ac.jp/item/rb00005781#?c=0&amp;m=0&amp;s=0&amp;cv=140</v>
      </c>
    </row>
    <row r="359" spans="1:4" x14ac:dyDescent="0.15">
      <c r="A359" s="6" t="s">
        <v>93</v>
      </c>
      <c r="B359" s="6" t="s">
        <v>2012</v>
      </c>
      <c r="C359" s="6">
        <v>141</v>
      </c>
      <c r="D359" s="6" t="str">
        <f>HYPERLINK("https://rmda.kulib.kyoto-u.ac.jp/item/rb00005781#?c=0&amp;m=0&amp;s=0&amp;cv=140")</f>
        <v>https://rmda.kulib.kyoto-u.ac.jp/item/rb00005781#?c=0&amp;m=0&amp;s=0&amp;cv=140</v>
      </c>
    </row>
    <row r="360" spans="1:4" x14ac:dyDescent="0.15">
      <c r="A360" s="6" t="s">
        <v>93</v>
      </c>
      <c r="B360" s="6" t="s">
        <v>4925</v>
      </c>
      <c r="C360" s="6">
        <v>141</v>
      </c>
      <c r="D360" s="6" t="str">
        <f>HYPERLINK("https://rmda.kulib.kyoto-u.ac.jp/item/rb00005781#?c=0&amp;m=0&amp;s=0&amp;cv=140")</f>
        <v>https://rmda.kulib.kyoto-u.ac.jp/item/rb00005781#?c=0&amp;m=0&amp;s=0&amp;cv=140</v>
      </c>
    </row>
    <row r="361" spans="1:4" x14ac:dyDescent="0.15">
      <c r="A361" s="6" t="s">
        <v>93</v>
      </c>
      <c r="B361" s="6" t="s">
        <v>1937</v>
      </c>
      <c r="C361" s="6">
        <v>142</v>
      </c>
      <c r="D361" s="6" t="str">
        <f>HYPERLINK("https://rmda.kulib.kyoto-u.ac.jp/item/rb00005781#?c=0&amp;m=0&amp;s=0&amp;cv=141")</f>
        <v>https://rmda.kulib.kyoto-u.ac.jp/item/rb00005781#?c=0&amp;m=0&amp;s=0&amp;cv=141</v>
      </c>
    </row>
    <row r="362" spans="1:4" x14ac:dyDescent="0.15">
      <c r="A362" s="6" t="s">
        <v>93</v>
      </c>
      <c r="B362" s="6" t="s">
        <v>4926</v>
      </c>
      <c r="C362" s="6">
        <v>142</v>
      </c>
      <c r="D362" s="6" t="str">
        <f>HYPERLINK("https://rmda.kulib.kyoto-u.ac.jp/item/rb00005781#?c=0&amp;m=0&amp;s=0&amp;cv=141")</f>
        <v>https://rmda.kulib.kyoto-u.ac.jp/item/rb00005781#?c=0&amp;m=0&amp;s=0&amp;cv=141</v>
      </c>
    </row>
    <row r="363" spans="1:4" x14ac:dyDescent="0.15">
      <c r="A363" s="6" t="s">
        <v>93</v>
      </c>
      <c r="B363" s="6" t="s">
        <v>4927</v>
      </c>
      <c r="C363" s="6">
        <v>142</v>
      </c>
      <c r="D363" s="6" t="str">
        <f>HYPERLINK("https://rmda.kulib.kyoto-u.ac.jp/item/rb00005781#?c=0&amp;m=0&amp;s=0&amp;cv=141")</f>
        <v>https://rmda.kulib.kyoto-u.ac.jp/item/rb00005781#?c=0&amp;m=0&amp;s=0&amp;cv=141</v>
      </c>
    </row>
    <row r="364" spans="1:4" x14ac:dyDescent="0.15">
      <c r="A364" s="6" t="s">
        <v>93</v>
      </c>
      <c r="B364" s="6" t="s">
        <v>4928</v>
      </c>
      <c r="C364" s="6">
        <v>143</v>
      </c>
      <c r="D364" s="6" t="str">
        <f>HYPERLINK("https://rmda.kulib.kyoto-u.ac.jp/item/rb00005781#?c=0&amp;m=0&amp;s=0&amp;cv=142")</f>
        <v>https://rmda.kulib.kyoto-u.ac.jp/item/rb00005781#?c=0&amp;m=0&amp;s=0&amp;cv=142</v>
      </c>
    </row>
    <row r="365" spans="1:4" x14ac:dyDescent="0.15">
      <c r="A365" s="6" t="s">
        <v>93</v>
      </c>
      <c r="B365" s="6" t="s">
        <v>2439</v>
      </c>
      <c r="C365" s="6">
        <v>143</v>
      </c>
      <c r="D365" s="6" t="str">
        <f>HYPERLINK("https://rmda.kulib.kyoto-u.ac.jp/item/rb00005781#?c=0&amp;m=0&amp;s=0&amp;cv=142")</f>
        <v>https://rmda.kulib.kyoto-u.ac.jp/item/rb00005781#?c=0&amp;m=0&amp;s=0&amp;cv=142</v>
      </c>
    </row>
    <row r="366" spans="1:4" x14ac:dyDescent="0.15">
      <c r="A366" s="6" t="s">
        <v>93</v>
      </c>
      <c r="B366" s="6" t="s">
        <v>2452</v>
      </c>
      <c r="C366" s="6">
        <v>143</v>
      </c>
      <c r="D366" s="6" t="str">
        <f>HYPERLINK("https://rmda.kulib.kyoto-u.ac.jp/item/rb00005781#?c=0&amp;m=0&amp;s=0&amp;cv=142")</f>
        <v>https://rmda.kulib.kyoto-u.ac.jp/item/rb00005781#?c=0&amp;m=0&amp;s=0&amp;cv=142</v>
      </c>
    </row>
    <row r="367" spans="1:4" x14ac:dyDescent="0.15">
      <c r="A367" s="6" t="s">
        <v>93</v>
      </c>
      <c r="B367" s="6" t="s">
        <v>4929</v>
      </c>
      <c r="C367" s="6">
        <v>144</v>
      </c>
      <c r="D367" s="6" t="str">
        <f>HYPERLINK("https://rmda.kulib.kyoto-u.ac.jp/item/rb00005781#?c=0&amp;m=0&amp;s=0&amp;cv=143")</f>
        <v>https://rmda.kulib.kyoto-u.ac.jp/item/rb00005781#?c=0&amp;m=0&amp;s=0&amp;cv=143</v>
      </c>
    </row>
    <row r="368" spans="1:4" x14ac:dyDescent="0.15">
      <c r="A368" s="6" t="s">
        <v>93</v>
      </c>
      <c r="B368" s="6" t="s">
        <v>4930</v>
      </c>
      <c r="C368" s="6">
        <v>144</v>
      </c>
      <c r="D368" s="6" t="str">
        <f>HYPERLINK("https://rmda.kulib.kyoto-u.ac.jp/item/rb00005781#?c=0&amp;m=0&amp;s=0&amp;cv=143")</f>
        <v>https://rmda.kulib.kyoto-u.ac.jp/item/rb00005781#?c=0&amp;m=0&amp;s=0&amp;cv=143</v>
      </c>
    </row>
    <row r="369" spans="1:4" x14ac:dyDescent="0.15">
      <c r="A369" s="6" t="s">
        <v>93</v>
      </c>
      <c r="B369" s="6" t="s">
        <v>2202</v>
      </c>
      <c r="C369" s="6">
        <v>144</v>
      </c>
      <c r="D369" s="6" t="str">
        <f>HYPERLINK("https://rmda.kulib.kyoto-u.ac.jp/item/rb00005781#?c=0&amp;m=0&amp;s=0&amp;cv=143")</f>
        <v>https://rmda.kulib.kyoto-u.ac.jp/item/rb00005781#?c=0&amp;m=0&amp;s=0&amp;cv=143</v>
      </c>
    </row>
    <row r="370" spans="1:4" x14ac:dyDescent="0.15">
      <c r="A370" s="6" t="s">
        <v>93</v>
      </c>
      <c r="B370" s="6" t="s">
        <v>2341</v>
      </c>
      <c r="C370" s="6">
        <v>145</v>
      </c>
      <c r="D370" s="6" t="str">
        <f>HYPERLINK("https://rmda.kulib.kyoto-u.ac.jp/item/rb00005781#?c=0&amp;m=0&amp;s=0&amp;cv=144")</f>
        <v>https://rmda.kulib.kyoto-u.ac.jp/item/rb00005781#?c=0&amp;m=0&amp;s=0&amp;cv=144</v>
      </c>
    </row>
    <row r="371" spans="1:4" x14ac:dyDescent="0.15">
      <c r="A371" s="6" t="s">
        <v>93</v>
      </c>
      <c r="B371" s="6" t="s">
        <v>2045</v>
      </c>
      <c r="C371" s="6">
        <v>146</v>
      </c>
      <c r="D371" s="6" t="str">
        <f>HYPERLINK("https://rmda.kulib.kyoto-u.ac.jp/item/rb00005781#?c=0&amp;m=0&amp;s=0&amp;cv=145")</f>
        <v>https://rmda.kulib.kyoto-u.ac.jp/item/rb00005781#?c=0&amp;m=0&amp;s=0&amp;cv=145</v>
      </c>
    </row>
    <row r="372" spans="1:4" x14ac:dyDescent="0.15">
      <c r="A372" s="6" t="s">
        <v>93</v>
      </c>
      <c r="B372" s="6" t="s">
        <v>1688</v>
      </c>
      <c r="C372" s="6">
        <v>147</v>
      </c>
      <c r="D372" s="6" t="str">
        <f>HYPERLINK("https://rmda.kulib.kyoto-u.ac.jp/item/rb00005781#?c=0&amp;m=0&amp;s=0&amp;cv=146")</f>
        <v>https://rmda.kulib.kyoto-u.ac.jp/item/rb00005781#?c=0&amp;m=0&amp;s=0&amp;cv=146</v>
      </c>
    </row>
    <row r="373" spans="1:4" x14ac:dyDescent="0.15">
      <c r="A373" s="6" t="s">
        <v>93</v>
      </c>
      <c r="B373" s="6" t="s">
        <v>4931</v>
      </c>
      <c r="C373" s="6">
        <v>147</v>
      </c>
      <c r="D373" s="6" t="str">
        <f>HYPERLINK("https://rmda.kulib.kyoto-u.ac.jp/item/rb00005781#?c=0&amp;m=0&amp;s=0&amp;cv=146")</f>
        <v>https://rmda.kulib.kyoto-u.ac.jp/item/rb00005781#?c=0&amp;m=0&amp;s=0&amp;cv=146</v>
      </c>
    </row>
    <row r="374" spans="1:4" x14ac:dyDescent="0.15">
      <c r="A374" s="6" t="s">
        <v>93</v>
      </c>
      <c r="B374" s="6" t="s">
        <v>4815</v>
      </c>
      <c r="C374" s="6">
        <v>147</v>
      </c>
      <c r="D374" s="6" t="str">
        <f>HYPERLINK("https://rmda.kulib.kyoto-u.ac.jp/item/rb00005781#?c=0&amp;m=0&amp;s=0&amp;cv=146")</f>
        <v>https://rmda.kulib.kyoto-u.ac.jp/item/rb00005781#?c=0&amp;m=0&amp;s=0&amp;cv=146</v>
      </c>
    </row>
    <row r="375" spans="1:4" x14ac:dyDescent="0.15">
      <c r="A375" s="6" t="s">
        <v>93</v>
      </c>
      <c r="B375" s="6" t="s">
        <v>4932</v>
      </c>
      <c r="C375" s="6">
        <v>149</v>
      </c>
      <c r="D375" s="6" t="str">
        <f>HYPERLINK("https://rmda.kulib.kyoto-u.ac.jp/item/rb00005781#?c=0&amp;m=0&amp;s=0&amp;cv=148")</f>
        <v>https://rmda.kulib.kyoto-u.ac.jp/item/rb00005781#?c=0&amp;m=0&amp;s=0&amp;cv=148</v>
      </c>
    </row>
    <row r="376" spans="1:4" x14ac:dyDescent="0.15">
      <c r="A376" s="6" t="s">
        <v>93</v>
      </c>
      <c r="B376" s="6" t="s">
        <v>1661</v>
      </c>
      <c r="C376" s="6">
        <v>149</v>
      </c>
      <c r="D376" s="6" t="str">
        <f>HYPERLINK("https://rmda.kulib.kyoto-u.ac.jp/item/rb00005781#?c=0&amp;m=0&amp;s=0&amp;cv=148")</f>
        <v>https://rmda.kulib.kyoto-u.ac.jp/item/rb00005781#?c=0&amp;m=0&amp;s=0&amp;cv=148</v>
      </c>
    </row>
    <row r="377" spans="1:4" x14ac:dyDescent="0.15">
      <c r="A377" s="6" t="s">
        <v>93</v>
      </c>
      <c r="B377" s="6" t="s">
        <v>4933</v>
      </c>
      <c r="C377" s="6">
        <v>150</v>
      </c>
      <c r="D377" s="6" t="str">
        <f>HYPERLINK("https://rmda.kulib.kyoto-u.ac.jp/item/rb00005781#?c=0&amp;m=0&amp;s=0&amp;cv=149")</f>
        <v>https://rmda.kulib.kyoto-u.ac.jp/item/rb00005781#?c=0&amp;m=0&amp;s=0&amp;cv=149</v>
      </c>
    </row>
    <row r="378" spans="1:4" x14ac:dyDescent="0.15">
      <c r="A378" s="6" t="s">
        <v>93</v>
      </c>
      <c r="B378" s="6" t="s">
        <v>1598</v>
      </c>
      <c r="C378" s="6">
        <v>150</v>
      </c>
      <c r="D378" s="6" t="str">
        <f>HYPERLINK("https://rmda.kulib.kyoto-u.ac.jp/item/rb00005781#?c=0&amp;m=0&amp;s=0&amp;cv=149")</f>
        <v>https://rmda.kulib.kyoto-u.ac.jp/item/rb00005781#?c=0&amp;m=0&amp;s=0&amp;cv=149</v>
      </c>
    </row>
    <row r="379" spans="1:4" x14ac:dyDescent="0.15">
      <c r="A379" s="6" t="s">
        <v>93</v>
      </c>
      <c r="B379" s="6" t="s">
        <v>4934</v>
      </c>
      <c r="C379" s="6">
        <v>151</v>
      </c>
      <c r="D379" s="6" t="str">
        <f>HYPERLINK("https://rmda.kulib.kyoto-u.ac.jp/item/rb00005781#?c=0&amp;m=0&amp;s=0&amp;cv=150")</f>
        <v>https://rmda.kulib.kyoto-u.ac.jp/item/rb00005781#?c=0&amp;m=0&amp;s=0&amp;cv=150</v>
      </c>
    </row>
    <row r="380" spans="1:4" x14ac:dyDescent="0.15">
      <c r="A380" s="11" t="s">
        <v>5219</v>
      </c>
      <c r="B380" s="11" t="s">
        <v>98</v>
      </c>
      <c r="C380" s="6"/>
      <c r="D380" s="60" t="s">
        <v>1093</v>
      </c>
    </row>
    <row r="381" spans="1:4" x14ac:dyDescent="0.15">
      <c r="A381" s="63" t="s">
        <v>5443</v>
      </c>
      <c r="B381" s="63"/>
      <c r="C381" s="9"/>
      <c r="D381" s="6"/>
    </row>
    <row r="382" spans="1:4" x14ac:dyDescent="0.15">
      <c r="A382" s="66" t="s">
        <v>5220</v>
      </c>
      <c r="B382" s="6" t="s">
        <v>1371</v>
      </c>
      <c r="C382" s="6">
        <v>4</v>
      </c>
      <c r="D382" s="6" t="str">
        <f>HYPERLINK("https://rmda.kulib.kyoto-u.ac.jp/item/rb00002724#?c=0&amp;m=0&amp;s=0&amp;cv=3")</f>
        <v>https://rmda.kulib.kyoto-u.ac.jp/item/rb00002724#?c=0&amp;m=0&amp;s=0&amp;cv=3</v>
      </c>
    </row>
    <row r="383" spans="1:4" x14ac:dyDescent="0.15">
      <c r="A383" s="66" t="s">
        <v>5220</v>
      </c>
      <c r="B383" s="6" t="s">
        <v>1476</v>
      </c>
      <c r="C383" s="6">
        <v>6</v>
      </c>
      <c r="D383" s="6" t="str">
        <f>HYPERLINK("https://rmda.kulib.kyoto-u.ac.jp/item/rb00002724#?c=0&amp;m=0&amp;s=0&amp;cv=5")</f>
        <v>https://rmda.kulib.kyoto-u.ac.jp/item/rb00002724#?c=0&amp;m=0&amp;s=0&amp;cv=5</v>
      </c>
    </row>
    <row r="384" spans="1:4" x14ac:dyDescent="0.15">
      <c r="A384" s="66" t="s">
        <v>5220</v>
      </c>
      <c r="B384" s="119" t="s">
        <v>5483</v>
      </c>
      <c r="C384" s="6">
        <v>32</v>
      </c>
      <c r="D384" s="6" t="str">
        <f>HYPERLINK("https://rmda.kulib.kyoto-u.ac.jp/item/rb00002724#?c=0&amp;m=0&amp;s=0&amp;cv=31")</f>
        <v>https://rmda.kulib.kyoto-u.ac.jp/item/rb00002724#?c=0&amp;m=0&amp;s=0&amp;cv=31</v>
      </c>
    </row>
    <row r="385" spans="1:4" x14ac:dyDescent="0.15">
      <c r="A385" s="66" t="s">
        <v>5220</v>
      </c>
      <c r="B385" s="6" t="s">
        <v>1618</v>
      </c>
      <c r="C385" s="6">
        <v>32</v>
      </c>
      <c r="D385" s="6" t="str">
        <f>HYPERLINK("https://rmda.kulib.kyoto-u.ac.jp/item/rb00002724#?c=0&amp;m=0&amp;s=0&amp;cv=31")</f>
        <v>https://rmda.kulib.kyoto-u.ac.jp/item/rb00002724#?c=0&amp;m=0&amp;s=0&amp;cv=31</v>
      </c>
    </row>
    <row r="386" spans="1:4" x14ac:dyDescent="0.15">
      <c r="A386" s="66" t="s">
        <v>5220</v>
      </c>
      <c r="B386" s="6" t="s">
        <v>1619</v>
      </c>
      <c r="C386" s="6">
        <v>33</v>
      </c>
      <c r="D386" s="6" t="str">
        <f>HYPERLINK("https://rmda.kulib.kyoto-u.ac.jp/item/rb00002724#?c=0&amp;m=0&amp;s=0&amp;cv=32")</f>
        <v>https://rmda.kulib.kyoto-u.ac.jp/item/rb00002724#?c=0&amp;m=0&amp;s=0&amp;cv=32</v>
      </c>
    </row>
    <row r="387" spans="1:4" x14ac:dyDescent="0.15">
      <c r="A387" s="66" t="s">
        <v>5220</v>
      </c>
      <c r="B387" s="6" t="s">
        <v>1620</v>
      </c>
      <c r="C387" s="6">
        <v>33</v>
      </c>
      <c r="D387" s="6" t="str">
        <f>HYPERLINK("https://rmda.kulib.kyoto-u.ac.jp/item/rb00002724#?c=0&amp;m=0&amp;s=0&amp;cv=32")</f>
        <v>https://rmda.kulib.kyoto-u.ac.jp/item/rb00002724#?c=0&amp;m=0&amp;s=0&amp;cv=32</v>
      </c>
    </row>
    <row r="388" spans="1:4" x14ac:dyDescent="0.15">
      <c r="A388" s="66" t="s">
        <v>5220</v>
      </c>
      <c r="B388" s="6" t="s">
        <v>1621</v>
      </c>
      <c r="C388" s="6">
        <v>36</v>
      </c>
      <c r="D388" s="6" t="str">
        <f>HYPERLINK("https://rmda.kulib.kyoto-u.ac.jp/item/rb00002724#?c=0&amp;m=0&amp;s=0&amp;cv=35")</f>
        <v>https://rmda.kulib.kyoto-u.ac.jp/item/rb00002724#?c=0&amp;m=0&amp;s=0&amp;cv=35</v>
      </c>
    </row>
    <row r="389" spans="1:4" x14ac:dyDescent="0.15">
      <c r="A389" s="66" t="s">
        <v>5220</v>
      </c>
      <c r="B389" s="6" t="s">
        <v>1622</v>
      </c>
      <c r="C389" s="6">
        <v>36</v>
      </c>
      <c r="D389" s="6" t="str">
        <f>HYPERLINK("https://rmda.kulib.kyoto-u.ac.jp/item/rb00002724#?c=0&amp;m=0&amp;s=0&amp;cv=35")</f>
        <v>https://rmda.kulib.kyoto-u.ac.jp/item/rb00002724#?c=0&amp;m=0&amp;s=0&amp;cv=35</v>
      </c>
    </row>
    <row r="390" spans="1:4" x14ac:dyDescent="0.15">
      <c r="A390" s="66" t="s">
        <v>5220</v>
      </c>
      <c r="B390" s="6" t="s">
        <v>1623</v>
      </c>
      <c r="C390" s="6">
        <v>40</v>
      </c>
      <c r="D390" s="6" t="str">
        <f>HYPERLINK("https://rmda.kulib.kyoto-u.ac.jp/item/rb00002724#?c=0&amp;m=0&amp;s=0&amp;cv=39")</f>
        <v>https://rmda.kulib.kyoto-u.ac.jp/item/rb00002724#?c=0&amp;m=0&amp;s=0&amp;cv=39</v>
      </c>
    </row>
    <row r="391" spans="1:4" x14ac:dyDescent="0.15">
      <c r="A391" s="66" t="s">
        <v>5220</v>
      </c>
      <c r="B391" s="6" t="s">
        <v>1624</v>
      </c>
      <c r="C391" s="6">
        <v>40</v>
      </c>
      <c r="D391" s="6" t="str">
        <f>HYPERLINK("https://rmda.kulib.kyoto-u.ac.jp/item/rb00002724#?c=0&amp;m=0&amp;s=0&amp;cv=39")</f>
        <v>https://rmda.kulib.kyoto-u.ac.jp/item/rb00002724#?c=0&amp;m=0&amp;s=0&amp;cv=39</v>
      </c>
    </row>
    <row r="392" spans="1:4" x14ac:dyDescent="0.15">
      <c r="A392" s="66" t="s">
        <v>5220</v>
      </c>
      <c r="B392" s="6" t="s">
        <v>1625</v>
      </c>
      <c r="C392" s="6">
        <v>41</v>
      </c>
      <c r="D392" s="6" t="str">
        <f>HYPERLINK("https://rmda.kulib.kyoto-u.ac.jp/item/rb00002724#?c=0&amp;m=0&amp;s=0&amp;cv=40")</f>
        <v>https://rmda.kulib.kyoto-u.ac.jp/item/rb00002724#?c=0&amp;m=0&amp;s=0&amp;cv=40</v>
      </c>
    </row>
    <row r="393" spans="1:4" x14ac:dyDescent="0.15">
      <c r="A393" s="66" t="s">
        <v>5220</v>
      </c>
      <c r="B393" s="6" t="s">
        <v>1626</v>
      </c>
      <c r="C393" s="6">
        <v>43</v>
      </c>
      <c r="D393" s="6" t="str">
        <f>HYPERLINK("https://rmda.kulib.kyoto-u.ac.jp/item/rb00002724#?c=0&amp;m=0&amp;s=0&amp;cv=42")</f>
        <v>https://rmda.kulib.kyoto-u.ac.jp/item/rb00002724#?c=0&amp;m=0&amp;s=0&amp;cv=42</v>
      </c>
    </row>
    <row r="394" spans="1:4" x14ac:dyDescent="0.15">
      <c r="A394" s="66" t="s">
        <v>5220</v>
      </c>
      <c r="B394" s="6" t="s">
        <v>1627</v>
      </c>
      <c r="C394" s="6">
        <v>45</v>
      </c>
      <c r="D394" s="6" t="str">
        <f>HYPERLINK("https://rmda.kulib.kyoto-u.ac.jp/item/rb00002724#?c=0&amp;m=0&amp;s=0&amp;cv=44")</f>
        <v>https://rmda.kulib.kyoto-u.ac.jp/item/rb00002724#?c=0&amp;m=0&amp;s=0&amp;cv=44</v>
      </c>
    </row>
    <row r="395" spans="1:4" x14ac:dyDescent="0.15">
      <c r="A395" s="66" t="s">
        <v>5220</v>
      </c>
      <c r="B395" s="6" t="s">
        <v>1628</v>
      </c>
      <c r="C395" s="6">
        <v>47</v>
      </c>
      <c r="D395" s="6" t="str">
        <f>HYPERLINK("https://rmda.kulib.kyoto-u.ac.jp/item/rb00002724#?c=0&amp;m=0&amp;s=0&amp;cv=46")</f>
        <v>https://rmda.kulib.kyoto-u.ac.jp/item/rb00002724#?c=0&amp;m=0&amp;s=0&amp;cv=46</v>
      </c>
    </row>
    <row r="396" spans="1:4" x14ac:dyDescent="0.15">
      <c r="A396" s="66" t="s">
        <v>5220</v>
      </c>
      <c r="B396" s="6" t="s">
        <v>1629</v>
      </c>
      <c r="C396" s="6">
        <v>49</v>
      </c>
      <c r="D396" s="6" t="str">
        <f>HYPERLINK("https://rmda.kulib.kyoto-u.ac.jp/item/rb00002724#?c=0&amp;m=0&amp;s=0&amp;cv=48")</f>
        <v>https://rmda.kulib.kyoto-u.ac.jp/item/rb00002724#?c=0&amp;m=0&amp;s=0&amp;cv=48</v>
      </c>
    </row>
    <row r="397" spans="1:4" x14ac:dyDescent="0.15">
      <c r="A397" s="66" t="s">
        <v>5220</v>
      </c>
      <c r="B397" s="6" t="s">
        <v>1630</v>
      </c>
      <c r="C397" s="6">
        <v>52</v>
      </c>
      <c r="D397" s="6" t="str">
        <f>HYPERLINK("https://rmda.kulib.kyoto-u.ac.jp/item/rb00002724#?c=0&amp;m=0&amp;s=0&amp;cv=51")</f>
        <v>https://rmda.kulib.kyoto-u.ac.jp/item/rb00002724#?c=0&amp;m=0&amp;s=0&amp;cv=51</v>
      </c>
    </row>
    <row r="398" spans="1:4" x14ac:dyDescent="0.15">
      <c r="A398" s="66" t="s">
        <v>5220</v>
      </c>
      <c r="B398" s="6" t="s">
        <v>5231</v>
      </c>
      <c r="C398" s="6">
        <v>53</v>
      </c>
      <c r="D398" s="6" t="str">
        <f>HYPERLINK("https://rmda.kulib.kyoto-u.ac.jp/item/rb00002724#?c=0&amp;m=0&amp;s=0&amp;cv=52")</f>
        <v>https://rmda.kulib.kyoto-u.ac.jp/item/rb00002724#?c=0&amp;m=0&amp;s=0&amp;cv=52</v>
      </c>
    </row>
    <row r="399" spans="1:4" x14ac:dyDescent="0.15">
      <c r="A399" s="66" t="s">
        <v>5220</v>
      </c>
      <c r="B399" s="6" t="s">
        <v>1631</v>
      </c>
      <c r="C399" s="6">
        <v>54</v>
      </c>
      <c r="D399" s="6" t="str">
        <f>HYPERLINK("https://rmda.kulib.kyoto-u.ac.jp/item/rb00002724#?c=0&amp;m=0&amp;s=0&amp;cv=53")</f>
        <v>https://rmda.kulib.kyoto-u.ac.jp/item/rb00002724#?c=0&amp;m=0&amp;s=0&amp;cv=53</v>
      </c>
    </row>
    <row r="400" spans="1:4" x14ac:dyDescent="0.15">
      <c r="A400" s="66" t="s">
        <v>5220</v>
      </c>
      <c r="B400" s="119" t="s">
        <v>5484</v>
      </c>
      <c r="C400" s="6">
        <v>55</v>
      </c>
      <c r="D400" s="6" t="str">
        <f>HYPERLINK("https://rmda.kulib.kyoto-u.ac.jp/item/rb00002724#?c=0&amp;m=0&amp;s=0&amp;cv=54")</f>
        <v>https://rmda.kulib.kyoto-u.ac.jp/item/rb00002724#?c=0&amp;m=0&amp;s=0&amp;cv=54</v>
      </c>
    </row>
    <row r="401" spans="1:5" x14ac:dyDescent="0.15">
      <c r="A401" s="66" t="s">
        <v>5220</v>
      </c>
      <c r="B401" s="6" t="s">
        <v>1632</v>
      </c>
      <c r="C401" s="6">
        <v>55</v>
      </c>
      <c r="D401" s="6" t="str">
        <f>HYPERLINK("https://rmda.kulib.kyoto-u.ac.jp/item/rb00002724#?c=0&amp;m=0&amp;s=0&amp;cv=54")</f>
        <v>https://rmda.kulib.kyoto-u.ac.jp/item/rb00002724#?c=0&amp;m=0&amp;s=0&amp;cv=54</v>
      </c>
    </row>
    <row r="402" spans="1:5" x14ac:dyDescent="0.15">
      <c r="A402" s="66" t="s">
        <v>5220</v>
      </c>
      <c r="B402" s="6" t="s">
        <v>1633</v>
      </c>
      <c r="C402" s="6">
        <v>56</v>
      </c>
      <c r="D402" s="6" t="str">
        <f>HYPERLINK("https://rmda.kulib.kyoto-u.ac.jp/item/rb00002724#?c=0&amp;m=0&amp;s=0&amp;cv=55")</f>
        <v>https://rmda.kulib.kyoto-u.ac.jp/item/rb00002724#?c=0&amp;m=0&amp;s=0&amp;cv=55</v>
      </c>
    </row>
    <row r="403" spans="1:5" x14ac:dyDescent="0.15">
      <c r="A403" s="66" t="s">
        <v>5220</v>
      </c>
      <c r="B403" s="6" t="s">
        <v>1634</v>
      </c>
      <c r="C403" s="6">
        <v>61</v>
      </c>
      <c r="D403" s="6" t="str">
        <f>HYPERLINK("https://rmda.kulib.kyoto-u.ac.jp/item/rb00002724#?c=0&amp;m=0&amp;s=0&amp;cv=60")</f>
        <v>https://rmda.kulib.kyoto-u.ac.jp/item/rb00002724#?c=0&amp;m=0&amp;s=0&amp;cv=60</v>
      </c>
    </row>
    <row r="404" spans="1:5" x14ac:dyDescent="0.15">
      <c r="A404" s="66" t="s">
        <v>5220</v>
      </c>
      <c r="B404" s="6" t="s">
        <v>1635</v>
      </c>
      <c r="C404" s="6">
        <v>62</v>
      </c>
      <c r="D404" s="6" t="str">
        <f>HYPERLINK("https://rmda.kulib.kyoto-u.ac.jp/item/rb00002724#?c=0&amp;m=0&amp;s=0&amp;cv=61")</f>
        <v>https://rmda.kulib.kyoto-u.ac.jp/item/rb00002724#?c=0&amp;m=0&amp;s=0&amp;cv=61</v>
      </c>
    </row>
    <row r="405" spans="1:5" x14ac:dyDescent="0.15">
      <c r="A405" s="66" t="s">
        <v>5220</v>
      </c>
      <c r="B405" s="6" t="s">
        <v>1636</v>
      </c>
      <c r="C405" s="6">
        <v>64</v>
      </c>
      <c r="D405" s="6" t="str">
        <f>HYPERLINK("https://rmda.kulib.kyoto-u.ac.jp/item/rb00002724#?c=0&amp;m=0&amp;s=0&amp;cv=63")</f>
        <v>https://rmda.kulib.kyoto-u.ac.jp/item/rb00002724#?c=0&amp;m=0&amp;s=0&amp;cv=63</v>
      </c>
    </row>
    <row r="406" spans="1:5" x14ac:dyDescent="0.15">
      <c r="A406" s="66" t="s">
        <v>5220</v>
      </c>
      <c r="B406" s="6" t="s">
        <v>1637</v>
      </c>
      <c r="C406" s="6">
        <v>65</v>
      </c>
      <c r="D406" s="6" t="str">
        <f>HYPERLINK("https://rmda.kulib.kyoto-u.ac.jp/item/rb00002724#?c=0&amp;m=0&amp;s=0&amp;cv=64")</f>
        <v>https://rmda.kulib.kyoto-u.ac.jp/item/rb00002724#?c=0&amp;m=0&amp;s=0&amp;cv=64</v>
      </c>
    </row>
    <row r="407" spans="1:5" x14ac:dyDescent="0.15">
      <c r="A407" s="66" t="s">
        <v>5220</v>
      </c>
      <c r="B407" s="6" t="s">
        <v>1638</v>
      </c>
      <c r="C407" s="6">
        <v>66</v>
      </c>
      <c r="D407" s="6" t="str">
        <f>HYPERLINK("https://rmda.kulib.kyoto-u.ac.jp/item/rb00002724#?c=0&amp;m=0&amp;s=0&amp;cv=65")</f>
        <v>https://rmda.kulib.kyoto-u.ac.jp/item/rb00002724#?c=0&amp;m=0&amp;s=0&amp;cv=65</v>
      </c>
    </row>
    <row r="408" spans="1:5" x14ac:dyDescent="0.15">
      <c r="A408" s="66" t="s">
        <v>5220</v>
      </c>
      <c r="B408" s="6" t="s">
        <v>1639</v>
      </c>
      <c r="C408" s="6">
        <v>67</v>
      </c>
      <c r="D408" s="6" t="str">
        <f>HYPERLINK("https://rmda.kulib.kyoto-u.ac.jp/item/rb00002724#?c=0&amp;m=0&amp;s=0&amp;cv=66")</f>
        <v>https://rmda.kulib.kyoto-u.ac.jp/item/rb00002724#?c=0&amp;m=0&amp;s=0&amp;cv=66</v>
      </c>
    </row>
    <row r="409" spans="1:5" x14ac:dyDescent="0.15">
      <c r="A409" s="66" t="s">
        <v>5220</v>
      </c>
      <c r="B409" s="6" t="s">
        <v>4125</v>
      </c>
      <c r="C409" s="6">
        <v>68</v>
      </c>
      <c r="D409" s="6" t="str">
        <f>HYPERLINK("https://rmda.kulib.kyoto-u.ac.jp/item/rb00002724#?c=0&amp;m=0&amp;s=0&amp;cv=67")</f>
        <v>https://rmda.kulib.kyoto-u.ac.jp/item/rb00002724#?c=0&amp;m=0&amp;s=0&amp;cv=67</v>
      </c>
    </row>
    <row r="410" spans="1:5" x14ac:dyDescent="0.15">
      <c r="A410" s="66" t="s">
        <v>5220</v>
      </c>
      <c r="B410" s="6" t="s">
        <v>4126</v>
      </c>
      <c r="C410" s="6">
        <v>78</v>
      </c>
      <c r="D410" s="6" t="str">
        <f>HYPERLINK("https://rmda.kulib.kyoto-u.ac.jp/item/rb00002724#?c=0&amp;m=0&amp;s=0&amp;cv=77")</f>
        <v>https://rmda.kulib.kyoto-u.ac.jp/item/rb00002724#?c=0&amp;m=0&amp;s=0&amp;cv=77</v>
      </c>
      <c r="E410" s="75" t="s">
        <v>4127</v>
      </c>
    </row>
    <row r="411" spans="1:5" x14ac:dyDescent="0.15">
      <c r="A411" s="66" t="s">
        <v>5220</v>
      </c>
      <c r="B411" s="6" t="s">
        <v>1643</v>
      </c>
      <c r="C411" s="6">
        <v>79</v>
      </c>
      <c r="D411" s="6" t="str">
        <f>HYPERLINK("https://rmda.kulib.kyoto-u.ac.jp/item/rb00002724#?c=0&amp;m=0&amp;s=0&amp;cv=78")</f>
        <v>https://rmda.kulib.kyoto-u.ac.jp/item/rb00002724#?c=0&amp;m=0&amp;s=0&amp;cv=78</v>
      </c>
    </row>
    <row r="412" spans="1:5" x14ac:dyDescent="0.15">
      <c r="A412" s="66" t="s">
        <v>5220</v>
      </c>
      <c r="B412" s="6" t="s">
        <v>1644</v>
      </c>
      <c r="C412" s="6">
        <v>80</v>
      </c>
      <c r="D412" s="6" t="str">
        <f>HYPERLINK("https://rmda.kulib.kyoto-u.ac.jp/item/rb00002724#?c=0&amp;m=0&amp;s=0&amp;cv=79")</f>
        <v>https://rmda.kulib.kyoto-u.ac.jp/item/rb00002724#?c=0&amp;m=0&amp;s=0&amp;cv=79</v>
      </c>
    </row>
    <row r="413" spans="1:5" x14ac:dyDescent="0.15">
      <c r="A413" s="66" t="s">
        <v>5220</v>
      </c>
      <c r="B413" s="63" t="s">
        <v>4128</v>
      </c>
      <c r="C413" s="6">
        <v>81</v>
      </c>
      <c r="D413" s="6" t="str">
        <f>HYPERLINK("https://rmda.kulib.kyoto-u.ac.jp/item/rb00002724#?c=0&amp;m=0&amp;s=0&amp;cv=80")</f>
        <v>https://rmda.kulib.kyoto-u.ac.jp/item/rb00002724#?c=0&amp;m=0&amp;s=0&amp;cv=80</v>
      </c>
      <c r="E413" t="s">
        <v>4936</v>
      </c>
    </row>
    <row r="414" spans="1:5" x14ac:dyDescent="0.15">
      <c r="A414" s="66" t="s">
        <v>5220</v>
      </c>
      <c r="B414" s="6" t="s">
        <v>4129</v>
      </c>
      <c r="C414" s="6">
        <v>82</v>
      </c>
      <c r="D414" s="6" t="str">
        <f>HYPERLINK("https://rmda.kulib.kyoto-u.ac.jp/item/rb00002724#?c=0&amp;m=0&amp;s=0&amp;cv=81")</f>
        <v>https://rmda.kulib.kyoto-u.ac.jp/item/rb00002724#?c=0&amp;m=0&amp;s=0&amp;cv=81</v>
      </c>
    </row>
    <row r="415" spans="1:5" x14ac:dyDescent="0.15">
      <c r="A415" s="66" t="s">
        <v>5220</v>
      </c>
      <c r="B415" s="63" t="s">
        <v>4130</v>
      </c>
      <c r="C415" s="6">
        <v>83</v>
      </c>
      <c r="D415" s="6" t="str">
        <f>HYPERLINK("https://rmda.kulib.kyoto-u.ac.jp/item/rb00002724#?c=0&amp;m=0&amp;s=0&amp;cv=82")</f>
        <v>https://rmda.kulib.kyoto-u.ac.jp/item/rb00002724#?c=0&amp;m=0&amp;s=0&amp;cv=82</v>
      </c>
      <c r="E415" t="s">
        <v>4935</v>
      </c>
    </row>
    <row r="416" spans="1:5" x14ac:dyDescent="0.15">
      <c r="A416" s="66" t="s">
        <v>5220</v>
      </c>
      <c r="B416" s="6" t="s">
        <v>4131</v>
      </c>
      <c r="C416" s="6">
        <v>83</v>
      </c>
      <c r="D416" s="6" t="str">
        <f>HYPERLINK("https://rmda.kulib.kyoto-u.ac.jp/item/rb00002724#?c=0&amp;m=0&amp;s=0&amp;cv=82")</f>
        <v>https://rmda.kulib.kyoto-u.ac.jp/item/rb00002724#?c=0&amp;m=0&amp;s=0&amp;cv=82</v>
      </c>
    </row>
    <row r="417" spans="1:5" x14ac:dyDescent="0.15">
      <c r="A417" s="66" t="s">
        <v>5220</v>
      </c>
      <c r="B417" s="6" t="s">
        <v>1645</v>
      </c>
      <c r="C417" s="6">
        <v>84</v>
      </c>
      <c r="D417" s="6" t="str">
        <f>HYPERLINK("https://rmda.kulib.kyoto-u.ac.jp/item/rb00002724#?c=0&amp;m=0&amp;s=0&amp;cv=83")</f>
        <v>https://rmda.kulib.kyoto-u.ac.jp/item/rb00002724#?c=0&amp;m=0&amp;s=0&amp;cv=83</v>
      </c>
    </row>
    <row r="418" spans="1:5" x14ac:dyDescent="0.15">
      <c r="A418" s="66" t="s">
        <v>5220</v>
      </c>
      <c r="B418" s="6" t="s">
        <v>4132</v>
      </c>
      <c r="C418" s="6">
        <v>84</v>
      </c>
      <c r="D418" s="6" t="str">
        <f>HYPERLINK("https://rmda.kulib.kyoto-u.ac.jp/item/rb00002724#?c=0&amp;m=0&amp;s=0&amp;cv=83")</f>
        <v>https://rmda.kulib.kyoto-u.ac.jp/item/rb00002724#?c=0&amp;m=0&amp;s=0&amp;cv=83</v>
      </c>
      <c r="E418" s="75" t="s">
        <v>4133</v>
      </c>
    </row>
    <row r="419" spans="1:5" x14ac:dyDescent="0.15">
      <c r="A419" s="66" t="s">
        <v>5220</v>
      </c>
      <c r="B419" s="6" t="s">
        <v>4134</v>
      </c>
      <c r="C419" s="6">
        <v>84</v>
      </c>
      <c r="D419" s="6" t="str">
        <f>HYPERLINK("https://rmda.kulib.kyoto-u.ac.jp/item/rb00002724#?c=0&amp;m=0&amp;s=0&amp;cv=83")</f>
        <v>https://rmda.kulib.kyoto-u.ac.jp/item/rb00002724#?c=0&amp;m=0&amp;s=0&amp;cv=83</v>
      </c>
    </row>
    <row r="420" spans="1:5" x14ac:dyDescent="0.15">
      <c r="A420" s="66" t="s">
        <v>5220</v>
      </c>
      <c r="B420" s="6" t="s">
        <v>1646</v>
      </c>
      <c r="C420" s="6">
        <v>85</v>
      </c>
      <c r="D420" s="6" t="str">
        <f>HYPERLINK("https://rmda.kulib.kyoto-u.ac.jp/item/rb00002724#?c=0&amp;m=0&amp;s=0&amp;cv=84")</f>
        <v>https://rmda.kulib.kyoto-u.ac.jp/item/rb00002724#?c=0&amp;m=0&amp;s=0&amp;cv=84</v>
      </c>
    </row>
    <row r="421" spans="1:5" x14ac:dyDescent="0.15">
      <c r="A421" s="66" t="s">
        <v>5220</v>
      </c>
      <c r="B421" s="6" t="s">
        <v>4135</v>
      </c>
      <c r="C421" s="6">
        <v>86</v>
      </c>
      <c r="D421" s="6" t="str">
        <f>HYPERLINK("https://rmda.kulib.kyoto-u.ac.jp/item/rb00002724#?c=0&amp;m=0&amp;s=0&amp;cv=85")</f>
        <v>https://rmda.kulib.kyoto-u.ac.jp/item/rb00002724#?c=0&amp;m=0&amp;s=0&amp;cv=85</v>
      </c>
    </row>
    <row r="422" spans="1:5" x14ac:dyDescent="0.15">
      <c r="A422" s="66" t="s">
        <v>5220</v>
      </c>
      <c r="B422" s="119" t="s">
        <v>5485</v>
      </c>
      <c r="C422" s="6">
        <v>88</v>
      </c>
      <c r="D422" s="6" t="str">
        <f>HYPERLINK("https://rmda.kulib.kyoto-u.ac.jp/item/rb00002724#?c=0&amp;m=0&amp;s=0&amp;cv=87")</f>
        <v>https://rmda.kulib.kyoto-u.ac.jp/item/rb00002724#?c=0&amp;m=0&amp;s=0&amp;cv=87</v>
      </c>
    </row>
    <row r="423" spans="1:5" x14ac:dyDescent="0.15">
      <c r="A423" s="66" t="s">
        <v>5220</v>
      </c>
      <c r="B423" s="6" t="s">
        <v>1648</v>
      </c>
      <c r="C423" s="6">
        <v>88</v>
      </c>
      <c r="D423" s="6" t="str">
        <f>HYPERLINK("https://rmda.kulib.kyoto-u.ac.jp/item/rb00002724#?c=0&amp;m=0&amp;s=0&amp;cv=87")</f>
        <v>https://rmda.kulib.kyoto-u.ac.jp/item/rb00002724#?c=0&amp;m=0&amp;s=0&amp;cv=87</v>
      </c>
    </row>
    <row r="424" spans="1:5" x14ac:dyDescent="0.15">
      <c r="A424" s="66" t="s">
        <v>5220</v>
      </c>
      <c r="B424" s="6" t="s">
        <v>4136</v>
      </c>
      <c r="C424" s="6">
        <v>89</v>
      </c>
      <c r="D424" s="6" t="str">
        <f>HYPERLINK("https://rmda.kulib.kyoto-u.ac.jp/item/rb00002724#?c=0&amp;m=0&amp;s=0&amp;cv=88")</f>
        <v>https://rmda.kulib.kyoto-u.ac.jp/item/rb00002724#?c=0&amp;m=0&amp;s=0&amp;cv=88</v>
      </c>
    </row>
    <row r="425" spans="1:5" x14ac:dyDescent="0.15">
      <c r="A425" s="66" t="s">
        <v>5220</v>
      </c>
      <c r="B425" s="6" t="s">
        <v>4137</v>
      </c>
      <c r="C425" s="6">
        <v>90</v>
      </c>
      <c r="D425" s="6" t="str">
        <f>HYPERLINK("https://rmda.kulib.kyoto-u.ac.jp/item/rb00002724#?c=0&amp;m=0&amp;s=0&amp;cv=89")</f>
        <v>https://rmda.kulib.kyoto-u.ac.jp/item/rb00002724#?c=0&amp;m=0&amp;s=0&amp;cv=89</v>
      </c>
    </row>
    <row r="426" spans="1:5" x14ac:dyDescent="0.15">
      <c r="A426" s="66" t="s">
        <v>5220</v>
      </c>
      <c r="B426" s="6" t="s">
        <v>4138</v>
      </c>
      <c r="C426" s="6">
        <v>90</v>
      </c>
      <c r="D426" s="6" t="str">
        <f>HYPERLINK("https://rmda.kulib.kyoto-u.ac.jp/item/rb00002724#?c=0&amp;m=0&amp;s=0&amp;cv=89")</f>
        <v>https://rmda.kulib.kyoto-u.ac.jp/item/rb00002724#?c=0&amp;m=0&amp;s=0&amp;cv=89</v>
      </c>
    </row>
    <row r="427" spans="1:5" x14ac:dyDescent="0.15">
      <c r="A427" s="66" t="s">
        <v>5220</v>
      </c>
      <c r="B427" s="6" t="s">
        <v>4139</v>
      </c>
      <c r="C427" s="6">
        <v>91</v>
      </c>
      <c r="D427" s="6" t="str">
        <f>HYPERLINK("https://rmda.kulib.kyoto-u.ac.jp/item/rb00002724#?c=0&amp;m=0&amp;s=0&amp;cv=90")</f>
        <v>https://rmda.kulib.kyoto-u.ac.jp/item/rb00002724#?c=0&amp;m=0&amp;s=0&amp;cv=90</v>
      </c>
    </row>
    <row r="428" spans="1:5" x14ac:dyDescent="0.15">
      <c r="A428" s="66" t="s">
        <v>5220</v>
      </c>
      <c r="B428" s="6" t="s">
        <v>1650</v>
      </c>
      <c r="C428" s="6">
        <v>92</v>
      </c>
      <c r="D428" s="6" t="str">
        <f>HYPERLINK("https://rmda.kulib.kyoto-u.ac.jp/item/rb00002724#?c=0&amp;m=0&amp;s=0&amp;cv=91")</f>
        <v>https://rmda.kulib.kyoto-u.ac.jp/item/rb00002724#?c=0&amp;m=0&amp;s=0&amp;cv=91</v>
      </c>
    </row>
    <row r="429" spans="1:5" x14ac:dyDescent="0.15">
      <c r="A429" s="66" t="s">
        <v>5220</v>
      </c>
      <c r="B429" s="6" t="s">
        <v>3654</v>
      </c>
      <c r="C429" s="6">
        <v>93</v>
      </c>
      <c r="D429" s="6" t="str">
        <f>HYPERLINK("https://rmda.kulib.kyoto-u.ac.jp/item/rb00002724#?c=0&amp;m=0&amp;s=0&amp;cv=92")</f>
        <v>https://rmda.kulib.kyoto-u.ac.jp/item/rb00002724#?c=0&amp;m=0&amp;s=0&amp;cv=92</v>
      </c>
    </row>
    <row r="430" spans="1:5" x14ac:dyDescent="0.15">
      <c r="A430" s="66" t="s">
        <v>5220</v>
      </c>
      <c r="B430" s="6" t="s">
        <v>3655</v>
      </c>
      <c r="C430" s="6">
        <v>93</v>
      </c>
      <c r="D430" s="6" t="str">
        <f>HYPERLINK("https://rmda.kulib.kyoto-u.ac.jp/item/rb00002724#?c=0&amp;m=0&amp;s=0&amp;cv=92")</f>
        <v>https://rmda.kulib.kyoto-u.ac.jp/item/rb00002724#?c=0&amp;m=0&amp;s=0&amp;cv=92</v>
      </c>
    </row>
    <row r="431" spans="1:5" x14ac:dyDescent="0.15">
      <c r="A431" s="66" t="s">
        <v>5220</v>
      </c>
      <c r="B431" s="6" t="s">
        <v>4140</v>
      </c>
      <c r="C431" s="6">
        <v>93</v>
      </c>
      <c r="D431" s="6" t="str">
        <f>HYPERLINK("https://rmda.kulib.kyoto-u.ac.jp/item/rb00002724#?c=0&amp;m=0&amp;s=0&amp;cv=92")</f>
        <v>https://rmda.kulib.kyoto-u.ac.jp/item/rb00002724#?c=0&amp;m=0&amp;s=0&amp;cv=92</v>
      </c>
    </row>
    <row r="432" spans="1:5" x14ac:dyDescent="0.15">
      <c r="A432" s="66" t="s">
        <v>5220</v>
      </c>
      <c r="B432" s="6" t="s">
        <v>3656</v>
      </c>
      <c r="C432" s="6">
        <v>94</v>
      </c>
      <c r="D432" s="6" t="str">
        <f>HYPERLINK("https://rmda.kulib.kyoto-u.ac.jp/item/rb00002724#?c=0&amp;m=0&amp;s=0&amp;cv=93")</f>
        <v>https://rmda.kulib.kyoto-u.ac.jp/item/rb00002724#?c=0&amp;m=0&amp;s=0&amp;cv=93</v>
      </c>
    </row>
    <row r="433" spans="1:4" x14ac:dyDescent="0.15">
      <c r="A433" s="66" t="s">
        <v>5220</v>
      </c>
      <c r="B433" s="6" t="s">
        <v>4141</v>
      </c>
      <c r="C433" s="6">
        <v>94</v>
      </c>
      <c r="D433" s="6" t="str">
        <f>HYPERLINK("https://rmda.kulib.kyoto-u.ac.jp/item/rb00002724#?c=0&amp;m=0&amp;s=0&amp;cv=93")</f>
        <v>https://rmda.kulib.kyoto-u.ac.jp/item/rb00002724#?c=0&amp;m=0&amp;s=0&amp;cv=93</v>
      </c>
    </row>
    <row r="434" spans="1:4" x14ac:dyDescent="0.15">
      <c r="A434" s="66" t="s">
        <v>5220</v>
      </c>
      <c r="B434" s="6" t="s">
        <v>3657</v>
      </c>
      <c r="C434" s="6">
        <v>95</v>
      </c>
      <c r="D434" s="6" t="str">
        <f>HYPERLINK("https://rmda.kulib.kyoto-u.ac.jp/item/rb00002724#?c=0&amp;m=0&amp;s=0&amp;cv=94")</f>
        <v>https://rmda.kulib.kyoto-u.ac.jp/item/rb00002724#?c=0&amp;m=0&amp;s=0&amp;cv=94</v>
      </c>
    </row>
    <row r="435" spans="1:4" x14ac:dyDescent="0.15">
      <c r="A435" s="66" t="s">
        <v>5220</v>
      </c>
      <c r="B435" s="6" t="s">
        <v>4142</v>
      </c>
      <c r="C435" s="6">
        <v>95</v>
      </c>
      <c r="D435" s="6" t="str">
        <f>HYPERLINK("https://rmda.kulib.kyoto-u.ac.jp/item/rb00002724#?c=0&amp;m=0&amp;s=0&amp;cv=94")</f>
        <v>https://rmda.kulib.kyoto-u.ac.jp/item/rb00002724#?c=0&amp;m=0&amp;s=0&amp;cv=94</v>
      </c>
    </row>
    <row r="436" spans="1:4" x14ac:dyDescent="0.15">
      <c r="A436" s="66" t="s">
        <v>5220</v>
      </c>
      <c r="B436" s="6" t="s">
        <v>4143</v>
      </c>
      <c r="C436" s="6">
        <v>96</v>
      </c>
      <c r="D436" s="6" t="str">
        <f>HYPERLINK("https://rmda.kulib.kyoto-u.ac.jp/item/rb00002724#?c=0&amp;m=0&amp;s=0&amp;cv=95")</f>
        <v>https://rmda.kulib.kyoto-u.ac.jp/item/rb00002724#?c=0&amp;m=0&amp;s=0&amp;cv=95</v>
      </c>
    </row>
    <row r="437" spans="1:4" x14ac:dyDescent="0.15">
      <c r="A437" s="66" t="s">
        <v>5220</v>
      </c>
      <c r="B437" s="6" t="s">
        <v>3662</v>
      </c>
      <c r="C437" s="6">
        <v>96</v>
      </c>
      <c r="D437" s="6" t="str">
        <f>HYPERLINK("https://rmda.kulib.kyoto-u.ac.jp/item/rb00002724#?c=0&amp;m=0&amp;s=0&amp;cv=95")</f>
        <v>https://rmda.kulib.kyoto-u.ac.jp/item/rb00002724#?c=0&amp;m=0&amp;s=0&amp;cv=95</v>
      </c>
    </row>
    <row r="438" spans="1:4" x14ac:dyDescent="0.15">
      <c r="A438" s="66" t="s">
        <v>5220</v>
      </c>
      <c r="B438" s="6" t="s">
        <v>3658</v>
      </c>
      <c r="C438" s="6">
        <v>97</v>
      </c>
      <c r="D438" s="6" t="str">
        <f>HYPERLINK("https://rmda.kulib.kyoto-u.ac.jp/item/rb00002724#?c=0&amp;m=0&amp;s=0&amp;cv=96")</f>
        <v>https://rmda.kulib.kyoto-u.ac.jp/item/rb00002724#?c=0&amp;m=0&amp;s=0&amp;cv=96</v>
      </c>
    </row>
    <row r="439" spans="1:4" x14ac:dyDescent="0.15">
      <c r="A439" s="66" t="s">
        <v>5220</v>
      </c>
      <c r="B439" s="6" t="s">
        <v>3659</v>
      </c>
      <c r="C439" s="6">
        <v>98</v>
      </c>
      <c r="D439" s="6" t="str">
        <f>HYPERLINK("https://rmda.kulib.kyoto-u.ac.jp/item/rb00002724#?c=0&amp;m=0&amp;s=0&amp;cv=97")</f>
        <v>https://rmda.kulib.kyoto-u.ac.jp/item/rb00002724#?c=0&amp;m=0&amp;s=0&amp;cv=97</v>
      </c>
    </row>
    <row r="440" spans="1:4" x14ac:dyDescent="0.15">
      <c r="A440" s="66" t="s">
        <v>5220</v>
      </c>
      <c r="B440" s="6" t="s">
        <v>3660</v>
      </c>
      <c r="C440" s="6">
        <v>99</v>
      </c>
      <c r="D440" s="6" t="str">
        <f>HYPERLINK("https://rmda.kulib.kyoto-u.ac.jp/item/rb00002724#?c=0&amp;m=0&amp;s=0&amp;cv=98")</f>
        <v>https://rmda.kulib.kyoto-u.ac.jp/item/rb00002724#?c=0&amp;m=0&amp;s=0&amp;cv=98</v>
      </c>
    </row>
    <row r="441" spans="1:4" x14ac:dyDescent="0.15">
      <c r="A441" s="66" t="s">
        <v>5220</v>
      </c>
      <c r="B441" s="6" t="s">
        <v>4144</v>
      </c>
      <c r="C441" s="6">
        <v>99</v>
      </c>
      <c r="D441" s="6" t="str">
        <f>HYPERLINK("https://rmda.kulib.kyoto-u.ac.jp/item/rb00002724#?c=0&amp;m=0&amp;s=0&amp;cv=98")</f>
        <v>https://rmda.kulib.kyoto-u.ac.jp/item/rb00002724#?c=0&amp;m=0&amp;s=0&amp;cv=98</v>
      </c>
    </row>
    <row r="442" spans="1:4" x14ac:dyDescent="0.15">
      <c r="A442" s="66" t="s">
        <v>5220</v>
      </c>
      <c r="B442" s="6" t="s">
        <v>4145</v>
      </c>
      <c r="C442" s="6">
        <v>100</v>
      </c>
      <c r="D442" s="6" t="str">
        <f>HYPERLINK("https://rmda.kulib.kyoto-u.ac.jp/item/rb00002724#?c=0&amp;m=0&amp;s=0&amp;cv=99")</f>
        <v>https://rmda.kulib.kyoto-u.ac.jp/item/rb00002724#?c=0&amp;m=0&amp;s=0&amp;cv=99</v>
      </c>
    </row>
    <row r="443" spans="1:4" x14ac:dyDescent="0.15">
      <c r="A443" s="66" t="s">
        <v>5220</v>
      </c>
      <c r="B443" s="6" t="s">
        <v>3661</v>
      </c>
      <c r="C443" s="6">
        <v>103</v>
      </c>
      <c r="D443" s="6" t="str">
        <f>HYPERLINK("https://rmda.kulib.kyoto-u.ac.jp/item/rb00002724#?c=0&amp;m=0&amp;s=0&amp;cv=102")</f>
        <v>https://rmda.kulib.kyoto-u.ac.jp/item/rb00002724#?c=0&amp;m=0&amp;s=0&amp;cv=102</v>
      </c>
    </row>
    <row r="444" spans="1:4" x14ac:dyDescent="0.15">
      <c r="A444" s="66" t="s">
        <v>5220</v>
      </c>
      <c r="B444" s="119" t="s">
        <v>5486</v>
      </c>
      <c r="C444" s="6">
        <v>111</v>
      </c>
      <c r="D444" s="6" t="str">
        <f>HYPERLINK("https://rmda.kulib.kyoto-u.ac.jp/item/rb00002724#?c=0&amp;m=0&amp;s=0&amp;cv=110")</f>
        <v>https://rmda.kulib.kyoto-u.ac.jp/item/rb00002724#?c=0&amp;m=0&amp;s=0&amp;cv=110</v>
      </c>
    </row>
    <row r="445" spans="1:4" x14ac:dyDescent="0.15">
      <c r="A445" s="66" t="s">
        <v>5220</v>
      </c>
      <c r="B445" s="6" t="s">
        <v>1652</v>
      </c>
      <c r="C445" s="6">
        <v>111</v>
      </c>
      <c r="D445" s="6" t="str">
        <f>HYPERLINK("https://rmda.kulib.kyoto-u.ac.jp/item/rb00002724#?c=0&amp;m=0&amp;s=0&amp;cv=110")</f>
        <v>https://rmda.kulib.kyoto-u.ac.jp/item/rb00002724#?c=0&amp;m=0&amp;s=0&amp;cv=110</v>
      </c>
    </row>
    <row r="446" spans="1:4" x14ac:dyDescent="0.15">
      <c r="A446" s="66" t="s">
        <v>5220</v>
      </c>
      <c r="B446" s="6" t="s">
        <v>1653</v>
      </c>
      <c r="C446" s="6">
        <v>112</v>
      </c>
      <c r="D446" s="6" t="str">
        <f>HYPERLINK("https://rmda.kulib.kyoto-u.ac.jp/item/rb00002724#?c=0&amp;m=0&amp;s=0&amp;cv=111")</f>
        <v>https://rmda.kulib.kyoto-u.ac.jp/item/rb00002724#?c=0&amp;m=0&amp;s=0&amp;cv=111</v>
      </c>
    </row>
    <row r="447" spans="1:4" x14ac:dyDescent="0.15">
      <c r="A447" s="66" t="s">
        <v>5220</v>
      </c>
      <c r="B447" s="6" t="s">
        <v>1656</v>
      </c>
      <c r="C447" s="6">
        <v>115</v>
      </c>
      <c r="D447" s="6" t="str">
        <f>HYPERLINK("https://rmda.kulib.kyoto-u.ac.jp/item/rb00002724#?c=0&amp;m=0&amp;s=0&amp;cv=114")</f>
        <v>https://rmda.kulib.kyoto-u.ac.jp/item/rb00002724#?c=0&amp;m=0&amp;s=0&amp;cv=114</v>
      </c>
    </row>
    <row r="448" spans="1:4" x14ac:dyDescent="0.15">
      <c r="A448" s="66" t="s">
        <v>5220</v>
      </c>
      <c r="B448" s="6" t="s">
        <v>1657</v>
      </c>
      <c r="C448" s="6">
        <v>116</v>
      </c>
      <c r="D448" s="6" t="str">
        <f>HYPERLINK("https://rmda.kulib.kyoto-u.ac.jp/item/rb00002724#?c=0&amp;m=0&amp;s=0&amp;cv=115")</f>
        <v>https://rmda.kulib.kyoto-u.ac.jp/item/rb00002724#?c=0&amp;m=0&amp;s=0&amp;cv=115</v>
      </c>
    </row>
    <row r="449" spans="1:4" x14ac:dyDescent="0.15">
      <c r="A449" s="66" t="s">
        <v>5220</v>
      </c>
      <c r="B449" s="6" t="s">
        <v>1658</v>
      </c>
      <c r="C449" s="6">
        <v>116</v>
      </c>
      <c r="D449" s="6" t="str">
        <f>HYPERLINK("https://rmda.kulib.kyoto-u.ac.jp/item/rb00002724#?c=0&amp;m=0&amp;s=0&amp;cv=115")</f>
        <v>https://rmda.kulib.kyoto-u.ac.jp/item/rb00002724#?c=0&amp;m=0&amp;s=0&amp;cv=115</v>
      </c>
    </row>
    <row r="450" spans="1:4" x14ac:dyDescent="0.15">
      <c r="A450" s="66" t="s">
        <v>5220</v>
      </c>
      <c r="B450" s="6" t="s">
        <v>1664</v>
      </c>
      <c r="C450" s="6">
        <v>122</v>
      </c>
      <c r="D450" s="6" t="str">
        <f>HYPERLINK("https://rmda.kulib.kyoto-u.ac.jp/item/rb00002724#?c=0&amp;m=0&amp;s=0&amp;cv=121")</f>
        <v>https://rmda.kulib.kyoto-u.ac.jp/item/rb00002724#?c=0&amp;m=0&amp;s=0&amp;cv=121</v>
      </c>
    </row>
    <row r="451" spans="1:4" x14ac:dyDescent="0.15">
      <c r="A451" s="66" t="s">
        <v>5220</v>
      </c>
      <c r="B451" s="6" t="s">
        <v>1665</v>
      </c>
      <c r="C451" s="6">
        <v>123</v>
      </c>
      <c r="D451" s="6" t="str">
        <f>HYPERLINK("https://rmda.kulib.kyoto-u.ac.jp/item/rb00002724#?c=0&amp;m=0&amp;s=0&amp;cv=122")</f>
        <v>https://rmda.kulib.kyoto-u.ac.jp/item/rb00002724#?c=0&amp;m=0&amp;s=0&amp;cv=122</v>
      </c>
    </row>
    <row r="452" spans="1:4" x14ac:dyDescent="0.15">
      <c r="A452" s="66" t="s">
        <v>5220</v>
      </c>
      <c r="B452" s="6" t="s">
        <v>1666</v>
      </c>
      <c r="C452" s="6">
        <v>123</v>
      </c>
      <c r="D452" s="6" t="str">
        <f>HYPERLINK("https://rmda.kulib.kyoto-u.ac.jp/item/rb00002724#?c=0&amp;m=0&amp;s=0&amp;cv=122")</f>
        <v>https://rmda.kulib.kyoto-u.ac.jp/item/rb00002724#?c=0&amp;m=0&amp;s=0&amp;cv=122</v>
      </c>
    </row>
    <row r="453" spans="1:4" x14ac:dyDescent="0.15">
      <c r="A453" s="66" t="s">
        <v>5220</v>
      </c>
      <c r="B453" s="6" t="s">
        <v>1667</v>
      </c>
      <c r="C453" s="6">
        <v>125</v>
      </c>
      <c r="D453" s="6" t="str">
        <f>HYPERLINK("https://rmda.kulib.kyoto-u.ac.jp/item/rb00002724#?c=0&amp;m=0&amp;s=0&amp;cv=124")</f>
        <v>https://rmda.kulib.kyoto-u.ac.jp/item/rb00002724#?c=0&amp;m=0&amp;s=0&amp;cv=124</v>
      </c>
    </row>
    <row r="454" spans="1:4" x14ac:dyDescent="0.15">
      <c r="A454" s="66" t="s">
        <v>5220</v>
      </c>
      <c r="B454" s="6" t="s">
        <v>3663</v>
      </c>
      <c r="C454" s="6">
        <v>125</v>
      </c>
      <c r="D454" s="6" t="str">
        <f>HYPERLINK("https://rmda.kulib.kyoto-u.ac.jp/item/rb00002724#?c=0&amp;m=0&amp;s=0&amp;cv=124")</f>
        <v>https://rmda.kulib.kyoto-u.ac.jp/item/rb00002724#?c=0&amp;m=0&amp;s=0&amp;cv=124</v>
      </c>
    </row>
    <row r="455" spans="1:4" x14ac:dyDescent="0.15">
      <c r="A455" s="66" t="s">
        <v>5220</v>
      </c>
      <c r="B455" s="6" t="s">
        <v>1670</v>
      </c>
      <c r="C455" s="6">
        <v>126</v>
      </c>
      <c r="D455" s="6" t="str">
        <f>HYPERLINK("https://rmda.kulib.kyoto-u.ac.jp/item/rb00002724#?c=0&amp;m=0&amp;s=0&amp;cv=125")</f>
        <v>https://rmda.kulib.kyoto-u.ac.jp/item/rb00002724#?c=0&amp;m=0&amp;s=0&amp;cv=125</v>
      </c>
    </row>
    <row r="456" spans="1:4" x14ac:dyDescent="0.15">
      <c r="A456" s="66" t="s">
        <v>5220</v>
      </c>
      <c r="B456" s="6" t="s">
        <v>1671</v>
      </c>
      <c r="C456" s="6">
        <v>126</v>
      </c>
      <c r="D456" s="6" t="str">
        <f>HYPERLINK("https://rmda.kulib.kyoto-u.ac.jp/item/rb00002724#?c=0&amp;m=0&amp;s=0&amp;cv=125")</f>
        <v>https://rmda.kulib.kyoto-u.ac.jp/item/rb00002724#?c=0&amp;m=0&amp;s=0&amp;cv=125</v>
      </c>
    </row>
    <row r="457" spans="1:4" x14ac:dyDescent="0.15">
      <c r="A457" s="66" t="s">
        <v>5220</v>
      </c>
      <c r="B457" s="6" t="s">
        <v>1673</v>
      </c>
      <c r="C457" s="6">
        <v>128</v>
      </c>
      <c r="D457" s="6" t="str">
        <f>HYPERLINK("https://rmda.kulib.kyoto-u.ac.jp/item/rb00002724#?c=0&amp;m=0&amp;s=0&amp;cv=127")</f>
        <v>https://rmda.kulib.kyoto-u.ac.jp/item/rb00002724#?c=0&amp;m=0&amp;s=0&amp;cv=127</v>
      </c>
    </row>
    <row r="458" spans="1:4" x14ac:dyDescent="0.15">
      <c r="A458" s="66" t="s">
        <v>5220</v>
      </c>
      <c r="B458" s="6" t="s">
        <v>1674</v>
      </c>
      <c r="C458" s="6">
        <v>129</v>
      </c>
      <c r="D458" s="6" t="str">
        <f>HYPERLINK("https://rmda.kulib.kyoto-u.ac.jp/item/rb00002724#?c=0&amp;m=0&amp;s=0&amp;cv=128")</f>
        <v>https://rmda.kulib.kyoto-u.ac.jp/item/rb00002724#?c=0&amp;m=0&amp;s=0&amp;cv=128</v>
      </c>
    </row>
    <row r="459" spans="1:4" x14ac:dyDescent="0.15">
      <c r="A459" s="66" t="s">
        <v>5220</v>
      </c>
      <c r="B459" s="6" t="s">
        <v>1675</v>
      </c>
      <c r="C459" s="6">
        <v>130</v>
      </c>
      <c r="D459" s="6" t="str">
        <f>HYPERLINK("https://rmda.kulib.kyoto-u.ac.jp/item/rb00002724#?c=0&amp;m=0&amp;s=0&amp;cv=129")</f>
        <v>https://rmda.kulib.kyoto-u.ac.jp/item/rb00002724#?c=0&amp;m=0&amp;s=0&amp;cv=129</v>
      </c>
    </row>
    <row r="460" spans="1:4" x14ac:dyDescent="0.15">
      <c r="A460" s="66" t="s">
        <v>5220</v>
      </c>
      <c r="B460" s="6" t="s">
        <v>1676</v>
      </c>
      <c r="C460" s="6">
        <v>131</v>
      </c>
      <c r="D460" s="6" t="str">
        <f>HYPERLINK("https://rmda.kulib.kyoto-u.ac.jp/item/rb00002724#?c=0&amp;m=0&amp;s=0&amp;cv=130")</f>
        <v>https://rmda.kulib.kyoto-u.ac.jp/item/rb00002724#?c=0&amp;m=0&amp;s=0&amp;cv=130</v>
      </c>
    </row>
    <row r="461" spans="1:4" x14ac:dyDescent="0.15">
      <c r="A461" s="66" t="s">
        <v>5220</v>
      </c>
      <c r="B461" s="6" t="s">
        <v>1677</v>
      </c>
      <c r="C461" s="6">
        <v>133</v>
      </c>
      <c r="D461" s="6" t="str">
        <f>HYPERLINK("https://rmda.kulib.kyoto-u.ac.jp/item/rb00002724#?c=0&amp;m=0&amp;s=0&amp;cv=132")</f>
        <v>https://rmda.kulib.kyoto-u.ac.jp/item/rb00002724#?c=0&amp;m=0&amp;s=0&amp;cv=132</v>
      </c>
    </row>
    <row r="462" spans="1:4" x14ac:dyDescent="0.15">
      <c r="A462" s="66" t="s">
        <v>5220</v>
      </c>
      <c r="B462" s="6" t="s">
        <v>1678</v>
      </c>
      <c r="C462" s="6">
        <v>133</v>
      </c>
      <c r="D462" s="6" t="str">
        <f>HYPERLINK("https://rmda.kulib.kyoto-u.ac.jp/item/rb00002724#?c=0&amp;m=0&amp;s=0&amp;cv=132")</f>
        <v>https://rmda.kulib.kyoto-u.ac.jp/item/rb00002724#?c=0&amp;m=0&amp;s=0&amp;cv=132</v>
      </c>
    </row>
    <row r="463" spans="1:4" x14ac:dyDescent="0.15">
      <c r="A463" s="66" t="s">
        <v>5220</v>
      </c>
      <c r="B463" s="119" t="s">
        <v>5487</v>
      </c>
      <c r="C463" s="6">
        <v>134</v>
      </c>
      <c r="D463" s="6" t="str">
        <f>HYPERLINK("https://rmda.kulib.kyoto-u.ac.jp/item/rb00002724#?c=0&amp;m=0&amp;s=0&amp;cv=133")</f>
        <v>https://rmda.kulib.kyoto-u.ac.jp/item/rb00002724#?c=0&amp;m=0&amp;s=0&amp;cv=133</v>
      </c>
    </row>
    <row r="464" spans="1:4" x14ac:dyDescent="0.15">
      <c r="A464" s="66" t="s">
        <v>5220</v>
      </c>
      <c r="B464" s="6" t="s">
        <v>1680</v>
      </c>
      <c r="C464" s="6">
        <v>134</v>
      </c>
      <c r="D464" s="6" t="str">
        <f>HYPERLINK("https://rmda.kulib.kyoto-u.ac.jp/item/rb00002724#?c=0&amp;m=0&amp;s=0&amp;cv=133")</f>
        <v>https://rmda.kulib.kyoto-u.ac.jp/item/rb00002724#?c=0&amp;m=0&amp;s=0&amp;cv=133</v>
      </c>
    </row>
    <row r="465" spans="1:4" x14ac:dyDescent="0.15">
      <c r="A465" s="66" t="s">
        <v>5220</v>
      </c>
      <c r="B465" s="6" t="s">
        <v>1682</v>
      </c>
      <c r="C465" s="6">
        <v>135</v>
      </c>
      <c r="D465" s="6" t="str">
        <f>HYPERLINK("https://rmda.kulib.kyoto-u.ac.jp/item/rb00002724#?c=0&amp;m=0&amp;s=0&amp;cv=134")</f>
        <v>https://rmda.kulib.kyoto-u.ac.jp/item/rb00002724#?c=0&amp;m=0&amp;s=0&amp;cv=134</v>
      </c>
    </row>
    <row r="466" spans="1:4" x14ac:dyDescent="0.15">
      <c r="A466" s="66" t="s">
        <v>5220</v>
      </c>
      <c r="B466" s="6" t="s">
        <v>1683</v>
      </c>
      <c r="C466" s="6">
        <v>136</v>
      </c>
      <c r="D466" s="6" t="str">
        <f>HYPERLINK("https://rmda.kulib.kyoto-u.ac.jp/item/rb00002724#?c=0&amp;m=0&amp;s=0&amp;cv=135")</f>
        <v>https://rmda.kulib.kyoto-u.ac.jp/item/rb00002724#?c=0&amp;m=0&amp;s=0&amp;cv=135</v>
      </c>
    </row>
    <row r="467" spans="1:4" x14ac:dyDescent="0.15">
      <c r="A467" s="66" t="s">
        <v>5220</v>
      </c>
      <c r="B467" s="6" t="s">
        <v>1684</v>
      </c>
      <c r="C467" s="6">
        <v>137</v>
      </c>
      <c r="D467" s="6" t="str">
        <f>HYPERLINK("https://rmda.kulib.kyoto-u.ac.jp/item/rb00002724#?c=0&amp;m=0&amp;s=0&amp;cv=136")</f>
        <v>https://rmda.kulib.kyoto-u.ac.jp/item/rb00002724#?c=0&amp;m=0&amp;s=0&amp;cv=136</v>
      </c>
    </row>
    <row r="468" spans="1:4" x14ac:dyDescent="0.15">
      <c r="A468" s="66" t="s">
        <v>5220</v>
      </c>
      <c r="B468" s="6" t="s">
        <v>1686</v>
      </c>
      <c r="C468" s="6">
        <v>138</v>
      </c>
      <c r="D468" s="6" t="str">
        <f>HYPERLINK("https://rmda.kulib.kyoto-u.ac.jp/item/rb00002724#?c=0&amp;m=0&amp;s=0&amp;cv=137")</f>
        <v>https://rmda.kulib.kyoto-u.ac.jp/item/rb00002724#?c=0&amp;m=0&amp;s=0&amp;cv=137</v>
      </c>
    </row>
    <row r="469" spans="1:4" x14ac:dyDescent="0.15">
      <c r="A469" s="66" t="s">
        <v>5220</v>
      </c>
      <c r="B469" s="6" t="s">
        <v>1687</v>
      </c>
      <c r="C469" s="6">
        <v>138</v>
      </c>
      <c r="D469" s="6" t="str">
        <f>HYPERLINK("https://rmda.kulib.kyoto-u.ac.jp/item/rb00002724#?c=0&amp;m=0&amp;s=0&amp;cv=137")</f>
        <v>https://rmda.kulib.kyoto-u.ac.jp/item/rb00002724#?c=0&amp;m=0&amp;s=0&amp;cv=137</v>
      </c>
    </row>
    <row r="470" spans="1:4" x14ac:dyDescent="0.15">
      <c r="A470" s="66" t="s">
        <v>5220</v>
      </c>
      <c r="B470" s="6" t="s">
        <v>1689</v>
      </c>
      <c r="C470" s="6">
        <v>140</v>
      </c>
      <c r="D470" s="6" t="str">
        <f>HYPERLINK("https://rmda.kulib.kyoto-u.ac.jp/item/rb00002724#?c=0&amp;m=0&amp;s=0&amp;cv=139")</f>
        <v>https://rmda.kulib.kyoto-u.ac.jp/item/rb00002724#?c=0&amp;m=0&amp;s=0&amp;cv=139</v>
      </c>
    </row>
    <row r="471" spans="1:4" x14ac:dyDescent="0.15">
      <c r="A471" s="66" t="s">
        <v>5220</v>
      </c>
      <c r="B471" s="6" t="s">
        <v>1690</v>
      </c>
      <c r="C471" s="6">
        <v>140</v>
      </c>
      <c r="D471" s="6" t="str">
        <f>HYPERLINK("https://rmda.kulib.kyoto-u.ac.jp/item/rb00002724#?c=0&amp;m=0&amp;s=0&amp;cv=139")</f>
        <v>https://rmda.kulib.kyoto-u.ac.jp/item/rb00002724#?c=0&amp;m=0&amp;s=0&amp;cv=139</v>
      </c>
    </row>
    <row r="472" spans="1:4" x14ac:dyDescent="0.15">
      <c r="A472" s="66" t="s">
        <v>5220</v>
      </c>
      <c r="B472" s="6" t="s">
        <v>1692</v>
      </c>
      <c r="C472" s="6">
        <v>141</v>
      </c>
      <c r="D472" s="6" t="str">
        <f>HYPERLINK("https://rmda.kulib.kyoto-u.ac.jp/item/rb00002724#?c=0&amp;m=0&amp;s=0&amp;cv=140")</f>
        <v>https://rmda.kulib.kyoto-u.ac.jp/item/rb00002724#?c=0&amp;m=0&amp;s=0&amp;cv=140</v>
      </c>
    </row>
    <row r="473" spans="1:4" x14ac:dyDescent="0.15">
      <c r="A473" s="66" t="s">
        <v>5220</v>
      </c>
      <c r="B473" s="6" t="s">
        <v>1693</v>
      </c>
      <c r="C473" s="6">
        <v>142</v>
      </c>
      <c r="D473" s="6" t="str">
        <f>HYPERLINK("https://rmda.kulib.kyoto-u.ac.jp/item/rb00002724#?c=0&amp;m=0&amp;s=0&amp;cv=141")</f>
        <v>https://rmda.kulib.kyoto-u.ac.jp/item/rb00002724#?c=0&amp;m=0&amp;s=0&amp;cv=141</v>
      </c>
    </row>
    <row r="474" spans="1:4" x14ac:dyDescent="0.15">
      <c r="A474" s="66" t="s">
        <v>5220</v>
      </c>
      <c r="B474" s="6" t="s">
        <v>1694</v>
      </c>
      <c r="C474" s="6">
        <v>142</v>
      </c>
      <c r="D474" s="6" t="str">
        <f>HYPERLINK("https://rmda.kulib.kyoto-u.ac.jp/item/rb00002724#?c=0&amp;m=0&amp;s=0&amp;cv=141")</f>
        <v>https://rmda.kulib.kyoto-u.ac.jp/item/rb00002724#?c=0&amp;m=0&amp;s=0&amp;cv=141</v>
      </c>
    </row>
    <row r="475" spans="1:4" x14ac:dyDescent="0.15">
      <c r="A475" s="66" t="s">
        <v>5220</v>
      </c>
      <c r="B475" s="6" t="s">
        <v>1695</v>
      </c>
      <c r="C475" s="6">
        <v>143</v>
      </c>
      <c r="D475" s="6" t="str">
        <f>HYPERLINK("https://rmda.kulib.kyoto-u.ac.jp/item/rb00002724#?c=0&amp;m=0&amp;s=0&amp;cv=142")</f>
        <v>https://rmda.kulib.kyoto-u.ac.jp/item/rb00002724#?c=0&amp;m=0&amp;s=0&amp;cv=142</v>
      </c>
    </row>
    <row r="476" spans="1:4" x14ac:dyDescent="0.15">
      <c r="A476" s="66" t="s">
        <v>5220</v>
      </c>
      <c r="B476" s="6" t="s">
        <v>1696</v>
      </c>
      <c r="C476" s="6">
        <v>143</v>
      </c>
      <c r="D476" s="6" t="str">
        <f>HYPERLINK("https://rmda.kulib.kyoto-u.ac.jp/item/rb00002724#?c=0&amp;m=0&amp;s=0&amp;cv=142")</f>
        <v>https://rmda.kulib.kyoto-u.ac.jp/item/rb00002724#?c=0&amp;m=0&amp;s=0&amp;cv=142</v>
      </c>
    </row>
    <row r="477" spans="1:4" x14ac:dyDescent="0.15">
      <c r="A477" s="66" t="s">
        <v>5220</v>
      </c>
      <c r="B477" s="6" t="s">
        <v>1697</v>
      </c>
      <c r="C477" s="6">
        <v>144</v>
      </c>
      <c r="D477" s="6" t="str">
        <f>HYPERLINK("https://rmda.kulib.kyoto-u.ac.jp/item/rb00002724#?c=0&amp;m=0&amp;s=0&amp;cv=143")</f>
        <v>https://rmda.kulib.kyoto-u.ac.jp/item/rb00002724#?c=0&amp;m=0&amp;s=0&amp;cv=143</v>
      </c>
    </row>
    <row r="478" spans="1:4" x14ac:dyDescent="0.15">
      <c r="A478" s="66" t="s">
        <v>5220</v>
      </c>
      <c r="B478" s="6" t="s">
        <v>1698</v>
      </c>
      <c r="C478" s="6">
        <v>145</v>
      </c>
      <c r="D478" s="6" t="str">
        <f>HYPERLINK("https://rmda.kulib.kyoto-u.ac.jp/item/rb00002724#?c=0&amp;m=0&amp;s=0&amp;cv=144")</f>
        <v>https://rmda.kulib.kyoto-u.ac.jp/item/rb00002724#?c=0&amp;m=0&amp;s=0&amp;cv=144</v>
      </c>
    </row>
    <row r="479" spans="1:4" x14ac:dyDescent="0.15">
      <c r="A479" s="66" t="s">
        <v>5220</v>
      </c>
      <c r="B479" s="6" t="s">
        <v>1699</v>
      </c>
      <c r="C479" s="6">
        <v>146</v>
      </c>
      <c r="D479" s="6" t="str">
        <f>HYPERLINK("https://rmda.kulib.kyoto-u.ac.jp/item/rb00002724#?c=0&amp;m=0&amp;s=0&amp;cv=145")</f>
        <v>https://rmda.kulib.kyoto-u.ac.jp/item/rb00002724#?c=0&amp;m=0&amp;s=0&amp;cv=145</v>
      </c>
    </row>
    <row r="480" spans="1:4" x14ac:dyDescent="0.15">
      <c r="A480" s="66" t="s">
        <v>5220</v>
      </c>
      <c r="B480" s="6" t="s">
        <v>1702</v>
      </c>
      <c r="C480" s="6">
        <v>151</v>
      </c>
      <c r="D480" s="6" t="str">
        <f>HYPERLINK("https://rmda.kulib.kyoto-u.ac.jp/item/rb00002724#?c=0&amp;m=0&amp;s=0&amp;cv=150")</f>
        <v>https://rmda.kulib.kyoto-u.ac.jp/item/rb00002724#?c=0&amp;m=0&amp;s=0&amp;cv=150</v>
      </c>
    </row>
    <row r="481" spans="1:4" x14ac:dyDescent="0.15">
      <c r="A481" s="66" t="s">
        <v>5220</v>
      </c>
      <c r="B481" s="6" t="s">
        <v>1703</v>
      </c>
      <c r="C481" s="6">
        <v>151</v>
      </c>
      <c r="D481" s="6" t="str">
        <f>HYPERLINK("https://rmda.kulib.kyoto-u.ac.jp/item/rb00002724#?c=0&amp;m=0&amp;s=0&amp;cv=150")</f>
        <v>https://rmda.kulib.kyoto-u.ac.jp/item/rb00002724#?c=0&amp;m=0&amp;s=0&amp;cv=150</v>
      </c>
    </row>
    <row r="482" spans="1:4" x14ac:dyDescent="0.15">
      <c r="A482" s="66" t="s">
        <v>5220</v>
      </c>
      <c r="B482" s="6" t="s">
        <v>1704</v>
      </c>
      <c r="C482" s="6">
        <v>152</v>
      </c>
      <c r="D482" s="6" t="str">
        <f>HYPERLINK("https://rmda.kulib.kyoto-u.ac.jp/item/rb00002724#?c=0&amp;m=0&amp;s=0&amp;cv=151")</f>
        <v>https://rmda.kulib.kyoto-u.ac.jp/item/rb00002724#?c=0&amp;m=0&amp;s=0&amp;cv=151</v>
      </c>
    </row>
    <row r="483" spans="1:4" x14ac:dyDescent="0.15">
      <c r="A483" s="66" t="s">
        <v>5220</v>
      </c>
      <c r="B483" s="6" t="s">
        <v>1705</v>
      </c>
      <c r="C483" s="6">
        <v>158</v>
      </c>
      <c r="D483" s="6" t="str">
        <f>HYPERLINK("https://rmda.kulib.kyoto-u.ac.jp/item/rb00002724#?c=0&amp;m=0&amp;s=0&amp;cv=157")</f>
        <v>https://rmda.kulib.kyoto-u.ac.jp/item/rb00002724#?c=0&amp;m=0&amp;s=0&amp;cv=157</v>
      </c>
    </row>
    <row r="484" spans="1:4" x14ac:dyDescent="0.15">
      <c r="A484" s="66" t="s">
        <v>5220</v>
      </c>
      <c r="B484" s="119" t="s">
        <v>5488</v>
      </c>
      <c r="C484" s="6">
        <v>159</v>
      </c>
      <c r="D484" s="6" t="str">
        <f>HYPERLINK("https://rmda.kulib.kyoto-u.ac.jp/item/rb00002724#?c=0&amp;m=0&amp;s=0&amp;cv=158")</f>
        <v>https://rmda.kulib.kyoto-u.ac.jp/item/rb00002724#?c=0&amp;m=0&amp;s=0&amp;cv=158</v>
      </c>
    </row>
    <row r="485" spans="1:4" x14ac:dyDescent="0.15">
      <c r="A485" s="66" t="s">
        <v>5220</v>
      </c>
      <c r="B485" s="6" t="s">
        <v>1706</v>
      </c>
      <c r="C485" s="6">
        <v>159</v>
      </c>
      <c r="D485" s="6" t="str">
        <f>HYPERLINK("https://rmda.kulib.kyoto-u.ac.jp/item/rb00002724#?c=0&amp;m=0&amp;s=0&amp;cv=158")</f>
        <v>https://rmda.kulib.kyoto-u.ac.jp/item/rb00002724#?c=0&amp;m=0&amp;s=0&amp;cv=158</v>
      </c>
    </row>
    <row r="486" spans="1:4" x14ac:dyDescent="0.15">
      <c r="A486" s="66" t="s">
        <v>5220</v>
      </c>
      <c r="B486" s="6" t="s">
        <v>1707</v>
      </c>
      <c r="C486" s="6">
        <v>160</v>
      </c>
      <c r="D486" s="6" t="str">
        <f>HYPERLINK("https://rmda.kulib.kyoto-u.ac.jp/item/rb00002724#?c=0&amp;m=0&amp;s=0&amp;cv=159")</f>
        <v>https://rmda.kulib.kyoto-u.ac.jp/item/rb00002724#?c=0&amp;m=0&amp;s=0&amp;cv=159</v>
      </c>
    </row>
    <row r="487" spans="1:4" x14ac:dyDescent="0.15">
      <c r="A487" s="66" t="s">
        <v>5220</v>
      </c>
      <c r="B487" s="6" t="s">
        <v>1708</v>
      </c>
      <c r="C487" s="6">
        <v>164</v>
      </c>
      <c r="D487" s="6" t="str">
        <f>HYPERLINK("https://rmda.kulib.kyoto-u.ac.jp/item/rb00002724#?c=0&amp;m=0&amp;s=0&amp;cv=163")</f>
        <v>https://rmda.kulib.kyoto-u.ac.jp/item/rb00002724#?c=0&amp;m=0&amp;s=0&amp;cv=163</v>
      </c>
    </row>
    <row r="488" spans="1:4" x14ac:dyDescent="0.15">
      <c r="A488" s="66" t="s">
        <v>5220</v>
      </c>
      <c r="B488" s="6" t="s">
        <v>1709</v>
      </c>
      <c r="C488" s="6">
        <v>169</v>
      </c>
      <c r="D488" s="6" t="str">
        <f>HYPERLINK("https://rmda.kulib.kyoto-u.ac.jp/item/rb00002724#?c=0&amp;m=0&amp;s=0&amp;cv=168")</f>
        <v>https://rmda.kulib.kyoto-u.ac.jp/item/rb00002724#?c=0&amp;m=0&amp;s=0&amp;cv=168</v>
      </c>
    </row>
    <row r="489" spans="1:4" x14ac:dyDescent="0.15">
      <c r="A489" s="66" t="s">
        <v>5220</v>
      </c>
      <c r="B489" s="6" t="s">
        <v>1710</v>
      </c>
      <c r="C489" s="6">
        <v>170</v>
      </c>
      <c r="D489" s="6" t="str">
        <f>HYPERLINK("https://rmda.kulib.kyoto-u.ac.jp/item/rb00002724#?c=0&amp;m=0&amp;s=0&amp;cv=169")</f>
        <v>https://rmda.kulib.kyoto-u.ac.jp/item/rb00002724#?c=0&amp;m=0&amp;s=0&amp;cv=169</v>
      </c>
    </row>
    <row r="490" spans="1:4" x14ac:dyDescent="0.15">
      <c r="A490" s="66" t="s">
        <v>5220</v>
      </c>
      <c r="B490" s="6" t="s">
        <v>1711</v>
      </c>
      <c r="C490" s="6">
        <v>172</v>
      </c>
      <c r="D490" s="6" t="str">
        <f>HYPERLINK("https://rmda.kulib.kyoto-u.ac.jp/item/rb00002724#?c=0&amp;m=0&amp;s=0&amp;cv=171")</f>
        <v>https://rmda.kulib.kyoto-u.ac.jp/item/rb00002724#?c=0&amp;m=0&amp;s=0&amp;cv=171</v>
      </c>
    </row>
    <row r="491" spans="1:4" x14ac:dyDescent="0.15">
      <c r="A491" s="66" t="s">
        <v>5220</v>
      </c>
      <c r="B491" s="6" t="s">
        <v>1712</v>
      </c>
      <c r="C491" s="6">
        <v>174</v>
      </c>
      <c r="D491" s="6" t="str">
        <f>HYPERLINK("https://rmda.kulib.kyoto-u.ac.jp/item/rb00002724#?c=0&amp;m=0&amp;s=0&amp;cv=173")</f>
        <v>https://rmda.kulib.kyoto-u.ac.jp/item/rb00002724#?c=0&amp;m=0&amp;s=0&amp;cv=173</v>
      </c>
    </row>
    <row r="492" spans="1:4" x14ac:dyDescent="0.15">
      <c r="A492" s="66" t="s">
        <v>5220</v>
      </c>
      <c r="B492" s="6" t="s">
        <v>1715</v>
      </c>
      <c r="C492" s="6">
        <v>176</v>
      </c>
      <c r="D492" s="6" t="str">
        <f>HYPERLINK("https://rmda.kulib.kyoto-u.ac.jp/item/rb00002724#?c=0&amp;m=0&amp;s=0&amp;cv=175")</f>
        <v>https://rmda.kulib.kyoto-u.ac.jp/item/rb00002724#?c=0&amp;m=0&amp;s=0&amp;cv=175</v>
      </c>
    </row>
    <row r="493" spans="1:4" x14ac:dyDescent="0.15">
      <c r="A493" s="66"/>
      <c r="B493" s="119" t="s">
        <v>5489</v>
      </c>
      <c r="C493" s="6"/>
      <c r="D493" s="6"/>
    </row>
    <row r="494" spans="1:4" x14ac:dyDescent="0.15">
      <c r="A494" s="66" t="s">
        <v>5220</v>
      </c>
      <c r="B494" s="6" t="s">
        <v>1720</v>
      </c>
      <c r="C494" s="6">
        <v>183</v>
      </c>
      <c r="D494" s="6" t="str">
        <f>HYPERLINK("https://rmda.kulib.kyoto-u.ac.jp/item/rb00002724#?c=0&amp;m=0&amp;s=0&amp;cv=182")</f>
        <v>https://rmda.kulib.kyoto-u.ac.jp/item/rb00002724#?c=0&amp;m=0&amp;s=0&amp;cv=182</v>
      </c>
    </row>
    <row r="495" spans="1:4" x14ac:dyDescent="0.15">
      <c r="A495" s="66" t="s">
        <v>5220</v>
      </c>
      <c r="B495" s="6" t="s">
        <v>1721</v>
      </c>
      <c r="C495" s="6">
        <v>184</v>
      </c>
      <c r="D495" s="6" t="str">
        <f>HYPERLINK("https://rmda.kulib.kyoto-u.ac.jp/item/rb00002724#?c=0&amp;m=0&amp;s=0&amp;cv=183")</f>
        <v>https://rmda.kulib.kyoto-u.ac.jp/item/rb00002724#?c=0&amp;m=0&amp;s=0&amp;cv=183</v>
      </c>
    </row>
    <row r="496" spans="1:4" x14ac:dyDescent="0.15">
      <c r="A496" s="66" t="s">
        <v>5220</v>
      </c>
      <c r="B496" s="6" t="s">
        <v>1723</v>
      </c>
      <c r="C496" s="6">
        <v>187</v>
      </c>
      <c r="D496" s="6" t="str">
        <f>HYPERLINK("https://rmda.kulib.kyoto-u.ac.jp/item/rb00002724#?c=0&amp;m=0&amp;s=0&amp;cv=186")</f>
        <v>https://rmda.kulib.kyoto-u.ac.jp/item/rb00002724#?c=0&amp;m=0&amp;s=0&amp;cv=186</v>
      </c>
    </row>
    <row r="497" spans="1:4" x14ac:dyDescent="0.15">
      <c r="A497" s="66" t="s">
        <v>5220</v>
      </c>
      <c r="B497" s="6" t="s">
        <v>1724</v>
      </c>
      <c r="C497" s="6">
        <v>189</v>
      </c>
      <c r="D497" s="6" t="str">
        <f>HYPERLINK("https://rmda.kulib.kyoto-u.ac.jp/item/rb00002724#?c=0&amp;m=0&amp;s=0&amp;cv=188")</f>
        <v>https://rmda.kulib.kyoto-u.ac.jp/item/rb00002724#?c=0&amp;m=0&amp;s=0&amp;cv=188</v>
      </c>
    </row>
    <row r="498" spans="1:4" x14ac:dyDescent="0.15">
      <c r="A498" s="66" t="s">
        <v>5220</v>
      </c>
      <c r="B498" s="6" t="s">
        <v>4146</v>
      </c>
      <c r="C498" s="6">
        <v>190</v>
      </c>
      <c r="D498" s="6" t="str">
        <f>HYPERLINK("https://rmda.kulib.kyoto-u.ac.jp/item/rb00002724#?c=0&amp;m=0&amp;s=0&amp;cv=189")</f>
        <v>https://rmda.kulib.kyoto-u.ac.jp/item/rb00002724#?c=0&amp;m=0&amp;s=0&amp;cv=189</v>
      </c>
    </row>
    <row r="499" spans="1:4" x14ac:dyDescent="0.15">
      <c r="A499" s="66" t="s">
        <v>5220</v>
      </c>
      <c r="B499" s="6" t="s">
        <v>1726</v>
      </c>
      <c r="C499" s="6">
        <v>191</v>
      </c>
      <c r="D499" s="6" t="str">
        <f>HYPERLINK("https://rmda.kulib.kyoto-u.ac.jp/item/rb00002724#?c=0&amp;m=0&amp;s=0&amp;cv=190")</f>
        <v>https://rmda.kulib.kyoto-u.ac.jp/item/rb00002724#?c=0&amp;m=0&amp;s=0&amp;cv=190</v>
      </c>
    </row>
    <row r="500" spans="1:4" x14ac:dyDescent="0.15">
      <c r="A500" s="66" t="s">
        <v>5220</v>
      </c>
      <c r="B500" s="6" t="s">
        <v>4147</v>
      </c>
      <c r="C500" s="6">
        <v>193</v>
      </c>
      <c r="D500" s="6" t="str">
        <f>HYPERLINK("https://rmda.kulib.kyoto-u.ac.jp/item/rb00002724#?c=0&amp;m=0&amp;s=0&amp;cv=192")</f>
        <v>https://rmda.kulib.kyoto-u.ac.jp/item/rb00002724#?c=0&amp;m=0&amp;s=0&amp;cv=192</v>
      </c>
    </row>
    <row r="501" spans="1:4" x14ac:dyDescent="0.15">
      <c r="A501" s="66" t="s">
        <v>5220</v>
      </c>
      <c r="B501" s="6" t="s">
        <v>4148</v>
      </c>
      <c r="C501" s="6">
        <v>194</v>
      </c>
      <c r="D501" s="6" t="str">
        <f>HYPERLINK("https://rmda.kulib.kyoto-u.ac.jp/item/rb00002724#?c=0&amp;m=0&amp;s=0&amp;cv=193")</f>
        <v>https://rmda.kulib.kyoto-u.ac.jp/item/rb00002724#?c=0&amp;m=0&amp;s=0&amp;cv=193</v>
      </c>
    </row>
    <row r="502" spans="1:4" x14ac:dyDescent="0.15">
      <c r="A502" s="66" t="s">
        <v>5220</v>
      </c>
      <c r="B502" s="6" t="s">
        <v>4149</v>
      </c>
      <c r="C502" s="6">
        <v>196</v>
      </c>
      <c r="D502" s="6" t="str">
        <f>HYPERLINK("https://rmda.kulib.kyoto-u.ac.jp/item/rb00002724#?c=0&amp;m=0&amp;s=0&amp;cv=195")</f>
        <v>https://rmda.kulib.kyoto-u.ac.jp/item/rb00002724#?c=0&amp;m=0&amp;s=0&amp;cv=195</v>
      </c>
    </row>
    <row r="503" spans="1:4" x14ac:dyDescent="0.15">
      <c r="A503" s="66" t="s">
        <v>5220</v>
      </c>
      <c r="B503" s="119" t="s">
        <v>5490</v>
      </c>
      <c r="C503" s="6">
        <v>197</v>
      </c>
      <c r="D503" s="6" t="str">
        <f>HYPERLINK("https://rmda.kulib.kyoto-u.ac.jp/item/rb00002724#?c=0&amp;m=0&amp;s=0&amp;cv=196")</f>
        <v>https://rmda.kulib.kyoto-u.ac.jp/item/rb00002724#?c=0&amp;m=0&amp;s=0&amp;cv=196</v>
      </c>
    </row>
    <row r="504" spans="1:4" x14ac:dyDescent="0.15">
      <c r="A504" s="66" t="s">
        <v>5220</v>
      </c>
      <c r="B504" s="6" t="s">
        <v>1730</v>
      </c>
      <c r="C504" s="6">
        <v>197</v>
      </c>
      <c r="D504" s="6" t="str">
        <f>HYPERLINK("https://rmda.kulib.kyoto-u.ac.jp/item/rb00002724#?c=0&amp;m=0&amp;s=0&amp;cv=196")</f>
        <v>https://rmda.kulib.kyoto-u.ac.jp/item/rb00002724#?c=0&amp;m=0&amp;s=0&amp;cv=196</v>
      </c>
    </row>
    <row r="505" spans="1:4" x14ac:dyDescent="0.15">
      <c r="A505" s="66" t="s">
        <v>5220</v>
      </c>
      <c r="B505" s="6" t="s">
        <v>1731</v>
      </c>
      <c r="C505" s="6">
        <v>198</v>
      </c>
      <c r="D505" s="6" t="str">
        <f>HYPERLINK("https://rmda.kulib.kyoto-u.ac.jp/item/rb00002724#?c=0&amp;m=0&amp;s=0&amp;cv=197")</f>
        <v>https://rmda.kulib.kyoto-u.ac.jp/item/rb00002724#?c=0&amp;m=0&amp;s=0&amp;cv=197</v>
      </c>
    </row>
    <row r="506" spans="1:4" x14ac:dyDescent="0.15">
      <c r="A506" s="66" t="s">
        <v>5220</v>
      </c>
      <c r="B506" s="6" t="s">
        <v>4150</v>
      </c>
      <c r="C506" s="6">
        <v>199</v>
      </c>
      <c r="D506" s="6" t="str">
        <f>HYPERLINK("https://rmda.kulib.kyoto-u.ac.jp/item/rb00002724#?c=0&amp;m=0&amp;s=0&amp;cv=198")</f>
        <v>https://rmda.kulib.kyoto-u.ac.jp/item/rb00002724#?c=0&amp;m=0&amp;s=0&amp;cv=198</v>
      </c>
    </row>
    <row r="507" spans="1:4" x14ac:dyDescent="0.15">
      <c r="A507" s="66" t="s">
        <v>5220</v>
      </c>
      <c r="B507" s="6" t="s">
        <v>4151</v>
      </c>
      <c r="C507" s="6">
        <v>200</v>
      </c>
      <c r="D507" s="6" t="str">
        <f>HYPERLINK("https://rmda.kulib.kyoto-u.ac.jp/item/rb00002724#?c=0&amp;m=0&amp;s=0&amp;cv=199")</f>
        <v>https://rmda.kulib.kyoto-u.ac.jp/item/rb00002724#?c=0&amp;m=0&amp;s=0&amp;cv=199</v>
      </c>
    </row>
    <row r="508" spans="1:4" x14ac:dyDescent="0.15">
      <c r="A508" s="66" t="s">
        <v>5220</v>
      </c>
      <c r="B508" s="6" t="s">
        <v>4152</v>
      </c>
      <c r="C508" s="6">
        <v>202</v>
      </c>
      <c r="D508" s="6" t="str">
        <f>HYPERLINK("https://rmda.kulib.kyoto-u.ac.jp/item/rb00002724#?c=0&amp;m=0&amp;s=0&amp;cv=201")</f>
        <v>https://rmda.kulib.kyoto-u.ac.jp/item/rb00002724#?c=0&amp;m=0&amp;s=0&amp;cv=201</v>
      </c>
    </row>
    <row r="509" spans="1:4" x14ac:dyDescent="0.15">
      <c r="A509" s="66" t="s">
        <v>5220</v>
      </c>
      <c r="B509" s="6" t="s">
        <v>4153</v>
      </c>
      <c r="C509" s="6">
        <v>204</v>
      </c>
      <c r="D509" s="6" t="str">
        <f>HYPERLINK("https://rmda.kulib.kyoto-u.ac.jp/item/rb00002724#?c=0&amp;m=0&amp;s=0&amp;cv=203")</f>
        <v>https://rmda.kulib.kyoto-u.ac.jp/item/rb00002724#?c=0&amp;m=0&amp;s=0&amp;cv=203</v>
      </c>
    </row>
    <row r="510" spans="1:4" x14ac:dyDescent="0.15">
      <c r="A510" s="66" t="s">
        <v>5220</v>
      </c>
      <c r="B510" s="6" t="s">
        <v>4154</v>
      </c>
      <c r="C510" s="6">
        <v>205</v>
      </c>
      <c r="D510" s="6" t="str">
        <f>HYPERLINK("https://rmda.kulib.kyoto-u.ac.jp/item/rb00002724#?c=0&amp;m=0&amp;s=0&amp;cv=204")</f>
        <v>https://rmda.kulib.kyoto-u.ac.jp/item/rb00002724#?c=0&amp;m=0&amp;s=0&amp;cv=204</v>
      </c>
    </row>
    <row r="511" spans="1:4" x14ac:dyDescent="0.15">
      <c r="A511" s="66" t="s">
        <v>5220</v>
      </c>
      <c r="B511" s="6" t="s">
        <v>4155</v>
      </c>
      <c r="C511" s="6">
        <v>206</v>
      </c>
      <c r="D511" s="6" t="str">
        <f>HYPERLINK("https://rmda.kulib.kyoto-u.ac.jp/item/rb00002724#?c=0&amp;m=0&amp;s=0&amp;cv=205")</f>
        <v>https://rmda.kulib.kyoto-u.ac.jp/item/rb00002724#?c=0&amp;m=0&amp;s=0&amp;cv=205</v>
      </c>
    </row>
    <row r="512" spans="1:4" x14ac:dyDescent="0.15">
      <c r="A512" s="66" t="s">
        <v>5220</v>
      </c>
      <c r="B512" s="6" t="s">
        <v>1736</v>
      </c>
      <c r="C512" s="6">
        <v>208</v>
      </c>
      <c r="D512" s="6" t="str">
        <f>HYPERLINK("https://rmda.kulib.kyoto-u.ac.jp/item/rb00002724#?c=0&amp;m=0&amp;s=0&amp;cv=207")</f>
        <v>https://rmda.kulib.kyoto-u.ac.jp/item/rb00002724#?c=0&amp;m=0&amp;s=0&amp;cv=207</v>
      </c>
    </row>
    <row r="513" spans="1:4" x14ac:dyDescent="0.15">
      <c r="A513" s="66" t="s">
        <v>5220</v>
      </c>
      <c r="B513" s="6" t="s">
        <v>1737</v>
      </c>
      <c r="C513" s="6">
        <v>208</v>
      </c>
      <c r="D513" s="6" t="str">
        <f>HYPERLINK("https://rmda.kulib.kyoto-u.ac.jp/item/rb00002724#?c=0&amp;m=0&amp;s=0&amp;cv=207")</f>
        <v>https://rmda.kulib.kyoto-u.ac.jp/item/rb00002724#?c=0&amp;m=0&amp;s=0&amp;cv=207</v>
      </c>
    </row>
    <row r="514" spans="1:4" x14ac:dyDescent="0.15">
      <c r="A514" s="66" t="s">
        <v>5220</v>
      </c>
      <c r="B514" s="6" t="s">
        <v>1742</v>
      </c>
      <c r="C514" s="6">
        <v>211</v>
      </c>
      <c r="D514" s="6" t="str">
        <f>HYPERLINK("https://rmda.kulib.kyoto-u.ac.jp/item/rb00002724#?c=0&amp;m=0&amp;s=0&amp;cv=210")</f>
        <v>https://rmda.kulib.kyoto-u.ac.jp/item/rb00002724#?c=0&amp;m=0&amp;s=0&amp;cv=210</v>
      </c>
    </row>
    <row r="515" spans="1:4" x14ac:dyDescent="0.15">
      <c r="A515" s="66" t="s">
        <v>5220</v>
      </c>
      <c r="B515" s="6" t="s">
        <v>1743</v>
      </c>
      <c r="C515" s="6">
        <v>214</v>
      </c>
      <c r="D515" s="6" t="str">
        <f>HYPERLINK("https://rmda.kulib.kyoto-u.ac.jp/item/rb00002724#?c=0&amp;m=0&amp;s=0&amp;cv=213")</f>
        <v>https://rmda.kulib.kyoto-u.ac.jp/item/rb00002724#?c=0&amp;m=0&amp;s=0&amp;cv=213</v>
      </c>
    </row>
    <row r="516" spans="1:4" x14ac:dyDescent="0.15">
      <c r="A516" s="66" t="s">
        <v>5220</v>
      </c>
      <c r="B516" s="6" t="s">
        <v>1744</v>
      </c>
      <c r="C516" s="6">
        <v>214</v>
      </c>
      <c r="D516" s="6" t="str">
        <f>HYPERLINK("https://rmda.kulib.kyoto-u.ac.jp/item/rb00002724#?c=0&amp;m=0&amp;s=0&amp;cv=213")</f>
        <v>https://rmda.kulib.kyoto-u.ac.jp/item/rb00002724#?c=0&amp;m=0&amp;s=0&amp;cv=213</v>
      </c>
    </row>
    <row r="517" spans="1:4" x14ac:dyDescent="0.15">
      <c r="A517" s="66" t="s">
        <v>5220</v>
      </c>
      <c r="B517" s="6" t="s">
        <v>1746</v>
      </c>
      <c r="C517" s="6">
        <v>216</v>
      </c>
      <c r="D517" s="6" t="str">
        <f>HYPERLINK("https://rmda.kulib.kyoto-u.ac.jp/item/rb00002724#?c=0&amp;m=0&amp;s=0&amp;cv=215")</f>
        <v>https://rmda.kulib.kyoto-u.ac.jp/item/rb00002724#?c=0&amp;m=0&amp;s=0&amp;cv=215</v>
      </c>
    </row>
    <row r="518" spans="1:4" x14ac:dyDescent="0.15">
      <c r="A518" s="66" t="s">
        <v>5220</v>
      </c>
      <c r="B518" s="6" t="s">
        <v>1749</v>
      </c>
      <c r="C518" s="6">
        <v>219</v>
      </c>
      <c r="D518" s="6" t="str">
        <f>HYPERLINK("https://rmda.kulib.kyoto-u.ac.jp/item/rb00002724#?c=0&amp;m=0&amp;s=0&amp;cv=218")</f>
        <v>https://rmda.kulib.kyoto-u.ac.jp/item/rb00002724#?c=0&amp;m=0&amp;s=0&amp;cv=218</v>
      </c>
    </row>
    <row r="519" spans="1:4" x14ac:dyDescent="0.15">
      <c r="A519" s="66" t="s">
        <v>5220</v>
      </c>
      <c r="B519" s="6" t="s">
        <v>1753</v>
      </c>
      <c r="C519" s="6">
        <v>223</v>
      </c>
      <c r="D519" s="6" t="str">
        <f>HYPERLINK("https://rmda.kulib.kyoto-u.ac.jp/item/rb00002724#?c=0&amp;m=0&amp;s=0&amp;cv=222")</f>
        <v>https://rmda.kulib.kyoto-u.ac.jp/item/rb00002724#?c=0&amp;m=0&amp;s=0&amp;cv=222</v>
      </c>
    </row>
    <row r="520" spans="1:4" x14ac:dyDescent="0.15">
      <c r="A520" s="66" t="s">
        <v>5220</v>
      </c>
      <c r="B520" s="6" t="s">
        <v>1754</v>
      </c>
      <c r="C520" s="6">
        <v>223</v>
      </c>
      <c r="D520" s="6" t="str">
        <f>HYPERLINK("https://rmda.kulib.kyoto-u.ac.jp/item/rb00002724#?c=0&amp;m=0&amp;s=0&amp;cv=222")</f>
        <v>https://rmda.kulib.kyoto-u.ac.jp/item/rb00002724#?c=0&amp;m=0&amp;s=0&amp;cv=222</v>
      </c>
    </row>
    <row r="521" spans="1:4" x14ac:dyDescent="0.15">
      <c r="A521" s="66" t="s">
        <v>5220</v>
      </c>
      <c r="B521" s="6" t="s">
        <v>1757</v>
      </c>
      <c r="C521" s="6">
        <v>225</v>
      </c>
      <c r="D521" s="6" t="str">
        <f>HYPERLINK("https://rmda.kulib.kyoto-u.ac.jp/item/rb00002724#?c=0&amp;m=0&amp;s=0&amp;cv=224")</f>
        <v>https://rmda.kulib.kyoto-u.ac.jp/item/rb00002724#?c=0&amp;m=0&amp;s=0&amp;cv=224</v>
      </c>
    </row>
    <row r="522" spans="1:4" x14ac:dyDescent="0.15">
      <c r="A522" s="66" t="s">
        <v>5220</v>
      </c>
      <c r="B522" s="6" t="s">
        <v>1760</v>
      </c>
      <c r="C522" s="6">
        <v>227</v>
      </c>
      <c r="D522" s="6" t="str">
        <f>HYPERLINK("https://rmda.kulib.kyoto-u.ac.jp/item/rb00002724#?c=0&amp;m=0&amp;s=0&amp;cv=226")</f>
        <v>https://rmda.kulib.kyoto-u.ac.jp/item/rb00002724#?c=0&amp;m=0&amp;s=0&amp;cv=226</v>
      </c>
    </row>
    <row r="523" spans="1:4" x14ac:dyDescent="0.15">
      <c r="A523" s="66" t="s">
        <v>5220</v>
      </c>
      <c r="B523" s="119" t="s">
        <v>5491</v>
      </c>
      <c r="C523" s="6">
        <v>229</v>
      </c>
      <c r="D523" s="6" t="str">
        <f>HYPERLINK("https://rmda.kulib.kyoto-u.ac.jp/item/rb00002724#?c=0&amp;m=0&amp;s=0&amp;cv=228")</f>
        <v>https://rmda.kulib.kyoto-u.ac.jp/item/rb00002724#?c=0&amp;m=0&amp;s=0&amp;cv=228</v>
      </c>
    </row>
    <row r="524" spans="1:4" x14ac:dyDescent="0.15">
      <c r="A524" s="66" t="s">
        <v>5220</v>
      </c>
      <c r="B524" s="6" t="s">
        <v>4171</v>
      </c>
      <c r="C524" s="6">
        <v>229</v>
      </c>
      <c r="D524" s="6" t="str">
        <f>HYPERLINK("https://rmda.kulib.kyoto-u.ac.jp/item/rb00002724#?c=0&amp;m=0&amp;s=0&amp;cv=228")</f>
        <v>https://rmda.kulib.kyoto-u.ac.jp/item/rb00002724#?c=0&amp;m=0&amp;s=0&amp;cv=228</v>
      </c>
    </row>
    <row r="525" spans="1:4" x14ac:dyDescent="0.15">
      <c r="A525" s="66" t="s">
        <v>5220</v>
      </c>
      <c r="B525" s="6" t="s">
        <v>1761</v>
      </c>
      <c r="C525" s="6">
        <v>230</v>
      </c>
      <c r="D525" s="6" t="str">
        <f>HYPERLINK("https://rmda.kulib.kyoto-u.ac.jp/item/rb00002724#?c=0&amp;m=0&amp;s=0&amp;cv=229")</f>
        <v>https://rmda.kulib.kyoto-u.ac.jp/item/rb00002724#?c=0&amp;m=0&amp;s=0&amp;cv=229</v>
      </c>
    </row>
    <row r="526" spans="1:4" x14ac:dyDescent="0.15">
      <c r="A526" s="66" t="s">
        <v>5220</v>
      </c>
      <c r="B526" s="6" t="s">
        <v>1762</v>
      </c>
      <c r="C526" s="6">
        <v>231</v>
      </c>
      <c r="D526" s="6" t="str">
        <f>HYPERLINK("https://rmda.kulib.kyoto-u.ac.jp/item/rb00002724#?c=0&amp;m=0&amp;s=0&amp;cv=230")</f>
        <v>https://rmda.kulib.kyoto-u.ac.jp/item/rb00002724#?c=0&amp;m=0&amp;s=0&amp;cv=230</v>
      </c>
    </row>
    <row r="527" spans="1:4" x14ac:dyDescent="0.15">
      <c r="A527" s="66" t="s">
        <v>5220</v>
      </c>
      <c r="B527" s="6" t="s">
        <v>1763</v>
      </c>
      <c r="C527" s="6">
        <v>232</v>
      </c>
      <c r="D527" s="6" t="str">
        <f>HYPERLINK("https://rmda.kulib.kyoto-u.ac.jp/item/rb00002724#?c=0&amp;m=0&amp;s=0&amp;cv=231")</f>
        <v>https://rmda.kulib.kyoto-u.ac.jp/item/rb00002724#?c=0&amp;m=0&amp;s=0&amp;cv=231</v>
      </c>
    </row>
    <row r="528" spans="1:4" x14ac:dyDescent="0.15">
      <c r="A528" s="66" t="s">
        <v>5220</v>
      </c>
      <c r="B528" s="6" t="s">
        <v>1764</v>
      </c>
      <c r="C528" s="6">
        <v>233</v>
      </c>
      <c r="D528" s="6" t="str">
        <f>HYPERLINK("https://rmda.kulib.kyoto-u.ac.jp/item/rb00002724#?c=0&amp;m=0&amp;s=0&amp;cv=232")</f>
        <v>https://rmda.kulib.kyoto-u.ac.jp/item/rb00002724#?c=0&amp;m=0&amp;s=0&amp;cv=232</v>
      </c>
    </row>
    <row r="529" spans="1:4" x14ac:dyDescent="0.15">
      <c r="A529" s="66" t="s">
        <v>5220</v>
      </c>
      <c r="B529" s="6" t="s">
        <v>1765</v>
      </c>
      <c r="C529" s="6">
        <v>234</v>
      </c>
      <c r="D529" s="6" t="str">
        <f>HYPERLINK("https://rmda.kulib.kyoto-u.ac.jp/item/rb00002724#?c=0&amp;m=0&amp;s=0&amp;cv=233")</f>
        <v>https://rmda.kulib.kyoto-u.ac.jp/item/rb00002724#?c=0&amp;m=0&amp;s=0&amp;cv=233</v>
      </c>
    </row>
    <row r="530" spans="1:4" x14ac:dyDescent="0.15">
      <c r="A530" s="66" t="s">
        <v>5220</v>
      </c>
      <c r="B530" s="6" t="s">
        <v>1767</v>
      </c>
      <c r="C530" s="6">
        <v>238</v>
      </c>
      <c r="D530" s="6" t="str">
        <f>HYPERLINK("https://rmda.kulib.kyoto-u.ac.jp/item/rb00002724#?c=0&amp;m=0&amp;s=0&amp;cv=237")</f>
        <v>https://rmda.kulib.kyoto-u.ac.jp/item/rb00002724#?c=0&amp;m=0&amp;s=0&amp;cv=237</v>
      </c>
    </row>
    <row r="531" spans="1:4" x14ac:dyDescent="0.15">
      <c r="A531" s="66" t="s">
        <v>5220</v>
      </c>
      <c r="B531" s="6" t="s">
        <v>1768</v>
      </c>
      <c r="C531" s="6">
        <v>238</v>
      </c>
      <c r="D531" s="6" t="str">
        <f>HYPERLINK("https://rmda.kulib.kyoto-u.ac.jp/item/rb00002724#?c=0&amp;m=0&amp;s=0&amp;cv=237")</f>
        <v>https://rmda.kulib.kyoto-u.ac.jp/item/rb00002724#?c=0&amp;m=0&amp;s=0&amp;cv=237</v>
      </c>
    </row>
    <row r="532" spans="1:4" x14ac:dyDescent="0.15">
      <c r="A532" s="66" t="s">
        <v>5220</v>
      </c>
      <c r="B532" s="6" t="s">
        <v>1769</v>
      </c>
      <c r="C532" s="6">
        <v>239</v>
      </c>
      <c r="D532" s="6" t="str">
        <f>HYPERLINK("https://rmda.kulib.kyoto-u.ac.jp/item/rb00002724#?c=0&amp;m=0&amp;s=0&amp;cv=238")</f>
        <v>https://rmda.kulib.kyoto-u.ac.jp/item/rb00002724#?c=0&amp;m=0&amp;s=0&amp;cv=238</v>
      </c>
    </row>
    <row r="533" spans="1:4" x14ac:dyDescent="0.15">
      <c r="A533" s="66" t="s">
        <v>5220</v>
      </c>
      <c r="B533" s="6" t="s">
        <v>1770</v>
      </c>
      <c r="C533" s="6">
        <v>240</v>
      </c>
      <c r="D533" s="6" t="str">
        <f>HYPERLINK("https://rmda.kulib.kyoto-u.ac.jp/item/rb00002724#?c=0&amp;m=0&amp;s=0&amp;cv=239")</f>
        <v>https://rmda.kulib.kyoto-u.ac.jp/item/rb00002724#?c=0&amp;m=0&amp;s=0&amp;cv=239</v>
      </c>
    </row>
    <row r="534" spans="1:4" x14ac:dyDescent="0.15">
      <c r="A534" s="66" t="s">
        <v>5220</v>
      </c>
      <c r="B534" s="6" t="s">
        <v>1771</v>
      </c>
      <c r="C534" s="6">
        <v>241</v>
      </c>
      <c r="D534" s="6" t="str">
        <f>HYPERLINK("https://rmda.kulib.kyoto-u.ac.jp/item/rb00002724#?c=0&amp;m=0&amp;s=0&amp;cv=240")</f>
        <v>https://rmda.kulib.kyoto-u.ac.jp/item/rb00002724#?c=0&amp;m=0&amp;s=0&amp;cv=240</v>
      </c>
    </row>
    <row r="535" spans="1:4" x14ac:dyDescent="0.15">
      <c r="A535" s="66" t="s">
        <v>5220</v>
      </c>
      <c r="B535" s="6" t="s">
        <v>1772</v>
      </c>
      <c r="C535" s="6">
        <v>241</v>
      </c>
      <c r="D535" s="6" t="str">
        <f>HYPERLINK("https://rmda.kulib.kyoto-u.ac.jp/item/rb00002724#?c=0&amp;m=0&amp;s=0&amp;cv=240")</f>
        <v>https://rmda.kulib.kyoto-u.ac.jp/item/rb00002724#?c=0&amp;m=0&amp;s=0&amp;cv=240</v>
      </c>
    </row>
    <row r="536" spans="1:4" x14ac:dyDescent="0.15">
      <c r="A536" s="66" t="s">
        <v>5220</v>
      </c>
      <c r="B536" s="6" t="s">
        <v>1774</v>
      </c>
      <c r="C536" s="6">
        <v>242</v>
      </c>
      <c r="D536" s="6" t="str">
        <f>HYPERLINK("https://rmda.kulib.kyoto-u.ac.jp/item/rb00002724#?c=0&amp;m=0&amp;s=0&amp;cv=241")</f>
        <v>https://rmda.kulib.kyoto-u.ac.jp/item/rb00002724#?c=0&amp;m=0&amp;s=0&amp;cv=241</v>
      </c>
    </row>
    <row r="537" spans="1:4" x14ac:dyDescent="0.15">
      <c r="A537" s="66" t="s">
        <v>5220</v>
      </c>
      <c r="B537" s="6" t="s">
        <v>1775</v>
      </c>
      <c r="C537" s="6">
        <v>242</v>
      </c>
      <c r="D537" s="6" t="str">
        <f>HYPERLINK("https://rmda.kulib.kyoto-u.ac.jp/item/rb00002724#?c=0&amp;m=0&amp;s=0&amp;cv=241")</f>
        <v>https://rmda.kulib.kyoto-u.ac.jp/item/rb00002724#?c=0&amp;m=0&amp;s=0&amp;cv=241</v>
      </c>
    </row>
    <row r="538" spans="1:4" x14ac:dyDescent="0.15">
      <c r="A538" s="66" t="s">
        <v>5220</v>
      </c>
      <c r="B538" s="6" t="s">
        <v>1776</v>
      </c>
      <c r="C538" s="6">
        <v>243</v>
      </c>
      <c r="D538" s="6" t="str">
        <f>HYPERLINK("https://rmda.kulib.kyoto-u.ac.jp/item/rb00002724#?c=0&amp;m=0&amp;s=0&amp;cv=242")</f>
        <v>https://rmda.kulib.kyoto-u.ac.jp/item/rb00002724#?c=0&amp;m=0&amp;s=0&amp;cv=242</v>
      </c>
    </row>
    <row r="539" spans="1:4" x14ac:dyDescent="0.15">
      <c r="A539" s="66" t="s">
        <v>5220</v>
      </c>
      <c r="B539" s="6" t="s">
        <v>1777</v>
      </c>
      <c r="C539" s="6">
        <v>243</v>
      </c>
      <c r="D539" s="6" t="str">
        <f>HYPERLINK("https://rmda.kulib.kyoto-u.ac.jp/item/rb00002724#?c=0&amp;m=0&amp;s=0&amp;cv=242")</f>
        <v>https://rmda.kulib.kyoto-u.ac.jp/item/rb00002724#?c=0&amp;m=0&amp;s=0&amp;cv=242</v>
      </c>
    </row>
    <row r="540" spans="1:4" x14ac:dyDescent="0.15">
      <c r="A540" s="66" t="s">
        <v>5220</v>
      </c>
      <c r="B540" s="6" t="s">
        <v>1778</v>
      </c>
      <c r="C540" s="6">
        <v>244</v>
      </c>
      <c r="D540" s="6" t="str">
        <f>HYPERLINK("https://rmda.kulib.kyoto-u.ac.jp/item/rb00002724#?c=0&amp;m=0&amp;s=0&amp;cv=243")</f>
        <v>https://rmda.kulib.kyoto-u.ac.jp/item/rb00002724#?c=0&amp;m=0&amp;s=0&amp;cv=243</v>
      </c>
    </row>
    <row r="541" spans="1:4" x14ac:dyDescent="0.15">
      <c r="A541" s="66" t="s">
        <v>5220</v>
      </c>
      <c r="B541" s="6" t="s">
        <v>1779</v>
      </c>
      <c r="C541" s="6">
        <v>244</v>
      </c>
      <c r="D541" s="6" t="str">
        <f>HYPERLINK("https://rmda.kulib.kyoto-u.ac.jp/item/rb00002724#?c=0&amp;m=0&amp;s=0&amp;cv=243")</f>
        <v>https://rmda.kulib.kyoto-u.ac.jp/item/rb00002724#?c=0&amp;m=0&amp;s=0&amp;cv=243</v>
      </c>
    </row>
    <row r="542" spans="1:4" x14ac:dyDescent="0.15">
      <c r="A542" s="66" t="s">
        <v>5220</v>
      </c>
      <c r="B542" s="6" t="s">
        <v>1780</v>
      </c>
      <c r="C542" s="6">
        <v>245</v>
      </c>
      <c r="D542" s="6" t="str">
        <f>HYPERLINK("https://rmda.kulib.kyoto-u.ac.jp/item/rb00002724#?c=0&amp;m=0&amp;s=0&amp;cv=244")</f>
        <v>https://rmda.kulib.kyoto-u.ac.jp/item/rb00002724#?c=0&amp;m=0&amp;s=0&amp;cv=244</v>
      </c>
    </row>
    <row r="543" spans="1:4" x14ac:dyDescent="0.15">
      <c r="A543" s="66" t="s">
        <v>5220</v>
      </c>
      <c r="B543" s="6" t="s">
        <v>1782</v>
      </c>
      <c r="C543" s="6">
        <v>246</v>
      </c>
      <c r="D543" s="6" t="str">
        <f>HYPERLINK("https://rmda.kulib.kyoto-u.ac.jp/item/rb00002724#?c=0&amp;m=0&amp;s=0&amp;cv=245")</f>
        <v>https://rmda.kulib.kyoto-u.ac.jp/item/rb00002724#?c=0&amp;m=0&amp;s=0&amp;cv=245</v>
      </c>
    </row>
    <row r="544" spans="1:4" x14ac:dyDescent="0.15">
      <c r="A544" s="66" t="s">
        <v>5220</v>
      </c>
      <c r="B544" s="6" t="s">
        <v>4172</v>
      </c>
      <c r="C544" s="6">
        <v>246</v>
      </c>
      <c r="D544" s="6" t="str">
        <f>HYPERLINK("https://rmda.kulib.kyoto-u.ac.jp/item/rb00002724#?c=0&amp;m=0&amp;s=0&amp;cv=245")</f>
        <v>https://rmda.kulib.kyoto-u.ac.jp/item/rb00002724#?c=0&amp;m=0&amp;s=0&amp;cv=245</v>
      </c>
    </row>
    <row r="545" spans="1:4" x14ac:dyDescent="0.15">
      <c r="A545" s="66" t="s">
        <v>5220</v>
      </c>
      <c r="B545" s="6" t="s">
        <v>1783</v>
      </c>
      <c r="C545" s="6">
        <v>250</v>
      </c>
      <c r="D545" s="6" t="str">
        <f>HYPERLINK("https://rmda.kulib.kyoto-u.ac.jp/item/rb00002724#?c=0&amp;m=0&amp;s=0&amp;cv=249")</f>
        <v>https://rmda.kulib.kyoto-u.ac.jp/item/rb00002724#?c=0&amp;m=0&amp;s=0&amp;cv=249</v>
      </c>
    </row>
    <row r="546" spans="1:4" x14ac:dyDescent="0.15">
      <c r="A546" s="66" t="s">
        <v>5220</v>
      </c>
      <c r="B546" s="6" t="s">
        <v>1784</v>
      </c>
      <c r="C546" s="6">
        <v>250</v>
      </c>
      <c r="D546" s="6" t="str">
        <f>HYPERLINK("https://rmda.kulib.kyoto-u.ac.jp/item/rb00002724#?c=0&amp;m=0&amp;s=0&amp;cv=249")</f>
        <v>https://rmda.kulib.kyoto-u.ac.jp/item/rb00002724#?c=0&amp;m=0&amp;s=0&amp;cv=249</v>
      </c>
    </row>
    <row r="547" spans="1:4" x14ac:dyDescent="0.15">
      <c r="A547" s="66" t="s">
        <v>5220</v>
      </c>
      <c r="B547" s="6" t="s">
        <v>1785</v>
      </c>
      <c r="C547" s="6">
        <v>253</v>
      </c>
      <c r="D547" s="6" t="str">
        <f>HYPERLINK("https://rmda.kulib.kyoto-u.ac.jp/item/rb00002724#?c=0&amp;m=0&amp;s=0&amp;cv=252")</f>
        <v>https://rmda.kulib.kyoto-u.ac.jp/item/rb00002724#?c=0&amp;m=0&amp;s=0&amp;cv=252</v>
      </c>
    </row>
    <row r="548" spans="1:4" x14ac:dyDescent="0.15">
      <c r="A548" s="66" t="s">
        <v>5220</v>
      </c>
      <c r="B548" s="6" t="s">
        <v>1786</v>
      </c>
      <c r="C548" s="6">
        <v>254</v>
      </c>
      <c r="D548" s="6" t="str">
        <f>HYPERLINK("https://rmda.kulib.kyoto-u.ac.jp/item/rb00002724#?c=0&amp;m=0&amp;s=0&amp;cv=253")</f>
        <v>https://rmda.kulib.kyoto-u.ac.jp/item/rb00002724#?c=0&amp;m=0&amp;s=0&amp;cv=253</v>
      </c>
    </row>
    <row r="549" spans="1:4" x14ac:dyDescent="0.15">
      <c r="A549" s="66" t="s">
        <v>5220</v>
      </c>
      <c r="B549" s="6" t="s">
        <v>1787</v>
      </c>
      <c r="C549" s="6">
        <v>255</v>
      </c>
      <c r="D549" s="6" t="str">
        <f>HYPERLINK("https://rmda.kulib.kyoto-u.ac.jp/item/rb00002724#?c=0&amp;m=0&amp;s=0&amp;cv=254")</f>
        <v>https://rmda.kulib.kyoto-u.ac.jp/item/rb00002724#?c=0&amp;m=0&amp;s=0&amp;cv=254</v>
      </c>
    </row>
    <row r="550" spans="1:4" x14ac:dyDescent="0.15">
      <c r="A550" s="66" t="s">
        <v>5220</v>
      </c>
      <c r="B550" s="6" t="s">
        <v>1788</v>
      </c>
      <c r="C550" s="6">
        <v>255</v>
      </c>
      <c r="D550" s="6" t="str">
        <f>HYPERLINK("https://rmda.kulib.kyoto-u.ac.jp/item/rb00002724#?c=0&amp;m=0&amp;s=0&amp;cv=254")</f>
        <v>https://rmda.kulib.kyoto-u.ac.jp/item/rb00002724#?c=0&amp;m=0&amp;s=0&amp;cv=254</v>
      </c>
    </row>
    <row r="551" spans="1:4" x14ac:dyDescent="0.15">
      <c r="A551" s="66" t="s">
        <v>5220</v>
      </c>
      <c r="B551" s="6" t="s">
        <v>1789</v>
      </c>
      <c r="C551" s="6">
        <v>256</v>
      </c>
      <c r="D551" s="6" t="str">
        <f>HYPERLINK("https://rmda.kulib.kyoto-u.ac.jp/item/rb00002724#?c=0&amp;m=0&amp;s=0&amp;cv=255")</f>
        <v>https://rmda.kulib.kyoto-u.ac.jp/item/rb00002724#?c=0&amp;m=0&amp;s=0&amp;cv=255</v>
      </c>
    </row>
    <row r="552" spans="1:4" x14ac:dyDescent="0.15">
      <c r="A552" s="66" t="s">
        <v>5220</v>
      </c>
      <c r="B552" s="6" t="s">
        <v>4156</v>
      </c>
      <c r="C552" s="6">
        <v>256</v>
      </c>
      <c r="D552" s="6" t="str">
        <f>HYPERLINK("https://rmda.kulib.kyoto-u.ac.jp/item/rb00002724#?c=0&amp;m=0&amp;s=0&amp;cv=255")</f>
        <v>https://rmda.kulib.kyoto-u.ac.jp/item/rb00002724#?c=0&amp;m=0&amp;s=0&amp;cv=255</v>
      </c>
    </row>
    <row r="553" spans="1:4" x14ac:dyDescent="0.15">
      <c r="A553" s="66" t="s">
        <v>5220</v>
      </c>
      <c r="B553" s="119" t="s">
        <v>5492</v>
      </c>
      <c r="C553" s="6">
        <v>265</v>
      </c>
      <c r="D553" s="6" t="str">
        <f>HYPERLINK("https://rmda.kulib.kyoto-u.ac.jp/item/rb00002724#?c=0&amp;m=0&amp;s=0&amp;cv=264")</f>
        <v>https://rmda.kulib.kyoto-u.ac.jp/item/rb00002724#?c=0&amp;m=0&amp;s=0&amp;cv=264</v>
      </c>
    </row>
    <row r="554" spans="1:4" x14ac:dyDescent="0.15">
      <c r="A554" s="66" t="s">
        <v>5220</v>
      </c>
      <c r="B554" s="6" t="s">
        <v>1791</v>
      </c>
      <c r="C554" s="6">
        <v>265</v>
      </c>
      <c r="D554" s="6" t="str">
        <f>HYPERLINK("https://rmda.kulib.kyoto-u.ac.jp/item/rb00002724#?c=0&amp;m=0&amp;s=0&amp;cv=264")</f>
        <v>https://rmda.kulib.kyoto-u.ac.jp/item/rb00002724#?c=0&amp;m=0&amp;s=0&amp;cv=264</v>
      </c>
    </row>
    <row r="555" spans="1:4" x14ac:dyDescent="0.15">
      <c r="A555" s="66" t="s">
        <v>5220</v>
      </c>
      <c r="B555" s="6" t="s">
        <v>1792</v>
      </c>
      <c r="C555" s="6">
        <v>266</v>
      </c>
      <c r="D555" s="6" t="str">
        <f>HYPERLINK("https://rmda.kulib.kyoto-u.ac.jp/item/rb00002724#?c=0&amp;m=0&amp;s=0&amp;cv=265")</f>
        <v>https://rmda.kulib.kyoto-u.ac.jp/item/rb00002724#?c=0&amp;m=0&amp;s=0&amp;cv=265</v>
      </c>
    </row>
    <row r="556" spans="1:4" x14ac:dyDescent="0.15">
      <c r="A556" s="66" t="s">
        <v>5220</v>
      </c>
      <c r="B556" s="6" t="s">
        <v>4157</v>
      </c>
      <c r="C556" s="6">
        <v>267</v>
      </c>
      <c r="D556" s="6" t="str">
        <f>HYPERLINK("https://rmda.kulib.kyoto-u.ac.jp/item/rb00002724#?c=0&amp;m=0&amp;s=0&amp;cv=266")</f>
        <v>https://rmda.kulib.kyoto-u.ac.jp/item/rb00002724#?c=0&amp;m=0&amp;s=0&amp;cv=266</v>
      </c>
    </row>
    <row r="557" spans="1:4" x14ac:dyDescent="0.15">
      <c r="A557" s="66" t="s">
        <v>5220</v>
      </c>
      <c r="B557" s="6" t="s">
        <v>1794</v>
      </c>
      <c r="C557" s="6">
        <v>269</v>
      </c>
      <c r="D557" s="6" t="str">
        <f>HYPERLINK("https://rmda.kulib.kyoto-u.ac.jp/item/rb00002724#?c=0&amp;m=0&amp;s=0&amp;cv=268")</f>
        <v>https://rmda.kulib.kyoto-u.ac.jp/item/rb00002724#?c=0&amp;m=0&amp;s=0&amp;cv=268</v>
      </c>
    </row>
    <row r="558" spans="1:4" x14ac:dyDescent="0.15">
      <c r="A558" s="66" t="s">
        <v>5220</v>
      </c>
      <c r="B558" s="6" t="s">
        <v>1795</v>
      </c>
      <c r="C558" s="6">
        <v>271</v>
      </c>
      <c r="D558" s="6" t="str">
        <f>HYPERLINK("https://rmda.kulib.kyoto-u.ac.jp/item/rb00002724#?c=0&amp;m=0&amp;s=0&amp;cv=270")</f>
        <v>https://rmda.kulib.kyoto-u.ac.jp/item/rb00002724#?c=0&amp;m=0&amp;s=0&amp;cv=270</v>
      </c>
    </row>
    <row r="559" spans="1:4" x14ac:dyDescent="0.15">
      <c r="A559" s="66" t="s">
        <v>5220</v>
      </c>
      <c r="B559" s="6" t="s">
        <v>1796</v>
      </c>
      <c r="C559" s="6">
        <v>271</v>
      </c>
      <c r="D559" s="6" t="str">
        <f>HYPERLINK("https://rmda.kulib.kyoto-u.ac.jp/item/rb00002724#?c=0&amp;m=0&amp;s=0&amp;cv=270")</f>
        <v>https://rmda.kulib.kyoto-u.ac.jp/item/rb00002724#?c=0&amp;m=0&amp;s=0&amp;cv=270</v>
      </c>
    </row>
    <row r="560" spans="1:4" x14ac:dyDescent="0.15">
      <c r="A560" s="66" t="s">
        <v>5220</v>
      </c>
      <c r="B560" s="6" t="s">
        <v>4173</v>
      </c>
      <c r="C560" s="6">
        <v>272</v>
      </c>
      <c r="D560" s="6" t="str">
        <f>HYPERLINK("https://rmda.kulib.kyoto-u.ac.jp/item/rb00002724#?c=0&amp;m=0&amp;s=0&amp;cv=271")</f>
        <v>https://rmda.kulib.kyoto-u.ac.jp/item/rb00002724#?c=0&amp;m=0&amp;s=0&amp;cv=271</v>
      </c>
    </row>
    <row r="561" spans="1:4" x14ac:dyDescent="0.15">
      <c r="A561" s="66" t="s">
        <v>5220</v>
      </c>
      <c r="B561" s="6" t="s">
        <v>1798</v>
      </c>
      <c r="C561" s="6">
        <v>273</v>
      </c>
      <c r="D561" s="6" t="str">
        <f>HYPERLINK("https://rmda.kulib.kyoto-u.ac.jp/item/rb00002724#?c=0&amp;m=0&amp;s=0&amp;cv=272")</f>
        <v>https://rmda.kulib.kyoto-u.ac.jp/item/rb00002724#?c=0&amp;m=0&amp;s=0&amp;cv=272</v>
      </c>
    </row>
    <row r="562" spans="1:4" x14ac:dyDescent="0.15">
      <c r="A562" s="66" t="s">
        <v>5220</v>
      </c>
      <c r="B562" s="6" t="s">
        <v>1801</v>
      </c>
      <c r="C562" s="6">
        <v>276</v>
      </c>
      <c r="D562" s="6" t="str">
        <f>HYPERLINK("https://rmda.kulib.kyoto-u.ac.jp/item/rb00002724#?c=0&amp;m=0&amp;s=0&amp;cv=275")</f>
        <v>https://rmda.kulib.kyoto-u.ac.jp/item/rb00002724#?c=0&amp;m=0&amp;s=0&amp;cv=275</v>
      </c>
    </row>
    <row r="563" spans="1:4" x14ac:dyDescent="0.15">
      <c r="A563" s="66" t="s">
        <v>5220</v>
      </c>
      <c r="B563" s="6" t="s">
        <v>1802</v>
      </c>
      <c r="C563" s="6">
        <v>277</v>
      </c>
      <c r="D563" s="6" t="str">
        <f>HYPERLINK("https://rmda.kulib.kyoto-u.ac.jp/item/rb00002724#?c=0&amp;m=0&amp;s=0&amp;cv=276")</f>
        <v>https://rmda.kulib.kyoto-u.ac.jp/item/rb00002724#?c=0&amp;m=0&amp;s=0&amp;cv=276</v>
      </c>
    </row>
    <row r="564" spans="1:4" x14ac:dyDescent="0.15">
      <c r="A564" s="66" t="s">
        <v>5220</v>
      </c>
      <c r="B564" s="6" t="s">
        <v>1805</v>
      </c>
      <c r="C564" s="6">
        <v>279</v>
      </c>
      <c r="D564" s="6" t="str">
        <f>HYPERLINK("https://rmda.kulib.kyoto-u.ac.jp/item/rb00002724#?c=0&amp;m=0&amp;s=0&amp;cv=278")</f>
        <v>https://rmda.kulib.kyoto-u.ac.jp/item/rb00002724#?c=0&amp;m=0&amp;s=0&amp;cv=278</v>
      </c>
    </row>
    <row r="565" spans="1:4" x14ac:dyDescent="0.15">
      <c r="A565" s="66" t="s">
        <v>5220</v>
      </c>
      <c r="B565" s="6" t="s">
        <v>1806</v>
      </c>
      <c r="C565" s="6">
        <v>280</v>
      </c>
      <c r="D565" s="6" t="str">
        <f>HYPERLINK("https://rmda.kulib.kyoto-u.ac.jp/item/rb00002724#?c=0&amp;m=0&amp;s=0&amp;cv=279")</f>
        <v>https://rmda.kulib.kyoto-u.ac.jp/item/rb00002724#?c=0&amp;m=0&amp;s=0&amp;cv=279</v>
      </c>
    </row>
    <row r="566" spans="1:4" x14ac:dyDescent="0.15">
      <c r="A566" s="66" t="s">
        <v>5220</v>
      </c>
      <c r="B566" s="6" t="s">
        <v>4158</v>
      </c>
      <c r="C566" s="6">
        <v>280</v>
      </c>
      <c r="D566" s="6" t="str">
        <f>HYPERLINK("https://rmda.kulib.kyoto-u.ac.jp/item/rb00002724#?c=0&amp;m=0&amp;s=0&amp;cv=279")</f>
        <v>https://rmda.kulib.kyoto-u.ac.jp/item/rb00002724#?c=0&amp;m=0&amp;s=0&amp;cv=279</v>
      </c>
    </row>
    <row r="567" spans="1:4" x14ac:dyDescent="0.15">
      <c r="A567" s="66" t="s">
        <v>5220</v>
      </c>
      <c r="B567" s="6" t="s">
        <v>1808</v>
      </c>
      <c r="C567" s="6">
        <v>289</v>
      </c>
      <c r="D567" s="6" t="str">
        <f>HYPERLINK("https://rmda.kulib.kyoto-u.ac.jp/item/rb00002724#?c=0&amp;m=0&amp;s=0&amp;cv=288")</f>
        <v>https://rmda.kulib.kyoto-u.ac.jp/item/rb00002724#?c=0&amp;m=0&amp;s=0&amp;cv=288</v>
      </c>
    </row>
    <row r="568" spans="1:4" x14ac:dyDescent="0.15">
      <c r="A568" s="66" t="s">
        <v>5220</v>
      </c>
      <c r="B568" s="6" t="s">
        <v>1809</v>
      </c>
      <c r="C568" s="6">
        <v>290</v>
      </c>
      <c r="D568" s="6" t="str">
        <f>HYPERLINK("https://rmda.kulib.kyoto-u.ac.jp/item/rb00002724#?c=0&amp;m=0&amp;s=0&amp;cv=289")</f>
        <v>https://rmda.kulib.kyoto-u.ac.jp/item/rb00002724#?c=0&amp;m=0&amp;s=0&amp;cv=289</v>
      </c>
    </row>
    <row r="569" spans="1:4" x14ac:dyDescent="0.15">
      <c r="A569" s="66" t="s">
        <v>5220</v>
      </c>
      <c r="B569" s="6" t="s">
        <v>1810</v>
      </c>
      <c r="C569" s="6">
        <v>291</v>
      </c>
      <c r="D569" s="6" t="str">
        <f>HYPERLINK("https://rmda.kulib.kyoto-u.ac.jp/item/rb00002724#?c=0&amp;m=0&amp;s=0&amp;cv=290")</f>
        <v>https://rmda.kulib.kyoto-u.ac.jp/item/rb00002724#?c=0&amp;m=0&amp;s=0&amp;cv=290</v>
      </c>
    </row>
    <row r="570" spans="1:4" x14ac:dyDescent="0.15">
      <c r="A570" s="66" t="s">
        <v>5220</v>
      </c>
      <c r="B570" s="6" t="s">
        <v>1811</v>
      </c>
      <c r="C570" s="6">
        <v>291</v>
      </c>
      <c r="D570" s="6" t="str">
        <f>HYPERLINK("https://rmda.kulib.kyoto-u.ac.jp/item/rb00002724#?c=0&amp;m=0&amp;s=0&amp;cv=290")</f>
        <v>https://rmda.kulib.kyoto-u.ac.jp/item/rb00002724#?c=0&amp;m=0&amp;s=0&amp;cv=290</v>
      </c>
    </row>
    <row r="571" spans="1:4" x14ac:dyDescent="0.15">
      <c r="A571" s="66" t="s">
        <v>5220</v>
      </c>
      <c r="B571" s="6" t="s">
        <v>1812</v>
      </c>
      <c r="C571" s="6">
        <v>291</v>
      </c>
      <c r="D571" s="6" t="str">
        <f>HYPERLINK("https://rmda.kulib.kyoto-u.ac.jp/item/rb00002724#?c=0&amp;m=0&amp;s=0&amp;cv=290")</f>
        <v>https://rmda.kulib.kyoto-u.ac.jp/item/rb00002724#?c=0&amp;m=0&amp;s=0&amp;cv=290</v>
      </c>
    </row>
    <row r="572" spans="1:4" x14ac:dyDescent="0.15">
      <c r="A572" s="66" t="s">
        <v>5220</v>
      </c>
      <c r="B572" s="6" t="s">
        <v>1814</v>
      </c>
      <c r="C572" s="6">
        <v>294</v>
      </c>
      <c r="D572" s="6" t="str">
        <f>HYPERLINK("https://rmda.kulib.kyoto-u.ac.jp/item/rb00002724#?c=0&amp;m=0&amp;s=0&amp;cv=293")</f>
        <v>https://rmda.kulib.kyoto-u.ac.jp/item/rb00002724#?c=0&amp;m=0&amp;s=0&amp;cv=293</v>
      </c>
    </row>
    <row r="573" spans="1:4" x14ac:dyDescent="0.15">
      <c r="A573" s="66" t="s">
        <v>5220</v>
      </c>
      <c r="B573" s="6" t="s">
        <v>1815</v>
      </c>
      <c r="C573" s="6">
        <v>294</v>
      </c>
      <c r="D573" s="6" t="str">
        <f>HYPERLINK("https://rmda.kulib.kyoto-u.ac.jp/item/rb00002724#?c=0&amp;m=0&amp;s=0&amp;cv=293")</f>
        <v>https://rmda.kulib.kyoto-u.ac.jp/item/rb00002724#?c=0&amp;m=0&amp;s=0&amp;cv=293</v>
      </c>
    </row>
    <row r="574" spans="1:4" x14ac:dyDescent="0.15">
      <c r="A574" s="66" t="s">
        <v>5220</v>
      </c>
      <c r="B574" s="119" t="s">
        <v>5493</v>
      </c>
      <c r="C574" s="6">
        <v>297</v>
      </c>
      <c r="D574" s="6" t="str">
        <f>HYPERLINK("https://rmda.kulib.kyoto-u.ac.jp/item/rb00002724#?c=0&amp;m=0&amp;s=0&amp;cv=296")</f>
        <v>https://rmda.kulib.kyoto-u.ac.jp/item/rb00002724#?c=0&amp;m=0&amp;s=0&amp;cv=296</v>
      </c>
    </row>
    <row r="575" spans="1:4" x14ac:dyDescent="0.15">
      <c r="A575" s="66" t="s">
        <v>5220</v>
      </c>
      <c r="B575" s="6" t="s">
        <v>1816</v>
      </c>
      <c r="C575" s="6">
        <v>297</v>
      </c>
      <c r="D575" s="6" t="str">
        <f>HYPERLINK("https://rmda.kulib.kyoto-u.ac.jp/item/rb00002724#?c=0&amp;m=0&amp;s=0&amp;cv=296")</f>
        <v>https://rmda.kulib.kyoto-u.ac.jp/item/rb00002724#?c=0&amp;m=0&amp;s=0&amp;cv=296</v>
      </c>
    </row>
    <row r="576" spans="1:4" x14ac:dyDescent="0.15">
      <c r="A576" s="66" t="s">
        <v>5220</v>
      </c>
      <c r="B576" s="6" t="s">
        <v>1817</v>
      </c>
      <c r="C576" s="6">
        <v>298</v>
      </c>
      <c r="D576" s="6" t="str">
        <f>HYPERLINK("https://rmda.kulib.kyoto-u.ac.jp/item/rb00002724#?c=0&amp;m=0&amp;s=0&amp;cv=297")</f>
        <v>https://rmda.kulib.kyoto-u.ac.jp/item/rb00002724#?c=0&amp;m=0&amp;s=0&amp;cv=297</v>
      </c>
    </row>
    <row r="577" spans="1:4" x14ac:dyDescent="0.15">
      <c r="A577" s="66" t="s">
        <v>5220</v>
      </c>
      <c r="B577" s="6" t="s">
        <v>1818</v>
      </c>
      <c r="C577" s="6">
        <v>301</v>
      </c>
      <c r="D577" s="6" t="str">
        <f>HYPERLINK("https://rmda.kulib.kyoto-u.ac.jp/item/rb00002724#?c=0&amp;m=0&amp;s=0&amp;cv=300")</f>
        <v>https://rmda.kulib.kyoto-u.ac.jp/item/rb00002724#?c=0&amp;m=0&amp;s=0&amp;cv=300</v>
      </c>
    </row>
    <row r="578" spans="1:4" x14ac:dyDescent="0.15">
      <c r="A578" s="66" t="s">
        <v>5220</v>
      </c>
      <c r="B578" s="6" t="s">
        <v>1819</v>
      </c>
      <c r="C578" s="6">
        <v>301</v>
      </c>
      <c r="D578" s="6" t="str">
        <f>HYPERLINK("https://rmda.kulib.kyoto-u.ac.jp/item/rb00002724#?c=0&amp;m=0&amp;s=0&amp;cv=300")</f>
        <v>https://rmda.kulib.kyoto-u.ac.jp/item/rb00002724#?c=0&amp;m=0&amp;s=0&amp;cv=300</v>
      </c>
    </row>
    <row r="579" spans="1:4" x14ac:dyDescent="0.15">
      <c r="A579" s="66" t="s">
        <v>5220</v>
      </c>
      <c r="B579" s="6" t="s">
        <v>1820</v>
      </c>
      <c r="C579" s="6">
        <v>301</v>
      </c>
      <c r="D579" s="6" t="str">
        <f>HYPERLINK("https://rmda.kulib.kyoto-u.ac.jp/item/rb00002724#?c=0&amp;m=0&amp;s=0&amp;cv=300")</f>
        <v>https://rmda.kulib.kyoto-u.ac.jp/item/rb00002724#?c=0&amp;m=0&amp;s=0&amp;cv=300</v>
      </c>
    </row>
    <row r="580" spans="1:4" x14ac:dyDescent="0.15">
      <c r="A580" s="66" t="s">
        <v>5220</v>
      </c>
      <c r="B580" s="6" t="s">
        <v>1821</v>
      </c>
      <c r="C580" s="6">
        <v>302</v>
      </c>
      <c r="D580" s="6" t="str">
        <f>HYPERLINK("https://rmda.kulib.kyoto-u.ac.jp/item/rb00002724#?c=0&amp;m=0&amp;s=0&amp;cv=301")</f>
        <v>https://rmda.kulib.kyoto-u.ac.jp/item/rb00002724#?c=0&amp;m=0&amp;s=0&amp;cv=301</v>
      </c>
    </row>
    <row r="581" spans="1:4" x14ac:dyDescent="0.15">
      <c r="A581" s="66" t="s">
        <v>5220</v>
      </c>
      <c r="B581" s="6" t="s">
        <v>1822</v>
      </c>
      <c r="C581" s="6">
        <v>303</v>
      </c>
      <c r="D581" s="6" t="str">
        <f>HYPERLINK("https://rmda.kulib.kyoto-u.ac.jp/item/rb00002724#?c=0&amp;m=0&amp;s=0&amp;cv=302")</f>
        <v>https://rmda.kulib.kyoto-u.ac.jp/item/rb00002724#?c=0&amp;m=0&amp;s=0&amp;cv=302</v>
      </c>
    </row>
    <row r="582" spans="1:4" x14ac:dyDescent="0.15">
      <c r="A582" s="66" t="s">
        <v>5220</v>
      </c>
      <c r="B582" s="6" t="s">
        <v>4174</v>
      </c>
      <c r="C582" s="6">
        <v>304</v>
      </c>
      <c r="D582" s="6" t="str">
        <f>HYPERLINK("https://rmda.kulib.kyoto-u.ac.jp/item/rb00002724#?c=0&amp;m=0&amp;s=0&amp;cv=303")</f>
        <v>https://rmda.kulib.kyoto-u.ac.jp/item/rb00002724#?c=0&amp;m=0&amp;s=0&amp;cv=303</v>
      </c>
    </row>
    <row r="583" spans="1:4" x14ac:dyDescent="0.15">
      <c r="A583" s="66" t="s">
        <v>5220</v>
      </c>
      <c r="B583" s="6" t="s">
        <v>1825</v>
      </c>
      <c r="C583" s="6">
        <v>305</v>
      </c>
      <c r="D583" s="6" t="str">
        <f>HYPERLINK("https://rmda.kulib.kyoto-u.ac.jp/item/rb00002724#?c=0&amp;m=0&amp;s=0&amp;cv=304")</f>
        <v>https://rmda.kulib.kyoto-u.ac.jp/item/rb00002724#?c=0&amp;m=0&amp;s=0&amp;cv=304</v>
      </c>
    </row>
    <row r="584" spans="1:4" x14ac:dyDescent="0.15">
      <c r="A584" s="66" t="s">
        <v>5220</v>
      </c>
      <c r="B584" s="6" t="s">
        <v>1827</v>
      </c>
      <c r="C584" s="6">
        <v>306</v>
      </c>
      <c r="D584" s="6" t="str">
        <f>HYPERLINK("https://rmda.kulib.kyoto-u.ac.jp/item/rb00002724#?c=0&amp;m=0&amp;s=0&amp;cv=305")</f>
        <v>https://rmda.kulib.kyoto-u.ac.jp/item/rb00002724#?c=0&amp;m=0&amp;s=0&amp;cv=305</v>
      </c>
    </row>
    <row r="585" spans="1:4" x14ac:dyDescent="0.15">
      <c r="A585" s="66" t="s">
        <v>5220</v>
      </c>
      <c r="B585" s="6" t="s">
        <v>1828</v>
      </c>
      <c r="C585" s="6">
        <v>307</v>
      </c>
      <c r="D585" s="6" t="str">
        <f>HYPERLINK("https://rmda.kulib.kyoto-u.ac.jp/item/rb00002724#?c=0&amp;m=0&amp;s=0&amp;cv=306")</f>
        <v>https://rmda.kulib.kyoto-u.ac.jp/item/rb00002724#?c=0&amp;m=0&amp;s=0&amp;cv=306</v>
      </c>
    </row>
    <row r="586" spans="1:4" x14ac:dyDescent="0.15">
      <c r="A586" s="66" t="s">
        <v>5220</v>
      </c>
      <c r="B586" s="6" t="s">
        <v>1829</v>
      </c>
      <c r="C586" s="6">
        <v>308</v>
      </c>
      <c r="D586" s="6" t="str">
        <f>HYPERLINK("https://rmda.kulib.kyoto-u.ac.jp/item/rb00002724#?c=0&amp;m=0&amp;s=0&amp;cv=307")</f>
        <v>https://rmda.kulib.kyoto-u.ac.jp/item/rb00002724#?c=0&amp;m=0&amp;s=0&amp;cv=307</v>
      </c>
    </row>
    <row r="587" spans="1:4" x14ac:dyDescent="0.15">
      <c r="A587" s="66" t="s">
        <v>5220</v>
      </c>
      <c r="B587" s="6" t="s">
        <v>1830</v>
      </c>
      <c r="C587" s="6">
        <v>308</v>
      </c>
      <c r="D587" s="6" t="str">
        <f>HYPERLINK("https://rmda.kulib.kyoto-u.ac.jp/item/rb00002724#?c=0&amp;m=0&amp;s=0&amp;cv=307")</f>
        <v>https://rmda.kulib.kyoto-u.ac.jp/item/rb00002724#?c=0&amp;m=0&amp;s=0&amp;cv=307</v>
      </c>
    </row>
    <row r="588" spans="1:4" x14ac:dyDescent="0.15">
      <c r="A588" s="66" t="s">
        <v>5220</v>
      </c>
      <c r="B588" s="6" t="s">
        <v>1831</v>
      </c>
      <c r="C588" s="6">
        <v>309</v>
      </c>
      <c r="D588" s="6" t="str">
        <f>HYPERLINK("https://rmda.kulib.kyoto-u.ac.jp/item/rb00002724#?c=0&amp;m=0&amp;s=0&amp;cv=308")</f>
        <v>https://rmda.kulib.kyoto-u.ac.jp/item/rb00002724#?c=0&amp;m=0&amp;s=0&amp;cv=308</v>
      </c>
    </row>
    <row r="589" spans="1:4" x14ac:dyDescent="0.15">
      <c r="A589" s="66" t="s">
        <v>5220</v>
      </c>
      <c r="B589" s="6" t="s">
        <v>1832</v>
      </c>
      <c r="C589" s="6">
        <v>310</v>
      </c>
      <c r="D589" s="6" t="str">
        <f>HYPERLINK("https://rmda.kulib.kyoto-u.ac.jp/item/rb00002724#?c=0&amp;m=0&amp;s=0&amp;cv=309")</f>
        <v>https://rmda.kulib.kyoto-u.ac.jp/item/rb00002724#?c=0&amp;m=0&amp;s=0&amp;cv=309</v>
      </c>
    </row>
    <row r="590" spans="1:4" x14ac:dyDescent="0.15">
      <c r="A590" s="66" t="s">
        <v>5220</v>
      </c>
      <c r="B590" s="6" t="s">
        <v>1834</v>
      </c>
      <c r="C590" s="6">
        <v>311</v>
      </c>
      <c r="D590" s="6" t="str">
        <f>HYPERLINK("https://rmda.kulib.kyoto-u.ac.jp/item/rb00002724#?c=0&amp;m=0&amp;s=0&amp;cv=310")</f>
        <v>https://rmda.kulib.kyoto-u.ac.jp/item/rb00002724#?c=0&amp;m=0&amp;s=0&amp;cv=310</v>
      </c>
    </row>
    <row r="591" spans="1:4" x14ac:dyDescent="0.15">
      <c r="A591" s="66" t="s">
        <v>5220</v>
      </c>
      <c r="B591" s="6" t="s">
        <v>1835</v>
      </c>
      <c r="C591" s="6">
        <v>312</v>
      </c>
      <c r="D591" s="6" t="str">
        <f>HYPERLINK("https://rmda.kulib.kyoto-u.ac.jp/item/rb00002724#?c=0&amp;m=0&amp;s=0&amp;cv=311")</f>
        <v>https://rmda.kulib.kyoto-u.ac.jp/item/rb00002724#?c=0&amp;m=0&amp;s=0&amp;cv=311</v>
      </c>
    </row>
    <row r="592" spans="1:4" x14ac:dyDescent="0.15">
      <c r="A592" s="66" t="s">
        <v>5220</v>
      </c>
      <c r="B592" s="6" t="s">
        <v>1836</v>
      </c>
      <c r="C592" s="6">
        <v>312</v>
      </c>
      <c r="D592" s="6" t="str">
        <f>HYPERLINK("https://rmda.kulib.kyoto-u.ac.jp/item/rb00002724#?c=0&amp;m=0&amp;s=0&amp;cv=311")</f>
        <v>https://rmda.kulib.kyoto-u.ac.jp/item/rb00002724#?c=0&amp;m=0&amp;s=0&amp;cv=311</v>
      </c>
    </row>
    <row r="593" spans="1:5" x14ac:dyDescent="0.15">
      <c r="A593" s="66" t="s">
        <v>5220</v>
      </c>
      <c r="B593" s="6" t="s">
        <v>1837</v>
      </c>
      <c r="C593" s="6">
        <v>314</v>
      </c>
      <c r="D593" s="6" t="str">
        <f>HYPERLINK("https://rmda.kulib.kyoto-u.ac.jp/item/rb00002724#?c=0&amp;m=0&amp;s=0&amp;cv=313")</f>
        <v>https://rmda.kulib.kyoto-u.ac.jp/item/rb00002724#?c=0&amp;m=0&amp;s=0&amp;cv=313</v>
      </c>
    </row>
    <row r="594" spans="1:5" x14ac:dyDescent="0.15">
      <c r="A594" s="66" t="s">
        <v>5220</v>
      </c>
      <c r="B594" s="6" t="s">
        <v>4159</v>
      </c>
      <c r="C594" s="6">
        <v>314</v>
      </c>
      <c r="D594" s="6" t="str">
        <f>HYPERLINK("https://rmda.kulib.kyoto-u.ac.jp/item/rb00002724#?c=0&amp;m=0&amp;s=0&amp;cv=313")</f>
        <v>https://rmda.kulib.kyoto-u.ac.jp/item/rb00002724#?c=0&amp;m=0&amp;s=0&amp;cv=313</v>
      </c>
    </row>
    <row r="595" spans="1:5" ht="14.25" thickBot="1" x14ac:dyDescent="0.2">
      <c r="A595" s="66" t="s">
        <v>5220</v>
      </c>
      <c r="B595" s="6" t="s">
        <v>1841</v>
      </c>
      <c r="C595" s="6">
        <v>315</v>
      </c>
      <c r="D595" s="6" t="str">
        <f>HYPERLINK("https://rmda.kulib.kyoto-u.ac.jp/item/rb00002724#?c=0&amp;m=0&amp;s=0&amp;cv=314")</f>
        <v>https://rmda.kulib.kyoto-u.ac.jp/item/rb00002724#?c=0&amp;m=0&amp;s=0&amp;cv=314</v>
      </c>
    </row>
    <row r="596" spans="1:5" ht="15" thickTop="1" thickBot="1" x14ac:dyDescent="0.2">
      <c r="A596" s="66" t="s">
        <v>5220</v>
      </c>
      <c r="B596" s="120" t="s">
        <v>1842</v>
      </c>
      <c r="C596" s="6">
        <v>315</v>
      </c>
      <c r="D596" s="6" t="str">
        <f>HYPERLINK("https://rmda.kulib.kyoto-u.ac.jp/item/rb00002724#?c=0&amp;m=0&amp;s=0&amp;cv=314")</f>
        <v>https://rmda.kulib.kyoto-u.ac.jp/item/rb00002724#?c=0&amp;m=0&amp;s=0&amp;cv=314</v>
      </c>
      <c r="E596" s="76" t="s">
        <v>4175</v>
      </c>
    </row>
    <row r="597" spans="1:5" ht="15" thickTop="1" thickBot="1" x14ac:dyDescent="0.2">
      <c r="A597" s="66" t="s">
        <v>5220</v>
      </c>
      <c r="B597" s="120" t="s">
        <v>4160</v>
      </c>
      <c r="C597" s="6">
        <v>316</v>
      </c>
      <c r="D597" s="6" t="str">
        <f>HYPERLINK("https://rmda.kulib.kyoto-u.ac.jp/item/rb00002724#?c=0&amp;m=0&amp;s=0&amp;cv=315")</f>
        <v>https://rmda.kulib.kyoto-u.ac.jp/item/rb00002724#?c=0&amp;m=0&amp;s=0&amp;cv=315</v>
      </c>
      <c r="E597" s="76" t="s">
        <v>4175</v>
      </c>
    </row>
    <row r="598" spans="1:5" ht="14.25" thickTop="1" x14ac:dyDescent="0.15">
      <c r="A598" s="66" t="s">
        <v>5220</v>
      </c>
      <c r="B598" s="6" t="s">
        <v>1843</v>
      </c>
      <c r="C598" s="6">
        <v>317</v>
      </c>
      <c r="D598" s="6" t="str">
        <f>HYPERLINK("https://rmda.kulib.kyoto-u.ac.jp/item/rb00002724#?c=0&amp;m=0&amp;s=0&amp;cv=316")</f>
        <v>https://rmda.kulib.kyoto-u.ac.jp/item/rb00002724#?c=0&amp;m=0&amp;s=0&amp;cv=316</v>
      </c>
    </row>
    <row r="599" spans="1:5" x14ac:dyDescent="0.15">
      <c r="A599" s="66" t="s">
        <v>5220</v>
      </c>
      <c r="B599" s="6" t="s">
        <v>4161</v>
      </c>
      <c r="C599" s="6">
        <v>317</v>
      </c>
      <c r="D599" s="6" t="str">
        <f>HYPERLINK("https://rmda.kulib.kyoto-u.ac.jp/item/rb00002724#?c=0&amp;m=0&amp;s=0&amp;cv=316")</f>
        <v>https://rmda.kulib.kyoto-u.ac.jp/item/rb00002724#?c=0&amp;m=0&amp;s=0&amp;cv=316</v>
      </c>
    </row>
    <row r="600" spans="1:5" x14ac:dyDescent="0.15">
      <c r="A600" s="66" t="s">
        <v>5220</v>
      </c>
      <c r="B600" s="6" t="s">
        <v>1844</v>
      </c>
      <c r="C600" s="6">
        <v>319</v>
      </c>
      <c r="D600" s="6" t="str">
        <f>HYPERLINK("https://rmda.kulib.kyoto-u.ac.jp/item/rb00002724#?c=0&amp;m=0&amp;s=0&amp;cv=318")</f>
        <v>https://rmda.kulib.kyoto-u.ac.jp/item/rb00002724#?c=0&amp;m=0&amp;s=0&amp;cv=318</v>
      </c>
    </row>
    <row r="601" spans="1:5" x14ac:dyDescent="0.15">
      <c r="A601" s="66" t="s">
        <v>5220</v>
      </c>
      <c r="B601" s="6" t="s">
        <v>4162</v>
      </c>
      <c r="C601" s="6">
        <v>319</v>
      </c>
      <c r="D601" s="6" t="str">
        <f>HYPERLINK("https://rmda.kulib.kyoto-u.ac.jp/item/rb00002724#?c=0&amp;m=0&amp;s=0&amp;cv=318")</f>
        <v>https://rmda.kulib.kyoto-u.ac.jp/item/rb00002724#?c=0&amp;m=0&amp;s=0&amp;cv=318</v>
      </c>
    </row>
    <row r="602" spans="1:5" x14ac:dyDescent="0.15">
      <c r="A602" s="66" t="s">
        <v>5220</v>
      </c>
      <c r="B602" s="119" t="s">
        <v>5494</v>
      </c>
      <c r="C602" s="6">
        <v>322</v>
      </c>
      <c r="D602" s="6" t="str">
        <f>HYPERLINK("https://rmda.kulib.kyoto-u.ac.jp/item/rb00002724#?c=0&amp;m=0&amp;s=0&amp;cv=321")</f>
        <v>https://rmda.kulib.kyoto-u.ac.jp/item/rb00002724#?c=0&amp;m=0&amp;s=0&amp;cv=321</v>
      </c>
    </row>
    <row r="603" spans="1:5" x14ac:dyDescent="0.15">
      <c r="A603" s="66" t="s">
        <v>5220</v>
      </c>
      <c r="B603" s="6" t="s">
        <v>1845</v>
      </c>
      <c r="C603" s="6">
        <v>322</v>
      </c>
      <c r="D603" s="6" t="str">
        <f>HYPERLINK("https://rmda.kulib.kyoto-u.ac.jp/item/rb00002724#?c=0&amp;m=0&amp;s=0&amp;cv=321")</f>
        <v>https://rmda.kulib.kyoto-u.ac.jp/item/rb00002724#?c=0&amp;m=0&amp;s=0&amp;cv=321</v>
      </c>
    </row>
    <row r="604" spans="1:5" x14ac:dyDescent="0.15">
      <c r="A604" s="66" t="s">
        <v>5220</v>
      </c>
      <c r="B604" s="6" t="s">
        <v>1846</v>
      </c>
      <c r="C604" s="6">
        <v>323</v>
      </c>
      <c r="D604" s="6" t="str">
        <f>HYPERLINK("https://rmda.kulib.kyoto-u.ac.jp/item/rb00002724#?c=0&amp;m=0&amp;s=0&amp;cv=322")</f>
        <v>https://rmda.kulib.kyoto-u.ac.jp/item/rb00002724#?c=0&amp;m=0&amp;s=0&amp;cv=322</v>
      </c>
    </row>
    <row r="605" spans="1:5" x14ac:dyDescent="0.15">
      <c r="A605" s="66" t="s">
        <v>5220</v>
      </c>
      <c r="B605" s="6" t="s">
        <v>1847</v>
      </c>
      <c r="C605" s="6">
        <v>326</v>
      </c>
      <c r="D605" s="6" t="str">
        <f>HYPERLINK("https://rmda.kulib.kyoto-u.ac.jp/item/rb00002724#?c=0&amp;m=0&amp;s=0&amp;cv=325")</f>
        <v>https://rmda.kulib.kyoto-u.ac.jp/item/rb00002724#?c=0&amp;m=0&amp;s=0&amp;cv=325</v>
      </c>
    </row>
    <row r="606" spans="1:5" x14ac:dyDescent="0.15">
      <c r="A606" s="66" t="s">
        <v>5220</v>
      </c>
      <c r="B606" s="6" t="s">
        <v>1848</v>
      </c>
      <c r="C606" s="6">
        <v>328</v>
      </c>
      <c r="D606" s="6" t="str">
        <f>HYPERLINK("https://rmda.kulib.kyoto-u.ac.jp/item/rb00002724#?c=0&amp;m=0&amp;s=0&amp;cv=327")</f>
        <v>https://rmda.kulib.kyoto-u.ac.jp/item/rb00002724#?c=0&amp;m=0&amp;s=0&amp;cv=327</v>
      </c>
    </row>
    <row r="607" spans="1:5" x14ac:dyDescent="0.15">
      <c r="A607" s="66" t="s">
        <v>5220</v>
      </c>
      <c r="B607" s="6" t="s">
        <v>1849</v>
      </c>
      <c r="C607" s="6">
        <v>329</v>
      </c>
      <c r="D607" s="6" t="str">
        <f>HYPERLINK("https://rmda.kulib.kyoto-u.ac.jp/item/rb00002724#?c=0&amp;m=0&amp;s=0&amp;cv=328")</f>
        <v>https://rmda.kulib.kyoto-u.ac.jp/item/rb00002724#?c=0&amp;m=0&amp;s=0&amp;cv=328</v>
      </c>
    </row>
    <row r="608" spans="1:5" x14ac:dyDescent="0.15">
      <c r="A608" s="66" t="s">
        <v>5220</v>
      </c>
      <c r="B608" s="6" t="s">
        <v>1850</v>
      </c>
      <c r="C608" s="6">
        <v>330</v>
      </c>
      <c r="D608" s="6" t="str">
        <f>HYPERLINK("https://rmda.kulib.kyoto-u.ac.jp/item/rb00002724#?c=0&amp;m=0&amp;s=0&amp;cv=329")</f>
        <v>https://rmda.kulib.kyoto-u.ac.jp/item/rb00002724#?c=0&amp;m=0&amp;s=0&amp;cv=329</v>
      </c>
    </row>
    <row r="609" spans="1:5" x14ac:dyDescent="0.15">
      <c r="A609" s="66" t="s">
        <v>5220</v>
      </c>
      <c r="B609" s="6" t="s">
        <v>1853</v>
      </c>
      <c r="C609" s="6">
        <v>334</v>
      </c>
      <c r="D609" s="6" t="str">
        <f>HYPERLINK("https://rmda.kulib.kyoto-u.ac.jp/item/rb00002724#?c=0&amp;m=0&amp;s=0&amp;cv=333")</f>
        <v>https://rmda.kulib.kyoto-u.ac.jp/item/rb00002724#?c=0&amp;m=0&amp;s=0&amp;cv=333</v>
      </c>
    </row>
    <row r="610" spans="1:5" x14ac:dyDescent="0.15">
      <c r="A610" s="66" t="s">
        <v>5220</v>
      </c>
      <c r="B610" s="6" t="s">
        <v>4176</v>
      </c>
      <c r="C610" s="6">
        <v>335</v>
      </c>
      <c r="D610" s="6" t="str">
        <f>HYPERLINK("https://rmda.kulib.kyoto-u.ac.jp/item/rb00002724#?c=0&amp;m=0&amp;s=0&amp;cv=334")</f>
        <v>https://rmda.kulib.kyoto-u.ac.jp/item/rb00002724#?c=0&amp;m=0&amp;s=0&amp;cv=334</v>
      </c>
    </row>
    <row r="611" spans="1:5" x14ac:dyDescent="0.15">
      <c r="A611" s="66" t="s">
        <v>5220</v>
      </c>
      <c r="B611" s="6" t="s">
        <v>4177</v>
      </c>
      <c r="C611" s="6">
        <v>336</v>
      </c>
      <c r="D611" s="6" t="str">
        <f>HYPERLINK("https://rmda.kulib.kyoto-u.ac.jp/item/rb00002724#?c=0&amp;m=0&amp;s=0&amp;cv=335")</f>
        <v>https://rmda.kulib.kyoto-u.ac.jp/item/rb00002724#?c=0&amp;m=0&amp;s=0&amp;cv=335</v>
      </c>
    </row>
    <row r="612" spans="1:5" x14ac:dyDescent="0.15">
      <c r="A612" s="66" t="s">
        <v>5220</v>
      </c>
      <c r="B612" s="6" t="s">
        <v>4178</v>
      </c>
      <c r="C612" s="6"/>
      <c r="D612" s="73" t="str">
        <f>HYPERLINK("https://rmda.kulib.kyoto-u.ac.jp/item/rb00002724#?c=0&amp;m=0&amp;s=0&amp;cv=-1")</f>
        <v>https://rmda.kulib.kyoto-u.ac.jp/item/rb00002724#?c=0&amp;m=0&amp;s=0&amp;cv=-1</v>
      </c>
      <c r="E612" t="s">
        <v>4179</v>
      </c>
    </row>
    <row r="613" spans="1:5" x14ac:dyDescent="0.15">
      <c r="A613" s="66" t="s">
        <v>5220</v>
      </c>
      <c r="B613" s="6" t="s">
        <v>1854</v>
      </c>
      <c r="C613" s="6">
        <v>337</v>
      </c>
      <c r="D613" s="6" t="str">
        <f>HYPERLINK("https://rmda.kulib.kyoto-u.ac.jp/item/rb00002724#?c=0&amp;m=0&amp;s=0&amp;cv=336")</f>
        <v>https://rmda.kulib.kyoto-u.ac.jp/item/rb00002724#?c=0&amp;m=0&amp;s=0&amp;cv=336</v>
      </c>
    </row>
    <row r="614" spans="1:5" x14ac:dyDescent="0.15">
      <c r="A614" s="66" t="s">
        <v>5220</v>
      </c>
      <c r="B614" s="6" t="s">
        <v>1855</v>
      </c>
      <c r="C614" s="6">
        <v>338</v>
      </c>
      <c r="D614" s="6" t="str">
        <f>HYPERLINK("https://rmda.kulib.kyoto-u.ac.jp/item/rb00002724#?c=0&amp;m=0&amp;s=0&amp;cv=337")</f>
        <v>https://rmda.kulib.kyoto-u.ac.jp/item/rb00002724#?c=0&amp;m=0&amp;s=0&amp;cv=337</v>
      </c>
    </row>
    <row r="615" spans="1:5" x14ac:dyDescent="0.15">
      <c r="A615" s="66" t="s">
        <v>5220</v>
      </c>
      <c r="B615" s="6" t="s">
        <v>1856</v>
      </c>
      <c r="C615" s="6">
        <v>338</v>
      </c>
      <c r="D615" s="6" t="str">
        <f>HYPERLINK("https://rmda.kulib.kyoto-u.ac.jp/item/rb00002724#?c=0&amp;m=0&amp;s=0&amp;cv=337")</f>
        <v>https://rmda.kulib.kyoto-u.ac.jp/item/rb00002724#?c=0&amp;m=0&amp;s=0&amp;cv=337</v>
      </c>
    </row>
    <row r="616" spans="1:5" x14ac:dyDescent="0.15">
      <c r="A616" s="66" t="s">
        <v>5220</v>
      </c>
      <c r="B616" s="6" t="s">
        <v>4180</v>
      </c>
      <c r="C616" s="6">
        <v>339</v>
      </c>
      <c r="D616" s="6" t="str">
        <f>HYPERLINK("https://rmda.kulib.kyoto-u.ac.jp/item/rb00002724#?c=0&amp;m=0&amp;s=0&amp;cv=338")</f>
        <v>https://rmda.kulib.kyoto-u.ac.jp/item/rb00002724#?c=0&amp;m=0&amp;s=0&amp;cv=338</v>
      </c>
    </row>
    <row r="617" spans="1:5" x14ac:dyDescent="0.15">
      <c r="A617" s="66" t="s">
        <v>5220</v>
      </c>
      <c r="B617" s="6" t="s">
        <v>4163</v>
      </c>
      <c r="C617" s="6">
        <v>340</v>
      </c>
      <c r="D617" s="6" t="str">
        <f>HYPERLINK("https://rmda.kulib.kyoto-u.ac.jp/item/rb00002724#?c=0&amp;m=0&amp;s=0&amp;cv=339")</f>
        <v>https://rmda.kulib.kyoto-u.ac.jp/item/rb00002724#?c=0&amp;m=0&amp;s=0&amp;cv=339</v>
      </c>
    </row>
    <row r="618" spans="1:5" x14ac:dyDescent="0.15">
      <c r="A618" s="66" t="s">
        <v>5220</v>
      </c>
      <c r="B618" s="119" t="s">
        <v>5495</v>
      </c>
      <c r="C618" s="6">
        <v>347</v>
      </c>
      <c r="D618" s="6" t="str">
        <f>HYPERLINK("https://rmda.kulib.kyoto-u.ac.jp/item/rb00002724#?c=0&amp;m=0&amp;s=0&amp;cv=346")</f>
        <v>https://rmda.kulib.kyoto-u.ac.jp/item/rb00002724#?c=0&amp;m=0&amp;s=0&amp;cv=346</v>
      </c>
    </row>
    <row r="619" spans="1:5" x14ac:dyDescent="0.15">
      <c r="A619" s="66" t="s">
        <v>5220</v>
      </c>
      <c r="B619" s="6" t="s">
        <v>1860</v>
      </c>
      <c r="C619" s="6">
        <v>347</v>
      </c>
      <c r="D619" s="6" t="str">
        <f>HYPERLINK("https://rmda.kulib.kyoto-u.ac.jp/item/rb00002724#?c=0&amp;m=0&amp;s=0&amp;cv=346")</f>
        <v>https://rmda.kulib.kyoto-u.ac.jp/item/rb00002724#?c=0&amp;m=0&amp;s=0&amp;cv=346</v>
      </c>
    </row>
    <row r="620" spans="1:5" x14ac:dyDescent="0.15">
      <c r="A620" s="66" t="s">
        <v>5220</v>
      </c>
      <c r="B620" s="6" t="s">
        <v>1861</v>
      </c>
      <c r="C620" s="6">
        <v>348</v>
      </c>
      <c r="D620" s="6" t="str">
        <f>HYPERLINK("https://rmda.kulib.kyoto-u.ac.jp/item/rb00002724#?c=0&amp;m=0&amp;s=0&amp;cv=347")</f>
        <v>https://rmda.kulib.kyoto-u.ac.jp/item/rb00002724#?c=0&amp;m=0&amp;s=0&amp;cv=347</v>
      </c>
    </row>
    <row r="621" spans="1:5" x14ac:dyDescent="0.15">
      <c r="A621" s="66" t="s">
        <v>5220</v>
      </c>
      <c r="B621" s="6" t="s">
        <v>4164</v>
      </c>
      <c r="C621" s="6">
        <v>348</v>
      </c>
      <c r="D621" s="6" t="str">
        <f>HYPERLINK("https://rmda.kulib.kyoto-u.ac.jp/item/rb00002724#?c=0&amp;m=0&amp;s=0&amp;cv=347")</f>
        <v>https://rmda.kulib.kyoto-u.ac.jp/item/rb00002724#?c=0&amp;m=0&amp;s=0&amp;cv=347</v>
      </c>
    </row>
    <row r="622" spans="1:5" x14ac:dyDescent="0.15">
      <c r="A622" s="66" t="s">
        <v>5220</v>
      </c>
      <c r="B622" s="6" t="s">
        <v>1863</v>
      </c>
      <c r="C622" s="6">
        <v>354</v>
      </c>
      <c r="D622" s="6" t="str">
        <f>HYPERLINK("https://rmda.kulib.kyoto-u.ac.jp/item/rb00002724#?c=0&amp;m=0&amp;s=0&amp;cv=353")</f>
        <v>https://rmda.kulib.kyoto-u.ac.jp/item/rb00002724#?c=0&amp;m=0&amp;s=0&amp;cv=353</v>
      </c>
    </row>
    <row r="623" spans="1:5" x14ac:dyDescent="0.15">
      <c r="A623" s="66" t="s">
        <v>5220</v>
      </c>
      <c r="B623" s="6" t="s">
        <v>1865</v>
      </c>
      <c r="C623" s="6">
        <v>356</v>
      </c>
      <c r="D623" s="6" t="str">
        <f>HYPERLINK("https://rmda.kulib.kyoto-u.ac.jp/item/rb00002724#?c=0&amp;m=0&amp;s=0&amp;cv=355")</f>
        <v>https://rmda.kulib.kyoto-u.ac.jp/item/rb00002724#?c=0&amp;m=0&amp;s=0&amp;cv=355</v>
      </c>
    </row>
    <row r="624" spans="1:5" x14ac:dyDescent="0.15">
      <c r="A624" s="66" t="s">
        <v>5220</v>
      </c>
      <c r="B624" s="6" t="s">
        <v>1866</v>
      </c>
      <c r="C624" s="6">
        <v>357</v>
      </c>
      <c r="D624" s="6" t="str">
        <f>HYPERLINK("https://rmda.kulib.kyoto-u.ac.jp/item/rb00002724#?c=0&amp;m=0&amp;s=0&amp;cv=356")</f>
        <v>https://rmda.kulib.kyoto-u.ac.jp/item/rb00002724#?c=0&amp;m=0&amp;s=0&amp;cv=356</v>
      </c>
    </row>
    <row r="625" spans="1:5" x14ac:dyDescent="0.15">
      <c r="A625" s="66" t="s">
        <v>5220</v>
      </c>
      <c r="B625" s="6" t="s">
        <v>1867</v>
      </c>
      <c r="C625" s="6">
        <v>358</v>
      </c>
      <c r="D625" s="6" t="str">
        <f>HYPERLINK("https://rmda.kulib.kyoto-u.ac.jp/item/rb00002724#?c=0&amp;m=0&amp;s=0&amp;cv=357")</f>
        <v>https://rmda.kulib.kyoto-u.ac.jp/item/rb00002724#?c=0&amp;m=0&amp;s=0&amp;cv=357</v>
      </c>
    </row>
    <row r="626" spans="1:5" x14ac:dyDescent="0.15">
      <c r="A626" s="66" t="s">
        <v>5220</v>
      </c>
      <c r="B626" s="6" t="s">
        <v>1869</v>
      </c>
      <c r="C626" s="6">
        <v>359</v>
      </c>
      <c r="D626" s="6" t="str">
        <f>HYPERLINK("https://rmda.kulib.kyoto-u.ac.jp/item/rb00002724#?c=0&amp;m=0&amp;s=0&amp;cv=358")</f>
        <v>https://rmda.kulib.kyoto-u.ac.jp/item/rb00002724#?c=0&amp;m=0&amp;s=0&amp;cv=358</v>
      </c>
    </row>
    <row r="627" spans="1:5" x14ac:dyDescent="0.15">
      <c r="A627" s="66" t="s">
        <v>5220</v>
      </c>
      <c r="B627" s="6" t="s">
        <v>1870</v>
      </c>
      <c r="C627" s="6">
        <v>359</v>
      </c>
      <c r="D627" s="6" t="str">
        <f>HYPERLINK("https://rmda.kulib.kyoto-u.ac.jp/item/rb00002724#?c=0&amp;m=0&amp;s=0&amp;cv=358")</f>
        <v>https://rmda.kulib.kyoto-u.ac.jp/item/rb00002724#?c=0&amp;m=0&amp;s=0&amp;cv=358</v>
      </c>
    </row>
    <row r="628" spans="1:5" x14ac:dyDescent="0.15">
      <c r="A628" s="66" t="s">
        <v>5220</v>
      </c>
      <c r="B628" s="6" t="s">
        <v>1871</v>
      </c>
      <c r="C628" s="6">
        <v>359</v>
      </c>
      <c r="D628" s="6" t="str">
        <f>HYPERLINK("https://rmda.kulib.kyoto-u.ac.jp/item/rb00002724#?c=0&amp;m=0&amp;s=0&amp;cv=358")</f>
        <v>https://rmda.kulib.kyoto-u.ac.jp/item/rb00002724#?c=0&amp;m=0&amp;s=0&amp;cv=358</v>
      </c>
    </row>
    <row r="629" spans="1:5" x14ac:dyDescent="0.15">
      <c r="A629" s="66" t="s">
        <v>5220</v>
      </c>
      <c r="B629" s="6" t="s">
        <v>1872</v>
      </c>
      <c r="C629" s="6">
        <v>360</v>
      </c>
      <c r="D629" s="6" t="str">
        <f>HYPERLINK("https://rmda.kulib.kyoto-u.ac.jp/item/rb00002724#?c=0&amp;m=0&amp;s=0&amp;cv=359")</f>
        <v>https://rmda.kulib.kyoto-u.ac.jp/item/rb00002724#?c=0&amp;m=0&amp;s=0&amp;cv=359</v>
      </c>
    </row>
    <row r="630" spans="1:5" x14ac:dyDescent="0.15">
      <c r="A630" s="66" t="s">
        <v>5220</v>
      </c>
      <c r="B630" s="6" t="s">
        <v>4165</v>
      </c>
      <c r="C630" s="6"/>
      <c r="D630" s="73" t="str">
        <f>HYPERLINK("https://rmda.kulib.kyoto-u.ac.jp/item/rb00002724#?c=0&amp;m=0&amp;s=0&amp;cv=-1")</f>
        <v>https://rmda.kulib.kyoto-u.ac.jp/item/rb00002724#?c=0&amp;m=0&amp;s=0&amp;cv=-1</v>
      </c>
      <c r="E630" t="s">
        <v>4181</v>
      </c>
    </row>
    <row r="631" spans="1:5" x14ac:dyDescent="0.15">
      <c r="A631" s="66" t="s">
        <v>5220</v>
      </c>
      <c r="B631" s="6" t="s">
        <v>1873</v>
      </c>
      <c r="C631" s="6">
        <v>364</v>
      </c>
      <c r="D631" s="6" t="str">
        <f>HYPERLINK("https://rmda.kulib.kyoto-u.ac.jp/item/rb00002724#?c=0&amp;m=0&amp;s=0&amp;cv=363")</f>
        <v>https://rmda.kulib.kyoto-u.ac.jp/item/rb00002724#?c=0&amp;m=0&amp;s=0&amp;cv=363</v>
      </c>
    </row>
    <row r="632" spans="1:5" x14ac:dyDescent="0.15">
      <c r="A632" s="66" t="s">
        <v>5220</v>
      </c>
      <c r="B632" s="119" t="s">
        <v>5496</v>
      </c>
      <c r="C632" s="6">
        <v>372</v>
      </c>
      <c r="D632" s="6" t="str">
        <f>HYPERLINK("https://rmda.kulib.kyoto-u.ac.jp/item/rb00002724#?c=0&amp;m=0&amp;s=0&amp;cv=371")</f>
        <v>https://rmda.kulib.kyoto-u.ac.jp/item/rb00002724#?c=0&amp;m=0&amp;s=0&amp;cv=371</v>
      </c>
    </row>
    <row r="633" spans="1:5" x14ac:dyDescent="0.15">
      <c r="A633" s="66" t="s">
        <v>5220</v>
      </c>
      <c r="B633" s="6" t="s">
        <v>1875</v>
      </c>
      <c r="C633" s="6">
        <v>372</v>
      </c>
      <c r="D633" s="6" t="str">
        <f>HYPERLINK("https://rmda.kulib.kyoto-u.ac.jp/item/rb00002724#?c=0&amp;m=0&amp;s=0&amp;cv=371")</f>
        <v>https://rmda.kulib.kyoto-u.ac.jp/item/rb00002724#?c=0&amp;m=0&amp;s=0&amp;cv=371</v>
      </c>
    </row>
    <row r="634" spans="1:5" x14ac:dyDescent="0.15">
      <c r="A634" s="66" t="s">
        <v>5220</v>
      </c>
      <c r="B634" s="6" t="s">
        <v>1876</v>
      </c>
      <c r="C634" s="6">
        <v>373</v>
      </c>
      <c r="D634" s="6" t="str">
        <f>HYPERLINK("https://rmda.kulib.kyoto-u.ac.jp/item/rb00002724#?c=0&amp;m=0&amp;s=0&amp;cv=372")</f>
        <v>https://rmda.kulib.kyoto-u.ac.jp/item/rb00002724#?c=0&amp;m=0&amp;s=0&amp;cv=372</v>
      </c>
    </row>
    <row r="635" spans="1:5" x14ac:dyDescent="0.15">
      <c r="A635" s="66" t="s">
        <v>5220</v>
      </c>
      <c r="B635" s="6" t="s">
        <v>1879</v>
      </c>
      <c r="C635" s="6">
        <v>382</v>
      </c>
      <c r="D635" s="6" t="str">
        <f>HYPERLINK("https://rmda.kulib.kyoto-u.ac.jp/item/rb00002724#?c=0&amp;m=0&amp;s=0&amp;cv=381")</f>
        <v>https://rmda.kulib.kyoto-u.ac.jp/item/rb00002724#?c=0&amp;m=0&amp;s=0&amp;cv=381</v>
      </c>
    </row>
    <row r="636" spans="1:5" x14ac:dyDescent="0.15">
      <c r="A636" s="66" t="s">
        <v>5220</v>
      </c>
      <c r="B636" s="6" t="s">
        <v>4182</v>
      </c>
      <c r="C636" s="6">
        <v>383</v>
      </c>
      <c r="D636" s="6" t="str">
        <f>HYPERLINK("https://rmda.kulib.kyoto-u.ac.jp/item/rb00002724#?c=0&amp;m=0&amp;s=0&amp;cv=382")</f>
        <v>https://rmda.kulib.kyoto-u.ac.jp/item/rb00002724#?c=0&amp;m=0&amp;s=0&amp;cv=382</v>
      </c>
    </row>
    <row r="637" spans="1:5" x14ac:dyDescent="0.15">
      <c r="A637" s="66" t="s">
        <v>5220</v>
      </c>
      <c r="B637" s="6" t="s">
        <v>4183</v>
      </c>
      <c r="C637" s="6">
        <v>384</v>
      </c>
      <c r="D637" s="6" t="str">
        <f>HYPERLINK("https://rmda.kulib.kyoto-u.ac.jp/item/rb00002724#?c=0&amp;m=0&amp;s=0&amp;cv=383")</f>
        <v>https://rmda.kulib.kyoto-u.ac.jp/item/rb00002724#?c=0&amp;m=0&amp;s=0&amp;cv=383</v>
      </c>
    </row>
    <row r="638" spans="1:5" x14ac:dyDescent="0.15">
      <c r="A638" s="66" t="s">
        <v>5220</v>
      </c>
      <c r="B638" s="6" t="s">
        <v>1882</v>
      </c>
      <c r="C638" s="6">
        <v>388</v>
      </c>
      <c r="D638" s="6" t="str">
        <f>HYPERLINK("https://rmda.kulib.kyoto-u.ac.jp/item/rb00002724#?c=0&amp;m=0&amp;s=0&amp;cv=387")</f>
        <v>https://rmda.kulib.kyoto-u.ac.jp/item/rb00002724#?c=0&amp;m=0&amp;s=0&amp;cv=387</v>
      </c>
    </row>
    <row r="639" spans="1:5" x14ac:dyDescent="0.15">
      <c r="A639" s="66" t="s">
        <v>5220</v>
      </c>
      <c r="B639" s="6" t="s">
        <v>1883</v>
      </c>
      <c r="C639" s="6">
        <v>389</v>
      </c>
      <c r="D639" s="6" t="str">
        <f>HYPERLINK("https://rmda.kulib.kyoto-u.ac.jp/item/rb00002724#?c=0&amp;m=0&amp;s=0&amp;cv=388")</f>
        <v>https://rmda.kulib.kyoto-u.ac.jp/item/rb00002724#?c=0&amp;m=0&amp;s=0&amp;cv=388</v>
      </c>
    </row>
    <row r="640" spans="1:5" x14ac:dyDescent="0.15">
      <c r="A640" s="66" t="s">
        <v>5220</v>
      </c>
      <c r="B640" s="6" t="s">
        <v>1888</v>
      </c>
      <c r="C640" s="6">
        <v>395</v>
      </c>
      <c r="D640" s="6" t="str">
        <f>HYPERLINK("https://rmda.kulib.kyoto-u.ac.jp/item/rb00002724#?c=0&amp;m=0&amp;s=0&amp;cv=394")</f>
        <v>https://rmda.kulib.kyoto-u.ac.jp/item/rb00002724#?c=0&amp;m=0&amp;s=0&amp;cv=394</v>
      </c>
    </row>
    <row r="641" spans="1:5" x14ac:dyDescent="0.15">
      <c r="A641" s="66" t="s">
        <v>5220</v>
      </c>
      <c r="B641" s="6" t="s">
        <v>1889</v>
      </c>
      <c r="C641" s="6">
        <v>396</v>
      </c>
      <c r="D641" s="6" t="str">
        <f>HYPERLINK("https://rmda.kulib.kyoto-u.ac.jp/item/rb00002724#?c=0&amp;m=0&amp;s=0&amp;cv=395")</f>
        <v>https://rmda.kulib.kyoto-u.ac.jp/item/rb00002724#?c=0&amp;m=0&amp;s=0&amp;cv=395</v>
      </c>
    </row>
    <row r="642" spans="1:5" x14ac:dyDescent="0.15">
      <c r="A642" s="66" t="s">
        <v>5220</v>
      </c>
      <c r="B642" s="119" t="s">
        <v>5497</v>
      </c>
      <c r="C642" s="6">
        <v>398</v>
      </c>
      <c r="D642" s="6" t="str">
        <f>HYPERLINK("https://rmda.kulib.kyoto-u.ac.jp/item/rb00002724#?c=0&amp;m=0&amp;s=0&amp;cv=397")</f>
        <v>https://rmda.kulib.kyoto-u.ac.jp/item/rb00002724#?c=0&amp;m=0&amp;s=0&amp;cv=397</v>
      </c>
    </row>
    <row r="643" spans="1:5" x14ac:dyDescent="0.15">
      <c r="A643" s="66" t="s">
        <v>5220</v>
      </c>
      <c r="B643" s="6" t="s">
        <v>4184</v>
      </c>
      <c r="C643" s="6">
        <v>398</v>
      </c>
      <c r="D643" s="6" t="str">
        <f>HYPERLINK("https://rmda.kulib.kyoto-u.ac.jp/item/rb00002724#?c=0&amp;m=0&amp;s=0&amp;cv=397")</f>
        <v>https://rmda.kulib.kyoto-u.ac.jp/item/rb00002724#?c=0&amp;m=0&amp;s=0&amp;cv=397</v>
      </c>
    </row>
    <row r="644" spans="1:5" x14ac:dyDescent="0.15">
      <c r="A644" s="66" t="s">
        <v>5220</v>
      </c>
      <c r="B644" s="6" t="s">
        <v>1891</v>
      </c>
      <c r="C644" s="6">
        <v>401</v>
      </c>
      <c r="D644" s="6" t="str">
        <f>HYPERLINK("https://rmda.kulib.kyoto-u.ac.jp/item/rb00002724#?c=0&amp;m=0&amp;s=0&amp;cv=400")</f>
        <v>https://rmda.kulib.kyoto-u.ac.jp/item/rb00002724#?c=0&amp;m=0&amp;s=0&amp;cv=400</v>
      </c>
    </row>
    <row r="645" spans="1:5" x14ac:dyDescent="0.15">
      <c r="A645" s="66" t="s">
        <v>5220</v>
      </c>
      <c r="B645" s="6" t="s">
        <v>1892</v>
      </c>
      <c r="C645" s="6">
        <v>402</v>
      </c>
      <c r="D645" s="6" t="str">
        <f>HYPERLINK("https://rmda.kulib.kyoto-u.ac.jp/item/rb00002724#?c=0&amp;m=0&amp;s=0&amp;cv=401")</f>
        <v>https://rmda.kulib.kyoto-u.ac.jp/item/rb00002724#?c=0&amp;m=0&amp;s=0&amp;cv=401</v>
      </c>
    </row>
    <row r="646" spans="1:5" x14ac:dyDescent="0.15">
      <c r="A646" s="66" t="s">
        <v>5220</v>
      </c>
      <c r="B646" s="6" t="s">
        <v>1893</v>
      </c>
      <c r="C646" s="6">
        <v>404</v>
      </c>
      <c r="D646" s="6" t="str">
        <f>HYPERLINK("https://rmda.kulib.kyoto-u.ac.jp/item/rb00002724#?c=0&amp;m=0&amp;s=0&amp;cv=403")</f>
        <v>https://rmda.kulib.kyoto-u.ac.jp/item/rb00002724#?c=0&amp;m=0&amp;s=0&amp;cv=403</v>
      </c>
    </row>
    <row r="647" spans="1:5" x14ac:dyDescent="0.15">
      <c r="A647" s="66" t="s">
        <v>5220</v>
      </c>
      <c r="B647" s="6" t="s">
        <v>1895</v>
      </c>
      <c r="C647" s="6">
        <v>406</v>
      </c>
      <c r="D647" s="6" t="str">
        <f>HYPERLINK("https://rmda.kulib.kyoto-u.ac.jp/item/rb00002724#?c=0&amp;m=0&amp;s=0&amp;cv=405")</f>
        <v>https://rmda.kulib.kyoto-u.ac.jp/item/rb00002724#?c=0&amp;m=0&amp;s=0&amp;cv=405</v>
      </c>
    </row>
    <row r="648" spans="1:5" x14ac:dyDescent="0.15">
      <c r="A648" s="66" t="s">
        <v>5220</v>
      </c>
      <c r="B648" s="6" t="s">
        <v>1897</v>
      </c>
      <c r="C648" s="6">
        <v>408</v>
      </c>
      <c r="D648" s="6" t="str">
        <f>HYPERLINK("https://rmda.kulib.kyoto-u.ac.jp/item/rb00002724#?c=0&amp;m=0&amp;s=0&amp;cv=407")</f>
        <v>https://rmda.kulib.kyoto-u.ac.jp/item/rb00002724#?c=0&amp;m=0&amp;s=0&amp;cv=407</v>
      </c>
    </row>
    <row r="649" spans="1:5" x14ac:dyDescent="0.15">
      <c r="A649" s="66" t="s">
        <v>5220</v>
      </c>
      <c r="B649" s="6" t="s">
        <v>1899</v>
      </c>
      <c r="C649" s="6">
        <v>409</v>
      </c>
      <c r="D649" s="6" t="str">
        <f>HYPERLINK("https://rmda.kulib.kyoto-u.ac.jp/item/rb00002724#?c=0&amp;m=0&amp;s=0&amp;cv=408")</f>
        <v>https://rmda.kulib.kyoto-u.ac.jp/item/rb00002724#?c=0&amp;m=0&amp;s=0&amp;cv=408</v>
      </c>
    </row>
    <row r="650" spans="1:5" x14ac:dyDescent="0.15">
      <c r="A650" s="66" t="s">
        <v>5220</v>
      </c>
      <c r="B650" s="6" t="s">
        <v>1901</v>
      </c>
      <c r="C650" s="6">
        <v>411</v>
      </c>
      <c r="D650" s="6" t="str">
        <f>HYPERLINK("https://rmda.kulib.kyoto-u.ac.jp/item/rb00002724#?c=0&amp;m=0&amp;s=0&amp;cv=410")</f>
        <v>https://rmda.kulib.kyoto-u.ac.jp/item/rb00002724#?c=0&amp;m=0&amp;s=0&amp;cv=410</v>
      </c>
    </row>
    <row r="651" spans="1:5" x14ac:dyDescent="0.15">
      <c r="A651" s="66" t="s">
        <v>5220</v>
      </c>
      <c r="B651" s="6" t="s">
        <v>4185</v>
      </c>
      <c r="C651" s="6">
        <v>412</v>
      </c>
      <c r="D651" s="6" t="str">
        <f>HYPERLINK("https://rmda.kulib.kyoto-u.ac.jp/item/rb00002724#?c=0&amp;m=0&amp;s=0&amp;cv=411")</f>
        <v>https://rmda.kulib.kyoto-u.ac.jp/item/rb00002724#?c=0&amp;m=0&amp;s=0&amp;cv=411</v>
      </c>
    </row>
    <row r="652" spans="1:5" x14ac:dyDescent="0.15">
      <c r="A652" s="66" t="s">
        <v>5220</v>
      </c>
      <c r="B652" s="6" t="s">
        <v>1904</v>
      </c>
      <c r="C652" s="6">
        <v>413</v>
      </c>
      <c r="D652" s="6" t="str">
        <f>HYPERLINK("https://rmda.kulib.kyoto-u.ac.jp/item/rb00002724#?c=0&amp;m=0&amp;s=0&amp;cv=412")</f>
        <v>https://rmda.kulib.kyoto-u.ac.jp/item/rb00002724#?c=0&amp;m=0&amp;s=0&amp;cv=412</v>
      </c>
    </row>
    <row r="653" spans="1:5" x14ac:dyDescent="0.15">
      <c r="A653" s="66" t="s">
        <v>5220</v>
      </c>
      <c r="B653" s="6" t="s">
        <v>4186</v>
      </c>
      <c r="C653" s="6">
        <v>414</v>
      </c>
      <c r="D653" s="6" t="str">
        <f>HYPERLINK("https://rmda.kulib.kyoto-u.ac.jp/item/rb00002724#?c=0&amp;m=0&amp;s=0&amp;cv=413")</f>
        <v>https://rmda.kulib.kyoto-u.ac.jp/item/rb00002724#?c=0&amp;m=0&amp;s=0&amp;cv=413</v>
      </c>
      <c r="E653" s="64" t="s">
        <v>4187</v>
      </c>
    </row>
    <row r="654" spans="1:5" x14ac:dyDescent="0.15">
      <c r="A654" s="66" t="s">
        <v>5220</v>
      </c>
      <c r="B654" s="6" t="s">
        <v>1906</v>
      </c>
      <c r="C654" s="6">
        <v>415</v>
      </c>
      <c r="D654" s="6" t="str">
        <f>HYPERLINK("https://rmda.kulib.kyoto-u.ac.jp/item/rb00002724#?c=0&amp;m=0&amp;s=0&amp;cv=414")</f>
        <v>https://rmda.kulib.kyoto-u.ac.jp/item/rb00002724#?c=0&amp;m=0&amp;s=0&amp;cv=414</v>
      </c>
    </row>
    <row r="655" spans="1:5" x14ac:dyDescent="0.15">
      <c r="A655" s="66" t="s">
        <v>5220</v>
      </c>
      <c r="B655" s="6" t="s">
        <v>1907</v>
      </c>
      <c r="C655" s="6">
        <v>415</v>
      </c>
      <c r="D655" s="6" t="str">
        <f>HYPERLINK("https://rmda.kulib.kyoto-u.ac.jp/item/rb00002724#?c=0&amp;m=0&amp;s=0&amp;cv=414")</f>
        <v>https://rmda.kulib.kyoto-u.ac.jp/item/rb00002724#?c=0&amp;m=0&amp;s=0&amp;cv=414</v>
      </c>
    </row>
    <row r="656" spans="1:5" x14ac:dyDescent="0.15">
      <c r="A656" s="66" t="s">
        <v>5220</v>
      </c>
      <c r="B656" s="119" t="s">
        <v>5498</v>
      </c>
      <c r="C656" s="6">
        <v>423</v>
      </c>
      <c r="D656" s="6" t="str">
        <f>HYPERLINK("https://rmda.kulib.kyoto-u.ac.jp/item/rb00002724#?c=0&amp;m=0&amp;s=0&amp;cv=422")</f>
        <v>https://rmda.kulib.kyoto-u.ac.jp/item/rb00002724#?c=0&amp;m=0&amp;s=0&amp;cv=422</v>
      </c>
    </row>
    <row r="657" spans="1:5" x14ac:dyDescent="0.15">
      <c r="A657" s="66" t="s">
        <v>5220</v>
      </c>
      <c r="B657" s="6" t="s">
        <v>1908</v>
      </c>
      <c r="C657" s="6">
        <v>423</v>
      </c>
      <c r="D657" s="6" t="str">
        <f>HYPERLINK("https://rmda.kulib.kyoto-u.ac.jp/item/rb00002724#?c=0&amp;m=0&amp;s=0&amp;cv=422")</f>
        <v>https://rmda.kulib.kyoto-u.ac.jp/item/rb00002724#?c=0&amp;m=0&amp;s=0&amp;cv=422</v>
      </c>
      <c r="E657" t="s">
        <v>4181</v>
      </c>
    </row>
    <row r="658" spans="1:5" x14ac:dyDescent="0.15">
      <c r="A658" s="66" t="s">
        <v>5220</v>
      </c>
      <c r="B658" s="6" t="s">
        <v>1910</v>
      </c>
      <c r="C658" s="6">
        <v>425</v>
      </c>
      <c r="D658" s="6" t="str">
        <f>HYPERLINK("https://rmda.kulib.kyoto-u.ac.jp/item/rb00002724#?c=0&amp;m=0&amp;s=0&amp;cv=424")</f>
        <v>https://rmda.kulib.kyoto-u.ac.jp/item/rb00002724#?c=0&amp;m=0&amp;s=0&amp;cv=424</v>
      </c>
    </row>
    <row r="659" spans="1:5" x14ac:dyDescent="0.15">
      <c r="A659" s="66" t="s">
        <v>5220</v>
      </c>
      <c r="B659" s="6" t="s">
        <v>1911</v>
      </c>
      <c r="C659" s="6">
        <v>426</v>
      </c>
      <c r="D659" s="6" t="str">
        <f>HYPERLINK("https://rmda.kulib.kyoto-u.ac.jp/item/rb00002724#?c=0&amp;m=0&amp;s=0&amp;cv=425")</f>
        <v>https://rmda.kulib.kyoto-u.ac.jp/item/rb00002724#?c=0&amp;m=0&amp;s=0&amp;cv=425</v>
      </c>
    </row>
    <row r="660" spans="1:5" x14ac:dyDescent="0.15">
      <c r="A660" s="66" t="s">
        <v>5220</v>
      </c>
      <c r="B660" s="6" t="s">
        <v>1913</v>
      </c>
      <c r="C660" s="6">
        <v>427</v>
      </c>
      <c r="D660" s="6" t="str">
        <f>HYPERLINK("https://rmda.kulib.kyoto-u.ac.jp/item/rb00002724#?c=0&amp;m=0&amp;s=0&amp;cv=426")</f>
        <v>https://rmda.kulib.kyoto-u.ac.jp/item/rb00002724#?c=0&amp;m=0&amp;s=0&amp;cv=426</v>
      </c>
      <c r="E660" t="s">
        <v>4181</v>
      </c>
    </row>
    <row r="661" spans="1:5" x14ac:dyDescent="0.15">
      <c r="A661" s="66" t="s">
        <v>5220</v>
      </c>
      <c r="B661" s="6" t="s">
        <v>1914</v>
      </c>
      <c r="C661" s="6">
        <v>428</v>
      </c>
      <c r="D661" s="6" t="str">
        <f>HYPERLINK("https://rmda.kulib.kyoto-u.ac.jp/item/rb00002724#?c=0&amp;m=0&amp;s=0&amp;cv=427")</f>
        <v>https://rmda.kulib.kyoto-u.ac.jp/item/rb00002724#?c=0&amp;m=0&amp;s=0&amp;cv=427</v>
      </c>
    </row>
    <row r="662" spans="1:5" x14ac:dyDescent="0.15">
      <c r="A662" s="66" t="s">
        <v>5220</v>
      </c>
      <c r="B662" s="6" t="s">
        <v>1915</v>
      </c>
      <c r="C662" s="6">
        <v>429</v>
      </c>
      <c r="D662" s="6" t="str">
        <f>HYPERLINK("https://rmda.kulib.kyoto-u.ac.jp/item/rb00002724#?c=0&amp;m=0&amp;s=0&amp;cv=428")</f>
        <v>https://rmda.kulib.kyoto-u.ac.jp/item/rb00002724#?c=0&amp;m=0&amp;s=0&amp;cv=428</v>
      </c>
    </row>
    <row r="663" spans="1:5" x14ac:dyDescent="0.15">
      <c r="A663" s="66" t="s">
        <v>5220</v>
      </c>
      <c r="B663" s="6" t="s">
        <v>1921</v>
      </c>
      <c r="C663" s="6">
        <v>433</v>
      </c>
      <c r="D663" s="6" t="str">
        <f>HYPERLINK("https://rmda.kulib.kyoto-u.ac.jp/item/rb00002724#?c=0&amp;m=0&amp;s=0&amp;cv=432")</f>
        <v>https://rmda.kulib.kyoto-u.ac.jp/item/rb00002724#?c=0&amp;m=0&amp;s=0&amp;cv=432</v>
      </c>
    </row>
    <row r="664" spans="1:5" x14ac:dyDescent="0.15">
      <c r="A664" s="66" t="s">
        <v>5220</v>
      </c>
      <c r="B664" s="6" t="s">
        <v>1922</v>
      </c>
      <c r="C664" s="6">
        <v>434</v>
      </c>
      <c r="D664" s="6" t="str">
        <f>HYPERLINK("https://rmda.kulib.kyoto-u.ac.jp/item/rb00002724#?c=0&amp;m=0&amp;s=0&amp;cv=433")</f>
        <v>https://rmda.kulib.kyoto-u.ac.jp/item/rb00002724#?c=0&amp;m=0&amp;s=0&amp;cv=433</v>
      </c>
    </row>
    <row r="665" spans="1:5" x14ac:dyDescent="0.15">
      <c r="A665" s="66" t="s">
        <v>5220</v>
      </c>
      <c r="B665" s="6" t="s">
        <v>1924</v>
      </c>
      <c r="C665" s="6">
        <v>438</v>
      </c>
      <c r="D665" s="6" t="str">
        <f>HYPERLINK("https://rmda.kulib.kyoto-u.ac.jp/item/rb00002724#?c=0&amp;m=0&amp;s=0&amp;cv=437")</f>
        <v>https://rmda.kulib.kyoto-u.ac.jp/item/rb00002724#?c=0&amp;m=0&amp;s=0&amp;cv=437</v>
      </c>
    </row>
    <row r="666" spans="1:5" x14ac:dyDescent="0.15">
      <c r="A666" s="66" t="s">
        <v>5220</v>
      </c>
      <c r="B666" s="6" t="s">
        <v>1925</v>
      </c>
      <c r="C666" s="6">
        <v>439</v>
      </c>
      <c r="D666" s="6" t="str">
        <f>HYPERLINK("https://rmda.kulib.kyoto-u.ac.jp/item/rb00002724#?c=0&amp;m=0&amp;s=0&amp;cv=438")</f>
        <v>https://rmda.kulib.kyoto-u.ac.jp/item/rb00002724#?c=0&amp;m=0&amp;s=0&amp;cv=438</v>
      </c>
    </row>
    <row r="667" spans="1:5" x14ac:dyDescent="0.15">
      <c r="A667" s="66" t="s">
        <v>5220</v>
      </c>
      <c r="B667" s="6" t="s">
        <v>1926</v>
      </c>
      <c r="C667" s="6">
        <v>440</v>
      </c>
      <c r="D667" s="6" t="str">
        <f>HYPERLINK("https://rmda.kulib.kyoto-u.ac.jp/item/rb00002724#?c=0&amp;m=0&amp;s=0&amp;cv=439")</f>
        <v>https://rmda.kulib.kyoto-u.ac.jp/item/rb00002724#?c=0&amp;m=0&amp;s=0&amp;cv=439</v>
      </c>
    </row>
    <row r="668" spans="1:5" x14ac:dyDescent="0.15">
      <c r="A668" s="66" t="s">
        <v>5220</v>
      </c>
      <c r="B668" s="6" t="s">
        <v>1929</v>
      </c>
      <c r="C668" s="6">
        <v>442</v>
      </c>
      <c r="D668" s="6" t="str">
        <f>HYPERLINK("https://rmda.kulib.kyoto-u.ac.jp/item/rb00002724#?c=0&amp;m=0&amp;s=0&amp;cv=441")</f>
        <v>https://rmda.kulib.kyoto-u.ac.jp/item/rb00002724#?c=0&amp;m=0&amp;s=0&amp;cv=441</v>
      </c>
    </row>
    <row r="669" spans="1:5" x14ac:dyDescent="0.15">
      <c r="A669" s="66" t="s">
        <v>5220</v>
      </c>
      <c r="B669" s="6" t="s">
        <v>1931</v>
      </c>
      <c r="C669" s="6">
        <v>443</v>
      </c>
      <c r="D669" s="6" t="str">
        <f>HYPERLINK("https://rmda.kulib.kyoto-u.ac.jp/item/rb00002724#?c=0&amp;m=0&amp;s=0&amp;cv=442")</f>
        <v>https://rmda.kulib.kyoto-u.ac.jp/item/rb00002724#?c=0&amp;m=0&amp;s=0&amp;cv=442</v>
      </c>
    </row>
    <row r="670" spans="1:5" x14ac:dyDescent="0.15">
      <c r="A670" s="66" t="s">
        <v>5220</v>
      </c>
      <c r="B670" s="6" t="s">
        <v>1934</v>
      </c>
      <c r="C670" s="6">
        <v>445</v>
      </c>
      <c r="D670" s="6" t="str">
        <f>HYPERLINK("https://rmda.kulib.kyoto-u.ac.jp/item/rb00002724#?c=0&amp;m=0&amp;s=0&amp;cv=444")</f>
        <v>https://rmda.kulib.kyoto-u.ac.jp/item/rb00002724#?c=0&amp;m=0&amp;s=0&amp;cv=444</v>
      </c>
    </row>
    <row r="671" spans="1:5" x14ac:dyDescent="0.15">
      <c r="A671" s="66" t="s">
        <v>5220</v>
      </c>
      <c r="B671" s="6" t="s">
        <v>1936</v>
      </c>
      <c r="C671" s="6">
        <v>448</v>
      </c>
      <c r="D671" s="6" t="str">
        <f>HYPERLINK("https://rmda.kulib.kyoto-u.ac.jp/item/rb00002724#?c=0&amp;m=0&amp;s=0&amp;cv=447")</f>
        <v>https://rmda.kulib.kyoto-u.ac.jp/item/rb00002724#?c=0&amp;m=0&amp;s=0&amp;cv=447</v>
      </c>
    </row>
    <row r="672" spans="1:5" x14ac:dyDescent="0.15">
      <c r="A672" s="66" t="s">
        <v>5220</v>
      </c>
      <c r="B672" s="119" t="s">
        <v>5499</v>
      </c>
      <c r="C672" s="6">
        <v>451</v>
      </c>
      <c r="D672" s="6" t="str">
        <f>HYPERLINK("https://rmda.kulib.kyoto-u.ac.jp/item/rb00002724#?c=0&amp;m=0&amp;s=0&amp;cv=450")</f>
        <v>https://rmda.kulib.kyoto-u.ac.jp/item/rb00002724#?c=0&amp;m=0&amp;s=0&amp;cv=450</v>
      </c>
    </row>
    <row r="673" spans="1:4" x14ac:dyDescent="0.15">
      <c r="A673" s="66" t="s">
        <v>5220</v>
      </c>
      <c r="B673" s="6" t="s">
        <v>1938</v>
      </c>
      <c r="C673" s="6">
        <v>451</v>
      </c>
      <c r="D673" s="6" t="str">
        <f>HYPERLINK("https://rmda.kulib.kyoto-u.ac.jp/item/rb00002724#?c=0&amp;m=0&amp;s=0&amp;cv=450")</f>
        <v>https://rmda.kulib.kyoto-u.ac.jp/item/rb00002724#?c=0&amp;m=0&amp;s=0&amp;cv=450</v>
      </c>
    </row>
    <row r="674" spans="1:4" x14ac:dyDescent="0.15">
      <c r="A674" s="66" t="s">
        <v>5220</v>
      </c>
      <c r="B674" s="6" t="s">
        <v>1939</v>
      </c>
      <c r="C674" s="6">
        <v>451</v>
      </c>
      <c r="D674" s="6" t="str">
        <f>HYPERLINK("https://rmda.kulib.kyoto-u.ac.jp/item/rb00002724#?c=0&amp;m=0&amp;s=0&amp;cv=450")</f>
        <v>https://rmda.kulib.kyoto-u.ac.jp/item/rb00002724#?c=0&amp;m=0&amp;s=0&amp;cv=450</v>
      </c>
    </row>
    <row r="675" spans="1:4" x14ac:dyDescent="0.15">
      <c r="A675" s="66" t="s">
        <v>5220</v>
      </c>
      <c r="B675" s="6" t="s">
        <v>1940</v>
      </c>
      <c r="C675" s="6">
        <v>453</v>
      </c>
      <c r="D675" s="6" t="str">
        <f>HYPERLINK("https://rmda.kulib.kyoto-u.ac.jp/item/rb00002724#?c=0&amp;m=0&amp;s=0&amp;cv=452")</f>
        <v>https://rmda.kulib.kyoto-u.ac.jp/item/rb00002724#?c=0&amp;m=0&amp;s=0&amp;cv=452</v>
      </c>
    </row>
    <row r="676" spans="1:4" x14ac:dyDescent="0.15">
      <c r="A676" s="66" t="s">
        <v>5220</v>
      </c>
      <c r="B676" s="6" t="s">
        <v>1941</v>
      </c>
      <c r="C676" s="6">
        <v>453</v>
      </c>
      <c r="D676" s="6" t="str">
        <f>HYPERLINK("https://rmda.kulib.kyoto-u.ac.jp/item/rb00002724#?c=0&amp;m=0&amp;s=0&amp;cv=452")</f>
        <v>https://rmda.kulib.kyoto-u.ac.jp/item/rb00002724#?c=0&amp;m=0&amp;s=0&amp;cv=452</v>
      </c>
    </row>
    <row r="677" spans="1:4" x14ac:dyDescent="0.15">
      <c r="A677" s="66" t="s">
        <v>5220</v>
      </c>
      <c r="B677" s="6" t="s">
        <v>1944</v>
      </c>
      <c r="C677" s="6">
        <v>455</v>
      </c>
      <c r="D677" s="6" t="str">
        <f>HYPERLINK("https://rmda.kulib.kyoto-u.ac.jp/item/rb00002724#?c=0&amp;m=0&amp;s=0&amp;cv=454")</f>
        <v>https://rmda.kulib.kyoto-u.ac.jp/item/rb00002724#?c=0&amp;m=0&amp;s=0&amp;cv=454</v>
      </c>
    </row>
    <row r="678" spans="1:4" x14ac:dyDescent="0.15">
      <c r="A678" s="66" t="s">
        <v>5220</v>
      </c>
      <c r="B678" s="6" t="s">
        <v>1945</v>
      </c>
      <c r="C678" s="6">
        <v>456</v>
      </c>
      <c r="D678" s="6" t="str">
        <f>HYPERLINK("https://rmda.kulib.kyoto-u.ac.jp/item/rb00002724#?c=0&amp;m=0&amp;s=0&amp;cv=455")</f>
        <v>https://rmda.kulib.kyoto-u.ac.jp/item/rb00002724#?c=0&amp;m=0&amp;s=0&amp;cv=455</v>
      </c>
    </row>
    <row r="679" spans="1:4" x14ac:dyDescent="0.15">
      <c r="A679" s="66" t="s">
        <v>5220</v>
      </c>
      <c r="B679" s="6" t="s">
        <v>1946</v>
      </c>
      <c r="C679" s="6">
        <v>457</v>
      </c>
      <c r="D679" s="6" t="str">
        <f>HYPERLINK("https://rmda.kulib.kyoto-u.ac.jp/item/rb00002724#?c=0&amp;m=0&amp;s=0&amp;cv=456")</f>
        <v>https://rmda.kulib.kyoto-u.ac.jp/item/rb00002724#?c=0&amp;m=0&amp;s=0&amp;cv=456</v>
      </c>
    </row>
    <row r="680" spans="1:4" x14ac:dyDescent="0.15">
      <c r="A680" s="66" t="s">
        <v>5220</v>
      </c>
      <c r="B680" s="6" t="s">
        <v>1948</v>
      </c>
      <c r="C680" s="6">
        <v>458</v>
      </c>
      <c r="D680" s="6" t="str">
        <f>HYPERLINK("https://rmda.kulib.kyoto-u.ac.jp/item/rb00002724#?c=0&amp;m=0&amp;s=0&amp;cv=457")</f>
        <v>https://rmda.kulib.kyoto-u.ac.jp/item/rb00002724#?c=0&amp;m=0&amp;s=0&amp;cv=457</v>
      </c>
    </row>
    <row r="681" spans="1:4" x14ac:dyDescent="0.15">
      <c r="A681" s="66" t="s">
        <v>5220</v>
      </c>
      <c r="B681" s="6" t="s">
        <v>4166</v>
      </c>
      <c r="C681" s="6">
        <v>460</v>
      </c>
      <c r="D681" s="6" t="str">
        <f>HYPERLINK("https://rmda.kulib.kyoto-u.ac.jp/item/rb00002724#?c=0&amp;m=0&amp;s=0&amp;cv=459")</f>
        <v>https://rmda.kulib.kyoto-u.ac.jp/item/rb00002724#?c=0&amp;m=0&amp;s=0&amp;cv=459</v>
      </c>
    </row>
    <row r="682" spans="1:4" x14ac:dyDescent="0.15">
      <c r="A682" s="66" t="s">
        <v>5220</v>
      </c>
      <c r="B682" s="6" t="s">
        <v>4167</v>
      </c>
      <c r="C682" s="6">
        <v>461</v>
      </c>
      <c r="D682" s="6" t="str">
        <f>HYPERLINK("https://rmda.kulib.kyoto-u.ac.jp/item/rb00002724#?c=0&amp;m=0&amp;s=0&amp;cv=460")</f>
        <v>https://rmda.kulib.kyoto-u.ac.jp/item/rb00002724#?c=0&amp;m=0&amp;s=0&amp;cv=460</v>
      </c>
    </row>
    <row r="683" spans="1:4" x14ac:dyDescent="0.15">
      <c r="A683" s="66" t="s">
        <v>5220</v>
      </c>
      <c r="B683" s="6" t="s">
        <v>1951</v>
      </c>
      <c r="C683" s="6">
        <v>461</v>
      </c>
      <c r="D683" s="6" t="str">
        <f>HYPERLINK("https://rmda.kulib.kyoto-u.ac.jp/item/rb00002724#?c=0&amp;m=0&amp;s=0&amp;cv=460")</f>
        <v>https://rmda.kulib.kyoto-u.ac.jp/item/rb00002724#?c=0&amp;m=0&amp;s=0&amp;cv=460</v>
      </c>
    </row>
    <row r="684" spans="1:4" x14ac:dyDescent="0.15">
      <c r="A684" s="66" t="s">
        <v>5220</v>
      </c>
      <c r="B684" s="6" t="s">
        <v>1952</v>
      </c>
      <c r="C684" s="6">
        <v>462</v>
      </c>
      <c r="D684" s="6" t="str">
        <f>HYPERLINK("https://rmda.kulib.kyoto-u.ac.jp/item/rb00002724#?c=0&amp;m=0&amp;s=0&amp;cv=461")</f>
        <v>https://rmda.kulib.kyoto-u.ac.jp/item/rb00002724#?c=0&amp;m=0&amp;s=0&amp;cv=461</v>
      </c>
    </row>
    <row r="685" spans="1:4" x14ac:dyDescent="0.15">
      <c r="A685" s="66" t="s">
        <v>5220</v>
      </c>
      <c r="B685" s="6" t="s">
        <v>1954</v>
      </c>
      <c r="C685" s="6">
        <v>463</v>
      </c>
      <c r="D685" s="6" t="str">
        <f>HYPERLINK("https://rmda.kulib.kyoto-u.ac.jp/item/rb00002724#?c=0&amp;m=0&amp;s=0&amp;cv=462")</f>
        <v>https://rmda.kulib.kyoto-u.ac.jp/item/rb00002724#?c=0&amp;m=0&amp;s=0&amp;cv=462</v>
      </c>
    </row>
    <row r="686" spans="1:4" x14ac:dyDescent="0.15">
      <c r="A686" s="66" t="s">
        <v>5220</v>
      </c>
      <c r="B686" s="6" t="s">
        <v>1956</v>
      </c>
      <c r="C686" s="6">
        <v>464</v>
      </c>
      <c r="D686" s="6" t="str">
        <f>HYPERLINK("https://rmda.kulib.kyoto-u.ac.jp/item/rb00002724#?c=0&amp;m=0&amp;s=0&amp;cv=463")</f>
        <v>https://rmda.kulib.kyoto-u.ac.jp/item/rb00002724#?c=0&amp;m=0&amp;s=0&amp;cv=463</v>
      </c>
    </row>
    <row r="687" spans="1:4" x14ac:dyDescent="0.15">
      <c r="A687" s="66" t="s">
        <v>5220</v>
      </c>
      <c r="B687" s="6" t="s">
        <v>1957</v>
      </c>
      <c r="C687" s="6">
        <v>465</v>
      </c>
      <c r="D687" s="6" t="str">
        <f>HYPERLINK("https://rmda.kulib.kyoto-u.ac.jp/item/rb00002724#?c=0&amp;m=0&amp;s=0&amp;cv=464")</f>
        <v>https://rmda.kulib.kyoto-u.ac.jp/item/rb00002724#?c=0&amp;m=0&amp;s=0&amp;cv=464</v>
      </c>
    </row>
    <row r="688" spans="1:4" x14ac:dyDescent="0.15">
      <c r="A688" s="66" t="s">
        <v>5220</v>
      </c>
      <c r="B688" s="6" t="s">
        <v>1958</v>
      </c>
      <c r="C688" s="6">
        <v>465</v>
      </c>
      <c r="D688" s="6" t="str">
        <f>HYPERLINK("https://rmda.kulib.kyoto-u.ac.jp/item/rb00002724#?c=0&amp;m=0&amp;s=0&amp;cv=464")</f>
        <v>https://rmda.kulib.kyoto-u.ac.jp/item/rb00002724#?c=0&amp;m=0&amp;s=0&amp;cv=464</v>
      </c>
    </row>
    <row r="689" spans="1:5" x14ac:dyDescent="0.15">
      <c r="A689" s="66" t="s">
        <v>5220</v>
      </c>
      <c r="B689" s="119" t="s">
        <v>5500</v>
      </c>
      <c r="C689" s="6">
        <v>483</v>
      </c>
      <c r="D689" s="6" t="str">
        <f>HYPERLINK("https://rmda.kulib.kyoto-u.ac.jp/item/rb00002724#?c=0&amp;m=0&amp;s=0&amp;cv=482")</f>
        <v>https://rmda.kulib.kyoto-u.ac.jp/item/rb00002724#?c=0&amp;m=0&amp;s=0&amp;cv=482</v>
      </c>
    </row>
    <row r="690" spans="1:5" x14ac:dyDescent="0.15">
      <c r="A690" s="66" t="s">
        <v>5220</v>
      </c>
      <c r="B690" s="6" t="s">
        <v>1967</v>
      </c>
      <c r="C690" s="6">
        <v>483</v>
      </c>
      <c r="D690" s="6" t="str">
        <f>HYPERLINK("https://rmda.kulib.kyoto-u.ac.jp/item/rb00002724#?c=0&amp;m=0&amp;s=0&amp;cv=482")</f>
        <v>https://rmda.kulib.kyoto-u.ac.jp/item/rb00002724#?c=0&amp;m=0&amp;s=0&amp;cv=482</v>
      </c>
    </row>
    <row r="691" spans="1:5" x14ac:dyDescent="0.15">
      <c r="A691" s="66" t="s">
        <v>5220</v>
      </c>
      <c r="B691" s="6" t="s">
        <v>1968</v>
      </c>
      <c r="C691" s="6">
        <v>484</v>
      </c>
      <c r="D691" s="6" t="str">
        <f>HYPERLINK("https://rmda.kulib.kyoto-u.ac.jp/item/rb00002724#?c=0&amp;m=0&amp;s=0&amp;cv=483")</f>
        <v>https://rmda.kulib.kyoto-u.ac.jp/item/rb00002724#?c=0&amp;m=0&amp;s=0&amp;cv=483</v>
      </c>
    </row>
    <row r="692" spans="1:5" x14ac:dyDescent="0.15">
      <c r="A692" s="66" t="s">
        <v>5220</v>
      </c>
      <c r="B692" s="6" t="s">
        <v>1970</v>
      </c>
      <c r="C692" s="6">
        <v>484</v>
      </c>
      <c r="D692" s="6" t="str">
        <f>HYPERLINK("https://rmda.kulib.kyoto-u.ac.jp/item/rb00002724#?c=0&amp;m=0&amp;s=0&amp;cv=483")</f>
        <v>https://rmda.kulib.kyoto-u.ac.jp/item/rb00002724#?c=0&amp;m=0&amp;s=0&amp;cv=483</v>
      </c>
    </row>
    <row r="693" spans="1:5" x14ac:dyDescent="0.15">
      <c r="A693" s="66" t="s">
        <v>5220</v>
      </c>
      <c r="B693" s="6" t="s">
        <v>1972</v>
      </c>
      <c r="C693" s="6">
        <v>486</v>
      </c>
      <c r="D693" s="6" t="str">
        <f>HYPERLINK("https://rmda.kulib.kyoto-u.ac.jp/item/rb00002724#?c=0&amp;m=0&amp;s=0&amp;cv=485")</f>
        <v>https://rmda.kulib.kyoto-u.ac.jp/item/rb00002724#?c=0&amp;m=0&amp;s=0&amp;cv=485</v>
      </c>
    </row>
    <row r="694" spans="1:5" x14ac:dyDescent="0.15">
      <c r="A694" s="66" t="s">
        <v>5220</v>
      </c>
      <c r="B694" s="6" t="s">
        <v>4188</v>
      </c>
      <c r="C694" s="6">
        <v>487</v>
      </c>
      <c r="D694" s="6" t="str">
        <f>HYPERLINK("https://rmda.kulib.kyoto-u.ac.jp/item/rb00002724#?c=0&amp;m=0&amp;s=0&amp;cv=486")</f>
        <v>https://rmda.kulib.kyoto-u.ac.jp/item/rb00002724#?c=0&amp;m=0&amp;s=0&amp;cv=486</v>
      </c>
    </row>
    <row r="695" spans="1:5" x14ac:dyDescent="0.15">
      <c r="A695" s="66" t="s">
        <v>5220</v>
      </c>
      <c r="B695" s="6" t="s">
        <v>1974</v>
      </c>
      <c r="C695" s="6">
        <v>487</v>
      </c>
      <c r="D695" s="6" t="str">
        <f>HYPERLINK("https://rmda.kulib.kyoto-u.ac.jp/item/rb00002724#?c=0&amp;m=0&amp;s=0&amp;cv=486")</f>
        <v>https://rmda.kulib.kyoto-u.ac.jp/item/rb00002724#?c=0&amp;m=0&amp;s=0&amp;cv=486</v>
      </c>
    </row>
    <row r="696" spans="1:5" x14ac:dyDescent="0.15">
      <c r="A696" s="66" t="s">
        <v>5220</v>
      </c>
      <c r="B696" s="6" t="s">
        <v>1975</v>
      </c>
      <c r="C696" s="6">
        <v>488</v>
      </c>
      <c r="D696" s="6" t="str">
        <f>HYPERLINK("https://rmda.kulib.kyoto-u.ac.jp/item/rb00002724#?c=0&amp;m=0&amp;s=0&amp;cv=487")</f>
        <v>https://rmda.kulib.kyoto-u.ac.jp/item/rb00002724#?c=0&amp;m=0&amp;s=0&amp;cv=487</v>
      </c>
    </row>
    <row r="697" spans="1:5" x14ac:dyDescent="0.15">
      <c r="A697" s="66" t="s">
        <v>5220</v>
      </c>
      <c r="B697" s="6" t="s">
        <v>4168</v>
      </c>
      <c r="C697" s="6">
        <v>489</v>
      </c>
      <c r="D697" s="6" t="str">
        <f>HYPERLINK("https://rmda.kulib.kyoto-u.ac.jp/item/rb00002724#?c=0&amp;m=0&amp;s=0&amp;cv=488")</f>
        <v>https://rmda.kulib.kyoto-u.ac.jp/item/rb00002724#?c=0&amp;m=0&amp;s=0&amp;cv=488</v>
      </c>
    </row>
    <row r="698" spans="1:5" x14ac:dyDescent="0.15">
      <c r="A698" s="66" t="s">
        <v>5220</v>
      </c>
      <c r="B698" s="6" t="s">
        <v>1977</v>
      </c>
      <c r="C698" s="6">
        <v>490</v>
      </c>
      <c r="D698" s="6" t="str">
        <f>HYPERLINK("https://rmda.kulib.kyoto-u.ac.jp/item/rb00002724#?c=0&amp;m=0&amp;s=0&amp;cv=489")</f>
        <v>https://rmda.kulib.kyoto-u.ac.jp/item/rb00002724#?c=0&amp;m=0&amp;s=0&amp;cv=489</v>
      </c>
    </row>
    <row r="699" spans="1:5" x14ac:dyDescent="0.15">
      <c r="A699" s="66" t="s">
        <v>5220</v>
      </c>
      <c r="B699" s="6" t="s">
        <v>1979</v>
      </c>
      <c r="C699" s="6">
        <v>492</v>
      </c>
      <c r="D699" s="6" t="str">
        <f>HYPERLINK("https://rmda.kulib.kyoto-u.ac.jp/item/rb00002724#?c=0&amp;m=0&amp;s=0&amp;cv=491")</f>
        <v>https://rmda.kulib.kyoto-u.ac.jp/item/rb00002724#?c=0&amp;m=0&amp;s=0&amp;cv=491</v>
      </c>
    </row>
    <row r="700" spans="1:5" x14ac:dyDescent="0.15">
      <c r="A700" s="66" t="s">
        <v>5220</v>
      </c>
      <c r="B700" s="6" t="s">
        <v>1985</v>
      </c>
      <c r="C700" s="6">
        <v>503</v>
      </c>
      <c r="D700" s="6" t="str">
        <f>HYPERLINK("https://rmda.kulib.kyoto-u.ac.jp/item/rb00002724#?c=0&amp;m=0&amp;s=0&amp;cv=502")</f>
        <v>https://rmda.kulib.kyoto-u.ac.jp/item/rb00002724#?c=0&amp;m=0&amp;s=0&amp;cv=502</v>
      </c>
      <c r="E700" t="s">
        <v>4179</v>
      </c>
    </row>
    <row r="701" spans="1:5" x14ac:dyDescent="0.15">
      <c r="A701" s="66" t="s">
        <v>5220</v>
      </c>
      <c r="B701" s="6" t="s">
        <v>1986</v>
      </c>
      <c r="C701" s="6">
        <v>503</v>
      </c>
      <c r="D701" s="6" t="str">
        <f>HYPERLINK("https://rmda.kulib.kyoto-u.ac.jp/item/rb00002724#?c=0&amp;m=0&amp;s=0&amp;cv=502")</f>
        <v>https://rmda.kulib.kyoto-u.ac.jp/item/rb00002724#?c=0&amp;m=0&amp;s=0&amp;cv=502</v>
      </c>
    </row>
    <row r="702" spans="1:5" x14ac:dyDescent="0.15">
      <c r="A702" s="66" t="s">
        <v>5220</v>
      </c>
      <c r="B702" s="6" t="s">
        <v>1987</v>
      </c>
      <c r="C702" s="6">
        <v>504</v>
      </c>
      <c r="D702" s="6" t="str">
        <f>HYPERLINK("https://rmda.kulib.kyoto-u.ac.jp/item/rb00002724#?c=0&amp;m=0&amp;s=0&amp;cv=503")</f>
        <v>https://rmda.kulib.kyoto-u.ac.jp/item/rb00002724#?c=0&amp;m=0&amp;s=0&amp;cv=503</v>
      </c>
    </row>
    <row r="703" spans="1:5" x14ac:dyDescent="0.15">
      <c r="A703" s="66" t="s">
        <v>5220</v>
      </c>
      <c r="B703" s="6" t="s">
        <v>1988</v>
      </c>
      <c r="C703" s="6">
        <v>504</v>
      </c>
      <c r="D703" s="6" t="str">
        <f>HYPERLINK("https://rmda.kulib.kyoto-u.ac.jp/item/rb00002724#?c=0&amp;m=0&amp;s=0&amp;cv=503")</f>
        <v>https://rmda.kulib.kyoto-u.ac.jp/item/rb00002724#?c=0&amp;m=0&amp;s=0&amp;cv=503</v>
      </c>
    </row>
    <row r="704" spans="1:5" x14ac:dyDescent="0.15">
      <c r="A704" s="66" t="s">
        <v>5220</v>
      </c>
      <c r="B704" s="6" t="s">
        <v>1989</v>
      </c>
      <c r="C704" s="6">
        <v>505</v>
      </c>
      <c r="D704" s="6" t="str">
        <f>HYPERLINK("https://rmda.kulib.kyoto-u.ac.jp/item/rb00002724#?c=0&amp;m=0&amp;s=0&amp;cv=504")</f>
        <v>https://rmda.kulib.kyoto-u.ac.jp/item/rb00002724#?c=0&amp;m=0&amp;s=0&amp;cv=504</v>
      </c>
    </row>
    <row r="705" spans="1:5" x14ac:dyDescent="0.15">
      <c r="A705" s="66" t="s">
        <v>5220</v>
      </c>
      <c r="B705" s="6" t="s">
        <v>1990</v>
      </c>
      <c r="C705" s="6">
        <v>505</v>
      </c>
      <c r="D705" s="6" t="str">
        <f>HYPERLINK("https://rmda.kulib.kyoto-u.ac.jp/item/rb00002724#?c=0&amp;m=0&amp;s=0&amp;cv=504")</f>
        <v>https://rmda.kulib.kyoto-u.ac.jp/item/rb00002724#?c=0&amp;m=0&amp;s=0&amp;cv=504</v>
      </c>
    </row>
    <row r="706" spans="1:5" x14ac:dyDescent="0.15">
      <c r="A706" s="66" t="s">
        <v>5220</v>
      </c>
      <c r="B706" s="6" t="s">
        <v>1991</v>
      </c>
      <c r="C706" s="6">
        <v>505</v>
      </c>
      <c r="D706" s="6" t="str">
        <f>HYPERLINK("https://rmda.kulib.kyoto-u.ac.jp/item/rb00002724#?c=0&amp;m=0&amp;s=0&amp;cv=504")</f>
        <v>https://rmda.kulib.kyoto-u.ac.jp/item/rb00002724#?c=0&amp;m=0&amp;s=0&amp;cv=504</v>
      </c>
    </row>
    <row r="707" spans="1:5" x14ac:dyDescent="0.15">
      <c r="A707" s="66" t="s">
        <v>5220</v>
      </c>
      <c r="B707" s="6" t="s">
        <v>1992</v>
      </c>
      <c r="C707" s="6">
        <v>506</v>
      </c>
      <c r="D707" s="6" t="str">
        <f>HYPERLINK("https://rmda.kulib.kyoto-u.ac.jp/item/rb00002724#?c=0&amp;m=0&amp;s=0&amp;cv=505")</f>
        <v>https://rmda.kulib.kyoto-u.ac.jp/item/rb00002724#?c=0&amp;m=0&amp;s=0&amp;cv=505</v>
      </c>
    </row>
    <row r="708" spans="1:5" x14ac:dyDescent="0.15">
      <c r="A708" s="66" t="s">
        <v>5220</v>
      </c>
      <c r="B708" s="6" t="s">
        <v>1993</v>
      </c>
      <c r="C708" s="6">
        <v>508</v>
      </c>
      <c r="D708" s="6" t="str">
        <f>HYPERLINK("https://rmda.kulib.kyoto-u.ac.jp/item/rb00002724#?c=0&amp;m=0&amp;s=0&amp;cv=507")</f>
        <v>https://rmda.kulib.kyoto-u.ac.jp/item/rb00002724#?c=0&amp;m=0&amp;s=0&amp;cv=507</v>
      </c>
    </row>
    <row r="709" spans="1:5" x14ac:dyDescent="0.15">
      <c r="A709" s="66" t="s">
        <v>5220</v>
      </c>
      <c r="B709" s="6" t="s">
        <v>1995</v>
      </c>
      <c r="C709" s="6">
        <v>510</v>
      </c>
      <c r="D709" s="6" t="str">
        <f>HYPERLINK("https://rmda.kulib.kyoto-u.ac.jp/item/rb00002724#?c=0&amp;m=0&amp;s=0&amp;cv=509")</f>
        <v>https://rmda.kulib.kyoto-u.ac.jp/item/rb00002724#?c=0&amp;m=0&amp;s=0&amp;cv=509</v>
      </c>
    </row>
    <row r="710" spans="1:5" x14ac:dyDescent="0.15">
      <c r="A710" s="66" t="s">
        <v>5220</v>
      </c>
      <c r="B710" s="6" t="s">
        <v>4169</v>
      </c>
      <c r="C710" s="6">
        <v>511</v>
      </c>
      <c r="D710" s="6" t="str">
        <f>HYPERLINK("https://rmda.kulib.kyoto-u.ac.jp/item/rb00002724#?c=0&amp;m=0&amp;s=0&amp;cv=510")</f>
        <v>https://rmda.kulib.kyoto-u.ac.jp/item/rb00002724#?c=0&amp;m=0&amp;s=0&amp;cv=510</v>
      </c>
    </row>
    <row r="711" spans="1:5" x14ac:dyDescent="0.15">
      <c r="A711" s="66" t="s">
        <v>5220</v>
      </c>
      <c r="B711" s="6" t="s">
        <v>1996</v>
      </c>
      <c r="C711" s="6">
        <v>511</v>
      </c>
      <c r="D711" s="6" t="str">
        <f>HYPERLINK("https://rmda.kulib.kyoto-u.ac.jp/item/rb00002724#?c=0&amp;m=0&amp;s=0&amp;cv=510")</f>
        <v>https://rmda.kulib.kyoto-u.ac.jp/item/rb00002724#?c=0&amp;m=0&amp;s=0&amp;cv=510</v>
      </c>
    </row>
    <row r="712" spans="1:5" x14ac:dyDescent="0.15">
      <c r="A712" s="66" t="s">
        <v>5220</v>
      </c>
      <c r="B712" s="6" t="s">
        <v>1997</v>
      </c>
      <c r="C712" s="6">
        <v>512</v>
      </c>
      <c r="D712" s="6" t="str">
        <f>HYPERLINK("https://rmda.kulib.kyoto-u.ac.jp/item/rb00002724#?c=0&amp;m=0&amp;s=0&amp;cv=511")</f>
        <v>https://rmda.kulib.kyoto-u.ac.jp/item/rb00002724#?c=0&amp;m=0&amp;s=0&amp;cv=511</v>
      </c>
    </row>
    <row r="713" spans="1:5" x14ac:dyDescent="0.15">
      <c r="A713" s="66" t="s">
        <v>5220</v>
      </c>
      <c r="B713" s="6" t="s">
        <v>4170</v>
      </c>
      <c r="C713" s="6">
        <v>513</v>
      </c>
      <c r="D713" s="6" t="str">
        <f>HYPERLINK("https://rmda.kulib.kyoto-u.ac.jp/item/rb00002724#?c=0&amp;m=0&amp;s=0&amp;cv=512")</f>
        <v>https://rmda.kulib.kyoto-u.ac.jp/item/rb00002724#?c=0&amp;m=0&amp;s=0&amp;cv=512</v>
      </c>
    </row>
    <row r="714" spans="1:5" x14ac:dyDescent="0.15">
      <c r="A714" s="8" t="s">
        <v>5221</v>
      </c>
      <c r="B714" s="8" t="s">
        <v>102</v>
      </c>
      <c r="C714" s="6"/>
      <c r="D714" s="6"/>
    </row>
    <row r="715" spans="1:5" x14ac:dyDescent="0.15">
      <c r="A715" s="63" t="s">
        <v>5444</v>
      </c>
      <c r="B715" s="71" t="s">
        <v>2061</v>
      </c>
      <c r="C715" s="6"/>
      <c r="D715" s="9" t="s">
        <v>1095</v>
      </c>
      <c r="E715" s="67"/>
    </row>
    <row r="716" spans="1:5" x14ac:dyDescent="0.15">
      <c r="A716" s="6"/>
      <c r="B716" s="71" t="s">
        <v>5230</v>
      </c>
      <c r="C716" s="6"/>
      <c r="D716" s="9"/>
      <c r="E716" s="67"/>
    </row>
    <row r="717" spans="1:5" x14ac:dyDescent="0.15">
      <c r="A717" s="6" t="s">
        <v>5222</v>
      </c>
      <c r="B717" s="6" t="s">
        <v>1998</v>
      </c>
      <c r="C717" s="6">
        <v>5</v>
      </c>
      <c r="D717" s="6" t="str">
        <f>HYPERLINK("https://rmda.kulib.kyoto-u.ac.jp/item/rb00004957#?c=0&amp;m=0&amp;s=0&amp;cv=4")</f>
        <v>https://rmda.kulib.kyoto-u.ac.jp/item/rb00004957#?c=0&amp;m=0&amp;s=0&amp;cv=4</v>
      </c>
    </row>
    <row r="718" spans="1:5" x14ac:dyDescent="0.15">
      <c r="A718" s="6" t="s">
        <v>5222</v>
      </c>
      <c r="B718" s="6" t="s">
        <v>1372</v>
      </c>
      <c r="C718" s="6">
        <v>9</v>
      </c>
      <c r="D718" s="6" t="str">
        <f>HYPERLINK("https://rmda.kulib.kyoto-u.ac.jp/item/rb00004957#?c=0&amp;m=0&amp;s=0&amp;cv=8")</f>
        <v>https://rmda.kulib.kyoto-u.ac.jp/item/rb00004957#?c=0&amp;m=0&amp;s=0&amp;cv=8</v>
      </c>
    </row>
    <row r="719" spans="1:5" x14ac:dyDescent="0.15">
      <c r="A719" s="6" t="s">
        <v>5222</v>
      </c>
      <c r="B719" s="119" t="s">
        <v>5234</v>
      </c>
      <c r="C719" s="6">
        <v>23</v>
      </c>
      <c r="D719" s="6" t="str">
        <f>HYPERLINK("https://rmda.kulib.kyoto-u.ac.jp/item/rb00004957#?c=0&amp;m=0&amp;s=0&amp;cv=22")</f>
        <v>https://rmda.kulib.kyoto-u.ac.jp/item/rb00004957#?c=0&amp;m=0&amp;s=0&amp;cv=22</v>
      </c>
    </row>
    <row r="720" spans="1:5" x14ac:dyDescent="0.15">
      <c r="A720" s="6" t="s">
        <v>5222</v>
      </c>
      <c r="B720" s="6" t="s">
        <v>5235</v>
      </c>
      <c r="C720" s="6">
        <v>23</v>
      </c>
      <c r="D720" s="6" t="str">
        <f>HYPERLINK("https://rmda.kulib.kyoto-u.ac.jp/item/rb00004957#?c=0&amp;m=0&amp;s=0&amp;cv=22")</f>
        <v>https://rmda.kulib.kyoto-u.ac.jp/item/rb00004957#?c=0&amp;m=0&amp;s=0&amp;cv=22</v>
      </c>
    </row>
    <row r="721" spans="1:4" x14ac:dyDescent="0.15">
      <c r="A721" s="6" t="s">
        <v>5222</v>
      </c>
      <c r="B721" s="6" t="s">
        <v>3943</v>
      </c>
      <c r="C721" s="6">
        <v>28</v>
      </c>
      <c r="D721" s="6" t="str">
        <f>HYPERLINK("https://rmda.kulib.kyoto-u.ac.jp/item/rb00004957#?c=0&amp;m=0&amp;s=0&amp;cv=27")</f>
        <v>https://rmda.kulib.kyoto-u.ac.jp/item/rb00004957#?c=0&amp;m=0&amp;s=0&amp;cv=27</v>
      </c>
    </row>
    <row r="722" spans="1:4" x14ac:dyDescent="0.15">
      <c r="A722" s="6" t="s">
        <v>5222</v>
      </c>
      <c r="B722" s="6" t="s">
        <v>3946</v>
      </c>
      <c r="C722" s="6">
        <v>42</v>
      </c>
      <c r="D722" s="6" t="str">
        <f>HYPERLINK("https://rmda.kulib.kyoto-u.ac.jp/item/rb00004957#?c=0&amp;m=0&amp;s=0&amp;cv=41")</f>
        <v>https://rmda.kulib.kyoto-u.ac.jp/item/rb00004957#?c=0&amp;m=0&amp;s=0&amp;cv=41</v>
      </c>
    </row>
    <row r="723" spans="1:4" x14ac:dyDescent="0.15">
      <c r="A723" s="6" t="s">
        <v>5222</v>
      </c>
      <c r="B723" s="119" t="s">
        <v>5236</v>
      </c>
      <c r="C723" s="6">
        <v>43</v>
      </c>
      <c r="D723" s="6" t="str">
        <f>HYPERLINK("https://rmda.kulib.kyoto-u.ac.jp/item/rb00004957#?c=0&amp;m=0&amp;s=0&amp;cv=42")</f>
        <v>https://rmda.kulib.kyoto-u.ac.jp/item/rb00004957#?c=0&amp;m=0&amp;s=0&amp;cv=42</v>
      </c>
    </row>
    <row r="724" spans="1:4" x14ac:dyDescent="0.15">
      <c r="A724" s="6" t="s">
        <v>5222</v>
      </c>
      <c r="B724" s="6" t="s">
        <v>5237</v>
      </c>
      <c r="C724" s="6">
        <v>43</v>
      </c>
      <c r="D724" s="6" t="str">
        <f>HYPERLINK("https://rmda.kulib.kyoto-u.ac.jp/item/rb00004957#?c=0&amp;m=0&amp;s=0&amp;cv=42")</f>
        <v>https://rmda.kulib.kyoto-u.ac.jp/item/rb00004957#?c=0&amp;m=0&amp;s=0&amp;cv=42</v>
      </c>
    </row>
    <row r="725" spans="1:4" x14ac:dyDescent="0.15">
      <c r="A725" s="6" t="s">
        <v>5222</v>
      </c>
      <c r="B725" s="6" t="s">
        <v>5238</v>
      </c>
      <c r="C725" s="6">
        <v>48</v>
      </c>
      <c r="D725" s="6" t="str">
        <f>HYPERLINK("https://rmda.kulib.kyoto-u.ac.jp/item/rb00004957#?c=0&amp;m=0&amp;s=0&amp;cv=47")</f>
        <v>https://rmda.kulib.kyoto-u.ac.jp/item/rb00004957#?c=0&amp;m=0&amp;s=0&amp;cv=47</v>
      </c>
    </row>
    <row r="726" spans="1:4" x14ac:dyDescent="0.15">
      <c r="A726" s="6" t="s">
        <v>5222</v>
      </c>
      <c r="B726" s="6" t="s">
        <v>3947</v>
      </c>
      <c r="C726" s="6">
        <v>53</v>
      </c>
      <c r="D726" s="6" t="str">
        <f>HYPERLINK("https://rmda.kulib.kyoto-u.ac.jp/item/rb00004957#?c=0&amp;m=0&amp;s=0&amp;cv=52")</f>
        <v>https://rmda.kulib.kyoto-u.ac.jp/item/rb00004957#?c=0&amp;m=0&amp;s=0&amp;cv=52</v>
      </c>
    </row>
    <row r="727" spans="1:4" x14ac:dyDescent="0.15">
      <c r="A727" s="6" t="s">
        <v>5222</v>
      </c>
      <c r="B727" s="6" t="s">
        <v>3948</v>
      </c>
      <c r="C727" s="6">
        <v>54</v>
      </c>
      <c r="D727" s="6" t="str">
        <f>HYPERLINK("https://rmda.kulib.kyoto-u.ac.jp/item/rb00004957#?c=0&amp;m=0&amp;s=0&amp;cv=53")</f>
        <v>https://rmda.kulib.kyoto-u.ac.jp/item/rb00004957#?c=0&amp;m=0&amp;s=0&amp;cv=53</v>
      </c>
    </row>
    <row r="728" spans="1:4" x14ac:dyDescent="0.15">
      <c r="A728" s="6" t="s">
        <v>5222</v>
      </c>
      <c r="B728" s="6" t="s">
        <v>5239</v>
      </c>
      <c r="C728" s="6">
        <v>55</v>
      </c>
      <c r="D728" s="6" t="str">
        <f>HYPERLINK("https://rmda.kulib.kyoto-u.ac.jp/item/rb00004957#?c=0&amp;m=0&amp;s=0&amp;cv=54")</f>
        <v>https://rmda.kulib.kyoto-u.ac.jp/item/rb00004957#?c=0&amp;m=0&amp;s=0&amp;cv=54</v>
      </c>
    </row>
    <row r="729" spans="1:4" x14ac:dyDescent="0.15">
      <c r="A729" s="6" t="s">
        <v>5222</v>
      </c>
      <c r="B729" s="6" t="s">
        <v>5240</v>
      </c>
      <c r="C729" s="6">
        <v>58</v>
      </c>
      <c r="D729" s="6" t="str">
        <f>HYPERLINK("https://rmda.kulib.kyoto-u.ac.jp/item/rb00004957#?c=0&amp;m=0&amp;s=0&amp;cv=57")</f>
        <v>https://rmda.kulib.kyoto-u.ac.jp/item/rb00004957#?c=0&amp;m=0&amp;s=0&amp;cv=57</v>
      </c>
    </row>
    <row r="730" spans="1:4" x14ac:dyDescent="0.15">
      <c r="A730" s="6" t="s">
        <v>5222</v>
      </c>
      <c r="B730" s="6" t="s">
        <v>3944</v>
      </c>
      <c r="C730" s="6">
        <v>59</v>
      </c>
      <c r="D730" s="6" t="str">
        <f>HYPERLINK("https://rmda.kulib.kyoto-u.ac.jp/item/rb00004957#?c=0&amp;m=0&amp;s=0&amp;cv=58")</f>
        <v>https://rmda.kulib.kyoto-u.ac.jp/item/rb00004957#?c=0&amp;m=0&amp;s=0&amp;cv=58</v>
      </c>
    </row>
    <row r="731" spans="1:4" x14ac:dyDescent="0.15">
      <c r="A731" s="6" t="s">
        <v>5222</v>
      </c>
      <c r="B731" s="119" t="s">
        <v>5241</v>
      </c>
      <c r="C731" s="6">
        <v>63</v>
      </c>
      <c r="D731" s="6" t="str">
        <f>HYPERLINK("https://rmda.kulib.kyoto-u.ac.jp/item/rb00004957#?c=0&amp;m=0&amp;s=0&amp;cv=62")</f>
        <v>https://rmda.kulib.kyoto-u.ac.jp/item/rb00004957#?c=0&amp;m=0&amp;s=0&amp;cv=62</v>
      </c>
    </row>
    <row r="732" spans="1:4" x14ac:dyDescent="0.15">
      <c r="A732" s="6" t="s">
        <v>5222</v>
      </c>
      <c r="B732" s="6" t="s">
        <v>5242</v>
      </c>
      <c r="C732" s="6">
        <v>63</v>
      </c>
      <c r="D732" s="6" t="str">
        <f>HYPERLINK("https://rmda.kulib.kyoto-u.ac.jp/item/rb00004957#?c=0&amp;m=0&amp;s=0&amp;cv=62")</f>
        <v>https://rmda.kulib.kyoto-u.ac.jp/item/rb00004957#?c=0&amp;m=0&amp;s=0&amp;cv=62</v>
      </c>
    </row>
    <row r="733" spans="1:4" x14ac:dyDescent="0.15">
      <c r="A733" s="6" t="s">
        <v>5222</v>
      </c>
      <c r="B733" s="6" t="s">
        <v>5243</v>
      </c>
      <c r="C733" s="6">
        <v>69</v>
      </c>
      <c r="D733" s="6" t="str">
        <f>HYPERLINK("https://rmda.kulib.kyoto-u.ac.jp/item/rb00004957#?c=0&amp;m=0&amp;s=0&amp;cv=68")</f>
        <v>https://rmda.kulib.kyoto-u.ac.jp/item/rb00004957#?c=0&amp;m=0&amp;s=0&amp;cv=68</v>
      </c>
    </row>
    <row r="734" spans="1:4" x14ac:dyDescent="0.15">
      <c r="A734" s="6" t="s">
        <v>5222</v>
      </c>
      <c r="B734" s="6" t="s">
        <v>5244</v>
      </c>
      <c r="C734" s="6">
        <v>74</v>
      </c>
      <c r="D734" s="6" t="str">
        <f>HYPERLINK("https://rmda.kulib.kyoto-u.ac.jp/item/rb00004957#?c=0&amp;m=0&amp;s=0&amp;cv=73")</f>
        <v>https://rmda.kulib.kyoto-u.ac.jp/item/rb00004957#?c=0&amp;m=0&amp;s=0&amp;cv=73</v>
      </c>
    </row>
    <row r="735" spans="1:4" x14ac:dyDescent="0.15">
      <c r="A735" s="6" t="s">
        <v>5222</v>
      </c>
      <c r="B735" s="6" t="s">
        <v>5245</v>
      </c>
      <c r="C735" s="6">
        <v>78</v>
      </c>
      <c r="D735" s="6" t="str">
        <f>HYPERLINK("https://rmda.kulib.kyoto-u.ac.jp/item/rb00004957#?c=0&amp;m=0&amp;s=0&amp;cv=77")</f>
        <v>https://rmda.kulib.kyoto-u.ac.jp/item/rb00004957#?c=0&amp;m=0&amp;s=0&amp;cv=77</v>
      </c>
    </row>
    <row r="736" spans="1:4" x14ac:dyDescent="0.15">
      <c r="A736" s="6" t="s">
        <v>5222</v>
      </c>
      <c r="B736" s="119" t="s">
        <v>5246</v>
      </c>
      <c r="C736" s="6">
        <v>87</v>
      </c>
      <c r="D736" s="6" t="str">
        <f>HYPERLINK("https://rmda.kulib.kyoto-u.ac.jp/item/rb00004957#?c=0&amp;m=0&amp;s=0&amp;cv=86")</f>
        <v>https://rmda.kulib.kyoto-u.ac.jp/item/rb00004957#?c=0&amp;m=0&amp;s=0&amp;cv=86</v>
      </c>
    </row>
    <row r="737" spans="1:5" x14ac:dyDescent="0.15">
      <c r="A737" s="6" t="s">
        <v>5222</v>
      </c>
      <c r="B737" s="6" t="s">
        <v>5247</v>
      </c>
      <c r="C737" s="6">
        <v>87</v>
      </c>
      <c r="D737" s="6" t="str">
        <f>HYPERLINK("https://rmda.kulib.kyoto-u.ac.jp/item/rb00004957#?c=0&amp;m=0&amp;s=0&amp;cv=86")</f>
        <v>https://rmda.kulib.kyoto-u.ac.jp/item/rb00004957#?c=0&amp;m=0&amp;s=0&amp;cv=86</v>
      </c>
    </row>
    <row r="738" spans="1:5" x14ac:dyDescent="0.15">
      <c r="A738" s="6" t="s">
        <v>5222</v>
      </c>
      <c r="B738" s="6" t="s">
        <v>5248</v>
      </c>
      <c r="C738" s="6">
        <v>90</v>
      </c>
      <c r="D738" s="6" t="str">
        <f>HYPERLINK("https://rmda.kulib.kyoto-u.ac.jp/item/rb00004957#?c=0&amp;m=0&amp;s=0&amp;cv=89")</f>
        <v>https://rmda.kulib.kyoto-u.ac.jp/item/rb00004957#?c=0&amp;m=0&amp;s=0&amp;cv=89</v>
      </c>
    </row>
    <row r="739" spans="1:5" x14ac:dyDescent="0.15">
      <c r="A739" s="6" t="s">
        <v>5222</v>
      </c>
      <c r="B739" s="6" t="s">
        <v>5249</v>
      </c>
      <c r="C739" s="6">
        <v>93</v>
      </c>
      <c r="D739" s="6" t="str">
        <f>HYPERLINK("https://rmda.kulib.kyoto-u.ac.jp/item/rb00004957#?c=0&amp;m=0&amp;s=0&amp;cv=92")</f>
        <v>https://rmda.kulib.kyoto-u.ac.jp/item/rb00004957#?c=0&amp;m=0&amp;s=0&amp;cv=92</v>
      </c>
    </row>
    <row r="740" spans="1:5" x14ac:dyDescent="0.15">
      <c r="A740" s="6" t="s">
        <v>5222</v>
      </c>
      <c r="B740" s="6" t="s">
        <v>5250</v>
      </c>
      <c r="C740" s="6">
        <v>96</v>
      </c>
      <c r="D740" s="6" t="str">
        <f>HYPERLINK("https://rmda.kulib.kyoto-u.ac.jp/item/rb00004957#?c=0&amp;m=0&amp;s=0&amp;cv=95")</f>
        <v>https://rmda.kulib.kyoto-u.ac.jp/item/rb00004957#?c=0&amp;m=0&amp;s=0&amp;cv=95</v>
      </c>
    </row>
    <row r="741" spans="1:5" x14ac:dyDescent="0.15">
      <c r="A741" s="6" t="s">
        <v>5222</v>
      </c>
      <c r="B741" s="6" t="s">
        <v>5251</v>
      </c>
      <c r="C741" s="6">
        <v>99</v>
      </c>
      <c r="D741" s="6" t="str">
        <f>HYPERLINK("https://rmda.kulib.kyoto-u.ac.jp/item/rb00004957#?c=0&amp;m=0&amp;s=0&amp;cv=98")</f>
        <v>https://rmda.kulib.kyoto-u.ac.jp/item/rb00004957#?c=0&amp;m=0&amp;s=0&amp;cv=98</v>
      </c>
    </row>
    <row r="742" spans="1:5" x14ac:dyDescent="0.15">
      <c r="A742" s="6" t="s">
        <v>5222</v>
      </c>
      <c r="B742" s="119" t="s">
        <v>5252</v>
      </c>
      <c r="C742" s="6">
        <v>107</v>
      </c>
      <c r="D742" s="6" t="str">
        <f>HYPERLINK("https://rmda.kulib.kyoto-u.ac.jp/item/rb00004957#?c=0&amp;m=0&amp;s=0&amp;cv=106")</f>
        <v>https://rmda.kulib.kyoto-u.ac.jp/item/rb00004957#?c=0&amp;m=0&amp;s=0&amp;cv=106</v>
      </c>
    </row>
    <row r="743" spans="1:5" x14ac:dyDescent="0.15">
      <c r="A743" s="6" t="s">
        <v>5222</v>
      </c>
      <c r="B743" s="6" t="s">
        <v>5253</v>
      </c>
      <c r="C743" s="6">
        <v>107</v>
      </c>
      <c r="D743" s="6" t="str">
        <f>HYPERLINK("https://rmda.kulib.kyoto-u.ac.jp/item/rb00004957#?c=0&amp;m=0&amp;s=0&amp;cv=106")</f>
        <v>https://rmda.kulib.kyoto-u.ac.jp/item/rb00004957#?c=0&amp;m=0&amp;s=0&amp;cv=106</v>
      </c>
    </row>
    <row r="744" spans="1:5" x14ac:dyDescent="0.15">
      <c r="A744" s="6" t="s">
        <v>5222</v>
      </c>
      <c r="B744" s="6" t="s">
        <v>5254</v>
      </c>
      <c r="C744" s="6">
        <v>110</v>
      </c>
      <c r="D744" s="6" t="str">
        <f>HYPERLINK("https://rmda.kulib.kyoto-u.ac.jp/item/rb00004957#?c=0&amp;m=0&amp;s=0&amp;cv=109")</f>
        <v>https://rmda.kulib.kyoto-u.ac.jp/item/rb00004957#?c=0&amp;m=0&amp;s=0&amp;cv=109</v>
      </c>
    </row>
    <row r="745" spans="1:5" x14ac:dyDescent="0.15">
      <c r="A745" s="6" t="s">
        <v>5222</v>
      </c>
      <c r="B745" s="6" t="s">
        <v>5255</v>
      </c>
      <c r="C745" s="6">
        <v>113</v>
      </c>
      <c r="D745" s="6" t="str">
        <f>HYPERLINK("https://rmda.kulib.kyoto-u.ac.jp/item/rb00004957#?c=0&amp;m=0&amp;s=0&amp;cv=112")</f>
        <v>https://rmda.kulib.kyoto-u.ac.jp/item/rb00004957#?c=0&amp;m=0&amp;s=0&amp;cv=112</v>
      </c>
    </row>
    <row r="746" spans="1:5" x14ac:dyDescent="0.15">
      <c r="A746" s="6" t="s">
        <v>5222</v>
      </c>
      <c r="B746" s="6" t="s">
        <v>3949</v>
      </c>
      <c r="C746" s="6">
        <v>114</v>
      </c>
      <c r="D746" s="6" t="str">
        <f>HYPERLINK("https://rmda.kulib.kyoto-u.ac.jp/item/rb00004957#?c=0&amp;m=0&amp;s=0&amp;cv=113")</f>
        <v>https://rmda.kulib.kyoto-u.ac.jp/item/rb00004957#?c=0&amp;m=0&amp;s=0&amp;cv=113</v>
      </c>
    </row>
    <row r="747" spans="1:5" x14ac:dyDescent="0.15">
      <c r="A747" s="6" t="s">
        <v>5222</v>
      </c>
      <c r="B747" s="6" t="s">
        <v>3950</v>
      </c>
      <c r="C747" s="6">
        <v>119</v>
      </c>
      <c r="D747" s="6" t="str">
        <f>HYPERLINK("https://rmda.kulib.kyoto-u.ac.jp/item/rb00004957#?c=0&amp;m=0&amp;s=0&amp;cv=118")</f>
        <v>https://rmda.kulib.kyoto-u.ac.jp/item/rb00004957#?c=0&amp;m=0&amp;s=0&amp;cv=118</v>
      </c>
    </row>
    <row r="748" spans="1:5" x14ac:dyDescent="0.15">
      <c r="A748" s="6" t="s">
        <v>5222</v>
      </c>
      <c r="B748" s="119" t="s">
        <v>5256</v>
      </c>
      <c r="C748" s="6">
        <v>123</v>
      </c>
      <c r="D748" s="6" t="str">
        <f>HYPERLINK("https://rmda.kulib.kyoto-u.ac.jp/item/rb00004957#?c=0&amp;m=0&amp;s=0&amp;cv=122")</f>
        <v>https://rmda.kulib.kyoto-u.ac.jp/item/rb00004957#?c=0&amp;m=0&amp;s=0&amp;cv=122</v>
      </c>
    </row>
    <row r="749" spans="1:5" x14ac:dyDescent="0.15">
      <c r="A749" s="6" t="s">
        <v>5222</v>
      </c>
      <c r="B749" s="6" t="s">
        <v>5257</v>
      </c>
      <c r="C749" s="6">
        <v>123</v>
      </c>
      <c r="D749" s="6" t="str">
        <f>HYPERLINK("https://rmda.kulib.kyoto-u.ac.jp/item/rb00004957#?c=0&amp;m=0&amp;s=0&amp;cv=122")</f>
        <v>https://rmda.kulib.kyoto-u.ac.jp/item/rb00004957#?c=0&amp;m=0&amp;s=0&amp;cv=122</v>
      </c>
    </row>
    <row r="750" spans="1:5" x14ac:dyDescent="0.15">
      <c r="A750" s="6" t="s">
        <v>5222</v>
      </c>
      <c r="B750" s="6" t="s">
        <v>5258</v>
      </c>
      <c r="C750" s="6">
        <v>127</v>
      </c>
      <c r="D750" s="6" t="str">
        <f>HYPERLINK("https://rmda.kulib.kyoto-u.ac.jp/item/rb00004957#?c=0&amp;m=0&amp;s=0&amp;cv=126")</f>
        <v>https://rmda.kulib.kyoto-u.ac.jp/item/rb00004957#?c=0&amp;m=0&amp;s=0&amp;cv=126</v>
      </c>
      <c r="E750" s="59" t="s">
        <v>5429</v>
      </c>
    </row>
    <row r="751" spans="1:5" x14ac:dyDescent="0.15">
      <c r="A751" s="6" t="s">
        <v>5222</v>
      </c>
      <c r="B751" s="6" t="s">
        <v>3951</v>
      </c>
      <c r="C751" s="6">
        <v>131</v>
      </c>
      <c r="D751" s="6" t="str">
        <f>HYPERLINK("https://rmda.kulib.kyoto-u.ac.jp/item/rb00004957#?c=0&amp;m=0&amp;s=0&amp;cv=130")</f>
        <v>https://rmda.kulib.kyoto-u.ac.jp/item/rb00004957#?c=0&amp;m=0&amp;s=0&amp;cv=130</v>
      </c>
    </row>
    <row r="752" spans="1:5" x14ac:dyDescent="0.15">
      <c r="A752" s="6" t="s">
        <v>5222</v>
      </c>
      <c r="B752" s="119" t="s">
        <v>5259</v>
      </c>
      <c r="C752" s="6">
        <v>135</v>
      </c>
      <c r="D752" s="6" t="str">
        <f>HYPERLINK("https://rmda.kulib.kyoto-u.ac.jp/item/rb00004957#?c=0&amp;m=0&amp;s=0&amp;cv=134")</f>
        <v>https://rmda.kulib.kyoto-u.ac.jp/item/rb00004957#?c=0&amp;m=0&amp;s=0&amp;cv=134</v>
      </c>
    </row>
    <row r="753" spans="1:4" x14ac:dyDescent="0.15">
      <c r="A753" s="6" t="s">
        <v>5222</v>
      </c>
      <c r="B753" s="6" t="s">
        <v>5260</v>
      </c>
      <c r="C753" s="6">
        <v>135</v>
      </c>
      <c r="D753" s="6" t="str">
        <f>HYPERLINK("https://rmda.kulib.kyoto-u.ac.jp/item/rb00004957#?c=0&amp;m=0&amp;s=0&amp;cv=134")</f>
        <v>https://rmda.kulib.kyoto-u.ac.jp/item/rb00004957#?c=0&amp;m=0&amp;s=0&amp;cv=134</v>
      </c>
    </row>
    <row r="754" spans="1:4" x14ac:dyDescent="0.15">
      <c r="A754" s="6" t="s">
        <v>5222</v>
      </c>
      <c r="B754" s="6" t="s">
        <v>5261</v>
      </c>
      <c r="C754" s="6">
        <v>139</v>
      </c>
      <c r="D754" s="6" t="str">
        <f>HYPERLINK("https://rmda.kulib.kyoto-u.ac.jp/item/rb00004957#?c=0&amp;m=0&amp;s=0&amp;cv=138")</f>
        <v>https://rmda.kulib.kyoto-u.ac.jp/item/rb00004957#?c=0&amp;m=0&amp;s=0&amp;cv=138</v>
      </c>
    </row>
    <row r="755" spans="1:4" x14ac:dyDescent="0.15">
      <c r="A755" s="6" t="s">
        <v>5222</v>
      </c>
      <c r="B755" s="6" t="s">
        <v>5262</v>
      </c>
      <c r="C755" s="6">
        <v>142</v>
      </c>
      <c r="D755" s="6" t="str">
        <f>HYPERLINK("https://rmda.kulib.kyoto-u.ac.jp/item/rb00004957#?c=0&amp;m=0&amp;s=0&amp;cv=141")</f>
        <v>https://rmda.kulib.kyoto-u.ac.jp/item/rb00004957#?c=0&amp;m=0&amp;s=0&amp;cv=141</v>
      </c>
    </row>
    <row r="756" spans="1:4" x14ac:dyDescent="0.15">
      <c r="A756" s="6" t="s">
        <v>5222</v>
      </c>
      <c r="B756" s="6" t="s">
        <v>3952</v>
      </c>
      <c r="C756" s="6">
        <v>142</v>
      </c>
      <c r="D756" s="6" t="str">
        <f>HYPERLINK("https://rmda.kulib.kyoto-u.ac.jp/item/rb00004957#?c=0&amp;m=0&amp;s=0&amp;cv=141")</f>
        <v>https://rmda.kulib.kyoto-u.ac.jp/item/rb00004957#?c=0&amp;m=0&amp;s=0&amp;cv=141</v>
      </c>
    </row>
    <row r="757" spans="1:4" x14ac:dyDescent="0.15">
      <c r="A757" s="6" t="s">
        <v>5222</v>
      </c>
      <c r="B757" s="119" t="s">
        <v>5263</v>
      </c>
      <c r="C757" s="6">
        <v>151</v>
      </c>
      <c r="D757" s="6" t="str">
        <f>HYPERLINK("https://rmda.kulib.kyoto-u.ac.jp/item/rb00004957#?c=0&amp;m=0&amp;s=0&amp;cv=150")</f>
        <v>https://rmda.kulib.kyoto-u.ac.jp/item/rb00004957#?c=0&amp;m=0&amp;s=0&amp;cv=150</v>
      </c>
    </row>
    <row r="758" spans="1:4" x14ac:dyDescent="0.15">
      <c r="A758" s="6" t="s">
        <v>5222</v>
      </c>
      <c r="B758" s="6" t="s">
        <v>5264</v>
      </c>
      <c r="C758" s="6">
        <v>151</v>
      </c>
      <c r="D758" s="6" t="str">
        <f>HYPERLINK("https://rmda.kulib.kyoto-u.ac.jp/item/rb00004957#?c=0&amp;m=0&amp;s=0&amp;cv=150")</f>
        <v>https://rmda.kulib.kyoto-u.ac.jp/item/rb00004957#?c=0&amp;m=0&amp;s=0&amp;cv=150</v>
      </c>
    </row>
    <row r="759" spans="1:4" x14ac:dyDescent="0.15">
      <c r="A759" s="6" t="s">
        <v>5222</v>
      </c>
      <c r="B759" s="6" t="s">
        <v>3953</v>
      </c>
      <c r="C759" s="6">
        <v>163</v>
      </c>
      <c r="D759" s="6" t="str">
        <f>HYPERLINK("https://rmda.kulib.kyoto-u.ac.jp/item/rb00004957#?c=0&amp;m=0&amp;s=0&amp;cv=162")</f>
        <v>https://rmda.kulib.kyoto-u.ac.jp/item/rb00004957#?c=0&amp;m=0&amp;s=0&amp;cv=162</v>
      </c>
    </row>
    <row r="760" spans="1:4" x14ac:dyDescent="0.15">
      <c r="A760" s="6" t="s">
        <v>5222</v>
      </c>
      <c r="B760" s="119" t="s">
        <v>5265</v>
      </c>
      <c r="C760" s="6">
        <v>171</v>
      </c>
      <c r="D760" s="6" t="str">
        <f>HYPERLINK("https://rmda.kulib.kyoto-u.ac.jp/item/rb00004957#?c=0&amp;m=0&amp;s=0&amp;cv=170")</f>
        <v>https://rmda.kulib.kyoto-u.ac.jp/item/rb00004957#?c=0&amp;m=0&amp;s=0&amp;cv=170</v>
      </c>
    </row>
    <row r="761" spans="1:4" x14ac:dyDescent="0.15">
      <c r="A761" s="6" t="s">
        <v>5222</v>
      </c>
      <c r="B761" s="6" t="s">
        <v>5266</v>
      </c>
      <c r="C761" s="6">
        <v>171</v>
      </c>
      <c r="D761" s="6" t="str">
        <f>HYPERLINK("https://rmda.kulib.kyoto-u.ac.jp/item/rb00004957#?c=0&amp;m=0&amp;s=0&amp;cv=170")</f>
        <v>https://rmda.kulib.kyoto-u.ac.jp/item/rb00004957#?c=0&amp;m=0&amp;s=0&amp;cv=170</v>
      </c>
    </row>
    <row r="762" spans="1:4" x14ac:dyDescent="0.15">
      <c r="A762" s="6" t="s">
        <v>5222</v>
      </c>
      <c r="B762" s="6" t="s">
        <v>3954</v>
      </c>
      <c r="C762" s="6">
        <v>171</v>
      </c>
      <c r="D762" s="6" t="str">
        <f>HYPERLINK("https://rmda.kulib.kyoto-u.ac.jp/item/rb00004957#?c=0&amp;m=0&amp;s=0&amp;cv=170")</f>
        <v>https://rmda.kulib.kyoto-u.ac.jp/item/rb00004957#?c=0&amp;m=0&amp;s=0&amp;cv=170</v>
      </c>
    </row>
    <row r="763" spans="1:4" x14ac:dyDescent="0.15">
      <c r="A763" s="6" t="s">
        <v>5222</v>
      </c>
      <c r="B763" s="6" t="s">
        <v>3955</v>
      </c>
      <c r="C763" s="6">
        <v>175</v>
      </c>
      <c r="D763" s="6" t="str">
        <f>HYPERLINK("https://rmda.kulib.kyoto-u.ac.jp/item/rb00004957#?c=0&amp;m=0&amp;s=0&amp;cv=174")</f>
        <v>https://rmda.kulib.kyoto-u.ac.jp/item/rb00004957#?c=0&amp;m=0&amp;s=0&amp;cv=174</v>
      </c>
    </row>
    <row r="764" spans="1:4" x14ac:dyDescent="0.15">
      <c r="A764" s="6" t="s">
        <v>5222</v>
      </c>
      <c r="B764" s="119" t="s">
        <v>5267</v>
      </c>
      <c r="C764" s="6">
        <v>192</v>
      </c>
      <c r="D764" s="6" t="str">
        <f>HYPERLINK("https://rmda.kulib.kyoto-u.ac.jp/item/rb00004957#?c=0&amp;m=0&amp;s=0&amp;cv=191")</f>
        <v>https://rmda.kulib.kyoto-u.ac.jp/item/rb00004957#?c=0&amp;m=0&amp;s=0&amp;cv=191</v>
      </c>
    </row>
    <row r="765" spans="1:4" x14ac:dyDescent="0.15">
      <c r="A765" s="6" t="s">
        <v>5222</v>
      </c>
      <c r="B765" s="6" t="s">
        <v>5268</v>
      </c>
      <c r="C765" s="6">
        <v>192</v>
      </c>
      <c r="D765" s="6" t="str">
        <f>HYPERLINK("https://rmda.kulib.kyoto-u.ac.jp/item/rb00004957#?c=0&amp;m=0&amp;s=0&amp;cv=191")</f>
        <v>https://rmda.kulib.kyoto-u.ac.jp/item/rb00004957#?c=0&amp;m=0&amp;s=0&amp;cv=191</v>
      </c>
    </row>
    <row r="766" spans="1:4" x14ac:dyDescent="0.15">
      <c r="A766" s="6" t="s">
        <v>5222</v>
      </c>
      <c r="B766" s="6" t="s">
        <v>5269</v>
      </c>
      <c r="C766" s="6">
        <v>204</v>
      </c>
      <c r="D766" s="6" t="str">
        <f>HYPERLINK("https://rmda.kulib.kyoto-u.ac.jp/item/rb00004957#?c=0&amp;m=0&amp;s=0&amp;cv=203")</f>
        <v>https://rmda.kulib.kyoto-u.ac.jp/item/rb00004957#?c=0&amp;m=0&amp;s=0&amp;cv=203</v>
      </c>
    </row>
    <row r="767" spans="1:4" x14ac:dyDescent="0.15">
      <c r="A767" s="6" t="s">
        <v>5222</v>
      </c>
      <c r="B767" s="6" t="s">
        <v>3945</v>
      </c>
      <c r="C767" s="6">
        <v>210</v>
      </c>
      <c r="D767" s="6" t="str">
        <f>HYPERLINK("https://rmda.kulib.kyoto-u.ac.jp/item/rb00004957#?c=0&amp;m=0&amp;s=0&amp;cv=209")</f>
        <v>https://rmda.kulib.kyoto-u.ac.jp/item/rb00004957#?c=0&amp;m=0&amp;s=0&amp;cv=209</v>
      </c>
    </row>
    <row r="768" spans="1:4" x14ac:dyDescent="0.15">
      <c r="A768" s="8" t="s">
        <v>5502</v>
      </c>
      <c r="B768" s="72"/>
      <c r="C768" s="6">
        <v>219</v>
      </c>
      <c r="D768" s="6" t="str">
        <f>HYPERLINK("https://rmda.kulib.kyoto-u.ac.jp/item/rb00004957#?c=0&amp;m=0&amp;s=0&amp;cv=218")</f>
        <v>https://rmda.kulib.kyoto-u.ac.jp/item/rb00004957#?c=0&amp;m=0&amp;s=0&amp;cv=218</v>
      </c>
    </row>
    <row r="769" spans="1:4" x14ac:dyDescent="0.15">
      <c r="A769" s="63" t="s">
        <v>5503</v>
      </c>
      <c r="B769" s="71" t="s">
        <v>2061</v>
      </c>
      <c r="C769" s="6">
        <v>219</v>
      </c>
      <c r="D769" s="6" t="str">
        <f>HYPERLINK("https://rmda.kulib.kyoto-u.ac.jp/item/rb00004957#?c=0&amp;m=0&amp;s=0&amp;cv=218")</f>
        <v>https://rmda.kulib.kyoto-u.ac.jp/item/rb00004957#?c=0&amp;m=0&amp;s=0&amp;cv=218</v>
      </c>
    </row>
    <row r="770" spans="1:4" x14ac:dyDescent="0.15">
      <c r="A770" s="67" t="s">
        <v>104</v>
      </c>
      <c r="B770" s="119" t="s">
        <v>5501</v>
      </c>
      <c r="C770" s="6">
        <v>219</v>
      </c>
      <c r="D770" s="6" t="str">
        <f>HYPERLINK("https://rmda.kulib.kyoto-u.ac.jp/item/rb00004957#?c=0&amp;m=0&amp;s=0&amp;cv=218")</f>
        <v>https://rmda.kulib.kyoto-u.ac.jp/item/rb00004957#?c=0&amp;m=0&amp;s=0&amp;cv=218</v>
      </c>
    </row>
    <row r="771" spans="1:4" x14ac:dyDescent="0.15">
      <c r="A771" s="67" t="s">
        <v>104</v>
      </c>
      <c r="B771" s="119" t="s">
        <v>5289</v>
      </c>
      <c r="C771" s="6">
        <v>227</v>
      </c>
      <c r="D771" s="6" t="str">
        <f>HYPERLINK("https://rmda.kulib.kyoto-u.ac.jp/item/rb00004957#?c=0&amp;m=0&amp;s=0&amp;cv=226")</f>
        <v>https://rmda.kulib.kyoto-u.ac.jp/item/rb00004957#?c=0&amp;m=0&amp;s=0&amp;cv=226</v>
      </c>
    </row>
    <row r="772" spans="1:4" x14ac:dyDescent="0.15">
      <c r="A772" s="67" t="s">
        <v>104</v>
      </c>
      <c r="B772" s="6" t="s">
        <v>5290</v>
      </c>
      <c r="C772" s="6">
        <v>227</v>
      </c>
      <c r="D772" s="6" t="str">
        <f>HYPERLINK("https://rmda.kulib.kyoto-u.ac.jp/item/rb00004957#?c=0&amp;m=0&amp;s=0&amp;cv=226")</f>
        <v>https://rmda.kulib.kyoto-u.ac.jp/item/rb00004957#?c=0&amp;m=0&amp;s=0&amp;cv=226</v>
      </c>
    </row>
    <row r="773" spans="1:4" x14ac:dyDescent="0.15">
      <c r="A773" s="67" t="s">
        <v>104</v>
      </c>
      <c r="B773" s="119" t="s">
        <v>5291</v>
      </c>
      <c r="C773" s="6">
        <v>236</v>
      </c>
      <c r="D773" s="6" t="str">
        <f>HYPERLINK("https://rmda.kulib.kyoto-u.ac.jp/item/rb00004957#?c=0&amp;m=0&amp;s=0&amp;cv=235")</f>
        <v>https://rmda.kulib.kyoto-u.ac.jp/item/rb00004957#?c=0&amp;m=0&amp;s=0&amp;cv=235</v>
      </c>
    </row>
    <row r="774" spans="1:4" x14ac:dyDescent="0.15">
      <c r="A774" s="67" t="s">
        <v>104</v>
      </c>
      <c r="B774" s="6" t="s">
        <v>5292</v>
      </c>
      <c r="C774" s="6">
        <v>236</v>
      </c>
      <c r="D774" s="6" t="str">
        <f>HYPERLINK("https://rmda.kulib.kyoto-u.ac.jp/item/rb00004957#?c=0&amp;m=0&amp;s=0&amp;cv=235")</f>
        <v>https://rmda.kulib.kyoto-u.ac.jp/item/rb00004957#?c=0&amp;m=0&amp;s=0&amp;cv=235</v>
      </c>
    </row>
    <row r="775" spans="1:4" x14ac:dyDescent="0.15">
      <c r="A775" s="67" t="s">
        <v>104</v>
      </c>
      <c r="B775" s="6" t="s">
        <v>5293</v>
      </c>
      <c r="C775" s="6">
        <v>239</v>
      </c>
      <c r="D775" s="6" t="str">
        <f>HYPERLINK("https://rmda.kulib.kyoto-u.ac.jp/item/rb00004957#?c=0&amp;m=0&amp;s=0&amp;cv=238")</f>
        <v>https://rmda.kulib.kyoto-u.ac.jp/item/rb00004957#?c=0&amp;m=0&amp;s=0&amp;cv=238</v>
      </c>
    </row>
    <row r="776" spans="1:4" x14ac:dyDescent="0.15">
      <c r="A776" s="67" t="s">
        <v>104</v>
      </c>
      <c r="B776" s="119" t="s">
        <v>5294</v>
      </c>
      <c r="C776" s="6">
        <v>246</v>
      </c>
      <c r="D776" s="6" t="str">
        <f>HYPERLINK("https://rmda.kulib.kyoto-u.ac.jp/item/rb00004957#?c=0&amp;m=0&amp;s=0&amp;cv=245")</f>
        <v>https://rmda.kulib.kyoto-u.ac.jp/item/rb00004957#?c=0&amp;m=0&amp;s=0&amp;cv=245</v>
      </c>
    </row>
    <row r="777" spans="1:4" x14ac:dyDescent="0.15">
      <c r="A777" s="67" t="s">
        <v>104</v>
      </c>
      <c r="B777" s="6" t="s">
        <v>5295</v>
      </c>
      <c r="C777" s="6">
        <v>246</v>
      </c>
      <c r="D777" s="6" t="str">
        <f>HYPERLINK("https://rmda.kulib.kyoto-u.ac.jp/item/rb00004957#?c=0&amp;m=0&amp;s=0&amp;cv=245")</f>
        <v>https://rmda.kulib.kyoto-u.ac.jp/item/rb00004957#?c=0&amp;m=0&amp;s=0&amp;cv=245</v>
      </c>
    </row>
    <row r="778" spans="1:4" x14ac:dyDescent="0.15">
      <c r="A778" s="67" t="s">
        <v>104</v>
      </c>
      <c r="B778" s="6" t="s">
        <v>5296</v>
      </c>
      <c r="C778" s="6">
        <v>250</v>
      </c>
      <c r="D778" s="6" t="str">
        <f>HYPERLINK("https://rmda.kulib.kyoto-u.ac.jp/item/rb00004957#?c=0&amp;m=0&amp;s=0&amp;cv=249")</f>
        <v>https://rmda.kulib.kyoto-u.ac.jp/item/rb00004957#?c=0&amp;m=0&amp;s=0&amp;cv=249</v>
      </c>
    </row>
    <row r="779" spans="1:4" x14ac:dyDescent="0.15">
      <c r="A779" s="67" t="s">
        <v>104</v>
      </c>
      <c r="B779" s="6" t="s">
        <v>5297</v>
      </c>
      <c r="C779" s="6">
        <v>253</v>
      </c>
      <c r="D779" s="6" t="str">
        <f>HYPERLINK("https://rmda.kulib.kyoto-u.ac.jp/item/rb00004957#?c=0&amp;m=0&amp;s=0&amp;cv=252")</f>
        <v>https://rmda.kulib.kyoto-u.ac.jp/item/rb00004957#?c=0&amp;m=0&amp;s=0&amp;cv=252</v>
      </c>
    </row>
    <row r="780" spans="1:4" x14ac:dyDescent="0.15">
      <c r="A780" s="67" t="s">
        <v>104</v>
      </c>
      <c r="B780" s="119" t="s">
        <v>5298</v>
      </c>
      <c r="C780" s="6">
        <v>261</v>
      </c>
      <c r="D780" s="6" t="str">
        <f>HYPERLINK("https://rmda.kulib.kyoto-u.ac.jp/item/rb00004957#?c=0&amp;m=0&amp;s=0&amp;cv=260")</f>
        <v>https://rmda.kulib.kyoto-u.ac.jp/item/rb00004957#?c=0&amp;m=0&amp;s=0&amp;cv=260</v>
      </c>
    </row>
    <row r="781" spans="1:4" x14ac:dyDescent="0.15">
      <c r="A781" s="67" t="s">
        <v>104</v>
      </c>
      <c r="B781" s="6" t="s">
        <v>5299</v>
      </c>
      <c r="C781" s="6">
        <v>261</v>
      </c>
      <c r="D781" s="6" t="str">
        <f>HYPERLINK("https://rmda.kulib.kyoto-u.ac.jp/item/rb00004957#?c=0&amp;m=0&amp;s=0&amp;cv=260")</f>
        <v>https://rmda.kulib.kyoto-u.ac.jp/item/rb00004957#?c=0&amp;m=0&amp;s=0&amp;cv=260</v>
      </c>
    </row>
    <row r="782" spans="1:4" x14ac:dyDescent="0.15">
      <c r="A782" s="67" t="s">
        <v>104</v>
      </c>
      <c r="B782" s="6" t="s">
        <v>5300</v>
      </c>
      <c r="C782" s="6">
        <v>266</v>
      </c>
      <c r="D782" s="6" t="str">
        <f>HYPERLINK("https://rmda.kulib.kyoto-u.ac.jp/item/rb00004957#?c=0&amp;m=0&amp;s=0&amp;cv=265")</f>
        <v>https://rmda.kulib.kyoto-u.ac.jp/item/rb00004957#?c=0&amp;m=0&amp;s=0&amp;cv=265</v>
      </c>
    </row>
    <row r="783" spans="1:4" x14ac:dyDescent="0.15">
      <c r="A783" s="67" t="s">
        <v>104</v>
      </c>
      <c r="B783" s="119" t="s">
        <v>5285</v>
      </c>
      <c r="C783" s="6">
        <v>273</v>
      </c>
      <c r="D783" s="6" t="str">
        <f>HYPERLINK("https://rmda.kulib.kyoto-u.ac.jp/item/rb00004957#?c=0&amp;m=0&amp;s=0&amp;cv=272")</f>
        <v>https://rmda.kulib.kyoto-u.ac.jp/item/rb00004957#?c=0&amp;m=0&amp;s=0&amp;cv=272</v>
      </c>
    </row>
    <row r="784" spans="1:4" x14ac:dyDescent="0.15">
      <c r="A784" s="67" t="s">
        <v>104</v>
      </c>
      <c r="B784" s="6" t="s">
        <v>5286</v>
      </c>
      <c r="C784" s="6">
        <v>273</v>
      </c>
      <c r="D784" s="6" t="str">
        <f>HYPERLINK("https://rmda.kulib.kyoto-u.ac.jp/item/rb00004957#?c=0&amp;m=0&amp;s=0&amp;cv=272")</f>
        <v>https://rmda.kulib.kyoto-u.ac.jp/item/rb00004957#?c=0&amp;m=0&amp;s=0&amp;cv=272</v>
      </c>
    </row>
    <row r="785" spans="1:4" x14ac:dyDescent="0.15">
      <c r="A785" s="67" t="s">
        <v>104</v>
      </c>
      <c r="B785" s="6" t="s">
        <v>5287</v>
      </c>
      <c r="C785" s="6">
        <v>278</v>
      </c>
      <c r="D785" s="6" t="str">
        <f>HYPERLINK("https://rmda.kulib.kyoto-u.ac.jp/item/rb00004957#?c=0&amp;m=0&amp;s=0&amp;cv=277")</f>
        <v>https://rmda.kulib.kyoto-u.ac.jp/item/rb00004957#?c=0&amp;m=0&amp;s=0&amp;cv=277</v>
      </c>
    </row>
    <row r="786" spans="1:4" x14ac:dyDescent="0.15">
      <c r="A786" s="67" t="s">
        <v>104</v>
      </c>
      <c r="B786" s="6" t="s">
        <v>5288</v>
      </c>
      <c r="C786" s="6">
        <v>279</v>
      </c>
      <c r="D786" s="6" t="str">
        <f>HYPERLINK("https://rmda.kulib.kyoto-u.ac.jp/item/rb00004957#?c=0&amp;m=0&amp;s=0&amp;cv=278")</f>
        <v>https://rmda.kulib.kyoto-u.ac.jp/item/rb00004957#?c=0&amp;m=0&amp;s=0&amp;cv=278</v>
      </c>
    </row>
    <row r="787" spans="1:4" x14ac:dyDescent="0.15">
      <c r="A787" s="67" t="s">
        <v>104</v>
      </c>
      <c r="B787" s="119" t="s">
        <v>5281</v>
      </c>
      <c r="C787" s="6">
        <v>282</v>
      </c>
      <c r="D787" s="6" t="str">
        <f>HYPERLINK("https://rmda.kulib.kyoto-u.ac.jp/item/rb00004957#?c=0&amp;m=0&amp;s=0&amp;cv=281")</f>
        <v>https://rmda.kulib.kyoto-u.ac.jp/item/rb00004957#?c=0&amp;m=0&amp;s=0&amp;cv=281</v>
      </c>
    </row>
    <row r="788" spans="1:4" x14ac:dyDescent="0.15">
      <c r="A788" s="67" t="s">
        <v>104</v>
      </c>
      <c r="B788" s="6" t="s">
        <v>5282</v>
      </c>
      <c r="C788" s="6">
        <v>282</v>
      </c>
      <c r="D788" s="6" t="str">
        <f>HYPERLINK("https://rmda.kulib.kyoto-u.ac.jp/item/rb00004957#?c=0&amp;m=0&amp;s=0&amp;cv=281")</f>
        <v>https://rmda.kulib.kyoto-u.ac.jp/item/rb00004957#?c=0&amp;m=0&amp;s=0&amp;cv=281</v>
      </c>
    </row>
    <row r="789" spans="1:4" x14ac:dyDescent="0.15">
      <c r="A789" s="67" t="s">
        <v>104</v>
      </c>
      <c r="B789" s="6" t="s">
        <v>5283</v>
      </c>
      <c r="C789" s="6">
        <v>285</v>
      </c>
      <c r="D789" s="6" t="str">
        <f>HYPERLINK("https://rmda.kulib.kyoto-u.ac.jp/item/rb00004957#?c=0&amp;m=0&amp;s=0&amp;cv=284")</f>
        <v>https://rmda.kulib.kyoto-u.ac.jp/item/rb00004957#?c=0&amp;m=0&amp;s=0&amp;cv=284</v>
      </c>
    </row>
    <row r="790" spans="1:4" x14ac:dyDescent="0.15">
      <c r="A790" s="67" t="s">
        <v>104</v>
      </c>
      <c r="B790" s="6" t="s">
        <v>5284</v>
      </c>
      <c r="C790" s="6">
        <v>287</v>
      </c>
      <c r="D790" s="6" t="str">
        <f>HYPERLINK("https://rmda.kulib.kyoto-u.ac.jp/item/rb00004957#?c=0&amp;m=0&amp;s=0&amp;cv=286")</f>
        <v>https://rmda.kulib.kyoto-u.ac.jp/item/rb00004957#?c=0&amp;m=0&amp;s=0&amp;cv=286</v>
      </c>
    </row>
    <row r="791" spans="1:4" x14ac:dyDescent="0.15">
      <c r="A791" s="67" t="s">
        <v>104</v>
      </c>
      <c r="B791" s="119" t="s">
        <v>5279</v>
      </c>
      <c r="C791" s="6">
        <v>293</v>
      </c>
      <c r="D791" s="6" t="str">
        <f>HYPERLINK("https://rmda.kulib.kyoto-u.ac.jp/item/rb00004957#?c=0&amp;m=0&amp;s=0&amp;cv=292")</f>
        <v>https://rmda.kulib.kyoto-u.ac.jp/item/rb00004957#?c=0&amp;m=0&amp;s=0&amp;cv=292</v>
      </c>
    </row>
    <row r="792" spans="1:4" x14ac:dyDescent="0.15">
      <c r="A792" s="67" t="s">
        <v>104</v>
      </c>
      <c r="B792" s="6" t="s">
        <v>5280</v>
      </c>
      <c r="C792" s="6">
        <v>293</v>
      </c>
      <c r="D792" s="6" t="str">
        <f>HYPERLINK("https://rmda.kulib.kyoto-u.ac.jp/item/rb00004957#?c=0&amp;m=0&amp;s=0&amp;cv=292")</f>
        <v>https://rmda.kulib.kyoto-u.ac.jp/item/rb00004957#?c=0&amp;m=0&amp;s=0&amp;cv=292</v>
      </c>
    </row>
    <row r="793" spans="1:4" x14ac:dyDescent="0.15">
      <c r="A793" s="67" t="s">
        <v>104</v>
      </c>
      <c r="B793" s="119" t="s">
        <v>5276</v>
      </c>
      <c r="C793" s="6">
        <v>300</v>
      </c>
      <c r="D793" s="6" t="str">
        <f>HYPERLINK("https://rmda.kulib.kyoto-u.ac.jp/item/rb00004957#?c=0&amp;m=0&amp;s=0&amp;cv=299")</f>
        <v>https://rmda.kulib.kyoto-u.ac.jp/item/rb00004957#?c=0&amp;m=0&amp;s=0&amp;cv=299</v>
      </c>
    </row>
    <row r="794" spans="1:4" x14ac:dyDescent="0.15">
      <c r="A794" s="67" t="s">
        <v>104</v>
      </c>
      <c r="B794" s="6" t="s">
        <v>5277</v>
      </c>
      <c r="C794" s="6">
        <v>300</v>
      </c>
      <c r="D794" s="6" t="str">
        <f>HYPERLINK("https://rmda.kulib.kyoto-u.ac.jp/item/rb00004957#?c=0&amp;m=0&amp;s=0&amp;cv=299")</f>
        <v>https://rmda.kulib.kyoto-u.ac.jp/item/rb00004957#?c=0&amp;m=0&amp;s=0&amp;cv=299</v>
      </c>
    </row>
    <row r="795" spans="1:4" x14ac:dyDescent="0.15">
      <c r="A795" s="67" t="s">
        <v>104</v>
      </c>
      <c r="B795" s="6" t="s">
        <v>5278</v>
      </c>
      <c r="C795" s="6">
        <v>303</v>
      </c>
      <c r="D795" s="6" t="str">
        <f>HYPERLINK("https://rmda.kulib.kyoto-u.ac.jp/item/rb00004957#?c=0&amp;m=0&amp;s=0&amp;cv=302")</f>
        <v>https://rmda.kulib.kyoto-u.ac.jp/item/rb00004957#?c=0&amp;m=0&amp;s=0&amp;cv=302</v>
      </c>
    </row>
    <row r="796" spans="1:4" x14ac:dyDescent="0.15">
      <c r="A796" s="67" t="s">
        <v>104</v>
      </c>
      <c r="B796" s="119" t="s">
        <v>5273</v>
      </c>
      <c r="C796" s="6">
        <v>306</v>
      </c>
      <c r="D796" s="6" t="str">
        <f>HYPERLINK("https://rmda.kulib.kyoto-u.ac.jp/item/rb00004957#?c=0&amp;m=0&amp;s=0&amp;cv=305")</f>
        <v>https://rmda.kulib.kyoto-u.ac.jp/item/rb00004957#?c=0&amp;m=0&amp;s=0&amp;cv=305</v>
      </c>
    </row>
    <row r="797" spans="1:4" x14ac:dyDescent="0.15">
      <c r="A797" s="67" t="s">
        <v>104</v>
      </c>
      <c r="B797" s="6" t="s">
        <v>5274</v>
      </c>
      <c r="C797" s="6">
        <v>306</v>
      </c>
      <c r="D797" s="6" t="str">
        <f>HYPERLINK("https://rmda.kulib.kyoto-u.ac.jp/item/rb00004957#?c=0&amp;m=0&amp;s=0&amp;cv=305")</f>
        <v>https://rmda.kulib.kyoto-u.ac.jp/item/rb00004957#?c=0&amp;m=0&amp;s=0&amp;cv=305</v>
      </c>
    </row>
    <row r="798" spans="1:4" x14ac:dyDescent="0.15">
      <c r="A798" s="67" t="s">
        <v>104</v>
      </c>
      <c r="B798" s="6" t="s">
        <v>5275</v>
      </c>
      <c r="C798" s="6">
        <v>309</v>
      </c>
      <c r="D798" s="6" t="str">
        <f>HYPERLINK("https://rmda.kulib.kyoto-u.ac.jp/item/rb00004957#?c=0&amp;m=0&amp;s=0&amp;cv=308")</f>
        <v>https://rmda.kulib.kyoto-u.ac.jp/item/rb00004957#?c=0&amp;m=0&amp;s=0&amp;cv=308</v>
      </c>
    </row>
    <row r="799" spans="1:4" x14ac:dyDescent="0.15">
      <c r="A799" s="67" t="s">
        <v>104</v>
      </c>
      <c r="B799" s="6" t="s">
        <v>5268</v>
      </c>
      <c r="C799" s="6">
        <v>311</v>
      </c>
      <c r="D799" s="6" t="str">
        <f>HYPERLINK("https://rmda.kulib.kyoto-u.ac.jp/item/rb00004957#?c=0&amp;m=0&amp;s=0&amp;cv=310")</f>
        <v>https://rmda.kulib.kyoto-u.ac.jp/item/rb00004957#?c=0&amp;m=0&amp;s=0&amp;cv=310</v>
      </c>
    </row>
    <row r="800" spans="1:4" x14ac:dyDescent="0.15">
      <c r="A800" s="67" t="s">
        <v>104</v>
      </c>
      <c r="B800" s="119" t="s">
        <v>5270</v>
      </c>
      <c r="C800" s="6">
        <v>312</v>
      </c>
      <c r="D800" s="6" t="str">
        <f>HYPERLINK("https://rmda.kulib.kyoto-u.ac.jp/item/rb00004957#?c=0&amp;m=0&amp;s=0&amp;cv=311")</f>
        <v>https://rmda.kulib.kyoto-u.ac.jp/item/rb00004957#?c=0&amp;m=0&amp;s=0&amp;cv=311</v>
      </c>
    </row>
    <row r="801" spans="1:4" x14ac:dyDescent="0.15">
      <c r="A801" s="67" t="s">
        <v>104</v>
      </c>
      <c r="B801" s="6" t="s">
        <v>5271</v>
      </c>
      <c r="C801" s="6">
        <v>312</v>
      </c>
      <c r="D801" s="6" t="str">
        <f>HYPERLINK("https://rmda.kulib.kyoto-u.ac.jp/item/rb00004957#?c=0&amp;m=0&amp;s=0&amp;cv=311")</f>
        <v>https://rmda.kulib.kyoto-u.ac.jp/item/rb00004957#?c=0&amp;m=0&amp;s=0&amp;cv=311</v>
      </c>
    </row>
    <row r="802" spans="1:4" x14ac:dyDescent="0.15">
      <c r="A802" s="67" t="s">
        <v>104</v>
      </c>
      <c r="B802" s="6" t="s">
        <v>5272</v>
      </c>
      <c r="C802" s="6">
        <v>317</v>
      </c>
      <c r="D802" s="6" t="str">
        <f>HYPERLINK("https://rmda.kulib.kyoto-u.ac.jp/item/rb00004957#?c=0&amp;m=0&amp;s=0&amp;cv=316")</f>
        <v>https://rmda.kulib.kyoto-u.ac.jp/item/rb00004957#?c=0&amp;m=0&amp;s=0&amp;cv=316</v>
      </c>
    </row>
    <row r="803" spans="1:4" x14ac:dyDescent="0.15">
      <c r="A803" s="67" t="s">
        <v>104</v>
      </c>
      <c r="B803" s="6" t="s">
        <v>3213</v>
      </c>
      <c r="C803" s="6">
        <v>319</v>
      </c>
      <c r="D803" s="6" t="str">
        <f>HYPERLINK("https://rmda.kulib.kyoto-u.ac.jp/item/rb00004957#?c=0&amp;m=0&amp;s=0&amp;cv=318")</f>
        <v>https://rmda.kulib.kyoto-u.ac.jp/item/rb00004957#?c=0&amp;m=0&amp;s=0&amp;cv=318</v>
      </c>
    </row>
    <row r="804" spans="1:4" x14ac:dyDescent="0.15">
      <c r="A804" s="11" t="s">
        <v>5223</v>
      </c>
      <c r="B804" s="11" t="s">
        <v>5301</v>
      </c>
      <c r="C804" s="6"/>
      <c r="D804" s="9" t="s">
        <v>4002</v>
      </c>
    </row>
    <row r="805" spans="1:4" x14ac:dyDescent="0.15">
      <c r="A805" s="84" t="s">
        <v>5504</v>
      </c>
      <c r="B805" s="6" t="s">
        <v>106</v>
      </c>
      <c r="C805" s="6"/>
      <c r="D805" s="9"/>
    </row>
    <row r="806" spans="1:4" x14ac:dyDescent="0.15">
      <c r="A806" s="6" t="s">
        <v>106</v>
      </c>
      <c r="B806" s="6" t="s">
        <v>2019</v>
      </c>
      <c r="C806" s="6">
        <v>5</v>
      </c>
      <c r="D806" s="6" t="str">
        <f>HYPERLINK("https://rmda.kulib.kyoto-u.ac.jp/item/rb00003046#?c=0&amp;m=0&amp;s=0&amp;cv=4")</f>
        <v>https://rmda.kulib.kyoto-u.ac.jp/item/rb00003046#?c=0&amp;m=0&amp;s=0&amp;cv=4</v>
      </c>
    </row>
    <row r="807" spans="1:4" x14ac:dyDescent="0.15">
      <c r="A807" s="6" t="s">
        <v>106</v>
      </c>
      <c r="B807" s="6" t="s">
        <v>2020</v>
      </c>
      <c r="C807" s="6">
        <v>9</v>
      </c>
      <c r="D807" s="6" t="str">
        <f>HYPERLINK("https://rmda.kulib.kyoto-u.ac.jp/item/rb00003046#?c=0&amp;m=0&amp;s=0&amp;cv=8")</f>
        <v>https://rmda.kulib.kyoto-u.ac.jp/item/rb00003046#?c=0&amp;m=0&amp;s=0&amp;cv=8</v>
      </c>
    </row>
    <row r="808" spans="1:4" x14ac:dyDescent="0.15">
      <c r="A808" s="6" t="s">
        <v>106</v>
      </c>
      <c r="B808" s="6" t="s">
        <v>2021</v>
      </c>
      <c r="C808" s="6">
        <v>10</v>
      </c>
      <c r="D808" s="6" t="str">
        <f>HYPERLINK("https://rmda.kulib.kyoto-u.ac.jp/item/rb00003046#?c=0&amp;m=0&amp;s=0&amp;cv=9")</f>
        <v>https://rmda.kulib.kyoto-u.ac.jp/item/rb00003046#?c=0&amp;m=0&amp;s=0&amp;cv=9</v>
      </c>
    </row>
    <row r="809" spans="1:4" x14ac:dyDescent="0.15">
      <c r="A809" s="6" t="s">
        <v>106</v>
      </c>
      <c r="B809" s="6" t="s">
        <v>1372</v>
      </c>
      <c r="C809" s="6">
        <v>11</v>
      </c>
      <c r="D809" s="6" t="str">
        <f>HYPERLINK("https://rmda.kulib.kyoto-u.ac.jp/item/rb00003046#?c=0&amp;m=0&amp;s=0&amp;cv=10")</f>
        <v>https://rmda.kulib.kyoto-u.ac.jp/item/rb00003046#?c=0&amp;m=0&amp;s=0&amp;cv=10</v>
      </c>
    </row>
    <row r="810" spans="1:4" x14ac:dyDescent="0.15">
      <c r="A810" s="6" t="s">
        <v>106</v>
      </c>
      <c r="B810" s="72" t="s">
        <v>3963</v>
      </c>
      <c r="C810" s="6">
        <v>27</v>
      </c>
      <c r="D810" s="6" t="str">
        <f>HYPERLINK("https://rmda.kulib.kyoto-u.ac.jp/item/rb00003046#?c=0&amp;m=0&amp;s=0&amp;cv=26")</f>
        <v>https://rmda.kulib.kyoto-u.ac.jp/item/rb00003046#?c=0&amp;m=0&amp;s=0&amp;cv=26</v>
      </c>
    </row>
    <row r="811" spans="1:4" x14ac:dyDescent="0.15">
      <c r="A811" s="6" t="s">
        <v>106</v>
      </c>
      <c r="B811" s="6" t="s">
        <v>5302</v>
      </c>
      <c r="C811" s="6">
        <v>27</v>
      </c>
      <c r="D811" s="6" t="str">
        <f>HYPERLINK("https://rmda.kulib.kyoto-u.ac.jp/item/rb00003046#?c=0&amp;m=0&amp;s=0&amp;cv=26")</f>
        <v>https://rmda.kulib.kyoto-u.ac.jp/item/rb00003046#?c=0&amp;m=0&amp;s=0&amp;cv=26</v>
      </c>
    </row>
    <row r="812" spans="1:4" x14ac:dyDescent="0.15">
      <c r="A812" s="6" t="s">
        <v>106</v>
      </c>
      <c r="B812" s="6" t="s">
        <v>5303</v>
      </c>
      <c r="C812" s="6">
        <v>35</v>
      </c>
      <c r="D812" s="6" t="str">
        <f>HYPERLINK("https://rmda.kulib.kyoto-u.ac.jp/item/rb00003046#?c=0&amp;m=0&amp;s=0&amp;cv=34")</f>
        <v>https://rmda.kulib.kyoto-u.ac.jp/item/rb00003046#?c=0&amp;m=0&amp;s=0&amp;cv=34</v>
      </c>
    </row>
    <row r="813" spans="1:4" x14ac:dyDescent="0.15">
      <c r="A813" s="6" t="s">
        <v>106</v>
      </c>
      <c r="B813" s="6" t="s">
        <v>5304</v>
      </c>
      <c r="C813" s="6">
        <v>44</v>
      </c>
      <c r="D813" s="6" t="str">
        <f>HYPERLINK("https://rmda.kulib.kyoto-u.ac.jp/item/rb00003046#?c=0&amp;m=0&amp;s=0&amp;cv=43")</f>
        <v>https://rmda.kulib.kyoto-u.ac.jp/item/rb00003046#?c=0&amp;m=0&amp;s=0&amp;cv=43</v>
      </c>
    </row>
    <row r="814" spans="1:4" x14ac:dyDescent="0.15">
      <c r="A814" s="6" t="s">
        <v>106</v>
      </c>
      <c r="B814" s="6" t="s">
        <v>5305</v>
      </c>
      <c r="C814" s="6">
        <v>48</v>
      </c>
      <c r="D814" s="6" t="str">
        <f>HYPERLINK("https://rmda.kulib.kyoto-u.ac.jp/item/rb00003046#?c=0&amp;m=0&amp;s=0&amp;cv=47")</f>
        <v>https://rmda.kulib.kyoto-u.ac.jp/item/rb00003046#?c=0&amp;m=0&amp;s=0&amp;cv=47</v>
      </c>
    </row>
    <row r="815" spans="1:4" x14ac:dyDescent="0.15">
      <c r="A815" s="6" t="s">
        <v>106</v>
      </c>
      <c r="B815" s="6" t="s">
        <v>5306</v>
      </c>
      <c r="C815" s="6">
        <v>51</v>
      </c>
      <c r="D815" s="6" t="str">
        <f>HYPERLINK("https://rmda.kulib.kyoto-u.ac.jp/item/rb00003046#?c=0&amp;m=0&amp;s=0&amp;cv=50")</f>
        <v>https://rmda.kulib.kyoto-u.ac.jp/item/rb00003046#?c=0&amp;m=0&amp;s=0&amp;cv=50</v>
      </c>
    </row>
    <row r="816" spans="1:4" x14ac:dyDescent="0.15">
      <c r="A816" s="6" t="s">
        <v>106</v>
      </c>
      <c r="B816" s="6" t="s">
        <v>5307</v>
      </c>
      <c r="C816" s="6">
        <v>55</v>
      </c>
      <c r="D816" s="6" t="str">
        <f>HYPERLINK("https://rmda.kulib.kyoto-u.ac.jp/item/rb00003046#?c=0&amp;m=0&amp;s=0&amp;cv=54")</f>
        <v>https://rmda.kulib.kyoto-u.ac.jp/item/rb00003046#?c=0&amp;m=0&amp;s=0&amp;cv=54</v>
      </c>
    </row>
    <row r="817" spans="1:4" x14ac:dyDescent="0.15">
      <c r="A817" s="6" t="s">
        <v>106</v>
      </c>
      <c r="B817" s="6" t="s">
        <v>5308</v>
      </c>
      <c r="C817" s="6">
        <v>58</v>
      </c>
      <c r="D817" s="6" t="str">
        <f>HYPERLINK("https://rmda.kulib.kyoto-u.ac.jp/item/rb00003046#?c=0&amp;m=0&amp;s=0&amp;cv=57")</f>
        <v>https://rmda.kulib.kyoto-u.ac.jp/item/rb00003046#?c=0&amp;m=0&amp;s=0&amp;cv=57</v>
      </c>
    </row>
    <row r="818" spans="1:4" x14ac:dyDescent="0.15">
      <c r="A818" s="6" t="s">
        <v>106</v>
      </c>
      <c r="B818" s="6" t="s">
        <v>5309</v>
      </c>
      <c r="C818" s="6">
        <v>61</v>
      </c>
      <c r="D818" s="6" t="str">
        <f>HYPERLINK("https://rmda.kulib.kyoto-u.ac.jp/item/rb00003046#?c=0&amp;m=0&amp;s=0&amp;cv=60")</f>
        <v>https://rmda.kulib.kyoto-u.ac.jp/item/rb00003046#?c=0&amp;m=0&amp;s=0&amp;cv=60</v>
      </c>
    </row>
    <row r="819" spans="1:4" x14ac:dyDescent="0.15">
      <c r="A819" s="6" t="s">
        <v>106</v>
      </c>
      <c r="B819" s="6" t="s">
        <v>5310</v>
      </c>
      <c r="C819" s="6">
        <v>64</v>
      </c>
      <c r="D819" s="6" t="str">
        <f>HYPERLINK("https://rmda.kulib.kyoto-u.ac.jp/item/rb00003046#?c=0&amp;m=0&amp;s=0&amp;cv=63")</f>
        <v>https://rmda.kulib.kyoto-u.ac.jp/item/rb00003046#?c=0&amp;m=0&amp;s=0&amp;cv=63</v>
      </c>
    </row>
    <row r="820" spans="1:4" x14ac:dyDescent="0.15">
      <c r="A820" s="6" t="s">
        <v>106</v>
      </c>
      <c r="B820" s="6" t="s">
        <v>5311</v>
      </c>
      <c r="C820" s="6">
        <v>67</v>
      </c>
      <c r="D820" s="6" t="str">
        <f>HYPERLINK("https://rmda.kulib.kyoto-u.ac.jp/item/rb00003046#?c=0&amp;m=0&amp;s=0&amp;cv=66")</f>
        <v>https://rmda.kulib.kyoto-u.ac.jp/item/rb00003046#?c=0&amp;m=0&amp;s=0&amp;cv=66</v>
      </c>
    </row>
    <row r="821" spans="1:4" x14ac:dyDescent="0.15">
      <c r="A821" s="6" t="s">
        <v>106</v>
      </c>
      <c r="B821" s="72" t="s">
        <v>3964</v>
      </c>
      <c r="C821" s="6">
        <v>75</v>
      </c>
      <c r="D821" s="6" t="str">
        <f>HYPERLINK("https://rmda.kulib.kyoto-u.ac.jp/item/rb00003046#?c=0&amp;m=0&amp;s=0&amp;cv=74")</f>
        <v>https://rmda.kulib.kyoto-u.ac.jp/item/rb00003046#?c=0&amp;m=0&amp;s=0&amp;cv=74</v>
      </c>
    </row>
    <row r="822" spans="1:4" x14ac:dyDescent="0.15">
      <c r="A822" s="6" t="s">
        <v>106</v>
      </c>
      <c r="B822" s="6" t="s">
        <v>5312</v>
      </c>
      <c r="C822" s="6">
        <v>75</v>
      </c>
      <c r="D822" s="6" t="str">
        <f>HYPERLINK("https://rmda.kulib.kyoto-u.ac.jp/item/rb00003046#?c=0&amp;m=0&amp;s=0&amp;cv=74")</f>
        <v>https://rmda.kulib.kyoto-u.ac.jp/item/rb00003046#?c=0&amp;m=0&amp;s=0&amp;cv=74</v>
      </c>
    </row>
    <row r="823" spans="1:4" x14ac:dyDescent="0.15">
      <c r="A823" s="6" t="s">
        <v>106</v>
      </c>
      <c r="B823" s="6" t="s">
        <v>5313</v>
      </c>
      <c r="C823" s="6">
        <v>79</v>
      </c>
      <c r="D823" s="6" t="str">
        <f>HYPERLINK("https://rmda.kulib.kyoto-u.ac.jp/item/rb00003046#?c=0&amp;m=0&amp;s=0&amp;cv=78")</f>
        <v>https://rmda.kulib.kyoto-u.ac.jp/item/rb00003046#?c=0&amp;m=0&amp;s=0&amp;cv=78</v>
      </c>
    </row>
    <row r="824" spans="1:4" x14ac:dyDescent="0.15">
      <c r="A824" s="6" t="s">
        <v>106</v>
      </c>
      <c r="B824" s="6" t="s">
        <v>5314</v>
      </c>
      <c r="C824" s="6">
        <v>82</v>
      </c>
      <c r="D824" s="6" t="str">
        <f>HYPERLINK("https://rmda.kulib.kyoto-u.ac.jp/item/rb00003046#?c=0&amp;m=0&amp;s=0&amp;cv=81")</f>
        <v>https://rmda.kulib.kyoto-u.ac.jp/item/rb00003046#?c=0&amp;m=0&amp;s=0&amp;cv=81</v>
      </c>
    </row>
    <row r="825" spans="1:4" x14ac:dyDescent="0.15">
      <c r="A825" s="6" t="s">
        <v>106</v>
      </c>
      <c r="B825" s="6" t="s">
        <v>5315</v>
      </c>
      <c r="C825" s="6">
        <v>86</v>
      </c>
      <c r="D825" s="6" t="str">
        <f>HYPERLINK("https://rmda.kulib.kyoto-u.ac.jp/item/rb00003046#?c=0&amp;m=0&amp;s=0&amp;cv=85")</f>
        <v>https://rmda.kulib.kyoto-u.ac.jp/item/rb00003046#?c=0&amp;m=0&amp;s=0&amp;cv=85</v>
      </c>
    </row>
    <row r="826" spans="1:4" x14ac:dyDescent="0.15">
      <c r="A826" s="6" t="s">
        <v>106</v>
      </c>
      <c r="B826" s="6" t="s">
        <v>5316</v>
      </c>
      <c r="C826" s="6">
        <v>90</v>
      </c>
      <c r="D826" s="6" t="str">
        <f>HYPERLINK("https://rmda.kulib.kyoto-u.ac.jp/item/rb00003046#?c=0&amp;m=0&amp;s=0&amp;cv=89")</f>
        <v>https://rmda.kulib.kyoto-u.ac.jp/item/rb00003046#?c=0&amp;m=0&amp;s=0&amp;cv=89</v>
      </c>
    </row>
    <row r="827" spans="1:4" x14ac:dyDescent="0.15">
      <c r="A827" s="6" t="s">
        <v>106</v>
      </c>
      <c r="B827" s="6" t="s">
        <v>5317</v>
      </c>
      <c r="C827" s="6">
        <v>95</v>
      </c>
      <c r="D827" s="6" t="str">
        <f>HYPERLINK("https://rmda.kulib.kyoto-u.ac.jp/item/rb00003046#?c=0&amp;m=0&amp;s=0&amp;cv=94")</f>
        <v>https://rmda.kulib.kyoto-u.ac.jp/item/rb00003046#?c=0&amp;m=0&amp;s=0&amp;cv=94</v>
      </c>
    </row>
    <row r="828" spans="1:4" x14ac:dyDescent="0.15">
      <c r="A828" s="6" t="s">
        <v>106</v>
      </c>
      <c r="B828" s="6" t="s">
        <v>5318</v>
      </c>
      <c r="C828" s="6">
        <v>101</v>
      </c>
      <c r="D828" s="6" t="str">
        <f>HYPERLINK("https://rmda.kulib.kyoto-u.ac.jp/item/rb00003046#?c=0&amp;m=0&amp;s=0&amp;cv=100")</f>
        <v>https://rmda.kulib.kyoto-u.ac.jp/item/rb00003046#?c=0&amp;m=0&amp;s=0&amp;cv=100</v>
      </c>
    </row>
    <row r="829" spans="1:4" x14ac:dyDescent="0.15">
      <c r="A829" s="6" t="s">
        <v>106</v>
      </c>
      <c r="B829" s="6" t="s">
        <v>5319</v>
      </c>
      <c r="C829" s="6">
        <v>106</v>
      </c>
      <c r="D829" s="6" t="str">
        <f>HYPERLINK("https://rmda.kulib.kyoto-u.ac.jp/item/rb00003046#?c=0&amp;m=0&amp;s=0&amp;cv=105")</f>
        <v>https://rmda.kulib.kyoto-u.ac.jp/item/rb00003046#?c=0&amp;m=0&amp;s=0&amp;cv=105</v>
      </c>
    </row>
    <row r="830" spans="1:4" x14ac:dyDescent="0.15">
      <c r="A830" s="6" t="s">
        <v>106</v>
      </c>
      <c r="B830" s="6" t="s">
        <v>5320</v>
      </c>
      <c r="C830" s="6">
        <v>109</v>
      </c>
      <c r="D830" s="6" t="str">
        <f>HYPERLINK("https://rmda.kulib.kyoto-u.ac.jp/item/rb00003046#?c=0&amp;m=0&amp;s=0&amp;cv=108")</f>
        <v>https://rmda.kulib.kyoto-u.ac.jp/item/rb00003046#?c=0&amp;m=0&amp;s=0&amp;cv=108</v>
      </c>
    </row>
    <row r="831" spans="1:4" x14ac:dyDescent="0.15">
      <c r="A831" s="6" t="s">
        <v>106</v>
      </c>
      <c r="B831" s="6" t="s">
        <v>5321</v>
      </c>
      <c r="C831" s="6">
        <v>116</v>
      </c>
      <c r="D831" s="6" t="str">
        <f>HYPERLINK("https://rmda.kulib.kyoto-u.ac.jp/item/rb00003046#?c=0&amp;m=0&amp;s=0&amp;cv=115")</f>
        <v>https://rmda.kulib.kyoto-u.ac.jp/item/rb00003046#?c=0&amp;m=0&amp;s=0&amp;cv=115</v>
      </c>
    </row>
    <row r="832" spans="1:4" x14ac:dyDescent="0.15">
      <c r="A832" s="6" t="s">
        <v>106</v>
      </c>
      <c r="B832" s="72" t="s">
        <v>3965</v>
      </c>
      <c r="C832" s="6">
        <v>119</v>
      </c>
      <c r="D832" s="6" t="str">
        <f>HYPERLINK("https://rmda.kulib.kyoto-u.ac.jp/item/rb00003046#?c=0&amp;m=0&amp;s=0&amp;cv=118")</f>
        <v>https://rmda.kulib.kyoto-u.ac.jp/item/rb00003046#?c=0&amp;m=0&amp;s=0&amp;cv=118</v>
      </c>
    </row>
    <row r="833" spans="1:4" x14ac:dyDescent="0.15">
      <c r="A833" s="6" t="s">
        <v>106</v>
      </c>
      <c r="B833" s="6" t="s">
        <v>5322</v>
      </c>
      <c r="C833" s="6">
        <v>119</v>
      </c>
      <c r="D833" s="6" t="str">
        <f>HYPERLINK("https://rmda.kulib.kyoto-u.ac.jp/item/rb00003046#?c=0&amp;m=0&amp;s=0&amp;cv=118")</f>
        <v>https://rmda.kulib.kyoto-u.ac.jp/item/rb00003046#?c=0&amp;m=0&amp;s=0&amp;cv=118</v>
      </c>
    </row>
    <row r="834" spans="1:4" x14ac:dyDescent="0.15">
      <c r="A834" s="6" t="s">
        <v>106</v>
      </c>
      <c r="B834" s="6" t="s">
        <v>5323</v>
      </c>
      <c r="C834" s="6">
        <v>122</v>
      </c>
      <c r="D834" s="6" t="str">
        <f>HYPERLINK("https://rmda.kulib.kyoto-u.ac.jp/item/rb00003046#?c=0&amp;m=0&amp;s=0&amp;cv=121")</f>
        <v>https://rmda.kulib.kyoto-u.ac.jp/item/rb00003046#?c=0&amp;m=0&amp;s=0&amp;cv=121</v>
      </c>
    </row>
    <row r="835" spans="1:4" x14ac:dyDescent="0.15">
      <c r="A835" s="6" t="s">
        <v>106</v>
      </c>
      <c r="B835" s="6" t="s">
        <v>5324</v>
      </c>
      <c r="C835" s="6">
        <v>126</v>
      </c>
      <c r="D835" s="6" t="str">
        <f>HYPERLINK("https://rmda.kulib.kyoto-u.ac.jp/item/rb00003046#?c=0&amp;m=0&amp;s=0&amp;cv=125")</f>
        <v>https://rmda.kulib.kyoto-u.ac.jp/item/rb00003046#?c=0&amp;m=0&amp;s=0&amp;cv=125</v>
      </c>
    </row>
    <row r="836" spans="1:4" x14ac:dyDescent="0.15">
      <c r="A836" s="6" t="s">
        <v>106</v>
      </c>
      <c r="B836" s="6" t="s">
        <v>5325</v>
      </c>
      <c r="C836" s="6">
        <v>129</v>
      </c>
      <c r="D836" s="6" t="str">
        <f>HYPERLINK("https://rmda.kulib.kyoto-u.ac.jp/item/rb00003046#?c=0&amp;m=0&amp;s=0&amp;cv=128")</f>
        <v>https://rmda.kulib.kyoto-u.ac.jp/item/rb00003046#?c=0&amp;m=0&amp;s=0&amp;cv=128</v>
      </c>
    </row>
    <row r="837" spans="1:4" x14ac:dyDescent="0.15">
      <c r="A837" s="6" t="s">
        <v>106</v>
      </c>
      <c r="B837" s="6" t="s">
        <v>5326</v>
      </c>
      <c r="C837" s="6">
        <v>132</v>
      </c>
      <c r="D837" s="6" t="str">
        <f>HYPERLINK("https://rmda.kulib.kyoto-u.ac.jp/item/rb00003046#?c=0&amp;m=0&amp;s=0&amp;cv=131")</f>
        <v>https://rmda.kulib.kyoto-u.ac.jp/item/rb00003046#?c=0&amp;m=0&amp;s=0&amp;cv=131</v>
      </c>
    </row>
    <row r="838" spans="1:4" x14ac:dyDescent="0.15">
      <c r="A838" s="6" t="s">
        <v>106</v>
      </c>
      <c r="B838" s="6" t="s">
        <v>5327</v>
      </c>
      <c r="C838" s="6">
        <v>136</v>
      </c>
      <c r="D838" s="6" t="str">
        <f>HYPERLINK("https://rmda.kulib.kyoto-u.ac.jp/item/rb00003046#?c=0&amp;m=0&amp;s=0&amp;cv=135")</f>
        <v>https://rmda.kulib.kyoto-u.ac.jp/item/rb00003046#?c=0&amp;m=0&amp;s=0&amp;cv=135</v>
      </c>
    </row>
    <row r="839" spans="1:4" x14ac:dyDescent="0.15">
      <c r="A839" s="6" t="s">
        <v>106</v>
      </c>
      <c r="B839" s="6" t="s">
        <v>5328</v>
      </c>
      <c r="C839" s="6">
        <v>142</v>
      </c>
      <c r="D839" s="6" t="str">
        <f>HYPERLINK("https://rmda.kulib.kyoto-u.ac.jp/item/rb00003046#?c=0&amp;m=0&amp;s=0&amp;cv=141")</f>
        <v>https://rmda.kulib.kyoto-u.ac.jp/item/rb00003046#?c=0&amp;m=0&amp;s=0&amp;cv=141</v>
      </c>
    </row>
    <row r="840" spans="1:4" x14ac:dyDescent="0.15">
      <c r="A840" s="6" t="s">
        <v>106</v>
      </c>
      <c r="B840" s="6" t="s">
        <v>5329</v>
      </c>
      <c r="C840" s="6">
        <v>147</v>
      </c>
      <c r="D840" s="6" t="str">
        <f>HYPERLINK("https://rmda.kulib.kyoto-u.ac.jp/item/rb00003046#?c=0&amp;m=0&amp;s=0&amp;cv=146")</f>
        <v>https://rmda.kulib.kyoto-u.ac.jp/item/rb00003046#?c=0&amp;m=0&amp;s=0&amp;cv=146</v>
      </c>
    </row>
    <row r="841" spans="1:4" x14ac:dyDescent="0.15">
      <c r="A841" s="6" t="s">
        <v>106</v>
      </c>
      <c r="B841" s="6" t="s">
        <v>5330</v>
      </c>
      <c r="C841" s="6">
        <v>151</v>
      </c>
      <c r="D841" s="6" t="str">
        <f>HYPERLINK("https://rmda.kulib.kyoto-u.ac.jp/item/rb00003046#?c=0&amp;m=0&amp;s=0&amp;cv=150")</f>
        <v>https://rmda.kulib.kyoto-u.ac.jp/item/rb00003046#?c=0&amp;m=0&amp;s=0&amp;cv=150</v>
      </c>
    </row>
    <row r="842" spans="1:4" x14ac:dyDescent="0.15">
      <c r="A842" s="6" t="s">
        <v>106</v>
      </c>
      <c r="B842" s="6" t="s">
        <v>5331</v>
      </c>
      <c r="C842" s="6">
        <v>156</v>
      </c>
      <c r="D842" s="6" t="str">
        <f>HYPERLINK("https://rmda.kulib.kyoto-u.ac.jp/item/rb00003046#?c=0&amp;m=0&amp;s=0&amp;cv=155")</f>
        <v>https://rmda.kulib.kyoto-u.ac.jp/item/rb00003046#?c=0&amp;m=0&amp;s=0&amp;cv=155</v>
      </c>
    </row>
    <row r="843" spans="1:4" x14ac:dyDescent="0.15">
      <c r="A843" s="6" t="s">
        <v>106</v>
      </c>
      <c r="B843" s="72" t="s">
        <v>3966</v>
      </c>
      <c r="C843" s="6">
        <v>157</v>
      </c>
      <c r="D843" s="6" t="str">
        <f>HYPERLINK("https://rmda.kulib.kyoto-u.ac.jp/item/rb00003046#?c=0&amp;m=0&amp;s=0&amp;cv=156")</f>
        <v>https://rmda.kulib.kyoto-u.ac.jp/item/rb00003046#?c=0&amp;m=0&amp;s=0&amp;cv=156</v>
      </c>
    </row>
    <row r="844" spans="1:4" x14ac:dyDescent="0.15">
      <c r="A844" s="6" t="s">
        <v>106</v>
      </c>
      <c r="B844" s="6" t="s">
        <v>2761</v>
      </c>
      <c r="C844" s="6">
        <v>157</v>
      </c>
      <c r="D844" s="6" t="str">
        <f>HYPERLINK("https://rmda.kulib.kyoto-u.ac.jp/item/rb00003046#?c=0&amp;m=0&amp;s=0&amp;cv=156")</f>
        <v>https://rmda.kulib.kyoto-u.ac.jp/item/rb00003046#?c=0&amp;m=0&amp;s=0&amp;cv=156</v>
      </c>
    </row>
    <row r="845" spans="1:4" x14ac:dyDescent="0.15">
      <c r="A845" s="6" t="s">
        <v>106</v>
      </c>
      <c r="B845" s="6" t="s">
        <v>3685</v>
      </c>
      <c r="C845" s="6">
        <v>158</v>
      </c>
      <c r="D845" s="6" t="str">
        <f>HYPERLINK("https://rmda.kulib.kyoto-u.ac.jp/item/rb00003046#?c=0&amp;m=0&amp;s=0&amp;cv=157")</f>
        <v>https://rmda.kulib.kyoto-u.ac.jp/item/rb00003046#?c=0&amp;m=0&amp;s=0&amp;cv=157</v>
      </c>
    </row>
    <row r="846" spans="1:4" x14ac:dyDescent="0.15">
      <c r="A846" s="6" t="s">
        <v>106</v>
      </c>
      <c r="B846" s="6" t="s">
        <v>3686</v>
      </c>
      <c r="C846" s="6">
        <v>158</v>
      </c>
      <c r="D846" s="6" t="str">
        <f>HYPERLINK("https://rmda.kulib.kyoto-u.ac.jp/item/rb00003046#?c=0&amp;m=0&amp;s=0&amp;cv=157")</f>
        <v>https://rmda.kulib.kyoto-u.ac.jp/item/rb00003046#?c=0&amp;m=0&amp;s=0&amp;cv=157</v>
      </c>
    </row>
    <row r="847" spans="1:4" x14ac:dyDescent="0.15">
      <c r="A847" s="6" t="s">
        <v>106</v>
      </c>
      <c r="B847" s="6" t="s">
        <v>3688</v>
      </c>
      <c r="C847" s="6">
        <v>159</v>
      </c>
      <c r="D847" s="6" t="str">
        <f>HYPERLINK("https://rmda.kulib.kyoto-u.ac.jp/item/rb00003046#?c=0&amp;m=0&amp;s=0&amp;cv=158")</f>
        <v>https://rmda.kulib.kyoto-u.ac.jp/item/rb00003046#?c=0&amp;m=0&amp;s=0&amp;cv=158</v>
      </c>
    </row>
    <row r="848" spans="1:4" x14ac:dyDescent="0.15">
      <c r="A848" s="6" t="s">
        <v>106</v>
      </c>
      <c r="B848" s="6" t="s">
        <v>3687</v>
      </c>
      <c r="C848" s="6">
        <v>159</v>
      </c>
      <c r="D848" s="6" t="str">
        <f>HYPERLINK("https://rmda.kulib.kyoto-u.ac.jp/item/rb00003046#?c=0&amp;m=0&amp;s=0&amp;cv=158")</f>
        <v>https://rmda.kulib.kyoto-u.ac.jp/item/rb00003046#?c=0&amp;m=0&amp;s=0&amp;cv=158</v>
      </c>
    </row>
    <row r="849" spans="1:4" x14ac:dyDescent="0.15">
      <c r="A849" s="6" t="s">
        <v>106</v>
      </c>
      <c r="B849" s="6" t="s">
        <v>3684</v>
      </c>
      <c r="C849" s="6">
        <v>160</v>
      </c>
      <c r="D849" s="6" t="str">
        <f>HYPERLINK("https://rmda.kulib.kyoto-u.ac.jp/item/rb00003046#?c=0&amp;m=0&amp;s=0&amp;cv=159")</f>
        <v>https://rmda.kulib.kyoto-u.ac.jp/item/rb00003046#?c=0&amp;m=0&amp;s=0&amp;cv=159</v>
      </c>
    </row>
    <row r="850" spans="1:4" x14ac:dyDescent="0.15">
      <c r="A850" s="6" t="s">
        <v>106</v>
      </c>
      <c r="B850" s="6" t="s">
        <v>5332</v>
      </c>
      <c r="C850" s="6">
        <v>160</v>
      </c>
      <c r="D850" s="6" t="str">
        <f>HYPERLINK("https://rmda.kulib.kyoto-u.ac.jp/item/rb00003046#?c=0&amp;m=0&amp;s=0&amp;cv=159")</f>
        <v>https://rmda.kulib.kyoto-u.ac.jp/item/rb00003046#?c=0&amp;m=0&amp;s=0&amp;cv=159</v>
      </c>
    </row>
    <row r="851" spans="1:4" x14ac:dyDescent="0.15">
      <c r="A851" s="6" t="s">
        <v>106</v>
      </c>
      <c r="B851" s="6" t="s">
        <v>2761</v>
      </c>
      <c r="C851" s="6">
        <v>162</v>
      </c>
      <c r="D851" s="6" t="str">
        <f>HYPERLINK("https://rmda.kulib.kyoto-u.ac.jp/item/rb00003046#?c=0&amp;m=0&amp;s=0&amp;cv=161")</f>
        <v>https://rmda.kulib.kyoto-u.ac.jp/item/rb00003046#?c=0&amp;m=0&amp;s=0&amp;cv=161</v>
      </c>
    </row>
    <row r="852" spans="1:4" x14ac:dyDescent="0.15">
      <c r="A852" s="6" t="s">
        <v>106</v>
      </c>
      <c r="B852" s="6" t="s">
        <v>5333</v>
      </c>
      <c r="C852" s="6">
        <v>162</v>
      </c>
      <c r="D852" s="6" t="str">
        <f>HYPERLINK("https://rmda.kulib.kyoto-u.ac.jp/item/rb00003046#?c=0&amp;m=0&amp;s=0&amp;cv=161")</f>
        <v>https://rmda.kulib.kyoto-u.ac.jp/item/rb00003046#?c=0&amp;m=0&amp;s=0&amp;cv=161</v>
      </c>
    </row>
    <row r="853" spans="1:4" x14ac:dyDescent="0.15">
      <c r="A853" s="6" t="s">
        <v>106</v>
      </c>
      <c r="B853" s="6" t="s">
        <v>2871</v>
      </c>
      <c r="C853" s="6">
        <v>163</v>
      </c>
      <c r="D853" s="6" t="str">
        <f>HYPERLINK("https://rmda.kulib.kyoto-u.ac.jp/item/rb00003046#?c=0&amp;m=0&amp;s=0&amp;cv=162")</f>
        <v>https://rmda.kulib.kyoto-u.ac.jp/item/rb00003046#?c=0&amp;m=0&amp;s=0&amp;cv=162</v>
      </c>
    </row>
    <row r="854" spans="1:4" x14ac:dyDescent="0.15">
      <c r="A854" s="6" t="s">
        <v>106</v>
      </c>
      <c r="B854" s="6" t="s">
        <v>1439</v>
      </c>
      <c r="C854" s="6">
        <v>163</v>
      </c>
      <c r="D854" s="6" t="str">
        <f>HYPERLINK("https://rmda.kulib.kyoto-u.ac.jp/item/rb00003046#?c=0&amp;m=0&amp;s=0&amp;cv=162")</f>
        <v>https://rmda.kulib.kyoto-u.ac.jp/item/rb00003046#?c=0&amp;m=0&amp;s=0&amp;cv=162</v>
      </c>
    </row>
    <row r="855" spans="1:4" x14ac:dyDescent="0.15">
      <c r="A855" s="6" t="s">
        <v>106</v>
      </c>
      <c r="B855" s="6" t="s">
        <v>5334</v>
      </c>
      <c r="C855" s="6">
        <v>164</v>
      </c>
      <c r="D855" s="6" t="str">
        <f>HYPERLINK("https://rmda.kulib.kyoto-u.ac.jp/item/rb00003046#?c=0&amp;m=0&amp;s=0&amp;cv=163")</f>
        <v>https://rmda.kulib.kyoto-u.ac.jp/item/rb00003046#?c=0&amp;m=0&amp;s=0&amp;cv=163</v>
      </c>
    </row>
    <row r="856" spans="1:4" x14ac:dyDescent="0.15">
      <c r="A856" s="6" t="s">
        <v>106</v>
      </c>
      <c r="B856" s="6" t="s">
        <v>5335</v>
      </c>
      <c r="C856" s="6">
        <v>164</v>
      </c>
      <c r="D856" s="6" t="str">
        <f>HYPERLINK("https://rmda.kulib.kyoto-u.ac.jp/item/rb00003046#?c=0&amp;m=0&amp;s=0&amp;cv=163")</f>
        <v>https://rmda.kulib.kyoto-u.ac.jp/item/rb00003046#?c=0&amp;m=0&amp;s=0&amp;cv=163</v>
      </c>
    </row>
    <row r="857" spans="1:4" x14ac:dyDescent="0.15">
      <c r="A857" s="6" t="s">
        <v>106</v>
      </c>
      <c r="B857" s="6" t="s">
        <v>5336</v>
      </c>
      <c r="C857" s="6">
        <v>165</v>
      </c>
      <c r="D857" s="6" t="str">
        <f>HYPERLINK("https://rmda.kulib.kyoto-u.ac.jp/item/rb00003046#?c=0&amp;m=0&amp;s=0&amp;cv=164")</f>
        <v>https://rmda.kulib.kyoto-u.ac.jp/item/rb00003046#?c=0&amp;m=0&amp;s=0&amp;cv=164</v>
      </c>
    </row>
    <row r="858" spans="1:4" x14ac:dyDescent="0.15">
      <c r="A858" s="6" t="s">
        <v>106</v>
      </c>
      <c r="B858" s="6" t="s">
        <v>5337</v>
      </c>
      <c r="C858" s="6">
        <v>165</v>
      </c>
      <c r="D858" s="6" t="str">
        <f>HYPERLINK("https://rmda.kulib.kyoto-u.ac.jp/item/rb00003046#?c=0&amp;m=0&amp;s=0&amp;cv=164")</f>
        <v>https://rmda.kulib.kyoto-u.ac.jp/item/rb00003046#?c=0&amp;m=0&amp;s=0&amp;cv=164</v>
      </c>
    </row>
    <row r="859" spans="1:4" x14ac:dyDescent="0.15">
      <c r="A859" s="6" t="s">
        <v>106</v>
      </c>
      <c r="B859" s="6" t="s">
        <v>5338</v>
      </c>
      <c r="C859" s="6">
        <v>165</v>
      </c>
      <c r="D859" s="6" t="str">
        <f>HYPERLINK("https://rmda.kulib.kyoto-u.ac.jp/item/rb00003046#?c=0&amp;m=0&amp;s=0&amp;cv=164")</f>
        <v>https://rmda.kulib.kyoto-u.ac.jp/item/rb00003046#?c=0&amp;m=0&amp;s=0&amp;cv=164</v>
      </c>
    </row>
    <row r="860" spans="1:4" x14ac:dyDescent="0.15">
      <c r="A860" s="6" t="s">
        <v>106</v>
      </c>
      <c r="B860" s="6" t="s">
        <v>5339</v>
      </c>
      <c r="C860" s="6">
        <v>166</v>
      </c>
      <c r="D860" s="6" t="str">
        <f>HYPERLINK("https://rmda.kulib.kyoto-u.ac.jp/item/rb00003046#?c=0&amp;m=0&amp;s=0&amp;cv=165")</f>
        <v>https://rmda.kulib.kyoto-u.ac.jp/item/rb00003046#?c=0&amp;m=0&amp;s=0&amp;cv=165</v>
      </c>
    </row>
    <row r="861" spans="1:4" x14ac:dyDescent="0.15">
      <c r="A861" s="6" t="s">
        <v>106</v>
      </c>
      <c r="B861" s="6" t="s">
        <v>5340</v>
      </c>
      <c r="C861" s="6">
        <v>166</v>
      </c>
      <c r="D861" s="6" t="str">
        <f>HYPERLINK("https://rmda.kulib.kyoto-u.ac.jp/item/rb00003046#?c=0&amp;m=0&amp;s=0&amp;cv=165")</f>
        <v>https://rmda.kulib.kyoto-u.ac.jp/item/rb00003046#?c=0&amp;m=0&amp;s=0&amp;cv=165</v>
      </c>
    </row>
    <row r="862" spans="1:4" x14ac:dyDescent="0.15">
      <c r="A862" s="6" t="s">
        <v>106</v>
      </c>
      <c r="B862" s="6" t="s">
        <v>5341</v>
      </c>
      <c r="C862" s="6">
        <v>167</v>
      </c>
      <c r="D862" s="6" t="str">
        <f>HYPERLINK("https://rmda.kulib.kyoto-u.ac.jp/item/rb00003046#?c=0&amp;m=0&amp;s=0&amp;cv=166")</f>
        <v>https://rmda.kulib.kyoto-u.ac.jp/item/rb00003046#?c=0&amp;m=0&amp;s=0&amp;cv=166</v>
      </c>
    </row>
    <row r="863" spans="1:4" x14ac:dyDescent="0.15">
      <c r="A863" s="6" t="s">
        <v>106</v>
      </c>
      <c r="B863" s="6" t="s">
        <v>5342</v>
      </c>
      <c r="C863" s="6">
        <v>167</v>
      </c>
      <c r="D863" s="6" t="str">
        <f>HYPERLINK("https://rmda.kulib.kyoto-u.ac.jp/item/rb00003046#?c=0&amp;m=0&amp;s=0&amp;cv=166")</f>
        <v>https://rmda.kulib.kyoto-u.ac.jp/item/rb00003046#?c=0&amp;m=0&amp;s=0&amp;cv=166</v>
      </c>
    </row>
    <row r="864" spans="1:4" x14ac:dyDescent="0.15">
      <c r="A864" s="6" t="s">
        <v>106</v>
      </c>
      <c r="B864" s="6" t="s">
        <v>5343</v>
      </c>
      <c r="C864" s="6">
        <v>167</v>
      </c>
      <c r="D864" s="6" t="str">
        <f>HYPERLINK("https://rmda.kulib.kyoto-u.ac.jp/item/rb00003046#?c=0&amp;m=0&amp;s=0&amp;cv=166")</f>
        <v>https://rmda.kulib.kyoto-u.ac.jp/item/rb00003046#?c=0&amp;m=0&amp;s=0&amp;cv=166</v>
      </c>
    </row>
    <row r="865" spans="1:4" x14ac:dyDescent="0.15">
      <c r="A865" s="6" t="s">
        <v>106</v>
      </c>
      <c r="B865" s="6" t="s">
        <v>5344</v>
      </c>
      <c r="C865" s="6">
        <v>168</v>
      </c>
      <c r="D865" s="6" t="str">
        <f>HYPERLINK("https://rmda.kulib.kyoto-u.ac.jp/item/rb00003046#?c=0&amp;m=0&amp;s=0&amp;cv=167")</f>
        <v>https://rmda.kulib.kyoto-u.ac.jp/item/rb00003046#?c=0&amp;m=0&amp;s=0&amp;cv=167</v>
      </c>
    </row>
    <row r="866" spans="1:4" x14ac:dyDescent="0.15">
      <c r="A866" s="6" t="s">
        <v>106</v>
      </c>
      <c r="B866" s="6" t="s">
        <v>5345</v>
      </c>
      <c r="C866" s="6">
        <v>168</v>
      </c>
      <c r="D866" s="6" t="str">
        <f>HYPERLINK("https://rmda.kulib.kyoto-u.ac.jp/item/rb00003046#?c=0&amp;m=0&amp;s=0&amp;cv=167")</f>
        <v>https://rmda.kulib.kyoto-u.ac.jp/item/rb00003046#?c=0&amp;m=0&amp;s=0&amp;cv=167</v>
      </c>
    </row>
    <row r="867" spans="1:4" x14ac:dyDescent="0.15">
      <c r="A867" s="6" t="s">
        <v>106</v>
      </c>
      <c r="B867" s="6" t="s">
        <v>5346</v>
      </c>
      <c r="C867" s="6">
        <v>168</v>
      </c>
      <c r="D867" s="6" t="str">
        <f>HYPERLINK("https://rmda.kulib.kyoto-u.ac.jp/item/rb00003046#?c=0&amp;m=0&amp;s=0&amp;cv=167")</f>
        <v>https://rmda.kulib.kyoto-u.ac.jp/item/rb00003046#?c=0&amp;m=0&amp;s=0&amp;cv=167</v>
      </c>
    </row>
    <row r="868" spans="1:4" x14ac:dyDescent="0.15">
      <c r="A868" s="6" t="s">
        <v>106</v>
      </c>
      <c r="B868" s="6" t="s">
        <v>5347</v>
      </c>
      <c r="C868" s="6">
        <v>168</v>
      </c>
      <c r="D868" s="6" t="str">
        <f>HYPERLINK("https://rmda.kulib.kyoto-u.ac.jp/item/rb00003046#?c=0&amp;m=0&amp;s=0&amp;cv=167")</f>
        <v>https://rmda.kulib.kyoto-u.ac.jp/item/rb00003046#?c=0&amp;m=0&amp;s=0&amp;cv=167</v>
      </c>
    </row>
    <row r="869" spans="1:4" x14ac:dyDescent="0.15">
      <c r="A869" s="6" t="s">
        <v>106</v>
      </c>
      <c r="B869" s="6" t="s">
        <v>5348</v>
      </c>
      <c r="C869" s="6">
        <v>169</v>
      </c>
      <c r="D869" s="6" t="str">
        <f>HYPERLINK("https://rmda.kulib.kyoto-u.ac.jp/item/rb00003046#?c=0&amp;m=0&amp;s=0&amp;cv=168")</f>
        <v>https://rmda.kulib.kyoto-u.ac.jp/item/rb00003046#?c=0&amp;m=0&amp;s=0&amp;cv=168</v>
      </c>
    </row>
    <row r="870" spans="1:4" x14ac:dyDescent="0.15">
      <c r="A870" s="6" t="s">
        <v>106</v>
      </c>
      <c r="B870" s="6" t="s">
        <v>5349</v>
      </c>
      <c r="C870" s="6">
        <v>169</v>
      </c>
      <c r="D870" s="6" t="str">
        <f>HYPERLINK("https://rmda.kulib.kyoto-u.ac.jp/item/rb00003046#?c=0&amp;m=0&amp;s=0&amp;cv=168")</f>
        <v>https://rmda.kulib.kyoto-u.ac.jp/item/rb00003046#?c=0&amp;m=0&amp;s=0&amp;cv=168</v>
      </c>
    </row>
    <row r="871" spans="1:4" x14ac:dyDescent="0.15">
      <c r="A871" s="6" t="s">
        <v>106</v>
      </c>
      <c r="B871" s="6" t="s">
        <v>5350</v>
      </c>
      <c r="C871" s="6">
        <v>170</v>
      </c>
      <c r="D871" s="6" t="str">
        <f>HYPERLINK("https://rmda.kulib.kyoto-u.ac.jp/item/rb00003046#?c=0&amp;m=0&amp;s=0&amp;cv=169")</f>
        <v>https://rmda.kulib.kyoto-u.ac.jp/item/rb00003046#?c=0&amp;m=0&amp;s=0&amp;cv=169</v>
      </c>
    </row>
    <row r="872" spans="1:4" x14ac:dyDescent="0.15">
      <c r="A872" s="6" t="s">
        <v>106</v>
      </c>
      <c r="B872" s="6" t="s">
        <v>5351</v>
      </c>
      <c r="C872" s="6">
        <v>170</v>
      </c>
      <c r="D872" s="6" t="str">
        <f>HYPERLINK("https://rmda.kulib.kyoto-u.ac.jp/item/rb00003046#?c=0&amp;m=0&amp;s=0&amp;cv=169")</f>
        <v>https://rmda.kulib.kyoto-u.ac.jp/item/rb00003046#?c=0&amp;m=0&amp;s=0&amp;cv=169</v>
      </c>
    </row>
    <row r="873" spans="1:4" x14ac:dyDescent="0.15">
      <c r="A873" s="6" t="s">
        <v>106</v>
      </c>
      <c r="B873" s="6" t="s">
        <v>5352</v>
      </c>
      <c r="C873" s="6">
        <v>170</v>
      </c>
      <c r="D873" s="6" t="str">
        <f>HYPERLINK("https://rmda.kulib.kyoto-u.ac.jp/item/rb00003046#?c=0&amp;m=0&amp;s=0&amp;cv=169")</f>
        <v>https://rmda.kulib.kyoto-u.ac.jp/item/rb00003046#?c=0&amp;m=0&amp;s=0&amp;cv=169</v>
      </c>
    </row>
    <row r="874" spans="1:4" x14ac:dyDescent="0.15">
      <c r="A874" s="6" t="s">
        <v>106</v>
      </c>
      <c r="B874" s="6" t="s">
        <v>1495</v>
      </c>
      <c r="C874" s="6">
        <v>170</v>
      </c>
      <c r="D874" s="6" t="str">
        <f>HYPERLINK("https://rmda.kulib.kyoto-u.ac.jp/item/rb00003046#?c=0&amp;m=0&amp;s=0&amp;cv=169")</f>
        <v>https://rmda.kulib.kyoto-u.ac.jp/item/rb00003046#?c=0&amp;m=0&amp;s=0&amp;cv=169</v>
      </c>
    </row>
    <row r="875" spans="1:4" x14ac:dyDescent="0.15">
      <c r="A875" s="6" t="s">
        <v>106</v>
      </c>
      <c r="B875" s="6" t="s">
        <v>2558</v>
      </c>
      <c r="C875" s="6">
        <v>171</v>
      </c>
      <c r="D875" s="6" t="str">
        <f>HYPERLINK("https://rmda.kulib.kyoto-u.ac.jp/item/rb00003046#?c=0&amp;m=0&amp;s=0&amp;cv=170")</f>
        <v>https://rmda.kulib.kyoto-u.ac.jp/item/rb00003046#?c=0&amp;m=0&amp;s=0&amp;cv=170</v>
      </c>
    </row>
    <row r="876" spans="1:4" x14ac:dyDescent="0.15">
      <c r="A876" s="6" t="s">
        <v>106</v>
      </c>
      <c r="B876" s="6" t="s">
        <v>5353</v>
      </c>
      <c r="C876" s="6">
        <v>171</v>
      </c>
      <c r="D876" s="6" t="str">
        <f>HYPERLINK("https://rmda.kulib.kyoto-u.ac.jp/item/rb00003046#?c=0&amp;m=0&amp;s=0&amp;cv=170")</f>
        <v>https://rmda.kulib.kyoto-u.ac.jp/item/rb00003046#?c=0&amp;m=0&amp;s=0&amp;cv=170</v>
      </c>
    </row>
    <row r="877" spans="1:4" x14ac:dyDescent="0.15">
      <c r="A877" s="6" t="s">
        <v>106</v>
      </c>
      <c r="B877" s="6" t="s">
        <v>5354</v>
      </c>
      <c r="C877" s="6">
        <v>171</v>
      </c>
      <c r="D877" s="6" t="str">
        <f>HYPERLINK("https://rmda.kulib.kyoto-u.ac.jp/item/rb00003046#?c=0&amp;m=0&amp;s=0&amp;cv=170")</f>
        <v>https://rmda.kulib.kyoto-u.ac.jp/item/rb00003046#?c=0&amp;m=0&amp;s=0&amp;cv=170</v>
      </c>
    </row>
    <row r="878" spans="1:4" x14ac:dyDescent="0.15">
      <c r="A878" s="6" t="s">
        <v>106</v>
      </c>
      <c r="B878" s="6" t="s">
        <v>2873</v>
      </c>
      <c r="C878" s="6">
        <v>171</v>
      </c>
      <c r="D878" s="6" t="str">
        <f>HYPERLINK("https://rmda.kulib.kyoto-u.ac.jp/item/rb00003046#?c=0&amp;m=0&amp;s=0&amp;cv=170")</f>
        <v>https://rmda.kulib.kyoto-u.ac.jp/item/rb00003046#?c=0&amp;m=0&amp;s=0&amp;cv=170</v>
      </c>
    </row>
    <row r="879" spans="1:4" x14ac:dyDescent="0.15">
      <c r="A879" s="6" t="s">
        <v>106</v>
      </c>
      <c r="B879" s="6" t="s">
        <v>5355</v>
      </c>
      <c r="C879" s="6">
        <v>171</v>
      </c>
      <c r="D879" s="6" t="str">
        <f>HYPERLINK("https://rmda.kulib.kyoto-u.ac.jp/item/rb00003046#?c=0&amp;m=0&amp;s=0&amp;cv=170")</f>
        <v>https://rmda.kulib.kyoto-u.ac.jp/item/rb00003046#?c=0&amp;m=0&amp;s=0&amp;cv=170</v>
      </c>
    </row>
    <row r="880" spans="1:4" x14ac:dyDescent="0.15">
      <c r="A880" s="6" t="s">
        <v>106</v>
      </c>
      <c r="B880" s="6" t="s">
        <v>5356</v>
      </c>
      <c r="C880" s="6">
        <v>172</v>
      </c>
      <c r="D880" s="6" t="str">
        <f>HYPERLINK("https://rmda.kulib.kyoto-u.ac.jp/item/rb00003046#?c=0&amp;m=0&amp;s=0&amp;cv=171")</f>
        <v>https://rmda.kulib.kyoto-u.ac.jp/item/rb00003046#?c=0&amp;m=0&amp;s=0&amp;cv=171</v>
      </c>
    </row>
    <row r="881" spans="1:4" x14ac:dyDescent="0.15">
      <c r="A881" s="6" t="s">
        <v>106</v>
      </c>
      <c r="B881" s="6" t="s">
        <v>5357</v>
      </c>
      <c r="C881" s="6">
        <v>172</v>
      </c>
      <c r="D881" s="6" t="str">
        <f>HYPERLINK("https://rmda.kulib.kyoto-u.ac.jp/item/rb00003046#?c=0&amp;m=0&amp;s=0&amp;cv=171")</f>
        <v>https://rmda.kulib.kyoto-u.ac.jp/item/rb00003046#?c=0&amp;m=0&amp;s=0&amp;cv=171</v>
      </c>
    </row>
    <row r="882" spans="1:4" x14ac:dyDescent="0.15">
      <c r="A882" s="6" t="s">
        <v>106</v>
      </c>
      <c r="B882" s="6" t="s">
        <v>5358</v>
      </c>
      <c r="C882" s="6">
        <v>172</v>
      </c>
      <c r="D882" s="6" t="str">
        <f>HYPERLINK("https://rmda.kulib.kyoto-u.ac.jp/item/rb00003046#?c=0&amp;m=0&amp;s=0&amp;cv=171")</f>
        <v>https://rmda.kulib.kyoto-u.ac.jp/item/rb00003046#?c=0&amp;m=0&amp;s=0&amp;cv=171</v>
      </c>
    </row>
    <row r="883" spans="1:4" x14ac:dyDescent="0.15">
      <c r="A883" s="6" t="s">
        <v>106</v>
      </c>
      <c r="B883" s="6" t="s">
        <v>5359</v>
      </c>
      <c r="C883" s="6">
        <v>173</v>
      </c>
      <c r="D883" s="6" t="str">
        <f>HYPERLINK("https://rmda.kulib.kyoto-u.ac.jp/item/rb00003046#?c=0&amp;m=0&amp;s=0&amp;cv=172")</f>
        <v>https://rmda.kulib.kyoto-u.ac.jp/item/rb00003046#?c=0&amp;m=0&amp;s=0&amp;cv=172</v>
      </c>
    </row>
    <row r="884" spans="1:4" x14ac:dyDescent="0.15">
      <c r="A884" s="6" t="s">
        <v>106</v>
      </c>
      <c r="B884" s="6" t="s">
        <v>5360</v>
      </c>
      <c r="C884" s="6">
        <v>173</v>
      </c>
      <c r="D884" s="6" t="str">
        <f>HYPERLINK("https://rmda.kulib.kyoto-u.ac.jp/item/rb00003046#?c=0&amp;m=0&amp;s=0&amp;cv=172")</f>
        <v>https://rmda.kulib.kyoto-u.ac.jp/item/rb00003046#?c=0&amp;m=0&amp;s=0&amp;cv=172</v>
      </c>
    </row>
    <row r="885" spans="1:4" x14ac:dyDescent="0.15">
      <c r="A885" s="6" t="s">
        <v>106</v>
      </c>
      <c r="B885" s="6" t="s">
        <v>5361</v>
      </c>
      <c r="C885" s="6">
        <v>173</v>
      </c>
      <c r="D885" s="6" t="str">
        <f>HYPERLINK("https://rmda.kulib.kyoto-u.ac.jp/item/rb00003046#?c=0&amp;m=0&amp;s=0&amp;cv=172")</f>
        <v>https://rmda.kulib.kyoto-u.ac.jp/item/rb00003046#?c=0&amp;m=0&amp;s=0&amp;cv=172</v>
      </c>
    </row>
    <row r="886" spans="1:4" x14ac:dyDescent="0.15">
      <c r="A886" s="6" t="s">
        <v>106</v>
      </c>
      <c r="B886" s="6" t="s">
        <v>3088</v>
      </c>
      <c r="C886" s="6">
        <v>173</v>
      </c>
      <c r="D886" s="6" t="str">
        <f>HYPERLINK("https://rmda.kulib.kyoto-u.ac.jp/item/rb00003046#?c=0&amp;m=0&amp;s=0&amp;cv=172")</f>
        <v>https://rmda.kulib.kyoto-u.ac.jp/item/rb00003046#?c=0&amp;m=0&amp;s=0&amp;cv=172</v>
      </c>
    </row>
    <row r="887" spans="1:4" x14ac:dyDescent="0.15">
      <c r="A887" s="6" t="s">
        <v>106</v>
      </c>
      <c r="B887" s="6" t="s">
        <v>5362</v>
      </c>
      <c r="C887" s="6">
        <v>173</v>
      </c>
      <c r="D887" s="6" t="str">
        <f>HYPERLINK("https://rmda.kulib.kyoto-u.ac.jp/item/rb00003046#?c=0&amp;m=0&amp;s=0&amp;cv=172")</f>
        <v>https://rmda.kulib.kyoto-u.ac.jp/item/rb00003046#?c=0&amp;m=0&amp;s=0&amp;cv=172</v>
      </c>
    </row>
    <row r="888" spans="1:4" x14ac:dyDescent="0.15">
      <c r="A888" s="6" t="s">
        <v>106</v>
      </c>
      <c r="B888" s="6" t="s">
        <v>5363</v>
      </c>
      <c r="C888" s="6">
        <v>174</v>
      </c>
      <c r="D888" s="6" t="str">
        <f>HYPERLINK("https://rmda.kulib.kyoto-u.ac.jp/item/rb00003046#?c=0&amp;m=0&amp;s=0&amp;cv=173")</f>
        <v>https://rmda.kulib.kyoto-u.ac.jp/item/rb00003046#?c=0&amp;m=0&amp;s=0&amp;cv=173</v>
      </c>
    </row>
    <row r="889" spans="1:4" x14ac:dyDescent="0.15">
      <c r="A889" s="6" t="s">
        <v>106</v>
      </c>
      <c r="B889" s="6" t="s">
        <v>5364</v>
      </c>
      <c r="C889" s="6">
        <v>174</v>
      </c>
      <c r="D889" s="6" t="str">
        <f>HYPERLINK("https://rmda.kulib.kyoto-u.ac.jp/item/rb00003046#?c=0&amp;m=0&amp;s=0&amp;cv=173")</f>
        <v>https://rmda.kulib.kyoto-u.ac.jp/item/rb00003046#?c=0&amp;m=0&amp;s=0&amp;cv=173</v>
      </c>
    </row>
    <row r="890" spans="1:4" x14ac:dyDescent="0.15">
      <c r="A890" s="6" t="s">
        <v>106</v>
      </c>
      <c r="B890" s="6" t="s">
        <v>5365</v>
      </c>
      <c r="C890" s="6">
        <v>174</v>
      </c>
      <c r="D890" s="6" t="str">
        <f>HYPERLINK("https://rmda.kulib.kyoto-u.ac.jp/item/rb00003046#?c=0&amp;m=0&amp;s=0&amp;cv=173")</f>
        <v>https://rmda.kulib.kyoto-u.ac.jp/item/rb00003046#?c=0&amp;m=0&amp;s=0&amp;cv=173</v>
      </c>
    </row>
    <row r="891" spans="1:4" x14ac:dyDescent="0.15">
      <c r="A891" s="6" t="s">
        <v>106</v>
      </c>
      <c r="B891" s="6" t="s">
        <v>5366</v>
      </c>
      <c r="C891" s="6">
        <v>175</v>
      </c>
      <c r="D891" s="6" t="str">
        <f>HYPERLINK("https://rmda.kulib.kyoto-u.ac.jp/item/rb00003046#?c=0&amp;m=0&amp;s=0&amp;cv=174")</f>
        <v>https://rmda.kulib.kyoto-u.ac.jp/item/rb00003046#?c=0&amp;m=0&amp;s=0&amp;cv=174</v>
      </c>
    </row>
    <row r="892" spans="1:4" x14ac:dyDescent="0.15">
      <c r="A892" s="6" t="s">
        <v>106</v>
      </c>
      <c r="B892" s="6" t="s">
        <v>5367</v>
      </c>
      <c r="C892" s="6">
        <v>175</v>
      </c>
      <c r="D892" s="6" t="str">
        <f>HYPERLINK("https://rmda.kulib.kyoto-u.ac.jp/item/rb00003046#?c=0&amp;m=0&amp;s=0&amp;cv=174")</f>
        <v>https://rmda.kulib.kyoto-u.ac.jp/item/rb00003046#?c=0&amp;m=0&amp;s=0&amp;cv=174</v>
      </c>
    </row>
    <row r="893" spans="1:4" x14ac:dyDescent="0.15">
      <c r="A893" s="6" t="s">
        <v>106</v>
      </c>
      <c r="B893" s="6" t="s">
        <v>3149</v>
      </c>
      <c r="C893" s="6">
        <v>175</v>
      </c>
      <c r="D893" s="6" t="str">
        <f>HYPERLINK("https://rmda.kulib.kyoto-u.ac.jp/item/rb00003046#?c=0&amp;m=0&amp;s=0&amp;cv=174")</f>
        <v>https://rmda.kulib.kyoto-u.ac.jp/item/rb00003046#?c=0&amp;m=0&amp;s=0&amp;cv=174</v>
      </c>
    </row>
    <row r="894" spans="1:4" x14ac:dyDescent="0.15">
      <c r="A894" s="6" t="s">
        <v>106</v>
      </c>
      <c r="B894" s="72" t="s">
        <v>3967</v>
      </c>
      <c r="C894" s="6">
        <v>179</v>
      </c>
      <c r="D894" s="6" t="str">
        <f>HYPERLINK("https://rmda.kulib.kyoto-u.ac.jp/item/rb00003046#?c=0&amp;m=0&amp;s=0&amp;cv=178")</f>
        <v>https://rmda.kulib.kyoto-u.ac.jp/item/rb00003046#?c=0&amp;m=0&amp;s=0&amp;cv=178</v>
      </c>
    </row>
    <row r="895" spans="1:4" x14ac:dyDescent="0.15">
      <c r="A895" s="6" t="s">
        <v>106</v>
      </c>
      <c r="B895" s="6" t="s">
        <v>5368</v>
      </c>
      <c r="C895" s="6">
        <v>179</v>
      </c>
      <c r="D895" s="6" t="str">
        <f>HYPERLINK("https://rmda.kulib.kyoto-u.ac.jp/item/rb00003046#?c=0&amp;m=0&amp;s=0&amp;cv=178")</f>
        <v>https://rmda.kulib.kyoto-u.ac.jp/item/rb00003046#?c=0&amp;m=0&amp;s=0&amp;cv=178</v>
      </c>
    </row>
    <row r="896" spans="1:4" x14ac:dyDescent="0.15">
      <c r="A896" s="6" t="s">
        <v>106</v>
      </c>
      <c r="B896" s="6" t="s">
        <v>5369</v>
      </c>
      <c r="C896" s="6">
        <v>180</v>
      </c>
      <c r="D896" s="6" t="str">
        <f>HYPERLINK("https://rmda.kulib.kyoto-u.ac.jp/item/rb00003046#?c=0&amp;m=0&amp;s=0&amp;cv=179")</f>
        <v>https://rmda.kulib.kyoto-u.ac.jp/item/rb00003046#?c=0&amp;m=0&amp;s=0&amp;cv=179</v>
      </c>
    </row>
    <row r="897" spans="1:4" x14ac:dyDescent="0.15">
      <c r="A897" s="6" t="s">
        <v>106</v>
      </c>
      <c r="B897" s="6" t="s">
        <v>5370</v>
      </c>
      <c r="C897" s="6">
        <v>180</v>
      </c>
      <c r="D897" s="6" t="str">
        <f>HYPERLINK("https://rmda.kulib.kyoto-u.ac.jp/item/rb00003046#?c=0&amp;m=0&amp;s=0&amp;cv=179")</f>
        <v>https://rmda.kulib.kyoto-u.ac.jp/item/rb00003046#?c=0&amp;m=0&amp;s=0&amp;cv=179</v>
      </c>
    </row>
    <row r="898" spans="1:4" x14ac:dyDescent="0.15">
      <c r="A898" s="6" t="s">
        <v>106</v>
      </c>
      <c r="B898" s="6" t="s">
        <v>2908</v>
      </c>
      <c r="C898" s="6">
        <v>181</v>
      </c>
      <c r="D898" s="6" t="str">
        <f>HYPERLINK("https://rmda.kulib.kyoto-u.ac.jp/item/rb00003046#?c=0&amp;m=0&amp;s=0&amp;cv=180")</f>
        <v>https://rmda.kulib.kyoto-u.ac.jp/item/rb00003046#?c=0&amp;m=0&amp;s=0&amp;cv=180</v>
      </c>
    </row>
    <row r="899" spans="1:4" x14ac:dyDescent="0.15">
      <c r="A899" s="6" t="s">
        <v>106</v>
      </c>
      <c r="B899" s="6" t="s">
        <v>5371</v>
      </c>
      <c r="C899" s="6">
        <v>182</v>
      </c>
      <c r="D899" s="6" t="str">
        <f>HYPERLINK("https://rmda.kulib.kyoto-u.ac.jp/item/rb00003046#?c=0&amp;m=0&amp;s=0&amp;cv=181")</f>
        <v>https://rmda.kulib.kyoto-u.ac.jp/item/rb00003046#?c=0&amp;m=0&amp;s=0&amp;cv=181</v>
      </c>
    </row>
    <row r="900" spans="1:4" x14ac:dyDescent="0.15">
      <c r="A900" s="6" t="s">
        <v>106</v>
      </c>
      <c r="B900" s="6" t="s">
        <v>5372</v>
      </c>
      <c r="C900" s="6">
        <v>182</v>
      </c>
      <c r="D900" s="6" t="str">
        <f>HYPERLINK("https://rmda.kulib.kyoto-u.ac.jp/item/rb00003046#?c=0&amp;m=0&amp;s=0&amp;cv=181")</f>
        <v>https://rmda.kulib.kyoto-u.ac.jp/item/rb00003046#?c=0&amp;m=0&amp;s=0&amp;cv=181</v>
      </c>
    </row>
    <row r="901" spans="1:4" x14ac:dyDescent="0.15">
      <c r="A901" s="6" t="s">
        <v>106</v>
      </c>
      <c r="B901" s="6" t="s">
        <v>5373</v>
      </c>
      <c r="C901" s="6">
        <v>182</v>
      </c>
      <c r="D901" s="6" t="str">
        <f>HYPERLINK("https://rmda.kulib.kyoto-u.ac.jp/item/rb00003046#?c=0&amp;m=0&amp;s=0&amp;cv=181")</f>
        <v>https://rmda.kulib.kyoto-u.ac.jp/item/rb00003046#?c=0&amp;m=0&amp;s=0&amp;cv=181</v>
      </c>
    </row>
    <row r="902" spans="1:4" x14ac:dyDescent="0.15">
      <c r="A902" s="6" t="s">
        <v>106</v>
      </c>
      <c r="B902" s="6" t="s">
        <v>2906</v>
      </c>
      <c r="C902" s="6">
        <v>183</v>
      </c>
      <c r="D902" s="6" t="str">
        <f>HYPERLINK("https://rmda.kulib.kyoto-u.ac.jp/item/rb00003046#?c=0&amp;m=0&amp;s=0&amp;cv=182")</f>
        <v>https://rmda.kulib.kyoto-u.ac.jp/item/rb00003046#?c=0&amp;m=0&amp;s=0&amp;cv=182</v>
      </c>
    </row>
    <row r="903" spans="1:4" x14ac:dyDescent="0.15">
      <c r="A903" s="6" t="s">
        <v>106</v>
      </c>
      <c r="B903" s="6" t="s">
        <v>5374</v>
      </c>
      <c r="C903" s="6">
        <v>183</v>
      </c>
      <c r="D903" s="6" t="str">
        <f>HYPERLINK("https://rmda.kulib.kyoto-u.ac.jp/item/rb00003046#?c=0&amp;m=0&amp;s=0&amp;cv=182")</f>
        <v>https://rmda.kulib.kyoto-u.ac.jp/item/rb00003046#?c=0&amp;m=0&amp;s=0&amp;cv=182</v>
      </c>
    </row>
    <row r="904" spans="1:4" x14ac:dyDescent="0.15">
      <c r="A904" s="6" t="s">
        <v>106</v>
      </c>
      <c r="B904" s="6" t="s">
        <v>5375</v>
      </c>
      <c r="C904" s="6">
        <v>183</v>
      </c>
      <c r="D904" s="6" t="str">
        <f>HYPERLINK("https://rmda.kulib.kyoto-u.ac.jp/item/rb00003046#?c=0&amp;m=0&amp;s=0&amp;cv=182")</f>
        <v>https://rmda.kulib.kyoto-u.ac.jp/item/rb00003046#?c=0&amp;m=0&amp;s=0&amp;cv=182</v>
      </c>
    </row>
    <row r="905" spans="1:4" x14ac:dyDescent="0.15">
      <c r="A905" s="6" t="s">
        <v>106</v>
      </c>
      <c r="B905" s="6" t="s">
        <v>5376</v>
      </c>
      <c r="C905" s="6">
        <v>184</v>
      </c>
      <c r="D905" s="6" t="str">
        <f>HYPERLINK("https://rmda.kulib.kyoto-u.ac.jp/item/rb00003046#?c=0&amp;m=0&amp;s=0&amp;cv=183")</f>
        <v>https://rmda.kulib.kyoto-u.ac.jp/item/rb00003046#?c=0&amp;m=0&amp;s=0&amp;cv=183</v>
      </c>
    </row>
    <row r="906" spans="1:4" x14ac:dyDescent="0.15">
      <c r="A906" s="6" t="s">
        <v>106</v>
      </c>
      <c r="B906" s="6" t="s">
        <v>5377</v>
      </c>
      <c r="C906" s="6">
        <v>184</v>
      </c>
      <c r="D906" s="6" t="str">
        <f>HYPERLINK("https://rmda.kulib.kyoto-u.ac.jp/item/rb00003046#?c=0&amp;m=0&amp;s=0&amp;cv=183")</f>
        <v>https://rmda.kulib.kyoto-u.ac.jp/item/rb00003046#?c=0&amp;m=0&amp;s=0&amp;cv=183</v>
      </c>
    </row>
    <row r="907" spans="1:4" x14ac:dyDescent="0.15">
      <c r="A907" s="6" t="s">
        <v>106</v>
      </c>
      <c r="B907" s="6" t="s">
        <v>5378</v>
      </c>
      <c r="C907" s="6">
        <v>184</v>
      </c>
      <c r="D907" s="6" t="str">
        <f>HYPERLINK("https://rmda.kulib.kyoto-u.ac.jp/item/rb00003046#?c=0&amp;m=0&amp;s=0&amp;cv=183")</f>
        <v>https://rmda.kulib.kyoto-u.ac.jp/item/rb00003046#?c=0&amp;m=0&amp;s=0&amp;cv=183</v>
      </c>
    </row>
    <row r="908" spans="1:4" x14ac:dyDescent="0.15">
      <c r="A908" s="6" t="s">
        <v>106</v>
      </c>
      <c r="B908" s="6" t="s">
        <v>5379</v>
      </c>
      <c r="C908" s="6">
        <v>184</v>
      </c>
      <c r="D908" s="6" t="str">
        <f>HYPERLINK("https://rmda.kulib.kyoto-u.ac.jp/item/rb00003046#?c=0&amp;m=0&amp;s=0&amp;cv=183")</f>
        <v>https://rmda.kulib.kyoto-u.ac.jp/item/rb00003046#?c=0&amp;m=0&amp;s=0&amp;cv=183</v>
      </c>
    </row>
    <row r="909" spans="1:4" x14ac:dyDescent="0.15">
      <c r="A909" s="6" t="s">
        <v>106</v>
      </c>
      <c r="B909" s="6" t="s">
        <v>5380</v>
      </c>
      <c r="C909" s="6">
        <v>185</v>
      </c>
      <c r="D909" s="6" t="str">
        <f>HYPERLINK("https://rmda.kulib.kyoto-u.ac.jp/item/rb00003046#?c=0&amp;m=0&amp;s=0&amp;cv=184")</f>
        <v>https://rmda.kulib.kyoto-u.ac.jp/item/rb00003046#?c=0&amp;m=0&amp;s=0&amp;cv=184</v>
      </c>
    </row>
    <row r="910" spans="1:4" x14ac:dyDescent="0.15">
      <c r="A910" s="6" t="s">
        <v>106</v>
      </c>
      <c r="B910" s="6" t="s">
        <v>5381</v>
      </c>
      <c r="C910" s="6">
        <v>185</v>
      </c>
      <c r="D910" s="6" t="str">
        <f>HYPERLINK("https://rmda.kulib.kyoto-u.ac.jp/item/rb00003046#?c=0&amp;m=0&amp;s=0&amp;cv=184")</f>
        <v>https://rmda.kulib.kyoto-u.ac.jp/item/rb00003046#?c=0&amp;m=0&amp;s=0&amp;cv=184</v>
      </c>
    </row>
    <row r="911" spans="1:4" x14ac:dyDescent="0.15">
      <c r="A911" s="6" t="s">
        <v>106</v>
      </c>
      <c r="B911" s="6" t="s">
        <v>5382</v>
      </c>
      <c r="C911" s="6">
        <v>185</v>
      </c>
      <c r="D911" s="6" t="str">
        <f>HYPERLINK("https://rmda.kulib.kyoto-u.ac.jp/item/rb00003046#?c=0&amp;m=0&amp;s=0&amp;cv=184")</f>
        <v>https://rmda.kulib.kyoto-u.ac.jp/item/rb00003046#?c=0&amp;m=0&amp;s=0&amp;cv=184</v>
      </c>
    </row>
    <row r="912" spans="1:4" x14ac:dyDescent="0.15">
      <c r="A912" s="6" t="s">
        <v>106</v>
      </c>
      <c r="B912" s="6" t="s">
        <v>5383</v>
      </c>
      <c r="C912" s="6">
        <v>186</v>
      </c>
      <c r="D912" s="6" t="str">
        <f>HYPERLINK("https://rmda.kulib.kyoto-u.ac.jp/item/rb00003046#?c=0&amp;m=0&amp;s=0&amp;cv=185")</f>
        <v>https://rmda.kulib.kyoto-u.ac.jp/item/rb00003046#?c=0&amp;m=0&amp;s=0&amp;cv=185</v>
      </c>
    </row>
    <row r="913" spans="1:4" x14ac:dyDescent="0.15">
      <c r="A913" s="6" t="s">
        <v>106</v>
      </c>
      <c r="B913" s="6" t="s">
        <v>3036</v>
      </c>
      <c r="C913" s="6">
        <v>186</v>
      </c>
      <c r="D913" s="6" t="str">
        <f>HYPERLINK("https://rmda.kulib.kyoto-u.ac.jp/item/rb00003046#?c=0&amp;m=0&amp;s=0&amp;cv=185")</f>
        <v>https://rmda.kulib.kyoto-u.ac.jp/item/rb00003046#?c=0&amp;m=0&amp;s=0&amp;cv=185</v>
      </c>
    </row>
    <row r="914" spans="1:4" x14ac:dyDescent="0.15">
      <c r="A914" s="6" t="s">
        <v>106</v>
      </c>
      <c r="B914" s="6" t="s">
        <v>5384</v>
      </c>
      <c r="C914" s="6">
        <v>187</v>
      </c>
      <c r="D914" s="6" t="str">
        <f>HYPERLINK("https://rmda.kulib.kyoto-u.ac.jp/item/rb00003046#?c=0&amp;m=0&amp;s=0&amp;cv=186")</f>
        <v>https://rmda.kulib.kyoto-u.ac.jp/item/rb00003046#?c=0&amp;m=0&amp;s=0&amp;cv=186</v>
      </c>
    </row>
    <row r="915" spans="1:4" x14ac:dyDescent="0.15">
      <c r="A915" s="6" t="s">
        <v>106</v>
      </c>
      <c r="B915" s="6" t="s">
        <v>5385</v>
      </c>
      <c r="C915" s="6">
        <v>187</v>
      </c>
      <c r="D915" s="6" t="str">
        <f>HYPERLINK("https://rmda.kulib.kyoto-u.ac.jp/item/rb00003046#?c=0&amp;m=0&amp;s=0&amp;cv=186")</f>
        <v>https://rmda.kulib.kyoto-u.ac.jp/item/rb00003046#?c=0&amp;m=0&amp;s=0&amp;cv=186</v>
      </c>
    </row>
    <row r="916" spans="1:4" x14ac:dyDescent="0.15">
      <c r="A916" s="6" t="s">
        <v>106</v>
      </c>
      <c r="B916" s="6" t="s">
        <v>5386</v>
      </c>
      <c r="C916" s="6">
        <v>187</v>
      </c>
      <c r="D916" s="6" t="str">
        <f>HYPERLINK("https://rmda.kulib.kyoto-u.ac.jp/item/rb00003046#?c=0&amp;m=0&amp;s=0&amp;cv=186")</f>
        <v>https://rmda.kulib.kyoto-u.ac.jp/item/rb00003046#?c=0&amp;m=0&amp;s=0&amp;cv=186</v>
      </c>
    </row>
    <row r="917" spans="1:4" x14ac:dyDescent="0.15">
      <c r="A917" s="6" t="s">
        <v>106</v>
      </c>
      <c r="B917" s="6" t="s">
        <v>5387</v>
      </c>
      <c r="C917" s="6">
        <v>188</v>
      </c>
      <c r="D917" s="6" t="str">
        <f>HYPERLINK("https://rmda.kulib.kyoto-u.ac.jp/item/rb00003046#?c=0&amp;m=0&amp;s=0&amp;cv=187")</f>
        <v>https://rmda.kulib.kyoto-u.ac.jp/item/rb00003046#?c=0&amp;m=0&amp;s=0&amp;cv=187</v>
      </c>
    </row>
    <row r="918" spans="1:4" x14ac:dyDescent="0.15">
      <c r="A918" s="6" t="s">
        <v>106</v>
      </c>
      <c r="B918" s="6" t="s">
        <v>5388</v>
      </c>
      <c r="C918" s="6">
        <v>188</v>
      </c>
      <c r="D918" s="6" t="str">
        <f>HYPERLINK("https://rmda.kulib.kyoto-u.ac.jp/item/rb00003046#?c=0&amp;m=0&amp;s=0&amp;cv=187")</f>
        <v>https://rmda.kulib.kyoto-u.ac.jp/item/rb00003046#?c=0&amp;m=0&amp;s=0&amp;cv=187</v>
      </c>
    </row>
    <row r="919" spans="1:4" x14ac:dyDescent="0.15">
      <c r="A919" s="6" t="s">
        <v>106</v>
      </c>
      <c r="B919" s="6" t="s">
        <v>5389</v>
      </c>
      <c r="C919" s="6">
        <v>188</v>
      </c>
      <c r="D919" s="6" t="str">
        <f>HYPERLINK("https://rmda.kulib.kyoto-u.ac.jp/item/rb00003046#?c=0&amp;m=0&amp;s=0&amp;cv=187")</f>
        <v>https://rmda.kulib.kyoto-u.ac.jp/item/rb00003046#?c=0&amp;m=0&amp;s=0&amp;cv=187</v>
      </c>
    </row>
    <row r="920" spans="1:4" x14ac:dyDescent="0.15">
      <c r="A920" s="6" t="s">
        <v>106</v>
      </c>
      <c r="B920" s="6" t="s">
        <v>5390</v>
      </c>
      <c r="C920" s="6">
        <v>189</v>
      </c>
      <c r="D920" s="6" t="str">
        <f>HYPERLINK("https://rmda.kulib.kyoto-u.ac.jp/item/rb00003046#?c=0&amp;m=0&amp;s=0&amp;cv=188")</f>
        <v>https://rmda.kulib.kyoto-u.ac.jp/item/rb00003046#?c=0&amp;m=0&amp;s=0&amp;cv=188</v>
      </c>
    </row>
    <row r="921" spans="1:4" x14ac:dyDescent="0.15">
      <c r="A921" s="6" t="s">
        <v>106</v>
      </c>
      <c r="B921" s="6" t="s">
        <v>5391</v>
      </c>
      <c r="C921" s="6">
        <v>189</v>
      </c>
      <c r="D921" s="6" t="str">
        <f>HYPERLINK("https://rmda.kulib.kyoto-u.ac.jp/item/rb00003046#?c=0&amp;m=0&amp;s=0&amp;cv=188")</f>
        <v>https://rmda.kulib.kyoto-u.ac.jp/item/rb00003046#?c=0&amp;m=0&amp;s=0&amp;cv=188</v>
      </c>
    </row>
    <row r="922" spans="1:4" x14ac:dyDescent="0.15">
      <c r="A922" s="6" t="s">
        <v>106</v>
      </c>
      <c r="B922" s="6" t="s">
        <v>5392</v>
      </c>
      <c r="C922" s="6">
        <v>189</v>
      </c>
      <c r="D922" s="6" t="str">
        <f>HYPERLINK("https://rmda.kulib.kyoto-u.ac.jp/item/rb00003046#?c=0&amp;m=0&amp;s=0&amp;cv=188")</f>
        <v>https://rmda.kulib.kyoto-u.ac.jp/item/rb00003046#?c=0&amp;m=0&amp;s=0&amp;cv=188</v>
      </c>
    </row>
    <row r="923" spans="1:4" x14ac:dyDescent="0.15">
      <c r="A923" s="6" t="s">
        <v>106</v>
      </c>
      <c r="B923" s="6" t="s">
        <v>5393</v>
      </c>
      <c r="C923" s="6">
        <v>189</v>
      </c>
      <c r="D923" s="6" t="str">
        <f>HYPERLINK("https://rmda.kulib.kyoto-u.ac.jp/item/rb00003046#?c=0&amp;m=0&amp;s=0&amp;cv=188")</f>
        <v>https://rmda.kulib.kyoto-u.ac.jp/item/rb00003046#?c=0&amp;m=0&amp;s=0&amp;cv=188</v>
      </c>
    </row>
    <row r="924" spans="1:4" x14ac:dyDescent="0.15">
      <c r="A924" s="6" t="s">
        <v>106</v>
      </c>
      <c r="B924" s="6" t="s">
        <v>5394</v>
      </c>
      <c r="C924" s="6">
        <v>189</v>
      </c>
      <c r="D924" s="6" t="str">
        <f>HYPERLINK("https://rmda.kulib.kyoto-u.ac.jp/item/rb00003046#?c=0&amp;m=0&amp;s=0&amp;cv=188")</f>
        <v>https://rmda.kulib.kyoto-u.ac.jp/item/rb00003046#?c=0&amp;m=0&amp;s=0&amp;cv=188</v>
      </c>
    </row>
    <row r="925" spans="1:4" x14ac:dyDescent="0.15">
      <c r="A925" s="6" t="s">
        <v>106</v>
      </c>
      <c r="B925" s="6" t="s">
        <v>2893</v>
      </c>
      <c r="C925" s="6">
        <v>190</v>
      </c>
      <c r="D925" s="6" t="str">
        <f>HYPERLINK("https://rmda.kulib.kyoto-u.ac.jp/item/rb00003046#?c=0&amp;m=0&amp;s=0&amp;cv=189")</f>
        <v>https://rmda.kulib.kyoto-u.ac.jp/item/rb00003046#?c=0&amp;m=0&amp;s=0&amp;cv=189</v>
      </c>
    </row>
    <row r="926" spans="1:4" x14ac:dyDescent="0.15">
      <c r="A926" s="6" t="s">
        <v>106</v>
      </c>
      <c r="B926" s="6" t="s">
        <v>1502</v>
      </c>
      <c r="C926" s="6">
        <v>190</v>
      </c>
      <c r="D926" s="6" t="str">
        <f>HYPERLINK("https://rmda.kulib.kyoto-u.ac.jp/item/rb00003046#?c=0&amp;m=0&amp;s=0&amp;cv=189")</f>
        <v>https://rmda.kulib.kyoto-u.ac.jp/item/rb00003046#?c=0&amp;m=0&amp;s=0&amp;cv=189</v>
      </c>
    </row>
    <row r="927" spans="1:4" x14ac:dyDescent="0.15">
      <c r="A927" s="6" t="s">
        <v>106</v>
      </c>
      <c r="B927" s="6" t="s">
        <v>1504</v>
      </c>
      <c r="C927" s="6">
        <v>190</v>
      </c>
      <c r="D927" s="6" t="str">
        <f>HYPERLINK("https://rmda.kulib.kyoto-u.ac.jp/item/rb00003046#?c=0&amp;m=0&amp;s=0&amp;cv=189")</f>
        <v>https://rmda.kulib.kyoto-u.ac.jp/item/rb00003046#?c=0&amp;m=0&amp;s=0&amp;cv=189</v>
      </c>
    </row>
    <row r="928" spans="1:4" x14ac:dyDescent="0.15">
      <c r="A928" s="6" t="s">
        <v>106</v>
      </c>
      <c r="B928" s="6" t="s">
        <v>5395</v>
      </c>
      <c r="C928" s="6">
        <v>191</v>
      </c>
      <c r="D928" s="6" t="str">
        <f>HYPERLINK("https://rmda.kulib.kyoto-u.ac.jp/item/rb00003046#?c=0&amp;m=0&amp;s=0&amp;cv=190")</f>
        <v>https://rmda.kulib.kyoto-u.ac.jp/item/rb00003046#?c=0&amp;m=0&amp;s=0&amp;cv=190</v>
      </c>
    </row>
    <row r="929" spans="1:4" x14ac:dyDescent="0.15">
      <c r="A929" s="6" t="s">
        <v>106</v>
      </c>
      <c r="B929" s="6" t="s">
        <v>5396</v>
      </c>
      <c r="C929" s="6">
        <v>191</v>
      </c>
      <c r="D929" s="6" t="str">
        <f>HYPERLINK("https://rmda.kulib.kyoto-u.ac.jp/item/rb00003046#?c=0&amp;m=0&amp;s=0&amp;cv=190")</f>
        <v>https://rmda.kulib.kyoto-u.ac.jp/item/rb00003046#?c=0&amp;m=0&amp;s=0&amp;cv=190</v>
      </c>
    </row>
    <row r="930" spans="1:4" x14ac:dyDescent="0.15">
      <c r="A930" s="6" t="s">
        <v>106</v>
      </c>
      <c r="B930" s="6" t="s">
        <v>5397</v>
      </c>
      <c r="C930" s="6">
        <v>192</v>
      </c>
      <c r="D930" s="6" t="str">
        <f>HYPERLINK("https://rmda.kulib.kyoto-u.ac.jp/item/rb00003046#?c=0&amp;m=0&amp;s=0&amp;cv=191")</f>
        <v>https://rmda.kulib.kyoto-u.ac.jp/item/rb00003046#?c=0&amp;m=0&amp;s=0&amp;cv=191</v>
      </c>
    </row>
    <row r="931" spans="1:4" x14ac:dyDescent="0.15">
      <c r="A931" s="6" t="s">
        <v>106</v>
      </c>
      <c r="B931" s="6" t="s">
        <v>5398</v>
      </c>
      <c r="C931" s="6">
        <v>192</v>
      </c>
      <c r="D931" s="6" t="str">
        <f>HYPERLINK("https://rmda.kulib.kyoto-u.ac.jp/item/rb00003046#?c=0&amp;m=0&amp;s=0&amp;cv=191")</f>
        <v>https://rmda.kulib.kyoto-u.ac.jp/item/rb00003046#?c=0&amp;m=0&amp;s=0&amp;cv=191</v>
      </c>
    </row>
    <row r="932" spans="1:4" x14ac:dyDescent="0.15">
      <c r="A932" s="6" t="s">
        <v>106</v>
      </c>
      <c r="B932" s="6" t="s">
        <v>5399</v>
      </c>
      <c r="C932" s="6">
        <v>192</v>
      </c>
      <c r="D932" s="6" t="str">
        <f>HYPERLINK("https://rmda.kulib.kyoto-u.ac.jp/item/rb00003046#?c=0&amp;m=0&amp;s=0&amp;cv=191")</f>
        <v>https://rmda.kulib.kyoto-u.ac.jp/item/rb00003046#?c=0&amp;m=0&amp;s=0&amp;cv=191</v>
      </c>
    </row>
    <row r="933" spans="1:4" x14ac:dyDescent="0.15">
      <c r="A933" s="6" t="s">
        <v>106</v>
      </c>
      <c r="B933" s="6" t="s">
        <v>5400</v>
      </c>
      <c r="C933" s="6">
        <v>192</v>
      </c>
      <c r="D933" s="6" t="str">
        <f>HYPERLINK("https://rmda.kulib.kyoto-u.ac.jp/item/rb00003046#?c=0&amp;m=0&amp;s=0&amp;cv=191")</f>
        <v>https://rmda.kulib.kyoto-u.ac.jp/item/rb00003046#?c=0&amp;m=0&amp;s=0&amp;cv=191</v>
      </c>
    </row>
    <row r="934" spans="1:4" x14ac:dyDescent="0.15">
      <c r="A934" s="6" t="s">
        <v>106</v>
      </c>
      <c r="B934" s="6" t="s">
        <v>5401</v>
      </c>
      <c r="C934" s="6">
        <v>193</v>
      </c>
      <c r="D934" s="6" t="str">
        <f>HYPERLINK("https://rmda.kulib.kyoto-u.ac.jp/item/rb00003046#?c=0&amp;m=0&amp;s=0&amp;cv=192")</f>
        <v>https://rmda.kulib.kyoto-u.ac.jp/item/rb00003046#?c=0&amp;m=0&amp;s=0&amp;cv=192</v>
      </c>
    </row>
    <row r="935" spans="1:4" x14ac:dyDescent="0.15">
      <c r="A935" s="6" t="s">
        <v>106</v>
      </c>
      <c r="B935" s="6" t="s">
        <v>5402</v>
      </c>
      <c r="C935" s="6">
        <v>193</v>
      </c>
      <c r="D935" s="6" t="str">
        <f>HYPERLINK("https://rmda.kulib.kyoto-u.ac.jp/item/rb00003046#?c=0&amp;m=0&amp;s=0&amp;cv=192")</f>
        <v>https://rmda.kulib.kyoto-u.ac.jp/item/rb00003046#?c=0&amp;m=0&amp;s=0&amp;cv=192</v>
      </c>
    </row>
    <row r="936" spans="1:4" x14ac:dyDescent="0.15">
      <c r="A936" s="6" t="s">
        <v>106</v>
      </c>
      <c r="B936" s="6" t="s">
        <v>5403</v>
      </c>
      <c r="C936" s="6">
        <v>193</v>
      </c>
      <c r="D936" s="6" t="str">
        <f>HYPERLINK("https://rmda.kulib.kyoto-u.ac.jp/item/rb00003046#?c=0&amp;m=0&amp;s=0&amp;cv=192")</f>
        <v>https://rmda.kulib.kyoto-u.ac.jp/item/rb00003046#?c=0&amp;m=0&amp;s=0&amp;cv=192</v>
      </c>
    </row>
    <row r="937" spans="1:4" x14ac:dyDescent="0.15">
      <c r="A937" s="6" t="s">
        <v>106</v>
      </c>
      <c r="B937" s="6" t="s">
        <v>5404</v>
      </c>
      <c r="C937" s="6">
        <v>193</v>
      </c>
      <c r="D937" s="6" t="str">
        <f>HYPERLINK("https://rmda.kulib.kyoto-u.ac.jp/item/rb00003046#?c=0&amp;m=0&amp;s=0&amp;cv=192")</f>
        <v>https://rmda.kulib.kyoto-u.ac.jp/item/rb00003046#?c=0&amp;m=0&amp;s=0&amp;cv=192</v>
      </c>
    </row>
    <row r="938" spans="1:4" x14ac:dyDescent="0.15">
      <c r="A938" s="6" t="s">
        <v>106</v>
      </c>
      <c r="B938" s="6" t="s">
        <v>5405</v>
      </c>
      <c r="C938" s="6">
        <v>194</v>
      </c>
      <c r="D938" s="6" t="str">
        <f>HYPERLINK("https://rmda.kulib.kyoto-u.ac.jp/item/rb00003046#?c=0&amp;m=0&amp;s=0&amp;cv=193")</f>
        <v>https://rmda.kulib.kyoto-u.ac.jp/item/rb00003046#?c=0&amp;m=0&amp;s=0&amp;cv=193</v>
      </c>
    </row>
    <row r="939" spans="1:4" x14ac:dyDescent="0.15">
      <c r="A939" s="6" t="s">
        <v>106</v>
      </c>
      <c r="B939" s="6" t="s">
        <v>5406</v>
      </c>
      <c r="C939" s="6">
        <v>194</v>
      </c>
      <c r="D939" s="6" t="str">
        <f>HYPERLINK("https://rmda.kulib.kyoto-u.ac.jp/item/rb00003046#?c=0&amp;m=0&amp;s=0&amp;cv=193")</f>
        <v>https://rmda.kulib.kyoto-u.ac.jp/item/rb00003046#?c=0&amp;m=0&amp;s=0&amp;cv=193</v>
      </c>
    </row>
    <row r="940" spans="1:4" x14ac:dyDescent="0.15">
      <c r="A940" s="6" t="s">
        <v>106</v>
      </c>
      <c r="B940" s="6" t="s">
        <v>5407</v>
      </c>
      <c r="C940" s="6">
        <v>194</v>
      </c>
      <c r="D940" s="6" t="str">
        <f>HYPERLINK("https://rmda.kulib.kyoto-u.ac.jp/item/rb00003046#?c=0&amp;m=0&amp;s=0&amp;cv=193")</f>
        <v>https://rmda.kulib.kyoto-u.ac.jp/item/rb00003046#?c=0&amp;m=0&amp;s=0&amp;cv=193</v>
      </c>
    </row>
    <row r="941" spans="1:4" x14ac:dyDescent="0.15">
      <c r="A941" s="6" t="s">
        <v>106</v>
      </c>
      <c r="B941" s="6" t="s">
        <v>5408</v>
      </c>
      <c r="C941" s="6">
        <v>194</v>
      </c>
      <c r="D941" s="6" t="str">
        <f>HYPERLINK("https://rmda.kulib.kyoto-u.ac.jp/item/rb00003046#?c=0&amp;m=0&amp;s=0&amp;cv=193")</f>
        <v>https://rmda.kulib.kyoto-u.ac.jp/item/rb00003046#?c=0&amp;m=0&amp;s=0&amp;cv=193</v>
      </c>
    </row>
    <row r="942" spans="1:4" x14ac:dyDescent="0.15">
      <c r="A942" s="6" t="s">
        <v>106</v>
      </c>
      <c r="B942" s="6" t="s">
        <v>5409</v>
      </c>
      <c r="C942" s="6">
        <v>195</v>
      </c>
      <c r="D942" s="6" t="str">
        <f>HYPERLINK("https://rmda.kulib.kyoto-u.ac.jp/item/rb00003046#?c=0&amp;m=0&amp;s=0&amp;cv=194")</f>
        <v>https://rmda.kulib.kyoto-u.ac.jp/item/rb00003046#?c=0&amp;m=0&amp;s=0&amp;cv=194</v>
      </c>
    </row>
    <row r="943" spans="1:4" x14ac:dyDescent="0.15">
      <c r="A943" s="6" t="s">
        <v>106</v>
      </c>
      <c r="B943" s="6" t="s">
        <v>5410</v>
      </c>
      <c r="C943" s="6">
        <v>195</v>
      </c>
      <c r="D943" s="6" t="str">
        <f>HYPERLINK("https://rmda.kulib.kyoto-u.ac.jp/item/rb00003046#?c=0&amp;m=0&amp;s=0&amp;cv=194")</f>
        <v>https://rmda.kulib.kyoto-u.ac.jp/item/rb00003046#?c=0&amp;m=0&amp;s=0&amp;cv=194</v>
      </c>
    </row>
    <row r="944" spans="1:4" x14ac:dyDescent="0.15">
      <c r="A944" s="6" t="s">
        <v>106</v>
      </c>
      <c r="B944" s="6" t="s">
        <v>5411</v>
      </c>
      <c r="C944" s="6">
        <v>195</v>
      </c>
      <c r="D944" s="6" t="str">
        <f>HYPERLINK("https://rmda.kulib.kyoto-u.ac.jp/item/rb00003046#?c=0&amp;m=0&amp;s=0&amp;cv=194")</f>
        <v>https://rmda.kulib.kyoto-u.ac.jp/item/rb00003046#?c=0&amp;m=0&amp;s=0&amp;cv=194</v>
      </c>
    </row>
    <row r="945" spans="1:4" x14ac:dyDescent="0.15">
      <c r="A945" s="6" t="s">
        <v>106</v>
      </c>
      <c r="B945" s="72" t="s">
        <v>3968</v>
      </c>
      <c r="C945" s="6">
        <v>197</v>
      </c>
      <c r="D945" s="6" t="str">
        <f>HYPERLINK("https://rmda.kulib.kyoto-u.ac.jp/item/rb00003046#?c=0&amp;m=0&amp;s=0&amp;cv=196")</f>
        <v>https://rmda.kulib.kyoto-u.ac.jp/item/rb00003046#?c=0&amp;m=0&amp;s=0&amp;cv=196</v>
      </c>
    </row>
    <row r="946" spans="1:4" x14ac:dyDescent="0.15">
      <c r="A946" s="6" t="s">
        <v>106</v>
      </c>
      <c r="B946" s="6" t="s">
        <v>3969</v>
      </c>
      <c r="C946" s="6">
        <v>197</v>
      </c>
      <c r="D946" s="6" t="str">
        <f>HYPERLINK("https://rmda.kulib.kyoto-u.ac.jp/item/rb00003046#?c=0&amp;m=0&amp;s=0&amp;cv=196")</f>
        <v>https://rmda.kulib.kyoto-u.ac.jp/item/rb00003046#?c=0&amp;m=0&amp;s=0&amp;cv=196</v>
      </c>
    </row>
    <row r="947" spans="1:4" x14ac:dyDescent="0.15">
      <c r="A947" s="6" t="s">
        <v>106</v>
      </c>
      <c r="B947" s="6" t="s">
        <v>3970</v>
      </c>
      <c r="C947" s="6">
        <v>205</v>
      </c>
      <c r="D947" s="6" t="str">
        <f>HYPERLINK("https://rmda.kulib.kyoto-u.ac.jp/item/rb00003046#?c=0&amp;m=0&amp;s=0&amp;cv=204")</f>
        <v>https://rmda.kulib.kyoto-u.ac.jp/item/rb00003046#?c=0&amp;m=0&amp;s=0&amp;cv=204</v>
      </c>
    </row>
    <row r="948" spans="1:4" x14ac:dyDescent="0.15">
      <c r="A948" s="6" t="s">
        <v>106</v>
      </c>
      <c r="B948" s="6" t="s">
        <v>3971</v>
      </c>
      <c r="C948" s="6">
        <v>206</v>
      </c>
      <c r="D948" s="6" t="str">
        <f>HYPERLINK("https://rmda.kulib.kyoto-u.ac.jp/item/rb00003046#?c=0&amp;m=0&amp;s=0&amp;cv=205")</f>
        <v>https://rmda.kulib.kyoto-u.ac.jp/item/rb00003046#?c=0&amp;m=0&amp;s=0&amp;cv=205</v>
      </c>
    </row>
    <row r="949" spans="1:4" x14ac:dyDescent="0.15">
      <c r="A949" s="6" t="s">
        <v>106</v>
      </c>
      <c r="B949" s="6" t="s">
        <v>3972</v>
      </c>
      <c r="C949" s="6">
        <v>214</v>
      </c>
      <c r="D949" s="6" t="str">
        <f>HYPERLINK("https://rmda.kulib.kyoto-u.ac.jp/item/rb00003046#?c=0&amp;m=0&amp;s=0&amp;cv=213")</f>
        <v>https://rmda.kulib.kyoto-u.ac.jp/item/rb00003046#?c=0&amp;m=0&amp;s=0&amp;cv=213</v>
      </c>
    </row>
    <row r="950" spans="1:4" x14ac:dyDescent="0.15">
      <c r="A950" s="6" t="s">
        <v>106</v>
      </c>
      <c r="B950" s="6" t="s">
        <v>3973</v>
      </c>
      <c r="C950" s="6">
        <v>229</v>
      </c>
      <c r="D950" s="6" t="str">
        <f>HYPERLINK("https://rmda.kulib.kyoto-u.ac.jp/item/rb00003046#?c=0&amp;m=0&amp;s=0&amp;cv=228")</f>
        <v>https://rmda.kulib.kyoto-u.ac.jp/item/rb00003046#?c=0&amp;m=0&amp;s=0&amp;cv=228</v>
      </c>
    </row>
    <row r="951" spans="1:4" x14ac:dyDescent="0.15">
      <c r="A951" s="6" t="s">
        <v>106</v>
      </c>
      <c r="B951" s="72" t="s">
        <v>3974</v>
      </c>
      <c r="C951" s="6">
        <v>241</v>
      </c>
      <c r="D951" s="6" t="str">
        <f>HYPERLINK("https://rmda.kulib.kyoto-u.ac.jp/item/rb00003046#?c=0&amp;m=0&amp;s=0&amp;cv=240")</f>
        <v>https://rmda.kulib.kyoto-u.ac.jp/item/rb00003046#?c=0&amp;m=0&amp;s=0&amp;cv=240</v>
      </c>
    </row>
    <row r="952" spans="1:4" x14ac:dyDescent="0.15">
      <c r="A952" s="6" t="s">
        <v>106</v>
      </c>
      <c r="B952" s="6" t="s">
        <v>3975</v>
      </c>
      <c r="C952" s="6">
        <v>241</v>
      </c>
      <c r="D952" s="6" t="str">
        <f>HYPERLINK("https://rmda.kulib.kyoto-u.ac.jp/item/rb00003046#?c=0&amp;m=0&amp;s=0&amp;cv=240")</f>
        <v>https://rmda.kulib.kyoto-u.ac.jp/item/rb00003046#?c=0&amp;m=0&amp;s=0&amp;cv=240</v>
      </c>
    </row>
    <row r="953" spans="1:4" x14ac:dyDescent="0.15">
      <c r="A953" s="6" t="s">
        <v>106</v>
      </c>
      <c r="B953" s="6" t="s">
        <v>3976</v>
      </c>
      <c r="C953" s="6">
        <v>246</v>
      </c>
      <c r="D953" s="6" t="str">
        <f>HYPERLINK("https://rmda.kulib.kyoto-u.ac.jp/item/rb00003046#?c=0&amp;m=0&amp;s=0&amp;cv=245")</f>
        <v>https://rmda.kulib.kyoto-u.ac.jp/item/rb00003046#?c=0&amp;m=0&amp;s=0&amp;cv=245</v>
      </c>
    </row>
    <row r="954" spans="1:4" x14ac:dyDescent="0.15">
      <c r="A954" s="6" t="s">
        <v>106</v>
      </c>
      <c r="B954" s="6" t="s">
        <v>3977</v>
      </c>
      <c r="C954" s="6">
        <v>249</v>
      </c>
      <c r="D954" s="6" t="str">
        <f>HYPERLINK("https://rmda.kulib.kyoto-u.ac.jp/item/rb00003046#?c=0&amp;m=0&amp;s=0&amp;cv=248")</f>
        <v>https://rmda.kulib.kyoto-u.ac.jp/item/rb00003046#?c=0&amp;m=0&amp;s=0&amp;cv=248</v>
      </c>
    </row>
    <row r="955" spans="1:4" x14ac:dyDescent="0.15">
      <c r="A955" s="6" t="s">
        <v>106</v>
      </c>
      <c r="B955" s="6" t="s">
        <v>3978</v>
      </c>
      <c r="C955" s="6">
        <v>257</v>
      </c>
      <c r="D955" s="6" t="str">
        <f>HYPERLINK("https://rmda.kulib.kyoto-u.ac.jp/item/rb00003046#?c=0&amp;m=0&amp;s=0&amp;cv=256")</f>
        <v>https://rmda.kulib.kyoto-u.ac.jp/item/rb00003046#?c=0&amp;m=0&amp;s=0&amp;cv=256</v>
      </c>
    </row>
    <row r="956" spans="1:4" x14ac:dyDescent="0.15">
      <c r="A956" s="6" t="s">
        <v>106</v>
      </c>
      <c r="B956" s="72" t="s">
        <v>3979</v>
      </c>
      <c r="C956" s="6">
        <v>261</v>
      </c>
      <c r="D956" s="6" t="str">
        <f>HYPERLINK("https://rmda.kulib.kyoto-u.ac.jp/item/rb00003046#?c=0&amp;m=0&amp;s=0&amp;cv=260")</f>
        <v>https://rmda.kulib.kyoto-u.ac.jp/item/rb00003046#?c=0&amp;m=0&amp;s=0&amp;cv=260</v>
      </c>
    </row>
    <row r="957" spans="1:4" x14ac:dyDescent="0.15">
      <c r="A957" s="6" t="s">
        <v>106</v>
      </c>
      <c r="B957" s="6" t="s">
        <v>3980</v>
      </c>
      <c r="C957" s="6">
        <v>261</v>
      </c>
      <c r="D957" s="6" t="str">
        <f>HYPERLINK("https://rmda.kulib.kyoto-u.ac.jp/item/rb00003046#?c=0&amp;m=0&amp;s=0&amp;cv=260")</f>
        <v>https://rmda.kulib.kyoto-u.ac.jp/item/rb00003046#?c=0&amp;m=0&amp;s=0&amp;cv=260</v>
      </c>
    </row>
    <row r="958" spans="1:4" x14ac:dyDescent="0.15">
      <c r="A958" s="6" t="s">
        <v>106</v>
      </c>
      <c r="B958" s="6" t="s">
        <v>3981</v>
      </c>
      <c r="C958" s="6">
        <v>267</v>
      </c>
      <c r="D958" s="6" t="str">
        <f>HYPERLINK("https://rmda.kulib.kyoto-u.ac.jp/item/rb00003046#?c=0&amp;m=0&amp;s=0&amp;cv=266")</f>
        <v>https://rmda.kulib.kyoto-u.ac.jp/item/rb00003046#?c=0&amp;m=0&amp;s=0&amp;cv=266</v>
      </c>
    </row>
    <row r="959" spans="1:4" x14ac:dyDescent="0.15">
      <c r="A959" s="6" t="s">
        <v>106</v>
      </c>
      <c r="B959" s="72" t="s">
        <v>3982</v>
      </c>
      <c r="C959" s="6">
        <v>269</v>
      </c>
      <c r="D959" s="6" t="str">
        <f>HYPERLINK("https://rmda.kulib.kyoto-u.ac.jp/item/rb00003046#?c=0&amp;m=0&amp;s=0&amp;cv=268")</f>
        <v>https://rmda.kulib.kyoto-u.ac.jp/item/rb00003046#?c=0&amp;m=0&amp;s=0&amp;cv=268</v>
      </c>
    </row>
    <row r="960" spans="1:4" x14ac:dyDescent="0.15">
      <c r="A960" s="6" t="s">
        <v>106</v>
      </c>
      <c r="B960" s="6" t="s">
        <v>3983</v>
      </c>
      <c r="C960" s="6">
        <v>269</v>
      </c>
      <c r="D960" s="6" t="str">
        <f>HYPERLINK("https://rmda.kulib.kyoto-u.ac.jp/item/rb00003046#?c=0&amp;m=0&amp;s=0&amp;cv=268")</f>
        <v>https://rmda.kulib.kyoto-u.ac.jp/item/rb00003046#?c=0&amp;m=0&amp;s=0&amp;cv=268</v>
      </c>
    </row>
    <row r="961" spans="1:4" x14ac:dyDescent="0.15">
      <c r="A961" s="6" t="s">
        <v>106</v>
      </c>
      <c r="B961" s="72" t="s">
        <v>3984</v>
      </c>
      <c r="C961" s="6">
        <v>281</v>
      </c>
      <c r="D961" s="6" t="str">
        <f>HYPERLINK("https://rmda.kulib.kyoto-u.ac.jp/item/rb00003046#?c=0&amp;m=0&amp;s=0&amp;cv=280")</f>
        <v>https://rmda.kulib.kyoto-u.ac.jp/item/rb00003046#?c=0&amp;m=0&amp;s=0&amp;cv=280</v>
      </c>
    </row>
    <row r="962" spans="1:4" x14ac:dyDescent="0.15">
      <c r="A962" s="6" t="s">
        <v>106</v>
      </c>
      <c r="B962" s="6" t="s">
        <v>2022</v>
      </c>
      <c r="C962" s="6">
        <v>281</v>
      </c>
      <c r="D962" s="6" t="str">
        <f>HYPERLINK("https://rmda.kulib.kyoto-u.ac.jp/item/rb00003046#?c=0&amp;m=0&amp;s=0&amp;cv=280")</f>
        <v>https://rmda.kulib.kyoto-u.ac.jp/item/rb00003046#?c=0&amp;m=0&amp;s=0&amp;cv=280</v>
      </c>
    </row>
    <row r="963" spans="1:4" x14ac:dyDescent="0.15">
      <c r="A963" s="6" t="s">
        <v>106</v>
      </c>
      <c r="B963" s="6" t="s">
        <v>3956</v>
      </c>
      <c r="C963" s="6">
        <v>283</v>
      </c>
      <c r="D963" s="6" t="str">
        <f>HYPERLINK("https://rmda.kulib.kyoto-u.ac.jp/item/rb00003046#?c=0&amp;m=0&amp;s=0&amp;cv=282")</f>
        <v>https://rmda.kulib.kyoto-u.ac.jp/item/rb00003046#?c=0&amp;m=0&amp;s=0&amp;cv=282</v>
      </c>
    </row>
    <row r="964" spans="1:4" x14ac:dyDescent="0.15">
      <c r="A964" s="6" t="s">
        <v>106</v>
      </c>
      <c r="B964" s="6" t="s">
        <v>3957</v>
      </c>
      <c r="C964" s="6">
        <v>283</v>
      </c>
      <c r="D964" s="6" t="str">
        <f>HYPERLINK("https://rmda.kulib.kyoto-u.ac.jp/item/rb00003046#?c=0&amp;m=0&amp;s=0&amp;cv=282")</f>
        <v>https://rmda.kulib.kyoto-u.ac.jp/item/rb00003046#?c=0&amp;m=0&amp;s=0&amp;cv=282</v>
      </c>
    </row>
    <row r="965" spans="1:4" x14ac:dyDescent="0.15">
      <c r="A965" s="6" t="s">
        <v>106</v>
      </c>
      <c r="B965" s="6" t="s">
        <v>3958</v>
      </c>
      <c r="C965" s="6">
        <v>284</v>
      </c>
      <c r="D965" s="6" t="str">
        <f>HYPERLINK("https://rmda.kulib.kyoto-u.ac.jp/item/rb00003046#?c=0&amp;m=0&amp;s=0&amp;cv=283")</f>
        <v>https://rmda.kulib.kyoto-u.ac.jp/item/rb00003046#?c=0&amp;m=0&amp;s=0&amp;cv=283</v>
      </c>
    </row>
    <row r="966" spans="1:4" x14ac:dyDescent="0.15">
      <c r="A966" s="6" t="s">
        <v>106</v>
      </c>
      <c r="B966" s="6" t="s">
        <v>3959</v>
      </c>
      <c r="C966" s="6">
        <v>285</v>
      </c>
      <c r="D966" s="6" t="str">
        <f>HYPERLINK("https://rmda.kulib.kyoto-u.ac.jp/item/rb00003046#?c=0&amp;m=0&amp;s=0&amp;cv=284")</f>
        <v>https://rmda.kulib.kyoto-u.ac.jp/item/rb00003046#?c=0&amp;m=0&amp;s=0&amp;cv=284</v>
      </c>
    </row>
    <row r="967" spans="1:4" x14ac:dyDescent="0.15">
      <c r="A967" s="6" t="s">
        <v>106</v>
      </c>
      <c r="B967" s="6" t="s">
        <v>3960</v>
      </c>
      <c r="C967" s="6">
        <v>286</v>
      </c>
      <c r="D967" s="6" t="str">
        <f>HYPERLINK("https://rmda.kulib.kyoto-u.ac.jp/item/rb00003046#?c=0&amp;m=0&amp;s=0&amp;cv=285")</f>
        <v>https://rmda.kulib.kyoto-u.ac.jp/item/rb00003046#?c=0&amp;m=0&amp;s=0&amp;cv=285</v>
      </c>
    </row>
    <row r="968" spans="1:4" x14ac:dyDescent="0.15">
      <c r="A968" s="6" t="s">
        <v>106</v>
      </c>
      <c r="B968" s="6" t="s">
        <v>3961</v>
      </c>
      <c r="C968" s="6">
        <v>288</v>
      </c>
      <c r="D968" s="6" t="str">
        <f>HYPERLINK("https://rmda.kulib.kyoto-u.ac.jp/item/rb00003046#?c=0&amp;m=0&amp;s=0&amp;cv=287")</f>
        <v>https://rmda.kulib.kyoto-u.ac.jp/item/rb00003046#?c=0&amp;m=0&amp;s=0&amp;cv=287</v>
      </c>
    </row>
    <row r="969" spans="1:4" x14ac:dyDescent="0.15">
      <c r="A969" s="6" t="s">
        <v>106</v>
      </c>
      <c r="B969" s="6" t="s">
        <v>3962</v>
      </c>
      <c r="C969" s="6">
        <v>291</v>
      </c>
      <c r="D969" s="6" t="str">
        <f>HYPERLINK("https://rmda.kulib.kyoto-u.ac.jp/item/rb00003046#?c=0&amp;m=0&amp;s=0&amp;cv=290")</f>
        <v>https://rmda.kulib.kyoto-u.ac.jp/item/rb00003046#?c=0&amp;m=0&amp;s=0&amp;cv=290</v>
      </c>
    </row>
    <row r="970" spans="1:4" x14ac:dyDescent="0.15">
      <c r="A970" s="6" t="s">
        <v>106</v>
      </c>
      <c r="B970" s="6" t="s">
        <v>2023</v>
      </c>
      <c r="C970" s="6">
        <v>292</v>
      </c>
      <c r="D970" s="6" t="str">
        <f>HYPERLINK("https://rmda.kulib.kyoto-u.ac.jp/item/rb00003046#?c=0&amp;m=0&amp;s=0&amp;cv=291")</f>
        <v>https://rmda.kulib.kyoto-u.ac.jp/item/rb00003046#?c=0&amp;m=0&amp;s=0&amp;cv=291</v>
      </c>
    </row>
    <row r="971" spans="1:4" x14ac:dyDescent="0.15">
      <c r="A971" s="6" t="s">
        <v>106</v>
      </c>
      <c r="B971" s="6" t="s">
        <v>3985</v>
      </c>
      <c r="C971" s="6">
        <v>294</v>
      </c>
      <c r="D971" s="6" t="str">
        <f>HYPERLINK("https://rmda.kulib.kyoto-u.ac.jp/item/rb00003046#?c=0&amp;m=0&amp;s=0&amp;cv=293")</f>
        <v>https://rmda.kulib.kyoto-u.ac.jp/item/rb00003046#?c=0&amp;m=0&amp;s=0&amp;cv=293</v>
      </c>
    </row>
    <row r="972" spans="1:4" x14ac:dyDescent="0.15">
      <c r="A972" s="6" t="s">
        <v>106</v>
      </c>
      <c r="B972" s="6" t="s">
        <v>2024</v>
      </c>
      <c r="C972" s="6">
        <v>295</v>
      </c>
      <c r="D972" s="6" t="str">
        <f>HYPERLINK("https://rmda.kulib.kyoto-u.ac.jp/item/rb00003046#?c=0&amp;m=0&amp;s=0&amp;cv=294")</f>
        <v>https://rmda.kulib.kyoto-u.ac.jp/item/rb00003046#?c=0&amp;m=0&amp;s=0&amp;cv=294</v>
      </c>
    </row>
    <row r="973" spans="1:4" x14ac:dyDescent="0.15">
      <c r="A973" s="6" t="s">
        <v>106</v>
      </c>
      <c r="B973" s="6" t="s">
        <v>2025</v>
      </c>
      <c r="C973" s="6">
        <v>297</v>
      </c>
      <c r="D973" s="6" t="str">
        <f>HYPERLINK("https://rmda.kulib.kyoto-u.ac.jp/item/rb00003046#?c=0&amp;m=0&amp;s=0&amp;cv=296")</f>
        <v>https://rmda.kulib.kyoto-u.ac.jp/item/rb00003046#?c=0&amp;m=0&amp;s=0&amp;cv=296</v>
      </c>
    </row>
    <row r="974" spans="1:4" x14ac:dyDescent="0.15">
      <c r="A974" s="6" t="s">
        <v>106</v>
      </c>
      <c r="B974" s="72" t="s">
        <v>3986</v>
      </c>
      <c r="C974" s="6">
        <v>299</v>
      </c>
      <c r="D974" s="6" t="str">
        <f>HYPERLINK("https://rmda.kulib.kyoto-u.ac.jp/item/rb00003046#?c=0&amp;m=0&amp;s=0&amp;cv=298")</f>
        <v>https://rmda.kulib.kyoto-u.ac.jp/item/rb00003046#?c=0&amp;m=0&amp;s=0&amp;cv=298</v>
      </c>
    </row>
    <row r="975" spans="1:4" x14ac:dyDescent="0.15">
      <c r="A975" s="6" t="s">
        <v>106</v>
      </c>
      <c r="B975" s="6" t="s">
        <v>2026</v>
      </c>
      <c r="C975" s="6">
        <v>299</v>
      </c>
      <c r="D975" s="6" t="str">
        <f>HYPERLINK("https://rmda.kulib.kyoto-u.ac.jp/item/rb00003046#?c=0&amp;m=0&amp;s=0&amp;cv=298")</f>
        <v>https://rmda.kulib.kyoto-u.ac.jp/item/rb00003046#?c=0&amp;m=0&amp;s=0&amp;cv=298</v>
      </c>
    </row>
    <row r="976" spans="1:4" x14ac:dyDescent="0.15">
      <c r="A976" s="6" t="s">
        <v>106</v>
      </c>
      <c r="B976" s="6" t="s">
        <v>2027</v>
      </c>
      <c r="C976" s="6">
        <v>304</v>
      </c>
      <c r="D976" s="6" t="str">
        <f>HYPERLINK("https://rmda.kulib.kyoto-u.ac.jp/item/rb00003046#?c=0&amp;m=0&amp;s=0&amp;cv=303")</f>
        <v>https://rmda.kulib.kyoto-u.ac.jp/item/rb00003046#?c=0&amp;m=0&amp;s=0&amp;cv=303</v>
      </c>
    </row>
    <row r="977" spans="1:4" x14ac:dyDescent="0.15">
      <c r="A977" s="6" t="s">
        <v>106</v>
      </c>
      <c r="B977" s="6" t="s">
        <v>2028</v>
      </c>
      <c r="C977" s="6">
        <v>308</v>
      </c>
      <c r="D977" s="6" t="str">
        <f>HYPERLINK("https://rmda.kulib.kyoto-u.ac.jp/item/rb00003046#?c=0&amp;m=0&amp;s=0&amp;cv=307")</f>
        <v>https://rmda.kulib.kyoto-u.ac.jp/item/rb00003046#?c=0&amp;m=0&amp;s=0&amp;cv=307</v>
      </c>
    </row>
    <row r="978" spans="1:4" x14ac:dyDescent="0.15">
      <c r="A978" s="6" t="s">
        <v>106</v>
      </c>
      <c r="B978" s="6" t="s">
        <v>2029</v>
      </c>
      <c r="C978" s="6">
        <v>310</v>
      </c>
      <c r="D978" s="6" t="str">
        <f>HYPERLINK("https://rmda.kulib.kyoto-u.ac.jp/item/rb00003046#?c=0&amp;m=0&amp;s=0&amp;cv=309")</f>
        <v>https://rmda.kulib.kyoto-u.ac.jp/item/rb00003046#?c=0&amp;m=0&amp;s=0&amp;cv=309</v>
      </c>
    </row>
    <row r="979" spans="1:4" x14ac:dyDescent="0.15">
      <c r="A979" s="6" t="s">
        <v>106</v>
      </c>
      <c r="B979" s="6" t="s">
        <v>2030</v>
      </c>
      <c r="C979" s="6">
        <v>318</v>
      </c>
      <c r="D979" s="6" t="str">
        <f>HYPERLINK("https://rmda.kulib.kyoto-u.ac.jp/item/rb00003046#?c=0&amp;m=0&amp;s=0&amp;cv=317")</f>
        <v>https://rmda.kulib.kyoto-u.ac.jp/item/rb00003046#?c=0&amp;m=0&amp;s=0&amp;cv=317</v>
      </c>
    </row>
    <row r="980" spans="1:4" x14ac:dyDescent="0.15">
      <c r="A980" s="6" t="s">
        <v>106</v>
      </c>
      <c r="B980" s="6" t="s">
        <v>2031</v>
      </c>
      <c r="C980" s="6">
        <v>319</v>
      </c>
      <c r="D980" s="6" t="str">
        <f>HYPERLINK("https://rmda.kulib.kyoto-u.ac.jp/item/rb00003046#?c=0&amp;m=0&amp;s=0&amp;cv=318")</f>
        <v>https://rmda.kulib.kyoto-u.ac.jp/item/rb00003046#?c=0&amp;m=0&amp;s=0&amp;cv=318</v>
      </c>
    </row>
    <row r="981" spans="1:4" x14ac:dyDescent="0.15">
      <c r="A981" s="6" t="s">
        <v>106</v>
      </c>
      <c r="B981" s="6" t="s">
        <v>2032</v>
      </c>
      <c r="C981" s="6">
        <v>319</v>
      </c>
      <c r="D981" s="6" t="str">
        <f>HYPERLINK("https://rmda.kulib.kyoto-u.ac.jp/item/rb00003046#?c=0&amp;m=0&amp;s=0&amp;cv=318")</f>
        <v>https://rmda.kulib.kyoto-u.ac.jp/item/rb00003046#?c=0&amp;m=0&amp;s=0&amp;cv=318</v>
      </c>
    </row>
    <row r="982" spans="1:4" x14ac:dyDescent="0.15">
      <c r="A982" s="6" t="s">
        <v>106</v>
      </c>
      <c r="B982" s="6" t="s">
        <v>2033</v>
      </c>
      <c r="C982" s="6">
        <v>320</v>
      </c>
      <c r="D982" s="6" t="str">
        <f>HYPERLINK("https://rmda.kulib.kyoto-u.ac.jp/item/rb00003046#?c=0&amp;m=0&amp;s=0&amp;cv=319")</f>
        <v>https://rmda.kulib.kyoto-u.ac.jp/item/rb00003046#?c=0&amp;m=0&amp;s=0&amp;cv=319</v>
      </c>
    </row>
    <row r="983" spans="1:4" x14ac:dyDescent="0.15">
      <c r="A983" s="6" t="s">
        <v>106</v>
      </c>
      <c r="B983" s="6" t="s">
        <v>2034</v>
      </c>
      <c r="C983" s="6">
        <v>321</v>
      </c>
      <c r="D983" s="6" t="str">
        <f>HYPERLINK("https://rmda.kulib.kyoto-u.ac.jp/item/rb00003046#?c=0&amp;m=0&amp;s=0&amp;cv=320")</f>
        <v>https://rmda.kulib.kyoto-u.ac.jp/item/rb00003046#?c=0&amp;m=0&amp;s=0&amp;cv=320</v>
      </c>
    </row>
    <row r="984" spans="1:4" x14ac:dyDescent="0.15">
      <c r="A984" s="6" t="s">
        <v>106</v>
      </c>
      <c r="B984" s="6" t="s">
        <v>2035</v>
      </c>
      <c r="C984" s="6">
        <v>322</v>
      </c>
      <c r="D984" s="6" t="str">
        <f>HYPERLINK("https://rmda.kulib.kyoto-u.ac.jp/item/rb00003046#?c=0&amp;m=0&amp;s=0&amp;cv=321")</f>
        <v>https://rmda.kulib.kyoto-u.ac.jp/item/rb00003046#?c=0&amp;m=0&amp;s=0&amp;cv=321</v>
      </c>
    </row>
    <row r="985" spans="1:4" x14ac:dyDescent="0.15">
      <c r="A985" s="6" t="s">
        <v>106</v>
      </c>
      <c r="B985" s="6" t="s">
        <v>2030</v>
      </c>
      <c r="C985" s="6">
        <v>324</v>
      </c>
      <c r="D985" s="6" t="str">
        <f>HYPERLINK("https://rmda.kulib.kyoto-u.ac.jp/item/rb00003046#?c=0&amp;m=0&amp;s=0&amp;cv=323")</f>
        <v>https://rmda.kulib.kyoto-u.ac.jp/item/rb00003046#?c=0&amp;m=0&amp;s=0&amp;cv=323</v>
      </c>
    </row>
    <row r="986" spans="1:4" x14ac:dyDescent="0.15">
      <c r="A986" s="6" t="s">
        <v>106</v>
      </c>
      <c r="B986" s="6" t="s">
        <v>2031</v>
      </c>
      <c r="C986" s="6">
        <v>325</v>
      </c>
      <c r="D986" s="6" t="str">
        <f>HYPERLINK("https://rmda.kulib.kyoto-u.ac.jp/item/rb00003046#?c=0&amp;m=0&amp;s=0&amp;cv=324")</f>
        <v>https://rmda.kulib.kyoto-u.ac.jp/item/rb00003046#?c=0&amp;m=0&amp;s=0&amp;cv=324</v>
      </c>
    </row>
    <row r="987" spans="1:4" x14ac:dyDescent="0.15">
      <c r="A987" s="6" t="s">
        <v>106</v>
      </c>
      <c r="B987" s="6" t="s">
        <v>2036</v>
      </c>
      <c r="C987" s="6">
        <v>325</v>
      </c>
      <c r="D987" s="6" t="str">
        <f>HYPERLINK("https://rmda.kulib.kyoto-u.ac.jp/item/rb00003046#?c=0&amp;m=0&amp;s=0&amp;cv=324")</f>
        <v>https://rmda.kulib.kyoto-u.ac.jp/item/rb00003046#?c=0&amp;m=0&amp;s=0&amp;cv=324</v>
      </c>
    </row>
    <row r="988" spans="1:4" x14ac:dyDescent="0.15">
      <c r="A988" s="6" t="s">
        <v>106</v>
      </c>
      <c r="B988" s="6" t="s">
        <v>2037</v>
      </c>
      <c r="C988" s="6">
        <v>326</v>
      </c>
      <c r="D988" s="6" t="str">
        <f>HYPERLINK("https://rmda.kulib.kyoto-u.ac.jp/item/rb00003046#?c=0&amp;m=0&amp;s=0&amp;cv=325")</f>
        <v>https://rmda.kulib.kyoto-u.ac.jp/item/rb00003046#?c=0&amp;m=0&amp;s=0&amp;cv=325</v>
      </c>
    </row>
    <row r="989" spans="1:4" x14ac:dyDescent="0.15">
      <c r="A989" s="6" t="s">
        <v>106</v>
      </c>
      <c r="B989" s="6" t="s">
        <v>2038</v>
      </c>
      <c r="C989" s="6">
        <v>327</v>
      </c>
      <c r="D989" s="6" t="str">
        <f>HYPERLINK("https://rmda.kulib.kyoto-u.ac.jp/item/rb00003046#?c=0&amp;m=0&amp;s=0&amp;cv=326")</f>
        <v>https://rmda.kulib.kyoto-u.ac.jp/item/rb00003046#?c=0&amp;m=0&amp;s=0&amp;cv=326</v>
      </c>
    </row>
    <row r="990" spans="1:4" x14ac:dyDescent="0.15">
      <c r="A990" s="6" t="s">
        <v>106</v>
      </c>
      <c r="B990" s="72" t="s">
        <v>3987</v>
      </c>
      <c r="C990" s="6">
        <v>330</v>
      </c>
      <c r="D990" s="6" t="str">
        <f>HYPERLINK("https://rmda.kulib.kyoto-u.ac.jp/item/rb00003046#?c=0&amp;m=0&amp;s=0&amp;cv=329")</f>
        <v>https://rmda.kulib.kyoto-u.ac.jp/item/rb00003046#?c=0&amp;m=0&amp;s=0&amp;cv=329</v>
      </c>
    </row>
    <row r="991" spans="1:4" x14ac:dyDescent="0.15">
      <c r="A991" s="6" t="s">
        <v>106</v>
      </c>
      <c r="B991" s="6" t="s">
        <v>2497</v>
      </c>
      <c r="C991" s="6">
        <v>330</v>
      </c>
      <c r="D991" s="6" t="str">
        <f>HYPERLINK("https://rmda.kulib.kyoto-u.ac.jp/item/rb00003046#?c=0&amp;m=0&amp;s=0&amp;cv=329")</f>
        <v>https://rmda.kulib.kyoto-u.ac.jp/item/rb00003046#?c=0&amp;m=0&amp;s=0&amp;cv=329</v>
      </c>
    </row>
    <row r="992" spans="1:4" x14ac:dyDescent="0.15">
      <c r="A992" s="6" t="s">
        <v>106</v>
      </c>
      <c r="B992" s="6" t="s">
        <v>3988</v>
      </c>
      <c r="C992" s="6">
        <v>332</v>
      </c>
      <c r="D992" s="6" t="str">
        <f>HYPERLINK("https://rmda.kulib.kyoto-u.ac.jp/item/rb00003046#?c=0&amp;m=0&amp;s=0&amp;cv=331")</f>
        <v>https://rmda.kulib.kyoto-u.ac.jp/item/rb00003046#?c=0&amp;m=0&amp;s=0&amp;cv=331</v>
      </c>
    </row>
    <row r="993" spans="1:4" x14ac:dyDescent="0.15">
      <c r="A993" s="6" t="s">
        <v>106</v>
      </c>
      <c r="B993" s="6" t="s">
        <v>3989</v>
      </c>
      <c r="C993" s="6">
        <v>334</v>
      </c>
      <c r="D993" s="6" t="str">
        <f>HYPERLINK("https://rmda.kulib.kyoto-u.ac.jp/item/rb00003046#?c=0&amp;m=0&amp;s=0&amp;cv=333")</f>
        <v>https://rmda.kulib.kyoto-u.ac.jp/item/rb00003046#?c=0&amp;m=0&amp;s=0&amp;cv=333</v>
      </c>
    </row>
    <row r="994" spans="1:4" x14ac:dyDescent="0.15">
      <c r="A994" s="6" t="s">
        <v>106</v>
      </c>
      <c r="B994" s="6" t="s">
        <v>2029</v>
      </c>
      <c r="C994" s="6">
        <v>341</v>
      </c>
      <c r="D994" s="6" t="str">
        <f>HYPERLINK("https://rmda.kulib.kyoto-u.ac.jp/item/rb00003046#?c=0&amp;m=0&amp;s=0&amp;cv=340")</f>
        <v>https://rmda.kulib.kyoto-u.ac.jp/item/rb00003046#?c=0&amp;m=0&amp;s=0&amp;cv=340</v>
      </c>
    </row>
    <row r="995" spans="1:4" x14ac:dyDescent="0.15">
      <c r="A995" s="6" t="s">
        <v>106</v>
      </c>
      <c r="B995" s="6" t="s">
        <v>3990</v>
      </c>
      <c r="C995" s="6">
        <v>345</v>
      </c>
      <c r="D995" s="6" t="str">
        <f>HYPERLINK("https://rmda.kulib.kyoto-u.ac.jp/item/rb00003046#?c=0&amp;m=0&amp;s=0&amp;cv=344")</f>
        <v>https://rmda.kulib.kyoto-u.ac.jp/item/rb00003046#?c=0&amp;m=0&amp;s=0&amp;cv=344</v>
      </c>
    </row>
    <row r="996" spans="1:4" x14ac:dyDescent="0.15">
      <c r="A996" s="6" t="s">
        <v>106</v>
      </c>
      <c r="B996" s="6" t="s">
        <v>3991</v>
      </c>
      <c r="C996" s="6">
        <v>347</v>
      </c>
      <c r="D996" s="6" t="str">
        <f>HYPERLINK("https://rmda.kulib.kyoto-u.ac.jp/item/rb00003046#?c=0&amp;m=0&amp;s=0&amp;cv=346")</f>
        <v>https://rmda.kulib.kyoto-u.ac.jp/item/rb00003046#?c=0&amp;m=0&amp;s=0&amp;cv=346</v>
      </c>
    </row>
    <row r="997" spans="1:4" x14ac:dyDescent="0.15">
      <c r="A997" s="6" t="s">
        <v>106</v>
      </c>
      <c r="B997" s="6" t="s">
        <v>3992</v>
      </c>
      <c r="C997" s="6">
        <v>350</v>
      </c>
      <c r="D997" s="6" t="str">
        <f>HYPERLINK("https://rmda.kulib.kyoto-u.ac.jp/item/rb00003046#?c=0&amp;m=0&amp;s=0&amp;cv=349")</f>
        <v>https://rmda.kulib.kyoto-u.ac.jp/item/rb00003046#?c=0&amp;m=0&amp;s=0&amp;cv=349</v>
      </c>
    </row>
    <row r="998" spans="1:4" x14ac:dyDescent="0.15">
      <c r="A998" s="6" t="s">
        <v>106</v>
      </c>
      <c r="B998" s="6" t="s">
        <v>3993</v>
      </c>
      <c r="C998" s="6">
        <v>353</v>
      </c>
      <c r="D998" s="6" t="str">
        <f>HYPERLINK("https://rmda.kulib.kyoto-u.ac.jp/item/rb00003046#?c=0&amp;m=0&amp;s=0&amp;cv=352")</f>
        <v>https://rmda.kulib.kyoto-u.ac.jp/item/rb00003046#?c=0&amp;m=0&amp;s=0&amp;cv=352</v>
      </c>
    </row>
    <row r="999" spans="1:4" x14ac:dyDescent="0.15">
      <c r="A999" s="6" t="s">
        <v>106</v>
      </c>
      <c r="B999" s="6" t="s">
        <v>2031</v>
      </c>
      <c r="C999" s="6">
        <v>354</v>
      </c>
      <c r="D999" s="6" t="str">
        <f>HYPERLINK("https://rmda.kulib.kyoto-u.ac.jp/item/rb00003046#?c=0&amp;m=0&amp;s=0&amp;cv=353")</f>
        <v>https://rmda.kulib.kyoto-u.ac.jp/item/rb00003046#?c=0&amp;m=0&amp;s=0&amp;cv=353</v>
      </c>
    </row>
    <row r="1000" spans="1:4" x14ac:dyDescent="0.15">
      <c r="A1000" s="6" t="s">
        <v>106</v>
      </c>
      <c r="B1000" s="6" t="s">
        <v>3994</v>
      </c>
      <c r="C1000" s="6">
        <v>356</v>
      </c>
      <c r="D1000" s="6" t="str">
        <f>HYPERLINK("https://rmda.kulib.kyoto-u.ac.jp/item/rb00003046#?c=0&amp;m=0&amp;s=0&amp;cv=355")</f>
        <v>https://rmda.kulib.kyoto-u.ac.jp/item/rb00003046#?c=0&amp;m=0&amp;s=0&amp;cv=355</v>
      </c>
    </row>
    <row r="1001" spans="1:4" x14ac:dyDescent="0.15">
      <c r="A1001" s="6" t="s">
        <v>106</v>
      </c>
      <c r="B1001" s="6" t="s">
        <v>3995</v>
      </c>
      <c r="C1001" s="6">
        <v>357</v>
      </c>
      <c r="D1001" s="6" t="str">
        <f>HYPERLINK("https://rmda.kulib.kyoto-u.ac.jp/item/rb00003046#?c=0&amp;m=0&amp;s=0&amp;cv=356")</f>
        <v>https://rmda.kulib.kyoto-u.ac.jp/item/rb00003046#?c=0&amp;m=0&amp;s=0&amp;cv=356</v>
      </c>
    </row>
    <row r="1002" spans="1:4" x14ac:dyDescent="0.15">
      <c r="A1002" s="6" t="s">
        <v>106</v>
      </c>
      <c r="B1002" s="6" t="s">
        <v>3996</v>
      </c>
      <c r="C1002" s="6">
        <v>358</v>
      </c>
      <c r="D1002" s="6" t="str">
        <f>HYPERLINK("https://rmda.kulib.kyoto-u.ac.jp/item/rb00003046#?c=0&amp;m=0&amp;s=0&amp;cv=357")</f>
        <v>https://rmda.kulib.kyoto-u.ac.jp/item/rb00003046#?c=0&amp;m=0&amp;s=0&amp;cv=357</v>
      </c>
    </row>
    <row r="1003" spans="1:4" x14ac:dyDescent="0.15">
      <c r="A1003" s="6" t="s">
        <v>106</v>
      </c>
      <c r="B1003" s="6" t="s">
        <v>3997</v>
      </c>
      <c r="C1003" s="6">
        <v>361</v>
      </c>
      <c r="D1003" s="6" t="str">
        <f>HYPERLINK("https://rmda.kulib.kyoto-u.ac.jp/item/rb00003046#?c=0&amp;m=0&amp;s=0&amp;cv=360")</f>
        <v>https://rmda.kulib.kyoto-u.ac.jp/item/rb00003046#?c=0&amp;m=0&amp;s=0&amp;cv=360</v>
      </c>
    </row>
    <row r="1004" spans="1:4" x14ac:dyDescent="0.15">
      <c r="A1004" s="6" t="s">
        <v>106</v>
      </c>
      <c r="B1004" s="6" t="s">
        <v>3998</v>
      </c>
      <c r="C1004" s="6">
        <v>366</v>
      </c>
      <c r="D1004" s="6" t="str">
        <f>HYPERLINK("https://rmda.kulib.kyoto-u.ac.jp/item/rb00003046#?c=0&amp;m=0&amp;s=0&amp;cv=365")</f>
        <v>https://rmda.kulib.kyoto-u.ac.jp/item/rb00003046#?c=0&amp;m=0&amp;s=0&amp;cv=365</v>
      </c>
    </row>
    <row r="1005" spans="1:4" x14ac:dyDescent="0.15">
      <c r="A1005" s="6" t="s">
        <v>106</v>
      </c>
      <c r="B1005" s="72" t="s">
        <v>3999</v>
      </c>
      <c r="C1005" s="6">
        <v>373</v>
      </c>
      <c r="D1005" s="6" t="str">
        <f>HYPERLINK("https://rmda.kulib.kyoto-u.ac.jp/item/rb00003046#?c=0&amp;m=0&amp;s=0&amp;cv=372")</f>
        <v>https://rmda.kulib.kyoto-u.ac.jp/item/rb00003046#?c=0&amp;m=0&amp;s=0&amp;cv=372</v>
      </c>
    </row>
    <row r="1006" spans="1:4" x14ac:dyDescent="0.15">
      <c r="A1006" s="6" t="s">
        <v>106</v>
      </c>
      <c r="B1006" s="6" t="s">
        <v>2050</v>
      </c>
      <c r="C1006" s="6">
        <v>373</v>
      </c>
      <c r="D1006" s="6" t="str">
        <f>HYPERLINK("https://rmda.kulib.kyoto-u.ac.jp/item/rb00003046#?c=0&amp;m=0&amp;s=0&amp;cv=372")</f>
        <v>https://rmda.kulib.kyoto-u.ac.jp/item/rb00003046#?c=0&amp;m=0&amp;s=0&amp;cv=372</v>
      </c>
    </row>
    <row r="1007" spans="1:4" x14ac:dyDescent="0.15">
      <c r="A1007" s="6" t="s">
        <v>106</v>
      </c>
      <c r="B1007" s="72" t="s">
        <v>4000</v>
      </c>
      <c r="C1007" s="6">
        <v>390</v>
      </c>
      <c r="D1007" s="6" t="str">
        <f>HYPERLINK("https://rmda.kulib.kyoto-u.ac.jp/item/rb00003046#?c=0&amp;m=0&amp;s=0&amp;cv=389")</f>
        <v>https://rmda.kulib.kyoto-u.ac.jp/item/rb00003046#?c=0&amp;m=0&amp;s=0&amp;cv=389</v>
      </c>
    </row>
    <row r="1008" spans="1:4" x14ac:dyDescent="0.15">
      <c r="A1008" s="6" t="s">
        <v>106</v>
      </c>
      <c r="B1008" s="6" t="s">
        <v>2052</v>
      </c>
      <c r="C1008" s="6">
        <v>390</v>
      </c>
      <c r="D1008" s="6" t="str">
        <f>HYPERLINK("https://rmda.kulib.kyoto-u.ac.jp/item/rb00003046#?c=0&amp;m=0&amp;s=0&amp;cv=389")</f>
        <v>https://rmda.kulib.kyoto-u.ac.jp/item/rb00003046#?c=0&amp;m=0&amp;s=0&amp;cv=389</v>
      </c>
    </row>
    <row r="1009" spans="1:4" x14ac:dyDescent="0.15">
      <c r="A1009" s="6" t="s">
        <v>106</v>
      </c>
      <c r="B1009" s="6" t="s">
        <v>2053</v>
      </c>
      <c r="C1009" s="6">
        <v>394</v>
      </c>
      <c r="D1009" s="6" t="str">
        <f>HYPERLINK("https://rmda.kulib.kyoto-u.ac.jp/item/rb00003046#?c=0&amp;m=0&amp;s=0&amp;cv=393")</f>
        <v>https://rmda.kulib.kyoto-u.ac.jp/item/rb00003046#?c=0&amp;m=0&amp;s=0&amp;cv=393</v>
      </c>
    </row>
    <row r="1010" spans="1:4" x14ac:dyDescent="0.15">
      <c r="A1010" s="6" t="s">
        <v>106</v>
      </c>
      <c r="B1010" s="6" t="s">
        <v>2054</v>
      </c>
      <c r="C1010" s="6">
        <v>399</v>
      </c>
      <c r="D1010" s="6" t="str">
        <f>HYPERLINK("https://rmda.kulib.kyoto-u.ac.jp/item/rb00003046#?c=0&amp;m=0&amp;s=0&amp;cv=398")</f>
        <v>https://rmda.kulib.kyoto-u.ac.jp/item/rb00003046#?c=0&amp;m=0&amp;s=0&amp;cv=398</v>
      </c>
    </row>
    <row r="1011" spans="1:4" x14ac:dyDescent="0.15">
      <c r="A1011" s="6" t="s">
        <v>106</v>
      </c>
      <c r="B1011" s="72" t="s">
        <v>4001</v>
      </c>
      <c r="C1011" s="6">
        <v>403</v>
      </c>
      <c r="D1011" s="6" t="str">
        <f>HYPERLINK("https://rmda.kulib.kyoto-u.ac.jp/item/rb00003046#?c=0&amp;m=0&amp;s=0&amp;cv=402")</f>
        <v>https://rmda.kulib.kyoto-u.ac.jp/item/rb00003046#?c=0&amp;m=0&amp;s=0&amp;cv=402</v>
      </c>
    </row>
    <row r="1012" spans="1:4" x14ac:dyDescent="0.15">
      <c r="A1012" s="6" t="s">
        <v>106</v>
      </c>
      <c r="B1012" s="6" t="s">
        <v>5412</v>
      </c>
      <c r="C1012" s="6">
        <v>403</v>
      </c>
      <c r="D1012" s="6" t="str">
        <f>HYPERLINK("https://rmda.kulib.kyoto-u.ac.jp/item/rb00003046#?c=0&amp;m=0&amp;s=0&amp;cv=402")</f>
        <v>https://rmda.kulib.kyoto-u.ac.jp/item/rb00003046#?c=0&amp;m=0&amp;s=0&amp;cv=402</v>
      </c>
    </row>
    <row r="1013" spans="1:4" x14ac:dyDescent="0.15">
      <c r="A1013" s="6" t="s">
        <v>106</v>
      </c>
      <c r="B1013" s="6" t="s">
        <v>5413</v>
      </c>
      <c r="C1013" s="6">
        <v>418</v>
      </c>
      <c r="D1013" s="6" t="str">
        <f>HYPERLINK("https://rmda.kulib.kyoto-u.ac.jp/item/rb00003046#?c=0&amp;m=0&amp;s=0&amp;cv=417")</f>
        <v>https://rmda.kulib.kyoto-u.ac.jp/item/rb00003046#?c=0&amp;m=0&amp;s=0&amp;cv=417</v>
      </c>
    </row>
    <row r="1014" spans="1:4" x14ac:dyDescent="0.15">
      <c r="A1014" s="6" t="s">
        <v>106</v>
      </c>
      <c r="B1014" s="6" t="s">
        <v>5414</v>
      </c>
      <c r="C1014" s="6">
        <v>421</v>
      </c>
      <c r="D1014" s="6" t="str">
        <f>HYPERLINK("https://rmda.kulib.kyoto-u.ac.jp/item/rb00003046#?c=0&amp;m=0&amp;s=0&amp;cv=420")</f>
        <v>https://rmda.kulib.kyoto-u.ac.jp/item/rb00003046#?c=0&amp;m=0&amp;s=0&amp;cv=420</v>
      </c>
    </row>
    <row r="1015" spans="1:4" x14ac:dyDescent="0.15">
      <c r="A1015" s="6" t="s">
        <v>106</v>
      </c>
      <c r="B1015" s="6" t="s">
        <v>5415</v>
      </c>
      <c r="C1015" s="6">
        <v>426</v>
      </c>
      <c r="D1015" s="6" t="str">
        <f>HYPERLINK("https://rmda.kulib.kyoto-u.ac.jp/item/rb00003046#?c=0&amp;m=0&amp;s=0&amp;cv=425")</f>
        <v>https://rmda.kulib.kyoto-u.ac.jp/item/rb00003046#?c=0&amp;m=0&amp;s=0&amp;cv=425</v>
      </c>
    </row>
    <row r="1016" spans="1:4" x14ac:dyDescent="0.15">
      <c r="A1016" s="6" t="s">
        <v>106</v>
      </c>
      <c r="B1016" s="6" t="s">
        <v>5332</v>
      </c>
      <c r="C1016" s="6">
        <v>429</v>
      </c>
      <c r="D1016" s="6" t="str">
        <f>HYPERLINK("https://rmda.kulib.kyoto-u.ac.jp/item/rb00003046#?c=0&amp;m=0&amp;s=0&amp;cv=428")</f>
        <v>https://rmda.kulib.kyoto-u.ac.jp/item/rb00003046#?c=0&amp;m=0&amp;s=0&amp;cv=428</v>
      </c>
    </row>
    <row r="1017" spans="1:4" x14ac:dyDescent="0.15">
      <c r="A1017" s="6" t="s">
        <v>106</v>
      </c>
      <c r="B1017" s="6" t="s">
        <v>5416</v>
      </c>
      <c r="C1017" s="6">
        <v>430</v>
      </c>
      <c r="D1017" s="6" t="str">
        <f>HYPERLINK("https://rmda.kulib.kyoto-u.ac.jp/item/rb00003046#?c=0&amp;m=0&amp;s=0&amp;cv=429")</f>
        <v>https://rmda.kulib.kyoto-u.ac.jp/item/rb00003046#?c=0&amp;m=0&amp;s=0&amp;cv=429</v>
      </c>
    </row>
    <row r="1018" spans="1:4" x14ac:dyDescent="0.15">
      <c r="A1018" s="6" t="s">
        <v>106</v>
      </c>
      <c r="B1018" s="6" t="s">
        <v>5417</v>
      </c>
      <c r="C1018" s="6">
        <v>431</v>
      </c>
      <c r="D1018" s="6" t="str">
        <f>HYPERLINK("https://rmda.kulib.kyoto-u.ac.jp/item/rb00003046#?c=0&amp;m=0&amp;s=0&amp;cv=430")</f>
        <v>https://rmda.kulib.kyoto-u.ac.jp/item/rb00003046#?c=0&amp;m=0&amp;s=0&amp;cv=430</v>
      </c>
    </row>
    <row r="1019" spans="1:4" x14ac:dyDescent="0.15">
      <c r="A1019" s="6" t="s">
        <v>106</v>
      </c>
      <c r="B1019" s="6" t="s">
        <v>5418</v>
      </c>
      <c r="C1019" s="6">
        <v>434</v>
      </c>
      <c r="D1019" s="6" t="str">
        <f>HYPERLINK("https://rmda.kulib.kyoto-u.ac.jp/item/rb00003046#?c=0&amp;m=0&amp;s=0&amp;cv=433")</f>
        <v>https://rmda.kulib.kyoto-u.ac.jp/item/rb00003046#?c=0&amp;m=0&amp;s=0&amp;cv=433</v>
      </c>
    </row>
    <row r="1020" spans="1:4" x14ac:dyDescent="0.15">
      <c r="A1020" s="6" t="s">
        <v>106</v>
      </c>
      <c r="B1020" s="6" t="s">
        <v>5419</v>
      </c>
      <c r="C1020" s="6">
        <v>437</v>
      </c>
      <c r="D1020" s="6" t="str">
        <f>HYPERLINK("https://rmda.kulib.kyoto-u.ac.jp/item/rb00003046#?c=0&amp;m=0&amp;s=0&amp;cv=436")</f>
        <v>https://rmda.kulib.kyoto-u.ac.jp/item/rb00003046#?c=0&amp;m=0&amp;s=0&amp;cv=436</v>
      </c>
    </row>
    <row r="1021" spans="1:4" x14ac:dyDescent="0.15">
      <c r="A1021" s="6" t="s">
        <v>106</v>
      </c>
      <c r="B1021" s="6" t="s">
        <v>5420</v>
      </c>
      <c r="C1021" s="6">
        <v>437</v>
      </c>
      <c r="D1021" s="6" t="str">
        <f>HYPERLINK("https://rmda.kulib.kyoto-u.ac.jp/item/rb00003046#?c=0&amp;m=0&amp;s=0&amp;cv=436")</f>
        <v>https://rmda.kulib.kyoto-u.ac.jp/item/rb00003046#?c=0&amp;m=0&amp;s=0&amp;cv=436</v>
      </c>
    </row>
    <row r="1022" spans="1:4" x14ac:dyDescent="0.15">
      <c r="A1022" s="6" t="s">
        <v>106</v>
      </c>
      <c r="B1022" s="6" t="s">
        <v>5421</v>
      </c>
      <c r="C1022" s="6">
        <v>439</v>
      </c>
      <c r="D1022" s="6" t="str">
        <f>HYPERLINK("https://rmda.kulib.kyoto-u.ac.jp/item/rb00003046#?c=0&amp;m=0&amp;s=0&amp;cv=438")</f>
        <v>https://rmda.kulib.kyoto-u.ac.jp/item/rb00003046#?c=0&amp;m=0&amp;s=0&amp;cv=438</v>
      </c>
    </row>
    <row r="1023" spans="1:4" x14ac:dyDescent="0.15">
      <c r="A1023" s="6" t="s">
        <v>106</v>
      </c>
      <c r="B1023" s="6" t="s">
        <v>5422</v>
      </c>
      <c r="C1023" s="6">
        <v>442</v>
      </c>
      <c r="D1023" s="6" t="str">
        <f>HYPERLINK("https://rmda.kulib.kyoto-u.ac.jp/item/rb00003046#?c=0&amp;m=0&amp;s=0&amp;cv=441")</f>
        <v>https://rmda.kulib.kyoto-u.ac.jp/item/rb00003046#?c=0&amp;m=0&amp;s=0&amp;cv=441</v>
      </c>
    </row>
    <row r="1024" spans="1:4" x14ac:dyDescent="0.15">
      <c r="A1024" s="6" t="s">
        <v>106</v>
      </c>
      <c r="B1024" s="6" t="s">
        <v>5423</v>
      </c>
      <c r="C1024" s="6">
        <v>444</v>
      </c>
      <c r="D1024" s="6" t="str">
        <f>HYPERLINK("https://rmda.kulib.kyoto-u.ac.jp/item/rb00003046#?c=0&amp;m=0&amp;s=0&amp;cv=443")</f>
        <v>https://rmda.kulib.kyoto-u.ac.jp/item/rb00003046#?c=0&amp;m=0&amp;s=0&amp;cv=443</v>
      </c>
    </row>
    <row r="1025" spans="1:4" x14ac:dyDescent="0.15">
      <c r="A1025" s="6" t="s">
        <v>106</v>
      </c>
      <c r="B1025" s="6" t="s">
        <v>5424</v>
      </c>
      <c r="C1025" s="6">
        <v>446</v>
      </c>
      <c r="D1025" s="6" t="str">
        <f>HYPERLINK("https://rmda.kulib.kyoto-u.ac.jp/item/rb00003046#?c=0&amp;m=0&amp;s=0&amp;cv=445")</f>
        <v>https://rmda.kulib.kyoto-u.ac.jp/item/rb00003046#?c=0&amp;m=0&amp;s=0&amp;cv=445</v>
      </c>
    </row>
    <row r="1026" spans="1:4" x14ac:dyDescent="0.15">
      <c r="A1026" s="6" t="s">
        <v>106</v>
      </c>
      <c r="B1026" s="6" t="s">
        <v>5425</v>
      </c>
      <c r="C1026" s="6">
        <v>450</v>
      </c>
      <c r="D1026" s="6" t="str">
        <f>HYPERLINK("https://rmda.kulib.kyoto-u.ac.jp/item/rb00003046#?c=0&amp;m=0&amp;s=0&amp;cv=449")</f>
        <v>https://rmda.kulib.kyoto-u.ac.jp/item/rb00003046#?c=0&amp;m=0&amp;s=0&amp;cv=449</v>
      </c>
    </row>
    <row r="1027" spans="1:4" x14ac:dyDescent="0.15">
      <c r="A1027" s="6" t="s">
        <v>106</v>
      </c>
      <c r="B1027" s="6" t="s">
        <v>5426</v>
      </c>
      <c r="C1027" s="6">
        <v>451</v>
      </c>
      <c r="D1027" s="6" t="str">
        <f>HYPERLINK("https://rmda.kulib.kyoto-u.ac.jp/item/rb00003046#?c=0&amp;m=0&amp;s=0&amp;cv=450")</f>
        <v>https://rmda.kulib.kyoto-u.ac.jp/item/rb00003046#?c=0&amp;m=0&amp;s=0&amp;cv=450</v>
      </c>
    </row>
    <row r="1028" spans="1:4" x14ac:dyDescent="0.15">
      <c r="A1028" s="6" t="s">
        <v>106</v>
      </c>
      <c r="B1028" s="6" t="s">
        <v>5427</v>
      </c>
      <c r="C1028" s="6">
        <v>452</v>
      </c>
      <c r="D1028" s="6" t="str">
        <f>HYPERLINK("https://rmda.kulib.kyoto-u.ac.jp/item/rb00003046#?c=0&amp;m=0&amp;s=0&amp;cv=451")</f>
        <v>https://rmda.kulib.kyoto-u.ac.jp/item/rb00003046#?c=0&amp;m=0&amp;s=0&amp;cv=451</v>
      </c>
    </row>
    <row r="1029" spans="1:4" x14ac:dyDescent="0.15">
      <c r="A1029" s="6" t="s">
        <v>106</v>
      </c>
      <c r="B1029" s="6" t="s">
        <v>5428</v>
      </c>
      <c r="C1029" s="6">
        <v>455</v>
      </c>
      <c r="D1029" s="6" t="str">
        <f>HYPERLINK("https://rmda.kulib.kyoto-u.ac.jp/item/rb00003046#?c=0&amp;m=0&amp;s=0&amp;cv=454")</f>
        <v>https://rmda.kulib.kyoto-u.ac.jp/item/rb00003046#?c=0&amp;m=0&amp;s=0&amp;cv=454</v>
      </c>
    </row>
    <row r="1030" spans="1:4" x14ac:dyDescent="0.15">
      <c r="A1030" s="8" t="s">
        <v>5224</v>
      </c>
      <c r="B1030" s="8" t="s">
        <v>112</v>
      </c>
      <c r="C1030" s="63"/>
      <c r="D1030" s="9" t="s">
        <v>1097</v>
      </c>
    </row>
    <row r="1031" spans="1:4" x14ac:dyDescent="0.15">
      <c r="A1031" s="84" t="s">
        <v>5505</v>
      </c>
      <c r="B1031" s="6" t="s">
        <v>111</v>
      </c>
      <c r="C1031" s="63"/>
      <c r="D1031" s="9"/>
    </row>
    <row r="1032" spans="1:4" x14ac:dyDescent="0.15">
      <c r="A1032" s="6" t="s">
        <v>111</v>
      </c>
      <c r="B1032" s="6" t="s">
        <v>1371</v>
      </c>
      <c r="C1032" s="6">
        <v>5</v>
      </c>
      <c r="D1032" s="6" t="str">
        <f>HYPERLINK("https://rmda.kulib.kyoto-u.ac.jp/item/rb00003934#?c=0&amp;m=0&amp;s=0&amp;cv=4")</f>
        <v>https://rmda.kulib.kyoto-u.ac.jp/item/rb00003934#?c=0&amp;m=0&amp;s=0&amp;cv=4</v>
      </c>
    </row>
    <row r="1033" spans="1:4" x14ac:dyDescent="0.15">
      <c r="A1033" s="6" t="s">
        <v>111</v>
      </c>
      <c r="B1033" s="6" t="s">
        <v>2067</v>
      </c>
      <c r="C1033" s="6">
        <v>15</v>
      </c>
      <c r="D1033" s="6" t="str">
        <f>HYPERLINK("https://rmda.kulib.kyoto-u.ac.jp/item/rb00003934#?c=0&amp;m=0&amp;s=0&amp;cv=14")</f>
        <v>https://rmda.kulib.kyoto-u.ac.jp/item/rb00003934#?c=0&amp;m=0&amp;s=0&amp;cv=14</v>
      </c>
    </row>
    <row r="1034" spans="1:4" x14ac:dyDescent="0.15">
      <c r="A1034" s="6" t="s">
        <v>111</v>
      </c>
      <c r="B1034" s="6" t="s">
        <v>2069</v>
      </c>
      <c r="C1034" s="6">
        <v>17</v>
      </c>
      <c r="D1034" s="6" t="str">
        <f>HYPERLINK("https://rmda.kulib.kyoto-u.ac.jp/item/rb00003934#?c=0&amp;m=0&amp;s=0&amp;cv=16")</f>
        <v>https://rmda.kulib.kyoto-u.ac.jp/item/rb00003934#?c=0&amp;m=0&amp;s=0&amp;cv=16</v>
      </c>
    </row>
    <row r="1035" spans="1:4" x14ac:dyDescent="0.15">
      <c r="A1035" s="6" t="s">
        <v>111</v>
      </c>
      <c r="B1035" s="6" t="s">
        <v>2070</v>
      </c>
      <c r="C1035" s="6">
        <v>18</v>
      </c>
      <c r="D1035" s="6" t="str">
        <f>HYPERLINK("https://rmda.kulib.kyoto-u.ac.jp/item/rb00003934#?c=0&amp;m=0&amp;s=0&amp;cv=17")</f>
        <v>https://rmda.kulib.kyoto-u.ac.jp/item/rb00003934#?c=0&amp;m=0&amp;s=0&amp;cv=17</v>
      </c>
    </row>
    <row r="1036" spans="1:4" x14ac:dyDescent="0.15">
      <c r="A1036" s="6" t="s">
        <v>111</v>
      </c>
      <c r="B1036" s="6" t="s">
        <v>2071</v>
      </c>
      <c r="C1036" s="6">
        <v>19</v>
      </c>
      <c r="D1036" s="6" t="str">
        <f>HYPERLINK("https://rmda.kulib.kyoto-u.ac.jp/item/rb00003934#?c=0&amp;m=0&amp;s=0&amp;cv=18")</f>
        <v>https://rmda.kulib.kyoto-u.ac.jp/item/rb00003934#?c=0&amp;m=0&amp;s=0&amp;cv=18</v>
      </c>
    </row>
    <row r="1037" spans="1:4" x14ac:dyDescent="0.15">
      <c r="A1037" s="6" t="s">
        <v>111</v>
      </c>
      <c r="B1037" s="6" t="s">
        <v>2079</v>
      </c>
      <c r="C1037" s="6">
        <v>19</v>
      </c>
      <c r="D1037" s="6" t="str">
        <f>HYPERLINK("https://rmda.kulib.kyoto-u.ac.jp/item/rb00003934#?c=0&amp;m=0&amp;s=0&amp;cv=18")</f>
        <v>https://rmda.kulib.kyoto-u.ac.jp/item/rb00003934#?c=0&amp;m=0&amp;s=0&amp;cv=18</v>
      </c>
    </row>
    <row r="1038" spans="1:4" x14ac:dyDescent="0.15">
      <c r="A1038" s="6" t="s">
        <v>111</v>
      </c>
      <c r="B1038" s="6" t="s">
        <v>2072</v>
      </c>
      <c r="C1038" s="6">
        <v>19</v>
      </c>
      <c r="D1038" s="6" t="str">
        <f>HYPERLINK("https://rmda.kulib.kyoto-u.ac.jp/item/rb00003934#?c=0&amp;m=0&amp;s=0&amp;cv=18")</f>
        <v>https://rmda.kulib.kyoto-u.ac.jp/item/rb00003934#?c=0&amp;m=0&amp;s=0&amp;cv=18</v>
      </c>
    </row>
    <row r="1039" spans="1:4" x14ac:dyDescent="0.15">
      <c r="A1039" s="6" t="s">
        <v>111</v>
      </c>
      <c r="B1039" s="6" t="s">
        <v>2073</v>
      </c>
      <c r="C1039" s="6">
        <v>19</v>
      </c>
      <c r="D1039" s="6" t="str">
        <f>HYPERLINK("https://rmda.kulib.kyoto-u.ac.jp/item/rb00003934#?c=0&amp;m=0&amp;s=0&amp;cv=18")</f>
        <v>https://rmda.kulib.kyoto-u.ac.jp/item/rb00003934#?c=0&amp;m=0&amp;s=0&amp;cv=18</v>
      </c>
    </row>
    <row r="1040" spans="1:4" x14ac:dyDescent="0.15">
      <c r="A1040" s="6" t="s">
        <v>111</v>
      </c>
      <c r="B1040" s="6" t="s">
        <v>2074</v>
      </c>
      <c r="C1040" s="6">
        <v>20</v>
      </c>
      <c r="D1040" s="6" t="str">
        <f>HYPERLINK("https://rmda.kulib.kyoto-u.ac.jp/item/rb00003934#?c=0&amp;m=0&amp;s=0&amp;cv=19")</f>
        <v>https://rmda.kulib.kyoto-u.ac.jp/item/rb00003934#?c=0&amp;m=0&amp;s=0&amp;cv=19</v>
      </c>
    </row>
    <row r="1041" spans="1:4" x14ac:dyDescent="0.15">
      <c r="A1041" s="6" t="s">
        <v>111</v>
      </c>
      <c r="B1041" s="6" t="s">
        <v>2075</v>
      </c>
      <c r="C1041" s="6">
        <v>43</v>
      </c>
      <c r="D1041" s="6" t="str">
        <f>HYPERLINK("https://rmda.kulib.kyoto-u.ac.jp/item/rb00003934#?c=0&amp;m=0&amp;s=0&amp;cv=42")</f>
        <v>https://rmda.kulib.kyoto-u.ac.jp/item/rb00003934#?c=0&amp;m=0&amp;s=0&amp;cv=42</v>
      </c>
    </row>
    <row r="1042" spans="1:4" x14ac:dyDescent="0.15">
      <c r="A1042" s="6" t="s">
        <v>111</v>
      </c>
      <c r="B1042" s="6" t="s">
        <v>2076</v>
      </c>
      <c r="C1042" s="6">
        <v>44</v>
      </c>
      <c r="D1042" s="6" t="str">
        <f>HYPERLINK("https://rmda.kulib.kyoto-u.ac.jp/item/rb00003934#?c=0&amp;m=0&amp;s=0&amp;cv=43")</f>
        <v>https://rmda.kulib.kyoto-u.ac.jp/item/rb00003934#?c=0&amp;m=0&amp;s=0&amp;cv=43</v>
      </c>
    </row>
    <row r="1043" spans="1:4" x14ac:dyDescent="0.15">
      <c r="A1043" s="6" t="s">
        <v>111</v>
      </c>
      <c r="B1043" s="6" t="s">
        <v>2077</v>
      </c>
      <c r="C1043" s="6">
        <v>65</v>
      </c>
      <c r="D1043" s="6" t="str">
        <f>HYPERLINK("https://rmda.kulib.kyoto-u.ac.jp/item/rb00003934#?c=0&amp;m=0&amp;s=0&amp;cv=64")</f>
        <v>https://rmda.kulib.kyoto-u.ac.jp/item/rb00003934#?c=0&amp;m=0&amp;s=0&amp;cv=64</v>
      </c>
    </row>
    <row r="1044" spans="1:4" x14ac:dyDescent="0.15">
      <c r="A1044" s="6" t="s">
        <v>111</v>
      </c>
      <c r="B1044" s="6" t="s">
        <v>2078</v>
      </c>
      <c r="C1044" s="6">
        <v>69</v>
      </c>
      <c r="D1044" s="6" t="str">
        <f>HYPERLINK("https://rmda.kulib.kyoto-u.ac.jp/item/rb00003934#?c=0&amp;m=0&amp;s=0&amp;cv=68")</f>
        <v>https://rmda.kulib.kyoto-u.ac.jp/item/rb00003934#?c=0&amp;m=0&amp;s=0&amp;cv=68</v>
      </c>
    </row>
    <row r="1045" spans="1:4" x14ac:dyDescent="0.15">
      <c r="A1045" s="6" t="s">
        <v>111</v>
      </c>
      <c r="B1045" s="6" t="s">
        <v>2068</v>
      </c>
      <c r="C1045" s="6">
        <v>77</v>
      </c>
      <c r="D1045" s="6" t="str">
        <f>HYPERLINK("https://rmda.kulib.kyoto-u.ac.jp/item/rb00003934#?c=0&amp;m=0&amp;s=0&amp;cv=76")</f>
        <v>https://rmda.kulib.kyoto-u.ac.jp/item/rb00003934#?c=0&amp;m=0&amp;s=0&amp;cv=76</v>
      </c>
    </row>
    <row r="1046" spans="1:4" x14ac:dyDescent="0.15">
      <c r="A1046" s="8" t="s">
        <v>5225</v>
      </c>
      <c r="B1046" s="8" t="s">
        <v>112</v>
      </c>
      <c r="C1046" s="6"/>
      <c r="D1046" s="6"/>
    </row>
    <row r="1047" spans="1:4" x14ac:dyDescent="0.15">
      <c r="A1047" s="84" t="s">
        <v>5506</v>
      </c>
      <c r="B1047" s="71" t="s">
        <v>5232</v>
      </c>
      <c r="C1047" s="63"/>
      <c r="D1047" s="9" t="s">
        <v>1098</v>
      </c>
    </row>
    <row r="1048" spans="1:4" x14ac:dyDescent="0.15">
      <c r="A1048" s="6"/>
      <c r="B1048" s="71" t="s">
        <v>5230</v>
      </c>
      <c r="C1048" s="63"/>
      <c r="D1048" s="9"/>
    </row>
    <row r="1049" spans="1:4" x14ac:dyDescent="0.15">
      <c r="A1049" s="6" t="s">
        <v>115</v>
      </c>
      <c r="B1049" s="66" t="s">
        <v>2098</v>
      </c>
      <c r="C1049" s="6">
        <v>4</v>
      </c>
      <c r="D1049" s="6" t="str">
        <f>HYPERLINK("https://rmda.kulib.kyoto-u.ac.jp/item/rb00002405#?c=0&amp;m=0&amp;s=0&amp;cv=3")</f>
        <v>https://rmda.kulib.kyoto-u.ac.jp/item/rb00002405#?c=0&amp;m=0&amp;s=0&amp;cv=3</v>
      </c>
    </row>
    <row r="1050" spans="1:4" x14ac:dyDescent="0.15">
      <c r="A1050" s="6" t="s">
        <v>115</v>
      </c>
      <c r="B1050" s="78" t="s">
        <v>1476</v>
      </c>
      <c r="C1050" s="6">
        <v>7</v>
      </c>
      <c r="D1050" s="6" t="str">
        <f>HYPERLINK("https://rmda.kulib.kyoto-u.ac.jp/item/rb00002405#?c=0&amp;m=0&amp;s=0&amp;cv=6")</f>
        <v>https://rmda.kulib.kyoto-u.ac.jp/item/rb00002405#?c=0&amp;m=0&amp;s=0&amp;cv=6</v>
      </c>
    </row>
    <row r="1051" spans="1:4" x14ac:dyDescent="0.15">
      <c r="A1051" s="6" t="s">
        <v>115</v>
      </c>
      <c r="B1051" s="6" t="s">
        <v>2080</v>
      </c>
      <c r="C1051" s="6">
        <v>26</v>
      </c>
      <c r="D1051" s="6" t="str">
        <f>HYPERLINK("https://rmda.kulib.kyoto-u.ac.jp/item/rb00002405#?c=0&amp;m=0&amp;s=0&amp;cv=25")</f>
        <v>https://rmda.kulib.kyoto-u.ac.jp/item/rb00002405#?c=0&amp;m=0&amp;s=0&amp;cv=25</v>
      </c>
    </row>
    <row r="1052" spans="1:4" x14ac:dyDescent="0.15">
      <c r="A1052" s="6" t="s">
        <v>115</v>
      </c>
      <c r="B1052" s="6" t="s">
        <v>2081</v>
      </c>
      <c r="C1052" s="6">
        <v>45</v>
      </c>
      <c r="D1052" s="6" t="str">
        <f>HYPERLINK("https://rmda.kulib.kyoto-u.ac.jp/item/rb00002405#?c=0&amp;m=0&amp;s=0&amp;cv=44")</f>
        <v>https://rmda.kulib.kyoto-u.ac.jp/item/rb00002405#?c=0&amp;m=0&amp;s=0&amp;cv=44</v>
      </c>
    </row>
    <row r="1053" spans="1:4" x14ac:dyDescent="0.15">
      <c r="A1053" s="6" t="s">
        <v>115</v>
      </c>
      <c r="B1053" s="6" t="s">
        <v>2082</v>
      </c>
      <c r="C1053" s="6">
        <v>62</v>
      </c>
      <c r="D1053" s="6" t="str">
        <f>HYPERLINK("https://rmda.kulib.kyoto-u.ac.jp/item/rb00002405#?c=0&amp;m=0&amp;s=0&amp;cv=61")</f>
        <v>https://rmda.kulib.kyoto-u.ac.jp/item/rb00002405#?c=0&amp;m=0&amp;s=0&amp;cv=61</v>
      </c>
    </row>
    <row r="1054" spans="1:4" x14ac:dyDescent="0.15">
      <c r="A1054" s="6" t="s">
        <v>115</v>
      </c>
      <c r="B1054" s="6" t="s">
        <v>2083</v>
      </c>
      <c r="C1054" s="6">
        <v>75</v>
      </c>
      <c r="D1054" s="6" t="str">
        <f>HYPERLINK("https://rmda.kulib.kyoto-u.ac.jp/item/rb00002405#?c=0&amp;m=0&amp;s=0&amp;cv=74")</f>
        <v>https://rmda.kulib.kyoto-u.ac.jp/item/rb00002405#?c=0&amp;m=0&amp;s=0&amp;cv=74</v>
      </c>
    </row>
    <row r="1055" spans="1:4" x14ac:dyDescent="0.15">
      <c r="A1055" s="6" t="s">
        <v>115</v>
      </c>
      <c r="B1055" s="6" t="s">
        <v>2084</v>
      </c>
      <c r="C1055" s="6">
        <v>88</v>
      </c>
      <c r="D1055" s="6" t="str">
        <f>HYPERLINK("https://rmda.kulib.kyoto-u.ac.jp/item/rb00002405#?c=0&amp;m=0&amp;s=0&amp;cv=87")</f>
        <v>https://rmda.kulib.kyoto-u.ac.jp/item/rb00002405#?c=0&amp;m=0&amp;s=0&amp;cv=87</v>
      </c>
    </row>
    <row r="1056" spans="1:4" x14ac:dyDescent="0.15">
      <c r="A1056" s="6" t="s">
        <v>115</v>
      </c>
      <c r="B1056" s="6" t="s">
        <v>2099</v>
      </c>
      <c r="C1056" s="6">
        <v>97</v>
      </c>
      <c r="D1056" s="6" t="str">
        <f>HYPERLINK("https://rmda.kulib.kyoto-u.ac.jp/item/rb00002405#?c=0&amp;m=0&amp;s=0&amp;cv=96")</f>
        <v>https://rmda.kulib.kyoto-u.ac.jp/item/rb00002405#?c=0&amp;m=0&amp;s=0&amp;cv=96</v>
      </c>
    </row>
    <row r="1057" spans="1:4" x14ac:dyDescent="0.15">
      <c r="A1057" s="6" t="s">
        <v>115</v>
      </c>
      <c r="B1057" s="6" t="s">
        <v>2085</v>
      </c>
      <c r="C1057" s="6">
        <v>110</v>
      </c>
      <c r="D1057" s="6" t="str">
        <f>HYPERLINK("https://rmda.kulib.kyoto-u.ac.jp/item/rb00002405#?c=0&amp;m=0&amp;s=0&amp;cv=109")</f>
        <v>https://rmda.kulib.kyoto-u.ac.jp/item/rb00002405#?c=0&amp;m=0&amp;s=0&amp;cv=109</v>
      </c>
    </row>
    <row r="1058" spans="1:4" x14ac:dyDescent="0.15">
      <c r="A1058" s="6" t="s">
        <v>115</v>
      </c>
      <c r="B1058" s="6" t="s">
        <v>2086</v>
      </c>
      <c r="C1058" s="6">
        <v>128</v>
      </c>
      <c r="D1058" s="6" t="str">
        <f>HYPERLINK("https://rmda.kulib.kyoto-u.ac.jp/item/rb00002405#?c=0&amp;m=0&amp;s=0&amp;cv=127")</f>
        <v>https://rmda.kulib.kyoto-u.ac.jp/item/rb00002405#?c=0&amp;m=0&amp;s=0&amp;cv=127</v>
      </c>
    </row>
    <row r="1059" spans="1:4" x14ac:dyDescent="0.15">
      <c r="A1059" s="6" t="s">
        <v>115</v>
      </c>
      <c r="B1059" s="6" t="s">
        <v>2087</v>
      </c>
      <c r="C1059" s="6">
        <v>136</v>
      </c>
      <c r="D1059" s="6" t="str">
        <f>HYPERLINK("https://rmda.kulib.kyoto-u.ac.jp/item/rb00002405#?c=0&amp;m=0&amp;s=0&amp;cv=135")</f>
        <v>https://rmda.kulib.kyoto-u.ac.jp/item/rb00002405#?c=0&amp;m=0&amp;s=0&amp;cv=135</v>
      </c>
    </row>
    <row r="1060" spans="1:4" x14ac:dyDescent="0.15">
      <c r="A1060" s="6" t="s">
        <v>115</v>
      </c>
      <c r="B1060" s="6" t="s">
        <v>2088</v>
      </c>
      <c r="C1060" s="6">
        <v>150</v>
      </c>
      <c r="D1060" s="6" t="str">
        <f>HYPERLINK("https://rmda.kulib.kyoto-u.ac.jp/item/rb00002405#?c=0&amp;m=0&amp;s=0&amp;cv=149")</f>
        <v>https://rmda.kulib.kyoto-u.ac.jp/item/rb00002405#?c=0&amp;m=0&amp;s=0&amp;cv=149</v>
      </c>
    </row>
    <row r="1061" spans="1:4" x14ac:dyDescent="0.15">
      <c r="A1061" s="6" t="s">
        <v>115</v>
      </c>
      <c r="B1061" s="6" t="s">
        <v>2089</v>
      </c>
      <c r="C1061" s="6">
        <v>153</v>
      </c>
      <c r="D1061" s="6" t="str">
        <f>HYPERLINK("https://rmda.kulib.kyoto-u.ac.jp/item/rb00002405#?c=0&amp;m=0&amp;s=0&amp;cv=152")</f>
        <v>https://rmda.kulib.kyoto-u.ac.jp/item/rb00002405#?c=0&amp;m=0&amp;s=0&amp;cv=152</v>
      </c>
    </row>
    <row r="1062" spans="1:4" x14ac:dyDescent="0.15">
      <c r="A1062" s="6" t="s">
        <v>115</v>
      </c>
      <c r="B1062" s="6" t="s">
        <v>2090</v>
      </c>
      <c r="C1062" s="6">
        <v>160</v>
      </c>
      <c r="D1062" s="6" t="str">
        <f>HYPERLINK("https://rmda.kulib.kyoto-u.ac.jp/item/rb00002405#?c=0&amp;m=0&amp;s=0&amp;cv=159")</f>
        <v>https://rmda.kulib.kyoto-u.ac.jp/item/rb00002405#?c=0&amp;m=0&amp;s=0&amp;cv=159</v>
      </c>
    </row>
    <row r="1063" spans="1:4" x14ac:dyDescent="0.15">
      <c r="A1063" s="6" t="s">
        <v>115</v>
      </c>
      <c r="B1063" s="6" t="s">
        <v>2091</v>
      </c>
      <c r="C1063" s="6">
        <v>173</v>
      </c>
      <c r="D1063" s="6" t="str">
        <f>HYPERLINK("https://rmda.kulib.kyoto-u.ac.jp/item/rb00002405#?c=0&amp;m=0&amp;s=0&amp;cv=172")</f>
        <v>https://rmda.kulib.kyoto-u.ac.jp/item/rb00002405#?c=0&amp;m=0&amp;s=0&amp;cv=172</v>
      </c>
    </row>
    <row r="1064" spans="1:4" x14ac:dyDescent="0.15">
      <c r="A1064" s="6" t="s">
        <v>115</v>
      </c>
      <c r="B1064" s="6" t="s">
        <v>2092</v>
      </c>
      <c r="C1064" s="6">
        <v>183</v>
      </c>
      <c r="D1064" s="6" t="str">
        <f>HYPERLINK("https://rmda.kulib.kyoto-u.ac.jp/item/rb00002405#?c=0&amp;m=0&amp;s=0&amp;cv=182")</f>
        <v>https://rmda.kulib.kyoto-u.ac.jp/item/rb00002405#?c=0&amp;m=0&amp;s=0&amp;cv=182</v>
      </c>
    </row>
    <row r="1065" spans="1:4" x14ac:dyDescent="0.15">
      <c r="A1065" s="6" t="s">
        <v>115</v>
      </c>
      <c r="B1065" s="6" t="s">
        <v>2093</v>
      </c>
      <c r="C1065" s="6">
        <v>187</v>
      </c>
      <c r="D1065" s="6" t="str">
        <f>HYPERLINK("https://rmda.kulib.kyoto-u.ac.jp/item/rb00002405#?c=0&amp;m=0&amp;s=0&amp;cv=186")</f>
        <v>https://rmda.kulib.kyoto-u.ac.jp/item/rb00002405#?c=0&amp;m=0&amp;s=0&amp;cv=186</v>
      </c>
    </row>
    <row r="1066" spans="1:4" x14ac:dyDescent="0.15">
      <c r="A1066" s="6" t="s">
        <v>115</v>
      </c>
      <c r="B1066" s="6" t="s">
        <v>2094</v>
      </c>
      <c r="C1066" s="6">
        <v>190</v>
      </c>
      <c r="D1066" s="6" t="str">
        <f>HYPERLINK("https://rmda.kulib.kyoto-u.ac.jp/item/rb00002405#?c=0&amp;m=0&amp;s=0&amp;cv=189")</f>
        <v>https://rmda.kulib.kyoto-u.ac.jp/item/rb00002405#?c=0&amp;m=0&amp;s=0&amp;cv=189</v>
      </c>
    </row>
    <row r="1067" spans="1:4" x14ac:dyDescent="0.15">
      <c r="A1067" s="6" t="s">
        <v>115</v>
      </c>
      <c r="B1067" s="6" t="s">
        <v>2095</v>
      </c>
      <c r="C1067" s="6">
        <v>193</v>
      </c>
      <c r="D1067" s="6" t="str">
        <f>HYPERLINK("https://rmda.kulib.kyoto-u.ac.jp/item/rb00002405#?c=0&amp;m=0&amp;s=0&amp;cv=192")</f>
        <v>https://rmda.kulib.kyoto-u.ac.jp/item/rb00002405#?c=0&amp;m=0&amp;s=0&amp;cv=192</v>
      </c>
    </row>
    <row r="1068" spans="1:4" x14ac:dyDescent="0.15">
      <c r="A1068" s="6" t="s">
        <v>115</v>
      </c>
      <c r="B1068" s="6" t="s">
        <v>2096</v>
      </c>
      <c r="C1068" s="6">
        <v>198</v>
      </c>
      <c r="D1068" s="6" t="str">
        <f>HYPERLINK("https://rmda.kulib.kyoto-u.ac.jp/item/rb00002405#?c=0&amp;m=0&amp;s=0&amp;cv=197")</f>
        <v>https://rmda.kulib.kyoto-u.ac.jp/item/rb00002405#?c=0&amp;m=0&amp;s=0&amp;cv=197</v>
      </c>
    </row>
    <row r="1069" spans="1:4" x14ac:dyDescent="0.15">
      <c r="A1069" s="6" t="s">
        <v>115</v>
      </c>
      <c r="B1069" s="6" t="s">
        <v>2097</v>
      </c>
      <c r="C1069" s="6">
        <v>204</v>
      </c>
      <c r="D1069" s="6" t="str">
        <f>HYPERLINK("https://rmda.kulib.kyoto-u.ac.jp/item/rb00002405#?c=0&amp;m=0&amp;s=0&amp;cv=203")</f>
        <v>https://rmda.kulib.kyoto-u.ac.jp/item/rb00002405#?c=0&amp;m=0&amp;s=0&amp;cv=203</v>
      </c>
    </row>
    <row r="1070" spans="1:4" x14ac:dyDescent="0.15">
      <c r="A1070" s="6" t="s">
        <v>115</v>
      </c>
      <c r="B1070" s="6" t="s">
        <v>2100</v>
      </c>
      <c r="C1070" s="6">
        <v>214</v>
      </c>
      <c r="D1070" s="6" t="str">
        <f>HYPERLINK("https://rmda.kulib.kyoto-u.ac.jp/item/rb00002405#?c=0&amp;m=0&amp;s=0&amp;cv=213")</f>
        <v>https://rmda.kulib.kyoto-u.ac.jp/item/rb00002405#?c=0&amp;m=0&amp;s=0&amp;cv=213</v>
      </c>
    </row>
    <row r="1071" spans="1:4" x14ac:dyDescent="0.15">
      <c r="A1071" s="11" t="s">
        <v>5226</v>
      </c>
      <c r="B1071" s="11" t="s">
        <v>120</v>
      </c>
      <c r="C1071" s="6"/>
      <c r="D1071" s="6"/>
    </row>
    <row r="1072" spans="1:4" x14ac:dyDescent="0.15">
      <c r="A1072" s="85" t="s">
        <v>5507</v>
      </c>
      <c r="B1072" s="66" t="s">
        <v>5227</v>
      </c>
      <c r="C1072" s="6"/>
      <c r="D1072" s="6"/>
    </row>
    <row r="1073" spans="1:5" x14ac:dyDescent="0.15">
      <c r="A1073" s="66"/>
      <c r="B1073" s="71" t="s">
        <v>5508</v>
      </c>
      <c r="C1073" s="6"/>
      <c r="D1073" s="9" t="s">
        <v>1201</v>
      </c>
      <c r="E1073" s="67"/>
    </row>
    <row r="1074" spans="1:5" x14ac:dyDescent="0.15">
      <c r="A1074" s="66"/>
      <c r="B1074" s="71" t="s">
        <v>5230</v>
      </c>
      <c r="C1074" s="6"/>
      <c r="D1074" s="6"/>
    </row>
    <row r="1075" spans="1:5" x14ac:dyDescent="0.15">
      <c r="A1075" s="66" t="s">
        <v>5227</v>
      </c>
      <c r="B1075" s="6" t="s">
        <v>2098</v>
      </c>
      <c r="C1075" s="79">
        <v>2</v>
      </c>
      <c r="D1075" s="6" t="str">
        <f>HYPERLINK("https://rmda.kulib.kyoto-u.ac.jp/item/rb00000426#?c=0&amp;m=0&amp;s=0&amp;cv=1")</f>
        <v>https://rmda.kulib.kyoto-u.ac.jp/item/rb00000426#?c=0&amp;m=0&amp;s=0&amp;cv=1</v>
      </c>
    </row>
    <row r="1076" spans="1:5" x14ac:dyDescent="0.15">
      <c r="A1076" s="66" t="s">
        <v>5227</v>
      </c>
      <c r="B1076" s="6" t="s">
        <v>4937</v>
      </c>
      <c r="C1076" s="79">
        <v>4</v>
      </c>
      <c r="D1076" s="6" t="str">
        <f>HYPERLINK("https://rmda.kulib.kyoto-u.ac.jp/item/rb00000426#?c=0&amp;m=0&amp;s=0&amp;cv=3")</f>
        <v>https://rmda.kulib.kyoto-u.ac.jp/item/rb00000426#?c=0&amp;m=0&amp;s=0&amp;cv=3</v>
      </c>
    </row>
    <row r="1077" spans="1:5" x14ac:dyDescent="0.15">
      <c r="A1077" s="66" t="s">
        <v>5227</v>
      </c>
      <c r="B1077" s="6" t="s">
        <v>4938</v>
      </c>
      <c r="C1077" s="79">
        <v>6</v>
      </c>
      <c r="D1077" s="6" t="str">
        <f>HYPERLINK("https://rmda.kulib.kyoto-u.ac.jp/item/rb00000426#?c=0&amp;m=0&amp;s=0&amp;cv=5")</f>
        <v>https://rmda.kulib.kyoto-u.ac.jp/item/rb00000426#?c=0&amp;m=0&amp;s=0&amp;cv=5</v>
      </c>
    </row>
    <row r="1078" spans="1:5" x14ac:dyDescent="0.15">
      <c r="A1078" s="66" t="s">
        <v>5227</v>
      </c>
      <c r="B1078" s="6" t="s">
        <v>1476</v>
      </c>
      <c r="C1078" s="79">
        <v>7</v>
      </c>
      <c r="D1078" s="6" t="str">
        <f>HYPERLINK("https://rmda.kulib.kyoto-u.ac.jp/item/rb00000426#?c=0&amp;m=0&amp;s=0&amp;cv=6")</f>
        <v>https://rmda.kulib.kyoto-u.ac.jp/item/rb00000426#?c=0&amp;m=0&amp;s=0&amp;cv=6</v>
      </c>
    </row>
    <row r="1079" spans="1:5" x14ac:dyDescent="0.15">
      <c r="A1079" s="66" t="s">
        <v>5227</v>
      </c>
      <c r="B1079" s="72" t="s">
        <v>4738</v>
      </c>
      <c r="C1079" s="79">
        <v>23</v>
      </c>
      <c r="D1079" s="6" t="str">
        <f>HYPERLINK("https://rmda.kulib.kyoto-u.ac.jp/item/rb00000426#?c=0&amp;m=0&amp;s=0&amp;cv=22")</f>
        <v>https://rmda.kulib.kyoto-u.ac.jp/item/rb00000426#?c=0&amp;m=0&amp;s=0&amp;cv=22</v>
      </c>
    </row>
    <row r="1080" spans="1:5" x14ac:dyDescent="0.15">
      <c r="A1080" s="66" t="s">
        <v>5227</v>
      </c>
      <c r="B1080" s="63" t="s">
        <v>2111</v>
      </c>
      <c r="C1080" s="79">
        <v>23</v>
      </c>
      <c r="D1080" s="6" t="str">
        <f>HYPERLINK("https://rmda.kulib.kyoto-u.ac.jp/item/rb00000426#?c=0&amp;m=0&amp;s=0&amp;cv=22")</f>
        <v>https://rmda.kulib.kyoto-u.ac.jp/item/rb00000426#?c=0&amp;m=0&amp;s=0&amp;cv=22</v>
      </c>
    </row>
    <row r="1081" spans="1:5" x14ac:dyDescent="0.15">
      <c r="A1081" s="66" t="s">
        <v>5227</v>
      </c>
      <c r="B1081" s="6" t="s">
        <v>4939</v>
      </c>
      <c r="C1081" s="79">
        <v>23</v>
      </c>
      <c r="D1081" s="6" t="str">
        <f>HYPERLINK("https://rmda.kulib.kyoto-u.ac.jp/item/rb00000426#?c=0&amp;m=0&amp;s=0&amp;cv=22")</f>
        <v>https://rmda.kulib.kyoto-u.ac.jp/item/rb00000426#?c=0&amp;m=0&amp;s=0&amp;cv=22</v>
      </c>
    </row>
    <row r="1082" spans="1:5" x14ac:dyDescent="0.15">
      <c r="A1082" s="66" t="s">
        <v>5227</v>
      </c>
      <c r="B1082" s="6" t="s">
        <v>2112</v>
      </c>
      <c r="C1082" s="79">
        <v>24</v>
      </c>
      <c r="D1082" s="6" t="str">
        <f>HYPERLINK("https://rmda.kulib.kyoto-u.ac.jp/item/rb00000426#?c=0&amp;m=0&amp;s=0&amp;cv=23")</f>
        <v>https://rmda.kulib.kyoto-u.ac.jp/item/rb00000426#?c=0&amp;m=0&amp;s=0&amp;cv=23</v>
      </c>
    </row>
    <row r="1083" spans="1:5" x14ac:dyDescent="0.15">
      <c r="A1083" s="66" t="s">
        <v>5227</v>
      </c>
      <c r="B1083" s="6" t="s">
        <v>2113</v>
      </c>
      <c r="C1083" s="79">
        <v>27</v>
      </c>
      <c r="D1083" s="6" t="str">
        <f>HYPERLINK("https://rmda.kulib.kyoto-u.ac.jp/item/rb00000426#?c=0&amp;m=0&amp;s=0&amp;cv=26")</f>
        <v>https://rmda.kulib.kyoto-u.ac.jp/item/rb00000426#?c=0&amp;m=0&amp;s=0&amp;cv=26</v>
      </c>
    </row>
    <row r="1084" spans="1:5" x14ac:dyDescent="0.15">
      <c r="A1084" s="66" t="s">
        <v>5227</v>
      </c>
      <c r="B1084" s="6" t="s">
        <v>2114</v>
      </c>
      <c r="C1084" s="79">
        <v>27</v>
      </c>
      <c r="D1084" s="6" t="str">
        <f>HYPERLINK("https://rmda.kulib.kyoto-u.ac.jp/item/rb00000426#?c=0&amp;m=0&amp;s=0&amp;cv=26")</f>
        <v>https://rmda.kulib.kyoto-u.ac.jp/item/rb00000426#?c=0&amp;m=0&amp;s=0&amp;cv=26</v>
      </c>
    </row>
    <row r="1085" spans="1:5" x14ac:dyDescent="0.15">
      <c r="A1085" s="66" t="s">
        <v>5227</v>
      </c>
      <c r="B1085" s="6" t="s">
        <v>2115</v>
      </c>
      <c r="C1085" s="79">
        <v>28</v>
      </c>
      <c r="D1085" s="6" t="str">
        <f>HYPERLINK("https://rmda.kulib.kyoto-u.ac.jp/item/rb00000426#?c=0&amp;m=0&amp;s=0&amp;cv=27")</f>
        <v>https://rmda.kulib.kyoto-u.ac.jp/item/rb00000426#?c=0&amp;m=0&amp;s=0&amp;cv=27</v>
      </c>
    </row>
    <row r="1086" spans="1:5" x14ac:dyDescent="0.15">
      <c r="A1086" s="66" t="s">
        <v>5227</v>
      </c>
      <c r="B1086" s="6" t="s">
        <v>4940</v>
      </c>
      <c r="C1086" s="79">
        <v>30</v>
      </c>
      <c r="D1086" s="6" t="str">
        <f>HYPERLINK("https://rmda.kulib.kyoto-u.ac.jp/item/rb00000426#?c=0&amp;m=0&amp;s=0&amp;cv=29")</f>
        <v>https://rmda.kulib.kyoto-u.ac.jp/item/rb00000426#?c=0&amp;m=0&amp;s=0&amp;cv=29</v>
      </c>
    </row>
    <row r="1087" spans="1:5" x14ac:dyDescent="0.15">
      <c r="A1087" s="66" t="s">
        <v>5227</v>
      </c>
      <c r="B1087" s="6" t="s">
        <v>4941</v>
      </c>
      <c r="C1087" s="79">
        <v>33</v>
      </c>
      <c r="D1087" s="6" t="str">
        <f>HYPERLINK("https://rmda.kulib.kyoto-u.ac.jp/item/rb00000426#?c=0&amp;m=0&amp;s=0&amp;cv=32")</f>
        <v>https://rmda.kulib.kyoto-u.ac.jp/item/rb00000426#?c=0&amp;m=0&amp;s=0&amp;cv=32</v>
      </c>
    </row>
    <row r="1088" spans="1:5" x14ac:dyDescent="0.15">
      <c r="A1088" s="66" t="s">
        <v>5227</v>
      </c>
      <c r="B1088" s="6" t="s">
        <v>2116</v>
      </c>
      <c r="C1088" s="79">
        <v>34</v>
      </c>
      <c r="D1088" s="6" t="str">
        <f>HYPERLINK("https://rmda.kulib.kyoto-u.ac.jp/item/rb00000426#?c=0&amp;m=0&amp;s=0&amp;cv=33")</f>
        <v>https://rmda.kulib.kyoto-u.ac.jp/item/rb00000426#?c=0&amp;m=0&amp;s=0&amp;cv=33</v>
      </c>
    </row>
    <row r="1089" spans="1:4" x14ac:dyDescent="0.15">
      <c r="A1089" s="66" t="s">
        <v>5227</v>
      </c>
      <c r="B1089" s="6" t="s">
        <v>2117</v>
      </c>
      <c r="C1089" s="79">
        <v>35</v>
      </c>
      <c r="D1089" s="6" t="str">
        <f>HYPERLINK("https://rmda.kulib.kyoto-u.ac.jp/item/rb00000426#?c=0&amp;m=0&amp;s=0&amp;cv=34")</f>
        <v>https://rmda.kulib.kyoto-u.ac.jp/item/rb00000426#?c=0&amp;m=0&amp;s=0&amp;cv=34</v>
      </c>
    </row>
    <row r="1090" spans="1:4" x14ac:dyDescent="0.15">
      <c r="A1090" s="66" t="s">
        <v>5227</v>
      </c>
      <c r="B1090" s="6" t="s">
        <v>2118</v>
      </c>
      <c r="C1090" s="79">
        <v>36</v>
      </c>
      <c r="D1090" s="6" t="str">
        <f>HYPERLINK("https://rmda.kulib.kyoto-u.ac.jp/item/rb00000426#?c=0&amp;m=0&amp;s=0&amp;cv=35")</f>
        <v>https://rmda.kulib.kyoto-u.ac.jp/item/rb00000426#?c=0&amp;m=0&amp;s=0&amp;cv=35</v>
      </c>
    </row>
    <row r="1091" spans="1:4" x14ac:dyDescent="0.15">
      <c r="A1091" s="66" t="s">
        <v>5227</v>
      </c>
      <c r="B1091" s="6" t="s">
        <v>4942</v>
      </c>
      <c r="C1091" s="79">
        <v>38</v>
      </c>
      <c r="D1091" s="6" t="str">
        <f>HYPERLINK("https://rmda.kulib.kyoto-u.ac.jp/item/rb00000426#?c=0&amp;m=0&amp;s=0&amp;cv=37")</f>
        <v>https://rmda.kulib.kyoto-u.ac.jp/item/rb00000426#?c=0&amp;m=0&amp;s=0&amp;cv=37</v>
      </c>
    </row>
    <row r="1092" spans="1:4" x14ac:dyDescent="0.15">
      <c r="A1092" s="66" t="s">
        <v>5227</v>
      </c>
      <c r="B1092" s="6" t="s">
        <v>4943</v>
      </c>
      <c r="C1092" s="79">
        <v>38</v>
      </c>
      <c r="D1092" s="6" t="str">
        <f>HYPERLINK("https://rmda.kulib.kyoto-u.ac.jp/item/rb00000426#?c=0&amp;m=0&amp;s=0&amp;cv=37")</f>
        <v>https://rmda.kulib.kyoto-u.ac.jp/item/rb00000426#?c=0&amp;m=0&amp;s=0&amp;cv=37</v>
      </c>
    </row>
    <row r="1093" spans="1:4" x14ac:dyDescent="0.15">
      <c r="A1093" s="66" t="s">
        <v>5227</v>
      </c>
      <c r="B1093" s="6" t="s">
        <v>2119</v>
      </c>
      <c r="C1093" s="79">
        <v>40</v>
      </c>
      <c r="D1093" s="6" t="str">
        <f>HYPERLINK("https://rmda.kulib.kyoto-u.ac.jp/item/rb00000426#?c=0&amp;m=0&amp;s=0&amp;cv=39")</f>
        <v>https://rmda.kulib.kyoto-u.ac.jp/item/rb00000426#?c=0&amp;m=0&amp;s=0&amp;cv=39</v>
      </c>
    </row>
    <row r="1094" spans="1:4" x14ac:dyDescent="0.15">
      <c r="A1094" s="66" t="s">
        <v>5227</v>
      </c>
      <c r="B1094" s="6" t="s">
        <v>4944</v>
      </c>
      <c r="C1094" s="79">
        <v>41</v>
      </c>
      <c r="D1094" s="6" t="str">
        <f>HYPERLINK("https://rmda.kulib.kyoto-u.ac.jp/item/rb00000426#?c=0&amp;m=0&amp;s=0&amp;cv=40")</f>
        <v>https://rmda.kulib.kyoto-u.ac.jp/item/rb00000426#?c=0&amp;m=0&amp;s=0&amp;cv=40</v>
      </c>
    </row>
    <row r="1095" spans="1:4" x14ac:dyDescent="0.15">
      <c r="A1095" s="66" t="s">
        <v>5227</v>
      </c>
      <c r="B1095" s="6" t="s">
        <v>4945</v>
      </c>
      <c r="C1095" s="79">
        <v>42</v>
      </c>
      <c r="D1095" s="6" t="str">
        <f>HYPERLINK("https://rmda.kulib.kyoto-u.ac.jp/item/rb00000426#?c=0&amp;m=0&amp;s=0&amp;cv=41")</f>
        <v>https://rmda.kulib.kyoto-u.ac.jp/item/rb00000426#?c=0&amp;m=0&amp;s=0&amp;cv=41</v>
      </c>
    </row>
    <row r="1096" spans="1:4" x14ac:dyDescent="0.15">
      <c r="A1096" s="66" t="s">
        <v>5227</v>
      </c>
      <c r="B1096" s="6" t="s">
        <v>4946</v>
      </c>
      <c r="C1096" s="79">
        <v>44</v>
      </c>
      <c r="D1096" s="6" t="str">
        <f>HYPERLINK("https://rmda.kulib.kyoto-u.ac.jp/item/rb00000426#?c=0&amp;m=0&amp;s=0&amp;cv=43")</f>
        <v>https://rmda.kulib.kyoto-u.ac.jp/item/rb00000426#?c=0&amp;m=0&amp;s=0&amp;cv=43</v>
      </c>
    </row>
    <row r="1097" spans="1:4" x14ac:dyDescent="0.15">
      <c r="A1097" s="66" t="s">
        <v>5227</v>
      </c>
      <c r="B1097" s="6" t="s">
        <v>2120</v>
      </c>
      <c r="C1097" s="79">
        <v>47</v>
      </c>
      <c r="D1097" s="6" t="str">
        <f>HYPERLINK("https://rmda.kulib.kyoto-u.ac.jp/item/rb00000426#?c=0&amp;m=0&amp;s=0&amp;cv=46")</f>
        <v>https://rmda.kulib.kyoto-u.ac.jp/item/rb00000426#?c=0&amp;m=0&amp;s=0&amp;cv=46</v>
      </c>
    </row>
    <row r="1098" spans="1:4" x14ac:dyDescent="0.15">
      <c r="A1098" s="66" t="s">
        <v>5227</v>
      </c>
      <c r="B1098" s="6" t="s">
        <v>4947</v>
      </c>
      <c r="C1098" s="79">
        <v>49</v>
      </c>
      <c r="D1098" s="6" t="str">
        <f>HYPERLINK("https://rmda.kulib.kyoto-u.ac.jp/item/rb00000426#?c=0&amp;m=0&amp;s=0&amp;cv=48")</f>
        <v>https://rmda.kulib.kyoto-u.ac.jp/item/rb00000426#?c=0&amp;m=0&amp;s=0&amp;cv=48</v>
      </c>
    </row>
    <row r="1099" spans="1:4" x14ac:dyDescent="0.15">
      <c r="A1099" s="66" t="s">
        <v>5227</v>
      </c>
      <c r="B1099" s="6" t="s">
        <v>4948</v>
      </c>
      <c r="C1099" s="79">
        <v>50</v>
      </c>
      <c r="D1099" s="6" t="str">
        <f>HYPERLINK("https://rmda.kulib.kyoto-u.ac.jp/item/rb00000426#?c=0&amp;m=0&amp;s=0&amp;cv=49")</f>
        <v>https://rmda.kulib.kyoto-u.ac.jp/item/rb00000426#?c=0&amp;m=0&amp;s=0&amp;cv=49</v>
      </c>
    </row>
    <row r="1100" spans="1:4" x14ac:dyDescent="0.15">
      <c r="A1100" s="66" t="s">
        <v>5227</v>
      </c>
      <c r="B1100" s="6" t="s">
        <v>4949</v>
      </c>
      <c r="C1100" s="79">
        <v>51</v>
      </c>
      <c r="D1100" s="6" t="str">
        <f>HYPERLINK("https://rmda.kulib.kyoto-u.ac.jp/item/rb00000426#?c=0&amp;m=0&amp;s=0&amp;cv=50")</f>
        <v>https://rmda.kulib.kyoto-u.ac.jp/item/rb00000426#?c=0&amp;m=0&amp;s=0&amp;cv=50</v>
      </c>
    </row>
    <row r="1101" spans="1:4" x14ac:dyDescent="0.15">
      <c r="A1101" s="66" t="s">
        <v>5227</v>
      </c>
      <c r="B1101" s="72" t="s">
        <v>4950</v>
      </c>
      <c r="C1101" s="79">
        <v>58</v>
      </c>
      <c r="D1101" s="6" t="str">
        <f>HYPERLINK("https://rmda.kulib.kyoto-u.ac.jp/item/rb00000426#?c=0&amp;m=0&amp;s=0&amp;cv=57")</f>
        <v>https://rmda.kulib.kyoto-u.ac.jp/item/rb00000426#?c=0&amp;m=0&amp;s=0&amp;cv=57</v>
      </c>
    </row>
    <row r="1102" spans="1:4" x14ac:dyDescent="0.15">
      <c r="A1102" s="66" t="s">
        <v>5227</v>
      </c>
      <c r="B1102" s="80" t="s">
        <v>2121</v>
      </c>
      <c r="C1102" s="79">
        <v>58</v>
      </c>
      <c r="D1102" s="6" t="str">
        <f>HYPERLINK("https://rmda.kulib.kyoto-u.ac.jp/item/rb00000426#?c=0&amp;m=0&amp;s=0&amp;cv=57")</f>
        <v>https://rmda.kulib.kyoto-u.ac.jp/item/rb00000426#?c=0&amp;m=0&amp;s=0&amp;cv=57</v>
      </c>
    </row>
    <row r="1103" spans="1:4" x14ac:dyDescent="0.15">
      <c r="A1103" s="66" t="s">
        <v>5227</v>
      </c>
      <c r="B1103" s="6" t="s">
        <v>2122</v>
      </c>
      <c r="C1103" s="79">
        <v>58</v>
      </c>
      <c r="D1103" s="6" t="str">
        <f>HYPERLINK("https://rmda.kulib.kyoto-u.ac.jp/item/rb00000426#?c=0&amp;m=0&amp;s=0&amp;cv=57")</f>
        <v>https://rmda.kulib.kyoto-u.ac.jp/item/rb00000426#?c=0&amp;m=0&amp;s=0&amp;cv=57</v>
      </c>
    </row>
    <row r="1104" spans="1:4" x14ac:dyDescent="0.15">
      <c r="A1104" s="66" t="s">
        <v>5227</v>
      </c>
      <c r="B1104" s="6" t="s">
        <v>2123</v>
      </c>
      <c r="C1104" s="79">
        <v>58</v>
      </c>
      <c r="D1104" s="6" t="str">
        <f>HYPERLINK("https://rmda.kulib.kyoto-u.ac.jp/item/rb00000426#?c=0&amp;m=0&amp;s=0&amp;cv=57")</f>
        <v>https://rmda.kulib.kyoto-u.ac.jp/item/rb00000426#?c=0&amp;m=0&amp;s=0&amp;cv=57</v>
      </c>
    </row>
    <row r="1105" spans="1:4" x14ac:dyDescent="0.15">
      <c r="A1105" s="66" t="s">
        <v>5227</v>
      </c>
      <c r="B1105" s="6" t="s">
        <v>4951</v>
      </c>
      <c r="C1105" s="79">
        <v>59</v>
      </c>
      <c r="D1105" s="6" t="str">
        <f>HYPERLINK("https://rmda.kulib.kyoto-u.ac.jp/item/rb00000426#?c=0&amp;m=0&amp;s=0&amp;cv=58")</f>
        <v>https://rmda.kulib.kyoto-u.ac.jp/item/rb00000426#?c=0&amp;m=0&amp;s=0&amp;cv=58</v>
      </c>
    </row>
    <row r="1106" spans="1:4" x14ac:dyDescent="0.15">
      <c r="A1106" s="66" t="s">
        <v>5227</v>
      </c>
      <c r="B1106" s="6" t="s">
        <v>2124</v>
      </c>
      <c r="C1106" s="79">
        <v>60</v>
      </c>
      <c r="D1106" s="6" t="str">
        <f>HYPERLINK("https://rmda.kulib.kyoto-u.ac.jp/item/rb00000426#?c=0&amp;m=0&amp;s=0&amp;cv=59")</f>
        <v>https://rmda.kulib.kyoto-u.ac.jp/item/rb00000426#?c=0&amp;m=0&amp;s=0&amp;cv=59</v>
      </c>
    </row>
    <row r="1107" spans="1:4" x14ac:dyDescent="0.15">
      <c r="A1107" s="66" t="s">
        <v>5227</v>
      </c>
      <c r="B1107" s="72" t="s">
        <v>4952</v>
      </c>
      <c r="C1107" s="79">
        <v>61</v>
      </c>
      <c r="D1107" s="6" t="str">
        <f>HYPERLINK("https://rmda.kulib.kyoto-u.ac.jp/item/rb00000426#?c=0&amp;m=0&amp;s=0&amp;cv=60")</f>
        <v>https://rmda.kulib.kyoto-u.ac.jp/item/rb00000426#?c=0&amp;m=0&amp;s=0&amp;cv=60</v>
      </c>
    </row>
    <row r="1108" spans="1:4" x14ac:dyDescent="0.15">
      <c r="A1108" s="66" t="s">
        <v>5227</v>
      </c>
      <c r="B1108" s="6" t="s">
        <v>4953</v>
      </c>
      <c r="C1108" s="81">
        <v>61</v>
      </c>
      <c r="D1108" s="6" t="str">
        <f>HYPERLINK("https://rmda.kulib.kyoto-u.ac.jp/item/rb00000426#?c=0&amp;m=0&amp;s=0&amp;cv=60")</f>
        <v>https://rmda.kulib.kyoto-u.ac.jp/item/rb00000426#?c=0&amp;m=0&amp;s=0&amp;cv=60</v>
      </c>
    </row>
    <row r="1109" spans="1:4" x14ac:dyDescent="0.15">
      <c r="A1109" s="66" t="s">
        <v>5227</v>
      </c>
      <c r="B1109" s="6" t="s">
        <v>4954</v>
      </c>
      <c r="C1109" s="66">
        <v>77</v>
      </c>
      <c r="D1109" s="6" t="str">
        <f>HYPERLINK("https://rmda.kulib.kyoto-u.ac.jp/item/rb00000426#?c=0&amp;m=0&amp;s=0&amp;cv=76")</f>
        <v>https://rmda.kulib.kyoto-u.ac.jp/item/rb00000426#?c=0&amp;m=0&amp;s=0&amp;cv=76</v>
      </c>
    </row>
    <row r="1110" spans="1:4" x14ac:dyDescent="0.15">
      <c r="A1110" s="66" t="s">
        <v>5227</v>
      </c>
      <c r="B1110" s="6" t="s">
        <v>4955</v>
      </c>
      <c r="C1110" s="81">
        <v>79</v>
      </c>
      <c r="D1110" s="6" t="str">
        <f>HYPERLINK("https://rmda.kulib.kyoto-u.ac.jp/item/rb00000426#?c=0&amp;m=0&amp;s=0&amp;cv=78")</f>
        <v>https://rmda.kulib.kyoto-u.ac.jp/item/rb00000426#?c=0&amp;m=0&amp;s=0&amp;cv=78</v>
      </c>
    </row>
    <row r="1111" spans="1:4" x14ac:dyDescent="0.15">
      <c r="A1111" s="66" t="s">
        <v>5227</v>
      </c>
      <c r="B1111" s="6" t="s">
        <v>4956</v>
      </c>
      <c r="C1111" s="66">
        <v>80</v>
      </c>
      <c r="D1111" s="6" t="str">
        <f>HYPERLINK("https://rmda.kulib.kyoto-u.ac.jp/item/rb00000426#?c=0&amp;m=0&amp;s=0&amp;cv=79")</f>
        <v>https://rmda.kulib.kyoto-u.ac.jp/item/rb00000426#?c=0&amp;m=0&amp;s=0&amp;cv=79</v>
      </c>
    </row>
    <row r="1112" spans="1:4" x14ac:dyDescent="0.15">
      <c r="A1112" s="66" t="s">
        <v>5227</v>
      </c>
      <c r="B1112" s="6" t="s">
        <v>4957</v>
      </c>
      <c r="C1112" s="66">
        <v>84</v>
      </c>
      <c r="D1112" s="6" t="str">
        <f>HYPERLINK("https://rmda.kulib.kyoto-u.ac.jp/item/rb00000426#?c=0&amp;m=0&amp;s=0&amp;cv=83")</f>
        <v>https://rmda.kulib.kyoto-u.ac.jp/item/rb00000426#?c=0&amp;m=0&amp;s=0&amp;cv=83</v>
      </c>
    </row>
    <row r="1113" spans="1:4" x14ac:dyDescent="0.15">
      <c r="A1113" s="66" t="s">
        <v>5227</v>
      </c>
      <c r="B1113" s="6" t="s">
        <v>4958</v>
      </c>
      <c r="C1113" s="66">
        <v>87</v>
      </c>
      <c r="D1113" s="6" t="str">
        <f>HYPERLINK("https://rmda.kulib.kyoto-u.ac.jp/item/rb00000426#?c=0&amp;m=0&amp;s=0&amp;cv=86")</f>
        <v>https://rmda.kulib.kyoto-u.ac.jp/item/rb00000426#?c=0&amp;m=0&amp;s=0&amp;cv=86</v>
      </c>
    </row>
    <row r="1114" spans="1:4" x14ac:dyDescent="0.15">
      <c r="A1114" s="66" t="s">
        <v>5227</v>
      </c>
      <c r="B1114" s="6" t="s">
        <v>4959</v>
      </c>
      <c r="C1114" s="66">
        <v>88</v>
      </c>
      <c r="D1114" s="6" t="str">
        <f>HYPERLINK("https://rmda.kulib.kyoto-u.ac.jp/item/rb00000426#?c=0&amp;m=0&amp;s=0&amp;cv=87")</f>
        <v>https://rmda.kulib.kyoto-u.ac.jp/item/rb00000426#?c=0&amp;m=0&amp;s=0&amp;cv=87</v>
      </c>
    </row>
    <row r="1115" spans="1:4" x14ac:dyDescent="0.15">
      <c r="A1115" s="66" t="s">
        <v>5227</v>
      </c>
      <c r="B1115" s="6" t="s">
        <v>4960</v>
      </c>
      <c r="C1115" s="66">
        <v>89</v>
      </c>
      <c r="D1115" s="6" t="str">
        <f>HYPERLINK("https://rmda.kulib.kyoto-u.ac.jp/item/rb00000426#?c=0&amp;m=0&amp;s=0&amp;cv=88")</f>
        <v>https://rmda.kulib.kyoto-u.ac.jp/item/rb00000426#?c=0&amp;m=0&amp;s=0&amp;cv=88</v>
      </c>
    </row>
    <row r="1116" spans="1:4" x14ac:dyDescent="0.15">
      <c r="A1116" s="66" t="s">
        <v>5227</v>
      </c>
      <c r="B1116" s="6" t="s">
        <v>4961</v>
      </c>
      <c r="C1116" s="66">
        <v>92</v>
      </c>
      <c r="D1116" s="6" t="str">
        <f>HYPERLINK("https://rmda.kulib.kyoto-u.ac.jp/item/rb00000426#?c=0&amp;m=0&amp;s=0&amp;cv=91")</f>
        <v>https://rmda.kulib.kyoto-u.ac.jp/item/rb00000426#?c=0&amp;m=0&amp;s=0&amp;cv=91</v>
      </c>
    </row>
    <row r="1117" spans="1:4" x14ac:dyDescent="0.15">
      <c r="A1117" s="66" t="s">
        <v>5227</v>
      </c>
      <c r="B1117" s="6" t="s">
        <v>4962</v>
      </c>
      <c r="C1117" s="66">
        <v>95</v>
      </c>
      <c r="D1117" s="6" t="str">
        <f>HYPERLINK("https://rmda.kulib.kyoto-u.ac.jp/item/rb00000426#?c=0&amp;m=0&amp;s=0&amp;cv=94")</f>
        <v>https://rmda.kulib.kyoto-u.ac.jp/item/rb00000426#?c=0&amp;m=0&amp;s=0&amp;cv=94</v>
      </c>
    </row>
    <row r="1118" spans="1:4" x14ac:dyDescent="0.15">
      <c r="A1118" s="66" t="s">
        <v>5227</v>
      </c>
      <c r="B1118" s="6" t="s">
        <v>4963</v>
      </c>
      <c r="C1118" s="66">
        <v>97</v>
      </c>
      <c r="D1118" s="6" t="str">
        <f>HYPERLINK("https://rmda.kulib.kyoto-u.ac.jp/item/rb00000426#?c=0&amp;m=0&amp;s=0&amp;cv=96")</f>
        <v>https://rmda.kulib.kyoto-u.ac.jp/item/rb00000426#?c=0&amp;m=0&amp;s=0&amp;cv=96</v>
      </c>
    </row>
    <row r="1119" spans="1:4" x14ac:dyDescent="0.15">
      <c r="A1119" s="66" t="s">
        <v>5227</v>
      </c>
      <c r="B1119" s="6" t="s">
        <v>4964</v>
      </c>
      <c r="C1119" s="66">
        <v>98</v>
      </c>
      <c r="D1119" s="6" t="str">
        <f>HYPERLINK("https://rmda.kulib.kyoto-u.ac.jp/item/rb00000426#?c=0&amp;m=0&amp;s=0&amp;cv=97")</f>
        <v>https://rmda.kulib.kyoto-u.ac.jp/item/rb00000426#?c=0&amp;m=0&amp;s=0&amp;cv=97</v>
      </c>
    </row>
    <row r="1120" spans="1:4" x14ac:dyDescent="0.15">
      <c r="A1120" s="66" t="s">
        <v>5227</v>
      </c>
      <c r="B1120" s="6" t="s">
        <v>4965</v>
      </c>
      <c r="C1120" s="66">
        <v>101</v>
      </c>
      <c r="D1120" s="6" t="str">
        <f>HYPERLINK("https://rmda.kulib.kyoto-u.ac.jp/item/rb00000426#?c=0&amp;m=0&amp;s=0&amp;cv=100")</f>
        <v>https://rmda.kulib.kyoto-u.ac.jp/item/rb00000426#?c=0&amp;m=0&amp;s=0&amp;cv=100</v>
      </c>
    </row>
    <row r="1121" spans="1:4" x14ac:dyDescent="0.15">
      <c r="A1121" s="66" t="s">
        <v>5227</v>
      </c>
      <c r="B1121" s="6" t="s">
        <v>4966</v>
      </c>
      <c r="C1121" s="66">
        <v>103</v>
      </c>
      <c r="D1121" s="6" t="str">
        <f>HYPERLINK("https://rmda.kulib.kyoto-u.ac.jp/item/rb00000426#?c=0&amp;m=0&amp;s=0&amp;cv=102")</f>
        <v>https://rmda.kulib.kyoto-u.ac.jp/item/rb00000426#?c=0&amp;m=0&amp;s=0&amp;cv=102</v>
      </c>
    </row>
    <row r="1122" spans="1:4" x14ac:dyDescent="0.15">
      <c r="A1122" s="66" t="s">
        <v>5227</v>
      </c>
      <c r="B1122" s="6" t="s">
        <v>4967</v>
      </c>
      <c r="C1122" s="66">
        <v>104</v>
      </c>
      <c r="D1122" s="6" t="str">
        <f>HYPERLINK("https://rmda.kulib.kyoto-u.ac.jp/item/rb00000426#?c=0&amp;m=0&amp;s=0&amp;cv=103")</f>
        <v>https://rmda.kulib.kyoto-u.ac.jp/item/rb00000426#?c=0&amp;m=0&amp;s=0&amp;cv=103</v>
      </c>
    </row>
    <row r="1123" spans="1:4" x14ac:dyDescent="0.15">
      <c r="A1123" s="66" t="s">
        <v>5227</v>
      </c>
      <c r="B1123" s="72" t="s">
        <v>2301</v>
      </c>
      <c r="C1123" s="66">
        <v>107</v>
      </c>
      <c r="D1123" s="6" t="str">
        <f>HYPERLINK("https://rmda.kulib.kyoto-u.ac.jp/item/rb00000426#?c=0&amp;m=0&amp;s=0&amp;cv=106")</f>
        <v>https://rmda.kulib.kyoto-u.ac.jp/item/rb00000426#?c=0&amp;m=0&amp;s=0&amp;cv=106</v>
      </c>
    </row>
    <row r="1124" spans="1:4" x14ac:dyDescent="0.15">
      <c r="A1124" s="66" t="s">
        <v>5227</v>
      </c>
      <c r="B1124" s="6" t="s">
        <v>4968</v>
      </c>
      <c r="C1124" s="66">
        <v>107</v>
      </c>
      <c r="D1124" s="6" t="str">
        <f>HYPERLINK("https://rmda.kulib.kyoto-u.ac.jp/item/rb00000426#?c=0&amp;m=0&amp;s=0&amp;cv=106")</f>
        <v>https://rmda.kulib.kyoto-u.ac.jp/item/rb00000426#?c=0&amp;m=0&amp;s=0&amp;cv=106</v>
      </c>
    </row>
    <row r="1125" spans="1:4" x14ac:dyDescent="0.15">
      <c r="A1125" s="66" t="s">
        <v>5227</v>
      </c>
      <c r="B1125" s="6" t="s">
        <v>4969</v>
      </c>
      <c r="C1125" s="82">
        <v>110</v>
      </c>
      <c r="D1125" s="6" t="str">
        <f>HYPERLINK("https://rmda.kulib.kyoto-u.ac.jp/item/rb00000426#?c=0&amp;m=0&amp;s=0&amp;cv=109")</f>
        <v>https://rmda.kulib.kyoto-u.ac.jp/item/rb00000426#?c=0&amp;m=0&amp;s=0&amp;cv=109</v>
      </c>
    </row>
    <row r="1126" spans="1:4" x14ac:dyDescent="0.15">
      <c r="A1126" s="66" t="s">
        <v>5227</v>
      </c>
      <c r="B1126" s="6" t="s">
        <v>4970</v>
      </c>
      <c r="C1126" s="82">
        <v>113</v>
      </c>
      <c r="D1126" s="6" t="str">
        <f>HYPERLINK("https://rmda.kulib.kyoto-u.ac.jp/item/rb00000426#?c=0&amp;m=0&amp;s=0&amp;cv=112")</f>
        <v>https://rmda.kulib.kyoto-u.ac.jp/item/rb00000426#?c=0&amp;m=0&amp;s=0&amp;cv=112</v>
      </c>
    </row>
    <row r="1127" spans="1:4" x14ac:dyDescent="0.15">
      <c r="A1127" s="66" t="s">
        <v>5227</v>
      </c>
      <c r="B1127" s="6" t="s">
        <v>4971</v>
      </c>
      <c r="C1127" s="82">
        <v>115</v>
      </c>
      <c r="D1127" s="6" t="str">
        <f>HYPERLINK("https://rmda.kulib.kyoto-u.ac.jp/item/rb00000426#?c=0&amp;m=0&amp;s=0&amp;cv=114")</f>
        <v>https://rmda.kulib.kyoto-u.ac.jp/item/rb00000426#?c=0&amp;m=0&amp;s=0&amp;cv=114</v>
      </c>
    </row>
    <row r="1128" spans="1:4" x14ac:dyDescent="0.15">
      <c r="A1128" s="66" t="s">
        <v>5227</v>
      </c>
      <c r="B1128" s="6" t="s">
        <v>4972</v>
      </c>
      <c r="C1128" s="82">
        <v>118</v>
      </c>
      <c r="D1128" s="6" t="str">
        <f>HYPERLINK("https://rmda.kulib.kyoto-u.ac.jp/item/rb00000426#?c=0&amp;m=0&amp;s=0&amp;cv=117")</f>
        <v>https://rmda.kulib.kyoto-u.ac.jp/item/rb00000426#?c=0&amp;m=0&amp;s=0&amp;cv=117</v>
      </c>
    </row>
    <row r="1129" spans="1:4" x14ac:dyDescent="0.15">
      <c r="A1129" s="66" t="s">
        <v>5227</v>
      </c>
      <c r="B1129" s="6" t="s">
        <v>4973</v>
      </c>
      <c r="C1129" s="82">
        <v>121</v>
      </c>
      <c r="D1129" s="6" t="str">
        <f>HYPERLINK("https://rmda.kulib.kyoto-u.ac.jp/item/rb00000426#?c=0&amp;m=0&amp;s=0&amp;cv=120")</f>
        <v>https://rmda.kulib.kyoto-u.ac.jp/item/rb00000426#?c=0&amp;m=0&amp;s=0&amp;cv=120</v>
      </c>
    </row>
    <row r="1130" spans="1:4" x14ac:dyDescent="0.15">
      <c r="A1130" s="66" t="s">
        <v>5227</v>
      </c>
      <c r="B1130" s="6" t="s">
        <v>4974</v>
      </c>
      <c r="C1130" s="82">
        <v>123</v>
      </c>
      <c r="D1130" s="6" t="str">
        <f>HYPERLINK("https://rmda.kulib.kyoto-u.ac.jp/item/rb00000426#?c=0&amp;m=0&amp;s=0&amp;cv=122")</f>
        <v>https://rmda.kulib.kyoto-u.ac.jp/item/rb00000426#?c=0&amp;m=0&amp;s=0&amp;cv=122</v>
      </c>
    </row>
    <row r="1131" spans="1:4" x14ac:dyDescent="0.15">
      <c r="A1131" s="66" t="s">
        <v>5227</v>
      </c>
      <c r="B1131" s="6" t="s">
        <v>4975</v>
      </c>
      <c r="C1131" s="82">
        <v>125</v>
      </c>
      <c r="D1131" s="6" t="str">
        <f>HYPERLINK("https://rmda.kulib.kyoto-u.ac.jp/item/rb00000426#?c=0&amp;m=0&amp;s=0&amp;cv=124")</f>
        <v>https://rmda.kulib.kyoto-u.ac.jp/item/rb00000426#?c=0&amp;m=0&amp;s=0&amp;cv=124</v>
      </c>
    </row>
    <row r="1132" spans="1:4" x14ac:dyDescent="0.15">
      <c r="A1132" s="66" t="s">
        <v>5227</v>
      </c>
      <c r="B1132" s="6" t="s">
        <v>4976</v>
      </c>
      <c r="C1132" s="82">
        <v>127</v>
      </c>
      <c r="D1132" s="6" t="str">
        <f>HYPERLINK("https://rmda.kulib.kyoto-u.ac.jp/item/rb00000426#?c=0&amp;m=0&amp;s=0&amp;cv=126")</f>
        <v>https://rmda.kulib.kyoto-u.ac.jp/item/rb00000426#?c=0&amp;m=0&amp;s=0&amp;cv=126</v>
      </c>
    </row>
    <row r="1133" spans="1:4" x14ac:dyDescent="0.15">
      <c r="A1133" s="66" t="s">
        <v>5227</v>
      </c>
      <c r="B1133" s="72" t="s">
        <v>2313</v>
      </c>
      <c r="C1133" s="82">
        <v>135</v>
      </c>
      <c r="D1133" s="6" t="str">
        <f>HYPERLINK("https://rmda.kulib.kyoto-u.ac.jp/item/rb00000426#?c=0&amp;m=0&amp;s=0&amp;cv=134")</f>
        <v>https://rmda.kulib.kyoto-u.ac.jp/item/rb00000426#?c=0&amp;m=0&amp;s=0&amp;cv=134</v>
      </c>
    </row>
    <row r="1134" spans="1:4" x14ac:dyDescent="0.15">
      <c r="A1134" s="66" t="s">
        <v>5227</v>
      </c>
      <c r="B1134" s="6" t="s">
        <v>4977</v>
      </c>
      <c r="C1134" s="82">
        <v>135</v>
      </c>
      <c r="D1134" s="6" t="str">
        <f>HYPERLINK("https://rmda.kulib.kyoto-u.ac.jp/item/rb00000426#?c=0&amp;m=0&amp;s=0&amp;cv=134")</f>
        <v>https://rmda.kulib.kyoto-u.ac.jp/item/rb00000426#?c=0&amp;m=0&amp;s=0&amp;cv=134</v>
      </c>
    </row>
    <row r="1135" spans="1:4" x14ac:dyDescent="0.15">
      <c r="A1135" s="66" t="s">
        <v>5227</v>
      </c>
      <c r="B1135" s="6" t="s">
        <v>4978</v>
      </c>
      <c r="C1135" s="82">
        <v>137</v>
      </c>
      <c r="D1135" s="6" t="str">
        <f>HYPERLINK("https://rmda.kulib.kyoto-u.ac.jp/item/rb00000426#?c=0&amp;m=0&amp;s=0&amp;cv=136")</f>
        <v>https://rmda.kulib.kyoto-u.ac.jp/item/rb00000426#?c=0&amp;m=0&amp;s=0&amp;cv=136</v>
      </c>
    </row>
    <row r="1136" spans="1:4" x14ac:dyDescent="0.15">
      <c r="A1136" s="66" t="s">
        <v>5227</v>
      </c>
      <c r="B1136" s="6" t="s">
        <v>4979</v>
      </c>
      <c r="C1136" s="82">
        <v>141</v>
      </c>
      <c r="D1136" s="6" t="str">
        <f>HYPERLINK("https://rmda.kulib.kyoto-u.ac.jp/item/rb00000426#?c=0&amp;m=0&amp;s=0&amp;cv=140")</f>
        <v>https://rmda.kulib.kyoto-u.ac.jp/item/rb00000426#?c=0&amp;m=0&amp;s=0&amp;cv=140</v>
      </c>
    </row>
    <row r="1137" spans="1:4" x14ac:dyDescent="0.15">
      <c r="A1137" s="66" t="s">
        <v>5227</v>
      </c>
      <c r="B1137" s="6" t="s">
        <v>4980</v>
      </c>
      <c r="C1137" s="82">
        <v>149</v>
      </c>
      <c r="D1137" s="6" t="str">
        <f>HYPERLINK("https://rmda.kulib.kyoto-u.ac.jp/item/rb00000426#?c=0&amp;m=0&amp;s=0&amp;cv=148")</f>
        <v>https://rmda.kulib.kyoto-u.ac.jp/item/rb00000426#?c=0&amp;m=0&amp;s=0&amp;cv=148</v>
      </c>
    </row>
    <row r="1138" spans="1:4" x14ac:dyDescent="0.15">
      <c r="A1138" s="66" t="s">
        <v>5227</v>
      </c>
      <c r="B1138" s="6" t="s">
        <v>4981</v>
      </c>
      <c r="C1138" s="82">
        <v>151</v>
      </c>
      <c r="D1138" s="6" t="str">
        <f>HYPERLINK("https://rmda.kulib.kyoto-u.ac.jp/item/rb00000426#?c=0&amp;m=0&amp;s=0&amp;cv=150")</f>
        <v>https://rmda.kulib.kyoto-u.ac.jp/item/rb00000426#?c=0&amp;m=0&amp;s=0&amp;cv=150</v>
      </c>
    </row>
    <row r="1139" spans="1:4" x14ac:dyDescent="0.15">
      <c r="A1139" s="66" t="s">
        <v>5227</v>
      </c>
      <c r="B1139" s="72" t="s">
        <v>2350</v>
      </c>
      <c r="C1139" s="82">
        <v>154</v>
      </c>
      <c r="D1139" s="6" t="str">
        <f>HYPERLINK("https://rmda.kulib.kyoto-u.ac.jp/item/rb00000426#?c=0&amp;m=0&amp;s=0&amp;cv=153")</f>
        <v>https://rmda.kulib.kyoto-u.ac.jp/item/rb00000426#?c=0&amp;m=0&amp;s=0&amp;cv=153</v>
      </c>
    </row>
    <row r="1140" spans="1:4" x14ac:dyDescent="0.15">
      <c r="A1140" s="66" t="s">
        <v>5227</v>
      </c>
      <c r="B1140" s="6" t="s">
        <v>4982</v>
      </c>
      <c r="C1140" s="82">
        <v>154</v>
      </c>
      <c r="D1140" s="6" t="str">
        <f>HYPERLINK("https://rmda.kulib.kyoto-u.ac.jp/item/rb00000426#?c=0&amp;m=0&amp;s=0&amp;cv=153")</f>
        <v>https://rmda.kulib.kyoto-u.ac.jp/item/rb00000426#?c=0&amp;m=0&amp;s=0&amp;cv=153</v>
      </c>
    </row>
    <row r="1141" spans="1:4" x14ac:dyDescent="0.15">
      <c r="A1141" s="66" t="s">
        <v>5227</v>
      </c>
      <c r="B1141" s="6" t="s">
        <v>4983</v>
      </c>
      <c r="C1141" s="82">
        <v>157</v>
      </c>
      <c r="D1141" s="6" t="str">
        <f>HYPERLINK("https://rmda.kulib.kyoto-u.ac.jp/item/rb00000426#?c=0&amp;m=0&amp;s=0&amp;cv=156")</f>
        <v>https://rmda.kulib.kyoto-u.ac.jp/item/rb00000426#?c=0&amp;m=0&amp;s=0&amp;cv=156</v>
      </c>
    </row>
    <row r="1142" spans="1:4" x14ac:dyDescent="0.15">
      <c r="A1142" s="66" t="s">
        <v>5227</v>
      </c>
      <c r="B1142" s="6" t="s">
        <v>4984</v>
      </c>
      <c r="C1142" s="82">
        <v>159</v>
      </c>
      <c r="D1142" s="6" t="str">
        <f>HYPERLINK("https://rmda.kulib.kyoto-u.ac.jp/item/rb00000426#?c=0&amp;m=0&amp;s=0&amp;cv=158")</f>
        <v>https://rmda.kulib.kyoto-u.ac.jp/item/rb00000426#?c=0&amp;m=0&amp;s=0&amp;cv=158</v>
      </c>
    </row>
    <row r="1143" spans="1:4" x14ac:dyDescent="0.15">
      <c r="A1143" s="66" t="s">
        <v>5227</v>
      </c>
      <c r="B1143" s="6" t="s">
        <v>2137</v>
      </c>
      <c r="C1143" s="82">
        <v>160</v>
      </c>
      <c r="D1143" s="6" t="str">
        <f>HYPERLINK("https://rmda.kulib.kyoto-u.ac.jp/item/rb00000426#?c=0&amp;m=0&amp;s=0&amp;cv=159")</f>
        <v>https://rmda.kulib.kyoto-u.ac.jp/item/rb00000426#?c=0&amp;m=0&amp;s=0&amp;cv=159</v>
      </c>
    </row>
    <row r="1144" spans="1:4" x14ac:dyDescent="0.15">
      <c r="A1144" s="66" t="s">
        <v>5227</v>
      </c>
      <c r="B1144" s="6" t="s">
        <v>4985</v>
      </c>
      <c r="C1144" s="82">
        <v>161</v>
      </c>
      <c r="D1144" s="6" t="str">
        <f>HYPERLINK("https://rmda.kulib.kyoto-u.ac.jp/item/rb00000426#?c=0&amp;m=0&amp;s=0&amp;cv=160")</f>
        <v>https://rmda.kulib.kyoto-u.ac.jp/item/rb00000426#?c=0&amp;m=0&amp;s=0&amp;cv=160</v>
      </c>
    </row>
    <row r="1145" spans="1:4" x14ac:dyDescent="0.15">
      <c r="A1145" s="66" t="s">
        <v>5227</v>
      </c>
      <c r="B1145" s="6" t="s">
        <v>4986</v>
      </c>
      <c r="C1145" s="82">
        <v>162</v>
      </c>
      <c r="D1145" s="6" t="str">
        <f>HYPERLINK("https://rmda.kulib.kyoto-u.ac.jp/item/rb00000426#?c=0&amp;m=0&amp;s=0&amp;cv=161")</f>
        <v>https://rmda.kulib.kyoto-u.ac.jp/item/rb00000426#?c=0&amp;m=0&amp;s=0&amp;cv=161</v>
      </c>
    </row>
    <row r="1146" spans="1:4" x14ac:dyDescent="0.15">
      <c r="A1146" s="66" t="s">
        <v>5227</v>
      </c>
      <c r="B1146" s="6" t="s">
        <v>4987</v>
      </c>
      <c r="C1146" s="82">
        <v>162</v>
      </c>
      <c r="D1146" s="6" t="str">
        <f>HYPERLINK("https://rmda.kulib.kyoto-u.ac.jp/item/rb00000426#?c=0&amp;m=0&amp;s=0&amp;cv=161")</f>
        <v>https://rmda.kulib.kyoto-u.ac.jp/item/rb00000426#?c=0&amp;m=0&amp;s=0&amp;cv=161</v>
      </c>
    </row>
    <row r="1147" spans="1:4" x14ac:dyDescent="0.15">
      <c r="A1147" s="66" t="s">
        <v>5227</v>
      </c>
      <c r="B1147" s="6" t="s">
        <v>4988</v>
      </c>
      <c r="C1147" s="82">
        <v>165</v>
      </c>
      <c r="D1147" s="6" t="str">
        <f>HYPERLINK("https://rmda.kulib.kyoto-u.ac.jp/item/rb00000426#?c=0&amp;m=0&amp;s=0&amp;cv=164")</f>
        <v>https://rmda.kulib.kyoto-u.ac.jp/item/rb00000426#?c=0&amp;m=0&amp;s=0&amp;cv=164</v>
      </c>
    </row>
    <row r="1148" spans="1:4" x14ac:dyDescent="0.15">
      <c r="A1148" s="66" t="s">
        <v>5227</v>
      </c>
      <c r="B1148" s="6" t="s">
        <v>4989</v>
      </c>
      <c r="C1148" s="82">
        <v>166</v>
      </c>
      <c r="D1148" s="6" t="str">
        <f>HYPERLINK("https://rmda.kulib.kyoto-u.ac.jp/item/rb00000426#?c=0&amp;m=0&amp;s=0&amp;cv=165")</f>
        <v>https://rmda.kulib.kyoto-u.ac.jp/item/rb00000426#?c=0&amp;m=0&amp;s=0&amp;cv=165</v>
      </c>
    </row>
    <row r="1149" spans="1:4" x14ac:dyDescent="0.15">
      <c r="A1149" s="66" t="s">
        <v>5227</v>
      </c>
      <c r="B1149" s="6" t="s">
        <v>4990</v>
      </c>
      <c r="C1149" s="82">
        <v>167</v>
      </c>
      <c r="D1149" s="6" t="str">
        <f>HYPERLINK("https://rmda.kulib.kyoto-u.ac.jp/item/rb00000426#?c=0&amp;m=0&amp;s=0&amp;cv=166")</f>
        <v>https://rmda.kulib.kyoto-u.ac.jp/item/rb00000426#?c=0&amp;m=0&amp;s=0&amp;cv=166</v>
      </c>
    </row>
    <row r="1150" spans="1:4" x14ac:dyDescent="0.15">
      <c r="A1150" s="66" t="s">
        <v>5227</v>
      </c>
      <c r="B1150" s="6" t="s">
        <v>4991</v>
      </c>
      <c r="C1150" s="82">
        <v>169</v>
      </c>
      <c r="D1150" s="6" t="str">
        <f>HYPERLINK("https://rmda.kulib.kyoto-u.ac.jp/item/rb00000426#?c=0&amp;m=0&amp;s=0&amp;cv=168")</f>
        <v>https://rmda.kulib.kyoto-u.ac.jp/item/rb00000426#?c=0&amp;m=0&amp;s=0&amp;cv=168</v>
      </c>
    </row>
    <row r="1151" spans="1:4" x14ac:dyDescent="0.15">
      <c r="A1151" s="66" t="s">
        <v>5227</v>
      </c>
      <c r="B1151" s="6" t="s">
        <v>4992</v>
      </c>
      <c r="C1151" s="82">
        <v>173</v>
      </c>
      <c r="D1151" s="6" t="str">
        <f>HYPERLINK("https://rmda.kulib.kyoto-u.ac.jp/item/rb00000426#?c=0&amp;m=0&amp;s=0&amp;cv=172")</f>
        <v>https://rmda.kulib.kyoto-u.ac.jp/item/rb00000426#?c=0&amp;m=0&amp;s=0&amp;cv=172</v>
      </c>
    </row>
    <row r="1152" spans="1:4" x14ac:dyDescent="0.15">
      <c r="A1152" s="66" t="s">
        <v>5227</v>
      </c>
      <c r="B1152" s="6" t="s">
        <v>4993</v>
      </c>
      <c r="C1152" s="82">
        <v>175</v>
      </c>
      <c r="D1152" s="6" t="str">
        <f>HYPERLINK("https://rmda.kulib.kyoto-u.ac.jp/item/rb00000426#?c=0&amp;m=0&amp;s=0&amp;cv=174")</f>
        <v>https://rmda.kulib.kyoto-u.ac.jp/item/rb00000426#?c=0&amp;m=0&amp;s=0&amp;cv=174</v>
      </c>
    </row>
    <row r="1153" spans="1:4" x14ac:dyDescent="0.15">
      <c r="A1153" s="66" t="s">
        <v>5227</v>
      </c>
      <c r="B1153" s="6" t="s">
        <v>4994</v>
      </c>
      <c r="C1153" s="82">
        <v>178</v>
      </c>
      <c r="D1153" s="6" t="str">
        <f>HYPERLINK("https://rmda.kulib.kyoto-u.ac.jp/item/rb00000426#?c=0&amp;m=0&amp;s=0&amp;cv=177")</f>
        <v>https://rmda.kulib.kyoto-u.ac.jp/item/rb00000426#?c=0&amp;m=0&amp;s=0&amp;cv=177</v>
      </c>
    </row>
    <row r="1154" spans="1:4" x14ac:dyDescent="0.15">
      <c r="A1154" s="66" t="s">
        <v>5227</v>
      </c>
      <c r="B1154" s="6" t="s">
        <v>4995</v>
      </c>
      <c r="C1154" s="82">
        <v>181</v>
      </c>
      <c r="D1154" s="6" t="str">
        <f>HYPERLINK("https://rmda.kulib.kyoto-u.ac.jp/item/rb00000426#?c=0&amp;m=0&amp;s=0&amp;cv=180")</f>
        <v>https://rmda.kulib.kyoto-u.ac.jp/item/rb00000426#?c=0&amp;m=0&amp;s=0&amp;cv=180</v>
      </c>
    </row>
    <row r="1155" spans="1:4" x14ac:dyDescent="0.15">
      <c r="A1155" s="66" t="s">
        <v>5227</v>
      </c>
      <c r="B1155" s="6" t="s">
        <v>4996</v>
      </c>
      <c r="C1155" s="82">
        <v>183</v>
      </c>
      <c r="D1155" s="6" t="str">
        <f>HYPERLINK("https://rmda.kulib.kyoto-u.ac.jp/item/rb00000426#?c=0&amp;m=0&amp;s=0&amp;cv=182")</f>
        <v>https://rmda.kulib.kyoto-u.ac.jp/item/rb00000426#?c=0&amp;m=0&amp;s=0&amp;cv=182</v>
      </c>
    </row>
    <row r="1156" spans="1:4" x14ac:dyDescent="0.15">
      <c r="A1156" s="66" t="s">
        <v>5227</v>
      </c>
      <c r="B1156" s="72" t="s">
        <v>2841</v>
      </c>
      <c r="C1156" s="82">
        <v>185</v>
      </c>
      <c r="D1156" s="6" t="str">
        <f>HYPERLINK("https://rmda.kulib.kyoto-u.ac.jp/item/rb00000426#?c=0&amp;m=0&amp;s=0&amp;cv=184")</f>
        <v>https://rmda.kulib.kyoto-u.ac.jp/item/rb00000426#?c=0&amp;m=0&amp;s=0&amp;cv=184</v>
      </c>
    </row>
    <row r="1157" spans="1:4" x14ac:dyDescent="0.15">
      <c r="A1157" s="66" t="s">
        <v>5227</v>
      </c>
      <c r="B1157" s="6" t="s">
        <v>4997</v>
      </c>
      <c r="C1157" s="82">
        <v>185</v>
      </c>
      <c r="D1157" s="6" t="str">
        <f>HYPERLINK("https://rmda.kulib.kyoto-u.ac.jp/item/rb00000426#?c=0&amp;m=0&amp;s=0&amp;cv=184")</f>
        <v>https://rmda.kulib.kyoto-u.ac.jp/item/rb00000426#?c=0&amp;m=0&amp;s=0&amp;cv=184</v>
      </c>
    </row>
    <row r="1158" spans="1:4" x14ac:dyDescent="0.15">
      <c r="A1158" s="66" t="s">
        <v>5227</v>
      </c>
      <c r="B1158" s="6" t="s">
        <v>4998</v>
      </c>
      <c r="C1158" s="82">
        <v>189</v>
      </c>
      <c r="D1158" s="6" t="str">
        <f>HYPERLINK("https://rmda.kulib.kyoto-u.ac.jp/item/rb00000426#?c=0&amp;m=0&amp;s=0&amp;cv=188")</f>
        <v>https://rmda.kulib.kyoto-u.ac.jp/item/rb00000426#?c=0&amp;m=0&amp;s=0&amp;cv=188</v>
      </c>
    </row>
    <row r="1159" spans="1:4" x14ac:dyDescent="0.15">
      <c r="A1159" s="66" t="s">
        <v>5227</v>
      </c>
      <c r="B1159" s="6" t="s">
        <v>4999</v>
      </c>
      <c r="C1159" s="82">
        <v>194</v>
      </c>
      <c r="D1159" s="6" t="str">
        <f>HYPERLINK("https://rmda.kulib.kyoto-u.ac.jp/item/rb00000426#?c=0&amp;m=0&amp;s=0&amp;cv=193")</f>
        <v>https://rmda.kulib.kyoto-u.ac.jp/item/rb00000426#?c=0&amp;m=0&amp;s=0&amp;cv=193</v>
      </c>
    </row>
    <row r="1160" spans="1:4" x14ac:dyDescent="0.15">
      <c r="A1160" s="66" t="s">
        <v>5227</v>
      </c>
      <c r="B1160" s="6" t="s">
        <v>5000</v>
      </c>
      <c r="C1160" s="82">
        <v>197</v>
      </c>
      <c r="D1160" s="6" t="str">
        <f>HYPERLINK("https://rmda.kulib.kyoto-u.ac.jp/item/rb00000426#?c=0&amp;m=0&amp;s=0&amp;cv=196")</f>
        <v>https://rmda.kulib.kyoto-u.ac.jp/item/rb00000426#?c=0&amp;m=0&amp;s=0&amp;cv=196</v>
      </c>
    </row>
    <row r="1161" spans="1:4" x14ac:dyDescent="0.15">
      <c r="A1161" s="66" t="s">
        <v>5227</v>
      </c>
      <c r="B1161" s="6" t="s">
        <v>5001</v>
      </c>
      <c r="C1161" s="82">
        <v>198</v>
      </c>
      <c r="D1161" s="6" t="str">
        <f>HYPERLINK("https://rmda.kulib.kyoto-u.ac.jp/item/rb00000426#?c=0&amp;m=0&amp;s=0&amp;cv=197")</f>
        <v>https://rmda.kulib.kyoto-u.ac.jp/item/rb00000426#?c=0&amp;m=0&amp;s=0&amp;cv=197</v>
      </c>
    </row>
    <row r="1162" spans="1:4" x14ac:dyDescent="0.15">
      <c r="A1162" s="66" t="s">
        <v>5227</v>
      </c>
      <c r="B1162" s="6" t="s">
        <v>5002</v>
      </c>
      <c r="C1162" s="82">
        <v>200</v>
      </c>
      <c r="D1162" s="6" t="str">
        <f>HYPERLINK("https://rmda.kulib.kyoto-u.ac.jp/item/rb00000426#?c=0&amp;m=0&amp;s=0&amp;cv=199")</f>
        <v>https://rmda.kulib.kyoto-u.ac.jp/item/rb00000426#?c=0&amp;m=0&amp;s=0&amp;cv=199</v>
      </c>
    </row>
    <row r="1163" spans="1:4" x14ac:dyDescent="0.15">
      <c r="A1163" s="66" t="s">
        <v>5227</v>
      </c>
      <c r="B1163" s="6" t="s">
        <v>5003</v>
      </c>
      <c r="C1163" s="82">
        <v>204</v>
      </c>
      <c r="D1163" s="6" t="str">
        <f>HYPERLINK("https://rmda.kulib.kyoto-u.ac.jp/item/rb00000426#?c=0&amp;m=0&amp;s=0&amp;cv=203")</f>
        <v>https://rmda.kulib.kyoto-u.ac.jp/item/rb00000426#?c=0&amp;m=0&amp;s=0&amp;cv=203</v>
      </c>
    </row>
    <row r="1164" spans="1:4" x14ac:dyDescent="0.15">
      <c r="A1164" s="66" t="s">
        <v>5227</v>
      </c>
      <c r="B1164" s="6" t="s">
        <v>5004</v>
      </c>
      <c r="C1164" s="82">
        <v>207</v>
      </c>
      <c r="D1164" s="6" t="str">
        <f>HYPERLINK("https://rmda.kulib.kyoto-u.ac.jp/item/rb00000426#?c=0&amp;m=0&amp;s=0&amp;cv=206")</f>
        <v>https://rmda.kulib.kyoto-u.ac.jp/item/rb00000426#?c=0&amp;m=0&amp;s=0&amp;cv=206</v>
      </c>
    </row>
    <row r="1165" spans="1:4" x14ac:dyDescent="0.15">
      <c r="A1165" s="66" t="s">
        <v>5227</v>
      </c>
      <c r="B1165" s="6" t="s">
        <v>5005</v>
      </c>
      <c r="C1165" s="82">
        <v>209</v>
      </c>
      <c r="D1165" s="6" t="str">
        <f>HYPERLINK("https://rmda.kulib.kyoto-u.ac.jp/item/rb00000426#?c=0&amp;m=0&amp;s=0&amp;cv=208")</f>
        <v>https://rmda.kulib.kyoto-u.ac.jp/item/rb00000426#?c=0&amp;m=0&amp;s=0&amp;cv=208</v>
      </c>
    </row>
    <row r="1166" spans="1:4" x14ac:dyDescent="0.15">
      <c r="A1166" s="66" t="s">
        <v>5227</v>
      </c>
      <c r="B1166" s="6" t="s">
        <v>5006</v>
      </c>
      <c r="C1166" s="82">
        <v>210</v>
      </c>
      <c r="D1166" s="6" t="str">
        <f>HYPERLINK("https://rmda.kulib.kyoto-u.ac.jp/item/rb00000426#?c=0&amp;m=0&amp;s=0&amp;cv=209")</f>
        <v>https://rmda.kulib.kyoto-u.ac.jp/item/rb00000426#?c=0&amp;m=0&amp;s=0&amp;cv=209</v>
      </c>
    </row>
    <row r="1167" spans="1:4" x14ac:dyDescent="0.15">
      <c r="A1167" s="66" t="s">
        <v>5227</v>
      </c>
      <c r="B1167" s="6" t="s">
        <v>5007</v>
      </c>
      <c r="C1167" s="82">
        <v>211</v>
      </c>
      <c r="D1167" s="6" t="str">
        <f>HYPERLINK("https://rmda.kulib.kyoto-u.ac.jp/item/rb00000426#?c=0&amp;m=0&amp;s=0&amp;cv=210")</f>
        <v>https://rmda.kulib.kyoto-u.ac.jp/item/rb00000426#?c=0&amp;m=0&amp;s=0&amp;cv=210</v>
      </c>
    </row>
    <row r="1168" spans="1:4" x14ac:dyDescent="0.15">
      <c r="A1168" s="66" t="s">
        <v>5227</v>
      </c>
      <c r="B1168" s="6" t="s">
        <v>5008</v>
      </c>
      <c r="C1168" s="82">
        <v>212</v>
      </c>
      <c r="D1168" s="6" t="str">
        <f>HYPERLINK("https://rmda.kulib.kyoto-u.ac.jp/item/rb00000426#?c=0&amp;m=0&amp;s=0&amp;cv=211")</f>
        <v>https://rmda.kulib.kyoto-u.ac.jp/item/rb00000426#?c=0&amp;m=0&amp;s=0&amp;cv=211</v>
      </c>
    </row>
    <row r="1169" spans="1:4" x14ac:dyDescent="0.15">
      <c r="A1169" s="66" t="s">
        <v>5227</v>
      </c>
      <c r="B1169" s="6" t="s">
        <v>5009</v>
      </c>
      <c r="C1169" s="82">
        <v>213</v>
      </c>
      <c r="D1169" s="6" t="str">
        <f>HYPERLINK("https://rmda.kulib.kyoto-u.ac.jp/item/rb00000426#?c=0&amp;m=0&amp;s=0&amp;cv=212")</f>
        <v>https://rmda.kulib.kyoto-u.ac.jp/item/rb00000426#?c=0&amp;m=0&amp;s=0&amp;cv=212</v>
      </c>
    </row>
    <row r="1170" spans="1:4" x14ac:dyDescent="0.15">
      <c r="A1170" s="66" t="s">
        <v>5227</v>
      </c>
      <c r="B1170" s="6" t="s">
        <v>5010</v>
      </c>
      <c r="C1170" s="82">
        <v>213</v>
      </c>
      <c r="D1170" s="6" t="str">
        <f>HYPERLINK("https://rmda.kulib.kyoto-u.ac.jp/item/rb00000426#?c=0&amp;m=0&amp;s=0&amp;cv=212")</f>
        <v>https://rmda.kulib.kyoto-u.ac.jp/item/rb00000426#?c=0&amp;m=0&amp;s=0&amp;cv=212</v>
      </c>
    </row>
    <row r="1171" spans="1:4" x14ac:dyDescent="0.15">
      <c r="A1171" s="66" t="s">
        <v>5227</v>
      </c>
      <c r="B1171" s="6" t="s">
        <v>5011</v>
      </c>
      <c r="C1171" s="82">
        <v>214</v>
      </c>
      <c r="D1171" s="6" t="str">
        <f>HYPERLINK("https://rmda.kulib.kyoto-u.ac.jp/item/rb00000426#?c=0&amp;m=0&amp;s=0&amp;cv=213")</f>
        <v>https://rmda.kulib.kyoto-u.ac.jp/item/rb00000426#?c=0&amp;m=0&amp;s=0&amp;cv=213</v>
      </c>
    </row>
    <row r="1172" spans="1:4" x14ac:dyDescent="0.15">
      <c r="A1172" s="66" t="s">
        <v>5227</v>
      </c>
      <c r="B1172" s="6" t="s">
        <v>5012</v>
      </c>
      <c r="C1172" s="82">
        <v>216</v>
      </c>
      <c r="D1172" s="6" t="str">
        <f>HYPERLINK("https://rmda.kulib.kyoto-u.ac.jp/item/rb00000426#?c=0&amp;m=0&amp;s=0&amp;cv=215")</f>
        <v>https://rmda.kulib.kyoto-u.ac.jp/item/rb00000426#?c=0&amp;m=0&amp;s=0&amp;cv=215</v>
      </c>
    </row>
    <row r="1173" spans="1:4" x14ac:dyDescent="0.15">
      <c r="A1173" s="66" t="s">
        <v>5227</v>
      </c>
      <c r="B1173" s="6" t="s">
        <v>5013</v>
      </c>
      <c r="C1173" s="82">
        <v>217</v>
      </c>
      <c r="D1173" s="6" t="str">
        <f>HYPERLINK("https://rmda.kulib.kyoto-u.ac.jp/item/rb00000426#?c=0&amp;m=0&amp;s=0&amp;cv=216")</f>
        <v>https://rmda.kulib.kyoto-u.ac.jp/item/rb00000426#?c=0&amp;m=0&amp;s=0&amp;cv=216</v>
      </c>
    </row>
    <row r="1174" spans="1:4" x14ac:dyDescent="0.15">
      <c r="A1174" s="66" t="s">
        <v>5227</v>
      </c>
      <c r="B1174" s="6" t="s">
        <v>5014</v>
      </c>
      <c r="C1174" s="82">
        <v>220</v>
      </c>
      <c r="D1174" s="6" t="str">
        <f>HYPERLINK("https://rmda.kulib.kyoto-u.ac.jp/item/rb00000426#?c=0&amp;m=0&amp;s=0&amp;cv=219")</f>
        <v>https://rmda.kulib.kyoto-u.ac.jp/item/rb00000426#?c=0&amp;m=0&amp;s=0&amp;cv=219</v>
      </c>
    </row>
    <row r="1175" spans="1:4" x14ac:dyDescent="0.15">
      <c r="A1175" s="66" t="s">
        <v>5227</v>
      </c>
      <c r="B1175" s="72" t="s">
        <v>2847</v>
      </c>
      <c r="C1175" s="82">
        <v>225</v>
      </c>
      <c r="D1175" s="6" t="str">
        <f>HYPERLINK("https://rmda.kulib.kyoto-u.ac.jp/item/rb00000426#?c=0&amp;m=0&amp;s=0&amp;cv=224")</f>
        <v>https://rmda.kulib.kyoto-u.ac.jp/item/rb00000426#?c=0&amp;m=0&amp;s=0&amp;cv=224</v>
      </c>
    </row>
    <row r="1176" spans="1:4" x14ac:dyDescent="0.15">
      <c r="A1176" s="66" t="s">
        <v>5227</v>
      </c>
      <c r="B1176" s="6" t="s">
        <v>5015</v>
      </c>
      <c r="C1176" s="82">
        <v>225</v>
      </c>
      <c r="D1176" s="6" t="str">
        <f>HYPERLINK("https://rmda.kulib.kyoto-u.ac.jp/item/rb00000426#?c=0&amp;m=0&amp;s=0&amp;cv=224")</f>
        <v>https://rmda.kulib.kyoto-u.ac.jp/item/rb00000426#?c=0&amp;m=0&amp;s=0&amp;cv=224</v>
      </c>
    </row>
    <row r="1177" spans="1:4" x14ac:dyDescent="0.15">
      <c r="A1177" s="66" t="s">
        <v>5227</v>
      </c>
      <c r="B1177" s="6" t="s">
        <v>5016</v>
      </c>
      <c r="C1177" s="82">
        <v>228</v>
      </c>
      <c r="D1177" s="6" t="str">
        <f>HYPERLINK("https://rmda.kulib.kyoto-u.ac.jp/item/rb00000426#?c=0&amp;m=0&amp;s=0&amp;cv=227")</f>
        <v>https://rmda.kulib.kyoto-u.ac.jp/item/rb00000426#?c=0&amp;m=0&amp;s=0&amp;cv=227</v>
      </c>
    </row>
    <row r="1178" spans="1:4" x14ac:dyDescent="0.15">
      <c r="A1178" s="66" t="s">
        <v>5227</v>
      </c>
      <c r="B1178" s="6" t="s">
        <v>5017</v>
      </c>
      <c r="C1178" s="82">
        <v>230</v>
      </c>
      <c r="D1178" s="6" t="str">
        <f>HYPERLINK("https://rmda.kulib.kyoto-u.ac.jp/item/rb00000426#?c=0&amp;m=0&amp;s=0&amp;cv=229")</f>
        <v>https://rmda.kulib.kyoto-u.ac.jp/item/rb00000426#?c=0&amp;m=0&amp;s=0&amp;cv=229</v>
      </c>
    </row>
    <row r="1179" spans="1:4" x14ac:dyDescent="0.15">
      <c r="A1179" s="66" t="s">
        <v>5227</v>
      </c>
      <c r="B1179" s="6" t="s">
        <v>5018</v>
      </c>
      <c r="C1179" s="82">
        <v>231</v>
      </c>
      <c r="D1179" s="6" t="str">
        <f>HYPERLINK("https://rmda.kulib.kyoto-u.ac.jp/item/rb00000426#?c=0&amp;m=0&amp;s=0&amp;cv=230")</f>
        <v>https://rmda.kulib.kyoto-u.ac.jp/item/rb00000426#?c=0&amp;m=0&amp;s=0&amp;cv=230</v>
      </c>
    </row>
    <row r="1180" spans="1:4" x14ac:dyDescent="0.15">
      <c r="A1180" s="66" t="s">
        <v>5227</v>
      </c>
      <c r="B1180" s="6" t="s">
        <v>5019</v>
      </c>
      <c r="C1180" s="82">
        <v>233</v>
      </c>
      <c r="D1180" s="6" t="str">
        <f>HYPERLINK("https://rmda.kulib.kyoto-u.ac.jp/item/rb00000426#?c=0&amp;m=0&amp;s=0&amp;cv=232")</f>
        <v>https://rmda.kulib.kyoto-u.ac.jp/item/rb00000426#?c=0&amp;m=0&amp;s=0&amp;cv=232</v>
      </c>
    </row>
    <row r="1181" spans="1:4" x14ac:dyDescent="0.15">
      <c r="A1181" s="66" t="s">
        <v>5227</v>
      </c>
      <c r="B1181" s="6" t="s">
        <v>5020</v>
      </c>
      <c r="C1181" s="82">
        <v>235</v>
      </c>
      <c r="D1181" s="6" t="str">
        <f>HYPERLINK("https://rmda.kulib.kyoto-u.ac.jp/item/rb00000426#?c=0&amp;m=0&amp;s=0&amp;cv=234")</f>
        <v>https://rmda.kulib.kyoto-u.ac.jp/item/rb00000426#?c=0&amp;m=0&amp;s=0&amp;cv=234</v>
      </c>
    </row>
    <row r="1182" spans="1:4" x14ac:dyDescent="0.15">
      <c r="A1182" s="66" t="s">
        <v>5227</v>
      </c>
      <c r="B1182" s="6" t="s">
        <v>5021</v>
      </c>
      <c r="C1182" s="82">
        <v>237</v>
      </c>
      <c r="D1182" s="6" t="str">
        <f>HYPERLINK("https://rmda.kulib.kyoto-u.ac.jp/item/rb00000426#?c=0&amp;m=0&amp;s=0&amp;cv=236")</f>
        <v>https://rmda.kulib.kyoto-u.ac.jp/item/rb00000426#?c=0&amp;m=0&amp;s=0&amp;cv=236</v>
      </c>
    </row>
    <row r="1183" spans="1:4" x14ac:dyDescent="0.15">
      <c r="A1183" s="66" t="s">
        <v>5227</v>
      </c>
      <c r="B1183" s="6" t="s">
        <v>5022</v>
      </c>
      <c r="C1183" s="82">
        <v>238</v>
      </c>
      <c r="D1183" s="6" t="str">
        <f>HYPERLINK("https://rmda.kulib.kyoto-u.ac.jp/item/rb00000426#?c=0&amp;m=0&amp;s=0&amp;cv=237")</f>
        <v>https://rmda.kulib.kyoto-u.ac.jp/item/rb00000426#?c=0&amp;m=0&amp;s=0&amp;cv=237</v>
      </c>
    </row>
    <row r="1184" spans="1:4" x14ac:dyDescent="0.15">
      <c r="A1184" s="66" t="s">
        <v>5227</v>
      </c>
      <c r="B1184" s="6" t="s">
        <v>5023</v>
      </c>
      <c r="C1184" s="82">
        <v>240</v>
      </c>
      <c r="D1184" s="6" t="str">
        <f>HYPERLINK("https://rmda.kulib.kyoto-u.ac.jp/item/rb00000426#?c=0&amp;m=0&amp;s=0&amp;cv=239")</f>
        <v>https://rmda.kulib.kyoto-u.ac.jp/item/rb00000426#?c=0&amp;m=0&amp;s=0&amp;cv=239</v>
      </c>
    </row>
    <row r="1185" spans="1:4" x14ac:dyDescent="0.15">
      <c r="A1185" s="66" t="s">
        <v>5227</v>
      </c>
      <c r="B1185" s="6" t="s">
        <v>5024</v>
      </c>
      <c r="C1185" s="82">
        <v>244</v>
      </c>
      <c r="D1185" s="6" t="str">
        <f>HYPERLINK("https://rmda.kulib.kyoto-u.ac.jp/item/rb00000426#?c=0&amp;m=0&amp;s=0&amp;cv=243")</f>
        <v>https://rmda.kulib.kyoto-u.ac.jp/item/rb00000426#?c=0&amp;m=0&amp;s=0&amp;cv=243</v>
      </c>
    </row>
    <row r="1186" spans="1:4" x14ac:dyDescent="0.15">
      <c r="A1186" s="66" t="s">
        <v>5227</v>
      </c>
      <c r="B1186" s="6" t="s">
        <v>5025</v>
      </c>
      <c r="C1186" s="82">
        <v>245</v>
      </c>
      <c r="D1186" s="6" t="str">
        <f>HYPERLINK("https://rmda.kulib.kyoto-u.ac.jp/item/rb00000426#?c=0&amp;m=0&amp;s=0&amp;cv=244")</f>
        <v>https://rmda.kulib.kyoto-u.ac.jp/item/rb00000426#?c=0&amp;m=0&amp;s=0&amp;cv=244</v>
      </c>
    </row>
    <row r="1187" spans="1:4" x14ac:dyDescent="0.15">
      <c r="A1187" s="66" t="s">
        <v>5227</v>
      </c>
      <c r="B1187" s="6" t="s">
        <v>5026</v>
      </c>
      <c r="C1187" s="82">
        <v>250</v>
      </c>
      <c r="D1187" s="6" t="str">
        <f>HYPERLINK("https://rmda.kulib.kyoto-u.ac.jp/item/rb00000426#?c=0&amp;m=0&amp;s=0&amp;cv=249")</f>
        <v>https://rmda.kulib.kyoto-u.ac.jp/item/rb00000426#?c=0&amp;m=0&amp;s=0&amp;cv=249</v>
      </c>
    </row>
    <row r="1188" spans="1:4" x14ac:dyDescent="0.15">
      <c r="A1188" s="66" t="s">
        <v>5227</v>
      </c>
      <c r="B1188" s="6" t="s">
        <v>5027</v>
      </c>
      <c r="C1188" s="82">
        <v>253</v>
      </c>
      <c r="D1188" s="6" t="str">
        <f>HYPERLINK("https://rmda.kulib.kyoto-u.ac.jp/item/rb00000426#?c=0&amp;m=0&amp;s=0&amp;cv=252")</f>
        <v>https://rmda.kulib.kyoto-u.ac.jp/item/rb00000426#?c=0&amp;m=0&amp;s=0&amp;cv=252</v>
      </c>
    </row>
    <row r="1189" spans="1:4" x14ac:dyDescent="0.15">
      <c r="A1189" s="66" t="s">
        <v>5227</v>
      </c>
      <c r="B1189" s="6" t="s">
        <v>5028</v>
      </c>
      <c r="C1189" s="82">
        <v>255</v>
      </c>
      <c r="D1189" s="6" t="str">
        <f>HYPERLINK("https://rmda.kulib.kyoto-u.ac.jp/item/rb00000426#?c=0&amp;m=0&amp;s=0&amp;cv=254")</f>
        <v>https://rmda.kulib.kyoto-u.ac.jp/item/rb00000426#?c=0&amp;m=0&amp;s=0&amp;cv=254</v>
      </c>
    </row>
    <row r="1190" spans="1:4" x14ac:dyDescent="0.15">
      <c r="A1190" s="66" t="s">
        <v>5227</v>
      </c>
      <c r="B1190" s="6" t="s">
        <v>5029</v>
      </c>
      <c r="C1190" s="82">
        <v>256</v>
      </c>
      <c r="D1190" s="6" t="str">
        <f>HYPERLINK("https://rmda.kulib.kyoto-u.ac.jp/item/rb00000426#?c=0&amp;m=0&amp;s=0&amp;cv=255")</f>
        <v>https://rmda.kulib.kyoto-u.ac.jp/item/rb00000426#?c=0&amp;m=0&amp;s=0&amp;cv=255</v>
      </c>
    </row>
    <row r="1191" spans="1:4" x14ac:dyDescent="0.15">
      <c r="A1191" s="66" t="s">
        <v>5227</v>
      </c>
      <c r="B1191" s="6" t="s">
        <v>5030</v>
      </c>
      <c r="C1191" s="82">
        <v>257</v>
      </c>
      <c r="D1191" s="6" t="str">
        <f>HYPERLINK("https://rmda.kulib.kyoto-u.ac.jp/item/rb00000426#?c=0&amp;m=0&amp;s=0&amp;cv=256")</f>
        <v>https://rmda.kulib.kyoto-u.ac.jp/item/rb00000426#?c=0&amp;m=0&amp;s=0&amp;cv=256</v>
      </c>
    </row>
    <row r="1192" spans="1:4" x14ac:dyDescent="0.15">
      <c r="A1192" s="66" t="s">
        <v>5227</v>
      </c>
      <c r="B1192" s="6" t="s">
        <v>5031</v>
      </c>
      <c r="C1192" s="82">
        <v>258</v>
      </c>
      <c r="D1192" s="6" t="str">
        <f>HYPERLINK("https://rmda.kulib.kyoto-u.ac.jp/item/rb00000426#?c=0&amp;m=0&amp;s=0&amp;cv=257")</f>
        <v>https://rmda.kulib.kyoto-u.ac.jp/item/rb00000426#?c=0&amp;m=0&amp;s=0&amp;cv=257</v>
      </c>
    </row>
    <row r="1193" spans="1:4" x14ac:dyDescent="0.15">
      <c r="A1193" s="66" t="s">
        <v>5227</v>
      </c>
      <c r="B1193" s="6" t="s">
        <v>5032</v>
      </c>
      <c r="C1193" s="82">
        <v>259</v>
      </c>
      <c r="D1193" s="6" t="str">
        <f>HYPERLINK("https://rmda.kulib.kyoto-u.ac.jp/item/rb00000426#?c=0&amp;m=0&amp;s=0&amp;cv=258")</f>
        <v>https://rmda.kulib.kyoto-u.ac.jp/item/rb00000426#?c=0&amp;m=0&amp;s=0&amp;cv=258</v>
      </c>
    </row>
    <row r="1194" spans="1:4" x14ac:dyDescent="0.15">
      <c r="A1194" s="66" t="s">
        <v>5227</v>
      </c>
      <c r="B1194" s="6" t="s">
        <v>5033</v>
      </c>
      <c r="C1194" s="82">
        <v>260</v>
      </c>
      <c r="D1194" s="6" t="str">
        <f>HYPERLINK("https://rmda.kulib.kyoto-u.ac.jp/item/rb00000426#?c=0&amp;m=0&amp;s=0&amp;cv=259")</f>
        <v>https://rmda.kulib.kyoto-u.ac.jp/item/rb00000426#?c=0&amp;m=0&amp;s=0&amp;cv=259</v>
      </c>
    </row>
    <row r="1195" spans="1:4" x14ac:dyDescent="0.15">
      <c r="A1195" s="66" t="s">
        <v>5227</v>
      </c>
      <c r="B1195" s="6" t="s">
        <v>5034</v>
      </c>
      <c r="C1195" s="82">
        <v>261</v>
      </c>
      <c r="D1195" s="6" t="str">
        <f>HYPERLINK("https://rmda.kulib.kyoto-u.ac.jp/item/rb00000426#?c=0&amp;m=0&amp;s=0&amp;cv=260")</f>
        <v>https://rmda.kulib.kyoto-u.ac.jp/item/rb00000426#?c=0&amp;m=0&amp;s=0&amp;cv=260</v>
      </c>
    </row>
    <row r="1196" spans="1:4" x14ac:dyDescent="0.15">
      <c r="A1196" s="66" t="s">
        <v>5227</v>
      </c>
      <c r="B1196" s="6" t="s">
        <v>5035</v>
      </c>
      <c r="C1196" s="82">
        <v>262</v>
      </c>
      <c r="D1196" s="6" t="str">
        <f>HYPERLINK("https://rmda.kulib.kyoto-u.ac.jp/item/rb00000426#?c=0&amp;m=0&amp;s=0&amp;cv=261")</f>
        <v>https://rmda.kulib.kyoto-u.ac.jp/item/rb00000426#?c=0&amp;m=0&amp;s=0&amp;cv=261</v>
      </c>
    </row>
    <row r="1197" spans="1:4" x14ac:dyDescent="0.15">
      <c r="A1197" s="66" t="s">
        <v>5227</v>
      </c>
      <c r="B1197" s="6" t="s">
        <v>5036</v>
      </c>
      <c r="C1197" s="82">
        <v>262</v>
      </c>
      <c r="D1197" s="6" t="str">
        <f>HYPERLINK("https://rmda.kulib.kyoto-u.ac.jp/item/rb00000426#?c=0&amp;m=0&amp;s=0&amp;cv=261")</f>
        <v>https://rmda.kulib.kyoto-u.ac.jp/item/rb00000426#?c=0&amp;m=0&amp;s=0&amp;cv=261</v>
      </c>
    </row>
    <row r="1198" spans="1:4" x14ac:dyDescent="0.15">
      <c r="A1198" s="66" t="s">
        <v>5227</v>
      </c>
      <c r="B1198" s="6" t="s">
        <v>5037</v>
      </c>
      <c r="C1198" s="82">
        <v>262</v>
      </c>
      <c r="D1198" s="6" t="str">
        <f>HYPERLINK("https://rmda.kulib.kyoto-u.ac.jp/item/rb00000426#?c=0&amp;m=0&amp;s=0&amp;cv=261")</f>
        <v>https://rmda.kulib.kyoto-u.ac.jp/item/rb00000426#?c=0&amp;m=0&amp;s=0&amp;cv=261</v>
      </c>
    </row>
    <row r="1199" spans="1:4" x14ac:dyDescent="0.15">
      <c r="A1199" s="66" t="s">
        <v>5227</v>
      </c>
      <c r="B1199" s="6" t="s">
        <v>2147</v>
      </c>
      <c r="C1199" s="82">
        <v>263</v>
      </c>
      <c r="D1199" s="6" t="str">
        <f>HYPERLINK("https://rmda.kulib.kyoto-u.ac.jp/item/rb00000426#?c=0&amp;m=0&amp;s=0&amp;cv=262")</f>
        <v>https://rmda.kulib.kyoto-u.ac.jp/item/rb00000426#?c=0&amp;m=0&amp;s=0&amp;cv=262</v>
      </c>
    </row>
    <row r="1200" spans="1:4" x14ac:dyDescent="0.15">
      <c r="A1200" s="66" t="s">
        <v>5227</v>
      </c>
      <c r="B1200" s="72" t="s">
        <v>5038</v>
      </c>
      <c r="C1200" s="82">
        <v>264</v>
      </c>
      <c r="D1200" s="6" t="str">
        <f>HYPERLINK("https://rmda.kulib.kyoto-u.ac.jp/item/rb00000426#?c=0&amp;m=0&amp;s=0&amp;cv=263")</f>
        <v>https://rmda.kulib.kyoto-u.ac.jp/item/rb00000426#?c=0&amp;m=0&amp;s=0&amp;cv=263</v>
      </c>
    </row>
    <row r="1201" spans="1:4" x14ac:dyDescent="0.15">
      <c r="A1201" s="66" t="s">
        <v>5227</v>
      </c>
      <c r="B1201" s="63" t="s">
        <v>2148</v>
      </c>
      <c r="C1201" s="82">
        <v>264</v>
      </c>
      <c r="D1201" s="6" t="str">
        <f>HYPERLINK("https://rmda.kulib.kyoto-u.ac.jp/item/rb00000426#?c=0&amp;m=0&amp;s=0&amp;cv=263")</f>
        <v>https://rmda.kulib.kyoto-u.ac.jp/item/rb00000426#?c=0&amp;m=0&amp;s=0&amp;cv=263</v>
      </c>
    </row>
    <row r="1202" spans="1:4" x14ac:dyDescent="0.15">
      <c r="A1202" s="66" t="s">
        <v>5227</v>
      </c>
      <c r="B1202" s="6" t="s">
        <v>2149</v>
      </c>
      <c r="C1202" s="82">
        <v>264</v>
      </c>
      <c r="D1202" s="6" t="str">
        <f>HYPERLINK("https://rmda.kulib.kyoto-u.ac.jp/item/rb00000426#?c=0&amp;m=0&amp;s=0&amp;cv=263")</f>
        <v>https://rmda.kulib.kyoto-u.ac.jp/item/rb00000426#?c=0&amp;m=0&amp;s=0&amp;cv=263</v>
      </c>
    </row>
    <row r="1203" spans="1:4" x14ac:dyDescent="0.15">
      <c r="A1203" s="66" t="s">
        <v>5227</v>
      </c>
      <c r="B1203" s="6" t="s">
        <v>5039</v>
      </c>
      <c r="C1203" s="82">
        <v>265</v>
      </c>
      <c r="D1203" s="6" t="str">
        <f>HYPERLINK("https://rmda.kulib.kyoto-u.ac.jp/item/rb00000426#?c=0&amp;m=0&amp;s=0&amp;cv=264")</f>
        <v>https://rmda.kulib.kyoto-u.ac.jp/item/rb00000426#?c=0&amp;m=0&amp;s=0&amp;cv=264</v>
      </c>
    </row>
    <row r="1204" spans="1:4" x14ac:dyDescent="0.15">
      <c r="A1204" s="66" t="s">
        <v>5227</v>
      </c>
      <c r="B1204" s="6" t="s">
        <v>5040</v>
      </c>
      <c r="C1204" s="82">
        <v>266</v>
      </c>
      <c r="D1204" s="6" t="str">
        <f>HYPERLINK("https://rmda.kulib.kyoto-u.ac.jp/item/rb00000426#?c=0&amp;m=0&amp;s=0&amp;cv=265")</f>
        <v>https://rmda.kulib.kyoto-u.ac.jp/item/rb00000426#?c=0&amp;m=0&amp;s=0&amp;cv=265</v>
      </c>
    </row>
    <row r="1205" spans="1:4" x14ac:dyDescent="0.15">
      <c r="A1205" s="66" t="s">
        <v>5227</v>
      </c>
      <c r="B1205" s="6" t="s">
        <v>2150</v>
      </c>
      <c r="C1205" s="82">
        <v>266</v>
      </c>
      <c r="D1205" s="6" t="str">
        <f>HYPERLINK("https://rmda.kulib.kyoto-u.ac.jp/item/rb00000426#?c=0&amp;m=0&amp;s=0&amp;cv=265")</f>
        <v>https://rmda.kulib.kyoto-u.ac.jp/item/rb00000426#?c=0&amp;m=0&amp;s=0&amp;cv=265</v>
      </c>
    </row>
    <row r="1206" spans="1:4" x14ac:dyDescent="0.15">
      <c r="A1206" s="66" t="s">
        <v>5227</v>
      </c>
      <c r="B1206" s="6" t="s">
        <v>5041</v>
      </c>
      <c r="C1206" s="82">
        <v>266</v>
      </c>
      <c r="D1206" s="6" t="str">
        <f>HYPERLINK("https://rmda.kulib.kyoto-u.ac.jp/item/rb00000426#?c=0&amp;m=0&amp;s=0&amp;cv=265")</f>
        <v>https://rmda.kulib.kyoto-u.ac.jp/item/rb00000426#?c=0&amp;m=0&amp;s=0&amp;cv=265</v>
      </c>
    </row>
    <row r="1207" spans="1:4" x14ac:dyDescent="0.15">
      <c r="A1207" s="66" t="s">
        <v>5227</v>
      </c>
      <c r="B1207" s="6" t="s">
        <v>5042</v>
      </c>
      <c r="C1207" s="82">
        <v>267</v>
      </c>
      <c r="D1207" s="6" t="str">
        <f>HYPERLINK("https://rmda.kulib.kyoto-u.ac.jp/item/rb00000426#?c=0&amp;m=0&amp;s=0&amp;cv=266")</f>
        <v>https://rmda.kulib.kyoto-u.ac.jp/item/rb00000426#?c=0&amp;m=0&amp;s=0&amp;cv=266</v>
      </c>
    </row>
    <row r="1208" spans="1:4" x14ac:dyDescent="0.15">
      <c r="A1208" s="66" t="s">
        <v>5227</v>
      </c>
      <c r="B1208" s="6" t="s">
        <v>5043</v>
      </c>
      <c r="C1208" s="82">
        <v>267</v>
      </c>
      <c r="D1208" s="6" t="str">
        <f>HYPERLINK("https://rmda.kulib.kyoto-u.ac.jp/item/rb00000426#?c=0&amp;m=0&amp;s=0&amp;cv=266")</f>
        <v>https://rmda.kulib.kyoto-u.ac.jp/item/rb00000426#?c=0&amp;m=0&amp;s=0&amp;cv=266</v>
      </c>
    </row>
    <row r="1209" spans="1:4" x14ac:dyDescent="0.15">
      <c r="A1209" s="66" t="s">
        <v>5227</v>
      </c>
      <c r="B1209" s="6" t="s">
        <v>5044</v>
      </c>
      <c r="C1209" s="82">
        <v>267</v>
      </c>
      <c r="D1209" s="6" t="str">
        <f>HYPERLINK("https://rmda.kulib.kyoto-u.ac.jp/item/rb00000426#?c=0&amp;m=0&amp;s=0&amp;cv=266")</f>
        <v>https://rmda.kulib.kyoto-u.ac.jp/item/rb00000426#?c=0&amp;m=0&amp;s=0&amp;cv=266</v>
      </c>
    </row>
    <row r="1210" spans="1:4" x14ac:dyDescent="0.15">
      <c r="A1210" s="66" t="s">
        <v>5227</v>
      </c>
      <c r="B1210" s="6" t="s">
        <v>5045</v>
      </c>
      <c r="C1210" s="82">
        <v>268</v>
      </c>
      <c r="D1210" s="6" t="str">
        <f>HYPERLINK("https://rmda.kulib.kyoto-u.ac.jp/item/rb00000426#?c=0&amp;m=0&amp;s=0&amp;cv=267")</f>
        <v>https://rmda.kulib.kyoto-u.ac.jp/item/rb00000426#?c=0&amp;m=0&amp;s=0&amp;cv=267</v>
      </c>
    </row>
    <row r="1211" spans="1:4" x14ac:dyDescent="0.15">
      <c r="A1211" s="66" t="s">
        <v>5227</v>
      </c>
      <c r="B1211" s="6" t="s">
        <v>5046</v>
      </c>
      <c r="C1211" s="82">
        <v>272</v>
      </c>
      <c r="D1211" s="6" t="str">
        <f>HYPERLINK("https://rmda.kulib.kyoto-u.ac.jp/item/rb00000426#?c=0&amp;m=0&amp;s=0&amp;cv=271")</f>
        <v>https://rmda.kulib.kyoto-u.ac.jp/item/rb00000426#?c=0&amp;m=0&amp;s=0&amp;cv=271</v>
      </c>
    </row>
    <row r="1212" spans="1:4" x14ac:dyDescent="0.15">
      <c r="A1212" s="66" t="s">
        <v>5227</v>
      </c>
      <c r="B1212" s="72" t="s">
        <v>2425</v>
      </c>
      <c r="C1212" s="82">
        <v>275</v>
      </c>
      <c r="D1212" s="6" t="str">
        <f>HYPERLINK("https://rmda.kulib.kyoto-u.ac.jp/item/rb00000426#?c=0&amp;m=0&amp;s=0&amp;cv=274")</f>
        <v>https://rmda.kulib.kyoto-u.ac.jp/item/rb00000426#?c=0&amp;m=0&amp;s=0&amp;cv=274</v>
      </c>
    </row>
    <row r="1213" spans="1:4" x14ac:dyDescent="0.15">
      <c r="A1213" s="66" t="s">
        <v>5227</v>
      </c>
      <c r="B1213" s="63" t="s">
        <v>2151</v>
      </c>
      <c r="C1213" s="82">
        <v>275</v>
      </c>
      <c r="D1213" s="6" t="str">
        <f>HYPERLINK("https://rmda.kulib.kyoto-u.ac.jp/item/rb00000426#?c=0&amp;m=0&amp;s=0&amp;cv=274")</f>
        <v>https://rmda.kulib.kyoto-u.ac.jp/item/rb00000426#?c=0&amp;m=0&amp;s=0&amp;cv=274</v>
      </c>
    </row>
    <row r="1214" spans="1:4" x14ac:dyDescent="0.15">
      <c r="A1214" s="66" t="s">
        <v>5227</v>
      </c>
      <c r="B1214" s="6" t="s">
        <v>2152</v>
      </c>
      <c r="C1214" s="82">
        <v>275</v>
      </c>
      <c r="D1214" s="6" t="str">
        <f>HYPERLINK("https://rmda.kulib.kyoto-u.ac.jp/item/rb00000426#?c=0&amp;m=0&amp;s=0&amp;cv=274")</f>
        <v>https://rmda.kulib.kyoto-u.ac.jp/item/rb00000426#?c=0&amp;m=0&amp;s=0&amp;cv=274</v>
      </c>
    </row>
    <row r="1215" spans="1:4" x14ac:dyDescent="0.15">
      <c r="A1215" s="66" t="s">
        <v>5227</v>
      </c>
      <c r="B1215" s="6" t="s">
        <v>5047</v>
      </c>
      <c r="C1215" s="82">
        <v>277</v>
      </c>
      <c r="D1215" s="6" t="str">
        <f>HYPERLINK("https://rmda.kulib.kyoto-u.ac.jp/item/rb00000426#?c=0&amp;m=0&amp;s=0&amp;cv=276")</f>
        <v>https://rmda.kulib.kyoto-u.ac.jp/item/rb00000426#?c=0&amp;m=0&amp;s=0&amp;cv=276</v>
      </c>
    </row>
    <row r="1216" spans="1:4" x14ac:dyDescent="0.15">
      <c r="A1216" s="66" t="s">
        <v>5227</v>
      </c>
      <c r="B1216" s="6" t="s">
        <v>5048</v>
      </c>
      <c r="C1216" s="82">
        <v>278</v>
      </c>
      <c r="D1216" s="6" t="str">
        <f>HYPERLINK("https://rmda.kulib.kyoto-u.ac.jp/item/rb00000426#?c=0&amp;m=0&amp;s=0&amp;cv=277")</f>
        <v>https://rmda.kulib.kyoto-u.ac.jp/item/rb00000426#?c=0&amp;m=0&amp;s=0&amp;cv=277</v>
      </c>
    </row>
    <row r="1217" spans="1:4" x14ac:dyDescent="0.15">
      <c r="A1217" s="66" t="s">
        <v>5227</v>
      </c>
      <c r="B1217" s="6" t="s">
        <v>5049</v>
      </c>
      <c r="C1217" s="82">
        <v>278</v>
      </c>
      <c r="D1217" s="6" t="str">
        <f>HYPERLINK("https://rmda.kulib.kyoto-u.ac.jp/item/rb00000426#?c=0&amp;m=0&amp;s=0&amp;cv=277")</f>
        <v>https://rmda.kulib.kyoto-u.ac.jp/item/rb00000426#?c=0&amp;m=0&amp;s=0&amp;cv=277</v>
      </c>
    </row>
    <row r="1218" spans="1:4" x14ac:dyDescent="0.15">
      <c r="A1218" s="66" t="s">
        <v>5227</v>
      </c>
      <c r="B1218" s="6" t="s">
        <v>5050</v>
      </c>
      <c r="C1218" s="82">
        <v>278</v>
      </c>
      <c r="D1218" s="6" t="str">
        <f>HYPERLINK("https://rmda.kulib.kyoto-u.ac.jp/item/rb00000426#?c=0&amp;m=0&amp;s=0&amp;cv=277")</f>
        <v>https://rmda.kulib.kyoto-u.ac.jp/item/rb00000426#?c=0&amp;m=0&amp;s=0&amp;cv=277</v>
      </c>
    </row>
    <row r="1219" spans="1:4" x14ac:dyDescent="0.15">
      <c r="A1219" s="66" t="s">
        <v>5227</v>
      </c>
      <c r="B1219" s="6" t="s">
        <v>5051</v>
      </c>
      <c r="C1219" s="82">
        <v>281</v>
      </c>
      <c r="D1219" s="6" t="str">
        <f>HYPERLINK("https://rmda.kulib.kyoto-u.ac.jp/item/rb00000426#?c=0&amp;m=0&amp;s=0&amp;cv=280")</f>
        <v>https://rmda.kulib.kyoto-u.ac.jp/item/rb00000426#?c=0&amp;m=0&amp;s=0&amp;cv=280</v>
      </c>
    </row>
    <row r="1220" spans="1:4" x14ac:dyDescent="0.15">
      <c r="A1220" s="66" t="s">
        <v>5227</v>
      </c>
      <c r="B1220" s="6" t="s">
        <v>5052</v>
      </c>
      <c r="C1220" s="82">
        <v>283</v>
      </c>
      <c r="D1220" s="6" t="str">
        <f>HYPERLINK("https://rmda.kulib.kyoto-u.ac.jp/item/rb00000426#?c=0&amp;m=0&amp;s=0&amp;cv=282")</f>
        <v>https://rmda.kulib.kyoto-u.ac.jp/item/rb00000426#?c=0&amp;m=0&amp;s=0&amp;cv=282</v>
      </c>
    </row>
    <row r="1221" spans="1:4" x14ac:dyDescent="0.15">
      <c r="A1221" s="66" t="s">
        <v>5227</v>
      </c>
      <c r="B1221" s="6" t="s">
        <v>5053</v>
      </c>
      <c r="C1221" s="82">
        <v>285</v>
      </c>
      <c r="D1221" s="6" t="str">
        <f>HYPERLINK("https://rmda.kulib.kyoto-u.ac.jp/item/rb00000426#?c=0&amp;m=0&amp;s=0&amp;cv=284")</f>
        <v>https://rmda.kulib.kyoto-u.ac.jp/item/rb00000426#?c=0&amp;m=0&amp;s=0&amp;cv=284</v>
      </c>
    </row>
    <row r="1222" spans="1:4" x14ac:dyDescent="0.15">
      <c r="A1222" s="66" t="s">
        <v>5227</v>
      </c>
      <c r="B1222" s="72" t="s">
        <v>5054</v>
      </c>
      <c r="C1222" s="82">
        <v>286</v>
      </c>
      <c r="D1222" s="6" t="str">
        <f>HYPERLINK("https://rmda.kulib.kyoto-u.ac.jp/item/rb00000426#?c=0&amp;m=0&amp;s=0&amp;cv=285")</f>
        <v>https://rmda.kulib.kyoto-u.ac.jp/item/rb00000426#?c=0&amp;m=0&amp;s=0&amp;cv=285</v>
      </c>
    </row>
    <row r="1223" spans="1:4" x14ac:dyDescent="0.15">
      <c r="A1223" s="66" t="s">
        <v>5227</v>
      </c>
      <c r="B1223" s="63" t="s">
        <v>5055</v>
      </c>
      <c r="C1223" s="82">
        <v>286</v>
      </c>
      <c r="D1223" s="6" t="str">
        <f>HYPERLINK("https://rmda.kulib.kyoto-u.ac.jp/item/rb00000426#?c=0&amp;m=0&amp;s=0&amp;cv=285")</f>
        <v>https://rmda.kulib.kyoto-u.ac.jp/item/rb00000426#?c=0&amp;m=0&amp;s=0&amp;cv=285</v>
      </c>
    </row>
    <row r="1224" spans="1:4" x14ac:dyDescent="0.15">
      <c r="A1224" s="66" t="s">
        <v>5227</v>
      </c>
      <c r="B1224" s="6" t="s">
        <v>2153</v>
      </c>
      <c r="C1224" s="82">
        <v>286</v>
      </c>
      <c r="D1224" s="6" t="str">
        <f>HYPERLINK("https://rmda.kulib.kyoto-u.ac.jp/item/rb00000426#?c=0&amp;m=0&amp;s=0&amp;cv=285")</f>
        <v>https://rmda.kulib.kyoto-u.ac.jp/item/rb00000426#?c=0&amp;m=0&amp;s=0&amp;cv=285</v>
      </c>
    </row>
    <row r="1225" spans="1:4" x14ac:dyDescent="0.15">
      <c r="A1225" s="66" t="s">
        <v>5227</v>
      </c>
      <c r="B1225" s="6" t="s">
        <v>2154</v>
      </c>
      <c r="C1225" s="82">
        <v>287</v>
      </c>
      <c r="D1225" s="6" t="str">
        <f>HYPERLINK("https://rmda.kulib.kyoto-u.ac.jp/item/rb00000426#?c=0&amp;m=0&amp;s=0&amp;cv=286")</f>
        <v>https://rmda.kulib.kyoto-u.ac.jp/item/rb00000426#?c=0&amp;m=0&amp;s=0&amp;cv=286</v>
      </c>
    </row>
    <row r="1226" spans="1:4" x14ac:dyDescent="0.15">
      <c r="A1226" s="66" t="s">
        <v>5227</v>
      </c>
      <c r="B1226" s="6" t="s">
        <v>2155</v>
      </c>
      <c r="C1226" s="82">
        <v>290</v>
      </c>
      <c r="D1226" s="6" t="str">
        <f>HYPERLINK("https://rmda.kulib.kyoto-u.ac.jp/item/rb00000426#?c=0&amp;m=0&amp;s=0&amp;cv=289")</f>
        <v>https://rmda.kulib.kyoto-u.ac.jp/item/rb00000426#?c=0&amp;m=0&amp;s=0&amp;cv=289</v>
      </c>
    </row>
    <row r="1227" spans="1:4" x14ac:dyDescent="0.15">
      <c r="A1227" s="66" t="s">
        <v>5227</v>
      </c>
      <c r="B1227" s="6" t="s">
        <v>2156</v>
      </c>
      <c r="C1227" s="82">
        <v>290</v>
      </c>
      <c r="D1227" s="6" t="str">
        <f>HYPERLINK("https://rmda.kulib.kyoto-u.ac.jp/item/rb00000426#?c=0&amp;m=0&amp;s=0&amp;cv=289")</f>
        <v>https://rmda.kulib.kyoto-u.ac.jp/item/rb00000426#?c=0&amp;m=0&amp;s=0&amp;cv=289</v>
      </c>
    </row>
    <row r="1228" spans="1:4" x14ac:dyDescent="0.15">
      <c r="A1228" s="66" t="s">
        <v>5227</v>
      </c>
      <c r="B1228" s="6" t="s">
        <v>2157</v>
      </c>
      <c r="C1228" s="82">
        <v>292</v>
      </c>
      <c r="D1228" s="6" t="str">
        <f>HYPERLINK("https://rmda.kulib.kyoto-u.ac.jp/item/rb00000426#?c=0&amp;m=0&amp;s=0&amp;cv=291")</f>
        <v>https://rmda.kulib.kyoto-u.ac.jp/item/rb00000426#?c=0&amp;m=0&amp;s=0&amp;cv=291</v>
      </c>
    </row>
    <row r="1229" spans="1:4" x14ac:dyDescent="0.15">
      <c r="A1229" s="66" t="s">
        <v>5227</v>
      </c>
      <c r="B1229" s="6" t="s">
        <v>2158</v>
      </c>
      <c r="C1229" s="82">
        <v>292</v>
      </c>
      <c r="D1229" s="6" t="str">
        <f>HYPERLINK("https://rmda.kulib.kyoto-u.ac.jp/item/rb00000426#?c=0&amp;m=0&amp;s=0&amp;cv=291")</f>
        <v>https://rmda.kulib.kyoto-u.ac.jp/item/rb00000426#?c=0&amp;m=0&amp;s=0&amp;cv=291</v>
      </c>
    </row>
    <row r="1230" spans="1:4" x14ac:dyDescent="0.15">
      <c r="A1230" s="66" t="s">
        <v>5227</v>
      </c>
      <c r="B1230" s="72" t="s">
        <v>5056</v>
      </c>
      <c r="C1230" s="82">
        <v>296</v>
      </c>
      <c r="D1230" s="6" t="str">
        <f>HYPERLINK("https://rmda.kulib.kyoto-u.ac.jp/item/rb00000426#?c=0&amp;m=0&amp;s=0&amp;cv=295")</f>
        <v>https://rmda.kulib.kyoto-u.ac.jp/item/rb00000426#?c=0&amp;m=0&amp;s=0&amp;cv=295</v>
      </c>
    </row>
    <row r="1231" spans="1:4" x14ac:dyDescent="0.15">
      <c r="A1231" s="66" t="s">
        <v>5227</v>
      </c>
      <c r="B1231" s="63" t="s">
        <v>2159</v>
      </c>
      <c r="C1231" s="82">
        <v>296</v>
      </c>
      <c r="D1231" s="6" t="str">
        <f>HYPERLINK("https://rmda.kulib.kyoto-u.ac.jp/item/rb00000426#?c=0&amp;m=0&amp;s=0&amp;cv=295")</f>
        <v>https://rmda.kulib.kyoto-u.ac.jp/item/rb00000426#?c=0&amp;m=0&amp;s=0&amp;cv=295</v>
      </c>
    </row>
    <row r="1232" spans="1:4" x14ac:dyDescent="0.15">
      <c r="A1232" s="66" t="s">
        <v>5227</v>
      </c>
      <c r="B1232" s="6" t="s">
        <v>5057</v>
      </c>
      <c r="C1232" s="82">
        <v>296</v>
      </c>
      <c r="D1232" s="6" t="str">
        <f>HYPERLINK("https://rmda.kulib.kyoto-u.ac.jp/item/rb00000426#?c=0&amp;m=0&amp;s=0&amp;cv=295")</f>
        <v>https://rmda.kulib.kyoto-u.ac.jp/item/rb00000426#?c=0&amp;m=0&amp;s=0&amp;cv=295</v>
      </c>
    </row>
    <row r="1233" spans="1:4" x14ac:dyDescent="0.15">
      <c r="A1233" s="66" t="s">
        <v>5227</v>
      </c>
      <c r="B1233" s="6" t="s">
        <v>5058</v>
      </c>
      <c r="C1233" s="6">
        <v>304</v>
      </c>
      <c r="D1233" s="6" t="str">
        <f>HYPERLINK("https://rmda.kulib.kyoto-u.ac.jp/item/rb00000426#?c=0&amp;m=0&amp;s=0&amp;cv=303")</f>
        <v>https://rmda.kulib.kyoto-u.ac.jp/item/rb00000426#?c=0&amp;m=0&amp;s=0&amp;cv=303</v>
      </c>
    </row>
    <row r="1234" spans="1:4" x14ac:dyDescent="0.15">
      <c r="A1234" s="66" t="s">
        <v>5227</v>
      </c>
      <c r="B1234" s="6" t="s">
        <v>5059</v>
      </c>
      <c r="C1234" s="6">
        <v>306</v>
      </c>
      <c r="D1234" s="6" t="str">
        <f>HYPERLINK("https://rmda.kulib.kyoto-u.ac.jp/item/rb00000426#?c=0&amp;m=0&amp;s=0&amp;cv=305")</f>
        <v>https://rmda.kulib.kyoto-u.ac.jp/item/rb00000426#?c=0&amp;m=0&amp;s=0&amp;cv=305</v>
      </c>
    </row>
    <row r="1235" spans="1:4" x14ac:dyDescent="0.15">
      <c r="A1235" s="66" t="s">
        <v>5227</v>
      </c>
      <c r="B1235" s="6" t="s">
        <v>2160</v>
      </c>
      <c r="C1235" s="6">
        <v>307</v>
      </c>
      <c r="D1235" s="6" t="str">
        <f>HYPERLINK("https://rmda.kulib.kyoto-u.ac.jp/item/rb00000426#?c=0&amp;m=0&amp;s=0&amp;cv=306")</f>
        <v>https://rmda.kulib.kyoto-u.ac.jp/item/rb00000426#?c=0&amp;m=0&amp;s=0&amp;cv=306</v>
      </c>
    </row>
    <row r="1236" spans="1:4" x14ac:dyDescent="0.15">
      <c r="A1236" s="66" t="s">
        <v>5227</v>
      </c>
      <c r="B1236" s="6" t="s">
        <v>5060</v>
      </c>
      <c r="C1236" s="6">
        <v>309</v>
      </c>
      <c r="D1236" s="6" t="str">
        <f>HYPERLINK("https://rmda.kulib.kyoto-u.ac.jp/item/rb00000426#?c=0&amp;m=0&amp;s=0&amp;cv=308")</f>
        <v>https://rmda.kulib.kyoto-u.ac.jp/item/rb00000426#?c=0&amp;m=0&amp;s=0&amp;cv=308</v>
      </c>
    </row>
    <row r="1237" spans="1:4" x14ac:dyDescent="0.15">
      <c r="A1237" s="66" t="s">
        <v>5227</v>
      </c>
      <c r="B1237" s="6" t="s">
        <v>5061</v>
      </c>
      <c r="C1237" s="6">
        <v>311</v>
      </c>
      <c r="D1237" s="6" t="str">
        <f>HYPERLINK("https://rmda.kulib.kyoto-u.ac.jp/item/rb00000426#?c=0&amp;m=0&amp;s=0&amp;cv=310")</f>
        <v>https://rmda.kulib.kyoto-u.ac.jp/item/rb00000426#?c=0&amp;m=0&amp;s=0&amp;cv=310</v>
      </c>
    </row>
    <row r="1238" spans="1:4" x14ac:dyDescent="0.15">
      <c r="A1238" s="66" t="s">
        <v>5227</v>
      </c>
      <c r="B1238" s="6" t="s">
        <v>5062</v>
      </c>
      <c r="C1238" s="6">
        <v>312</v>
      </c>
      <c r="D1238" s="6" t="str">
        <f>HYPERLINK("https://rmda.kulib.kyoto-u.ac.jp/item/rb00000426#?c=0&amp;m=0&amp;s=0&amp;cv=311")</f>
        <v>https://rmda.kulib.kyoto-u.ac.jp/item/rb00000426#?c=0&amp;m=0&amp;s=0&amp;cv=311</v>
      </c>
    </row>
    <row r="1239" spans="1:4" x14ac:dyDescent="0.15">
      <c r="A1239" s="66" t="s">
        <v>5227</v>
      </c>
      <c r="B1239" s="6" t="s">
        <v>5063</v>
      </c>
      <c r="C1239" s="6">
        <v>313</v>
      </c>
      <c r="D1239" s="6" t="str">
        <f>HYPERLINK("https://rmda.kulib.kyoto-u.ac.jp/item/rb00000426#?c=0&amp;m=0&amp;s=0&amp;cv=312")</f>
        <v>https://rmda.kulib.kyoto-u.ac.jp/item/rb00000426#?c=0&amp;m=0&amp;s=0&amp;cv=312</v>
      </c>
    </row>
    <row r="1240" spans="1:4" x14ac:dyDescent="0.15">
      <c r="A1240" s="66" t="s">
        <v>5227</v>
      </c>
      <c r="B1240" s="6" t="s">
        <v>5064</v>
      </c>
      <c r="C1240" s="6">
        <v>315</v>
      </c>
      <c r="D1240" s="6" t="str">
        <f>HYPERLINK("https://rmda.kulib.kyoto-u.ac.jp/item/rb00000426#?c=0&amp;m=0&amp;s=0&amp;cv=314")</f>
        <v>https://rmda.kulib.kyoto-u.ac.jp/item/rb00000426#?c=0&amp;m=0&amp;s=0&amp;cv=314</v>
      </c>
    </row>
    <row r="1241" spans="1:4" x14ac:dyDescent="0.15">
      <c r="A1241" s="66" t="s">
        <v>5227</v>
      </c>
      <c r="B1241" s="6" t="s">
        <v>5065</v>
      </c>
      <c r="C1241" s="6">
        <v>316</v>
      </c>
      <c r="D1241" s="6" t="str">
        <f>HYPERLINK("https://rmda.kulib.kyoto-u.ac.jp/item/rb00000426#?c=0&amp;m=0&amp;s=0&amp;cv=315")</f>
        <v>https://rmda.kulib.kyoto-u.ac.jp/item/rb00000426#?c=0&amp;m=0&amp;s=0&amp;cv=315</v>
      </c>
    </row>
    <row r="1242" spans="1:4" x14ac:dyDescent="0.15">
      <c r="A1242" s="66" t="s">
        <v>5227</v>
      </c>
      <c r="B1242" s="6" t="s">
        <v>5066</v>
      </c>
      <c r="C1242" s="6">
        <v>317</v>
      </c>
      <c r="D1242" s="6" t="str">
        <f>HYPERLINK("https://rmda.kulib.kyoto-u.ac.jp/item/rb00000426#?c=0&amp;m=0&amp;s=0&amp;cv=316")</f>
        <v>https://rmda.kulib.kyoto-u.ac.jp/item/rb00000426#?c=0&amp;m=0&amp;s=0&amp;cv=316</v>
      </c>
    </row>
    <row r="1243" spans="1:4" x14ac:dyDescent="0.15">
      <c r="A1243" s="66" t="s">
        <v>5227</v>
      </c>
      <c r="B1243" s="6" t="s">
        <v>5067</v>
      </c>
      <c r="C1243" s="6">
        <v>319</v>
      </c>
      <c r="D1243" s="6" t="str">
        <f>HYPERLINK("https://rmda.kulib.kyoto-u.ac.jp/item/rb00000426#?c=0&amp;m=0&amp;s=0&amp;cv=318")</f>
        <v>https://rmda.kulib.kyoto-u.ac.jp/item/rb00000426#?c=0&amp;m=0&amp;s=0&amp;cv=318</v>
      </c>
    </row>
    <row r="1244" spans="1:4" x14ac:dyDescent="0.15">
      <c r="A1244" s="66" t="s">
        <v>5227</v>
      </c>
      <c r="B1244" s="6" t="s">
        <v>5068</v>
      </c>
      <c r="C1244" s="6">
        <v>320</v>
      </c>
      <c r="D1244" s="6" t="str">
        <f>HYPERLINK("https://rmda.kulib.kyoto-u.ac.jp/item/rb00000426#?c=0&amp;m=0&amp;s=0&amp;cv=319")</f>
        <v>https://rmda.kulib.kyoto-u.ac.jp/item/rb00000426#?c=0&amp;m=0&amp;s=0&amp;cv=319</v>
      </c>
    </row>
    <row r="1245" spans="1:4" x14ac:dyDescent="0.15">
      <c r="A1245" s="66" t="s">
        <v>5227</v>
      </c>
      <c r="B1245" s="6" t="s">
        <v>5069</v>
      </c>
      <c r="C1245" s="6">
        <v>320</v>
      </c>
      <c r="D1245" s="6" t="str">
        <f>HYPERLINK("https://rmda.kulib.kyoto-u.ac.jp/item/rb00000426#?c=0&amp;m=0&amp;s=0&amp;cv=319")</f>
        <v>https://rmda.kulib.kyoto-u.ac.jp/item/rb00000426#?c=0&amp;m=0&amp;s=0&amp;cv=319</v>
      </c>
    </row>
    <row r="1246" spans="1:4" x14ac:dyDescent="0.15">
      <c r="A1246" s="66" t="s">
        <v>5227</v>
      </c>
      <c r="B1246" s="6" t="s">
        <v>5070</v>
      </c>
      <c r="C1246" s="6">
        <v>321</v>
      </c>
      <c r="D1246" s="6" t="str">
        <f>HYPERLINK("https://rmda.kulib.kyoto-u.ac.jp/item/rb00000426#?c=0&amp;m=0&amp;s=0&amp;cv=320")</f>
        <v>https://rmda.kulib.kyoto-u.ac.jp/item/rb00000426#?c=0&amp;m=0&amp;s=0&amp;cv=320</v>
      </c>
    </row>
    <row r="1247" spans="1:4" x14ac:dyDescent="0.15">
      <c r="A1247" s="66" t="s">
        <v>5227</v>
      </c>
      <c r="B1247" s="6" t="s">
        <v>5071</v>
      </c>
      <c r="C1247" s="6">
        <v>322</v>
      </c>
      <c r="D1247" s="6" t="str">
        <f>HYPERLINK("https://rmda.kulib.kyoto-u.ac.jp/item/rb00000426#?c=0&amp;m=0&amp;s=0&amp;cv=321")</f>
        <v>https://rmda.kulib.kyoto-u.ac.jp/item/rb00000426#?c=0&amp;m=0&amp;s=0&amp;cv=321</v>
      </c>
    </row>
    <row r="1248" spans="1:4" x14ac:dyDescent="0.15">
      <c r="A1248" s="66" t="s">
        <v>5227</v>
      </c>
      <c r="B1248" s="72" t="s">
        <v>2881</v>
      </c>
      <c r="C1248" s="6">
        <v>323</v>
      </c>
      <c r="D1248" s="6" t="str">
        <f>HYPERLINK("https://rmda.kulib.kyoto-u.ac.jp/item/rb00000426#?c=0&amp;m=0&amp;s=0&amp;cv=322")</f>
        <v>https://rmda.kulib.kyoto-u.ac.jp/item/rb00000426#?c=0&amp;m=0&amp;s=0&amp;cv=322</v>
      </c>
    </row>
    <row r="1249" spans="1:4" x14ac:dyDescent="0.15">
      <c r="A1249" s="66" t="s">
        <v>5227</v>
      </c>
      <c r="B1249" s="6" t="s">
        <v>5072</v>
      </c>
      <c r="C1249" s="6">
        <v>323</v>
      </c>
      <c r="D1249" s="6" t="str">
        <f>HYPERLINK("https://rmda.kulib.kyoto-u.ac.jp/item/rb00000426#?c=0&amp;m=0&amp;s=0&amp;cv=322")</f>
        <v>https://rmda.kulib.kyoto-u.ac.jp/item/rb00000426#?c=0&amp;m=0&amp;s=0&amp;cv=322</v>
      </c>
    </row>
    <row r="1250" spans="1:4" x14ac:dyDescent="0.15">
      <c r="A1250" s="66" t="s">
        <v>5227</v>
      </c>
      <c r="B1250" s="6" t="s">
        <v>5073</v>
      </c>
      <c r="C1250" s="6">
        <v>324</v>
      </c>
      <c r="D1250" s="6" t="str">
        <f>HYPERLINK("https://rmda.kulib.kyoto-u.ac.jp/item/rb00000426#?c=0&amp;m=0&amp;s=0&amp;cv=323")</f>
        <v>https://rmda.kulib.kyoto-u.ac.jp/item/rb00000426#?c=0&amp;m=0&amp;s=0&amp;cv=323</v>
      </c>
    </row>
    <row r="1251" spans="1:4" x14ac:dyDescent="0.15">
      <c r="A1251" s="66" t="s">
        <v>5227</v>
      </c>
      <c r="B1251" s="6" t="s">
        <v>5074</v>
      </c>
      <c r="C1251" s="6">
        <v>325</v>
      </c>
      <c r="D1251" s="6" t="str">
        <f>HYPERLINK("https://rmda.kulib.kyoto-u.ac.jp/item/rb00000426#?c=0&amp;m=0&amp;s=0&amp;cv=324")</f>
        <v>https://rmda.kulib.kyoto-u.ac.jp/item/rb00000426#?c=0&amp;m=0&amp;s=0&amp;cv=324</v>
      </c>
    </row>
    <row r="1252" spans="1:4" x14ac:dyDescent="0.15">
      <c r="A1252" s="66" t="s">
        <v>5227</v>
      </c>
      <c r="B1252" s="6" t="s">
        <v>5075</v>
      </c>
      <c r="C1252" s="6">
        <v>326</v>
      </c>
      <c r="D1252" s="6" t="str">
        <f>HYPERLINK("https://rmda.kulib.kyoto-u.ac.jp/item/rb00000426#?c=0&amp;m=0&amp;s=0&amp;cv=325")</f>
        <v>https://rmda.kulib.kyoto-u.ac.jp/item/rb00000426#?c=0&amp;m=0&amp;s=0&amp;cv=325</v>
      </c>
    </row>
    <row r="1253" spans="1:4" x14ac:dyDescent="0.15">
      <c r="A1253" s="66" t="s">
        <v>5227</v>
      </c>
      <c r="B1253" s="6" t="s">
        <v>5076</v>
      </c>
      <c r="C1253" s="6">
        <v>327</v>
      </c>
      <c r="D1253" s="6" t="str">
        <f>HYPERLINK("https://rmda.kulib.kyoto-u.ac.jp/item/rb00000426#?c=0&amp;m=0&amp;s=0&amp;cv=326")</f>
        <v>https://rmda.kulib.kyoto-u.ac.jp/item/rb00000426#?c=0&amp;m=0&amp;s=0&amp;cv=326</v>
      </c>
    </row>
    <row r="1254" spans="1:4" x14ac:dyDescent="0.15">
      <c r="A1254" s="66" t="s">
        <v>5227</v>
      </c>
      <c r="B1254" s="6" t="s">
        <v>2161</v>
      </c>
      <c r="C1254" s="6">
        <v>329</v>
      </c>
      <c r="D1254" s="6" t="str">
        <f>HYPERLINK("https://rmda.kulib.kyoto-u.ac.jp/item/rb00000426#?c=0&amp;m=0&amp;s=0&amp;cv=328")</f>
        <v>https://rmda.kulib.kyoto-u.ac.jp/item/rb00000426#?c=0&amp;m=0&amp;s=0&amp;cv=328</v>
      </c>
    </row>
    <row r="1255" spans="1:4" x14ac:dyDescent="0.15">
      <c r="A1255" s="66" t="s">
        <v>5227</v>
      </c>
      <c r="B1255" s="6" t="s">
        <v>5077</v>
      </c>
      <c r="C1255" s="6">
        <v>330</v>
      </c>
      <c r="D1255" s="6" t="str">
        <f>HYPERLINK("https://rmda.kulib.kyoto-u.ac.jp/item/rb00000426#?c=0&amp;m=0&amp;s=0&amp;cv=329")</f>
        <v>https://rmda.kulib.kyoto-u.ac.jp/item/rb00000426#?c=0&amp;m=0&amp;s=0&amp;cv=329</v>
      </c>
    </row>
    <row r="1256" spans="1:4" x14ac:dyDescent="0.15">
      <c r="A1256" s="66" t="s">
        <v>5227</v>
      </c>
      <c r="B1256" s="6" t="s">
        <v>5078</v>
      </c>
      <c r="C1256" s="6">
        <v>332</v>
      </c>
      <c r="D1256" s="6" t="str">
        <f>HYPERLINK("https://rmda.kulib.kyoto-u.ac.jp/item/rb00000426#?c=0&amp;m=0&amp;s=0&amp;cv=331")</f>
        <v>https://rmda.kulib.kyoto-u.ac.jp/item/rb00000426#?c=0&amp;m=0&amp;s=0&amp;cv=331</v>
      </c>
    </row>
    <row r="1257" spans="1:4" x14ac:dyDescent="0.15">
      <c r="A1257" s="66" t="s">
        <v>5227</v>
      </c>
      <c r="B1257" s="6" t="s">
        <v>5079</v>
      </c>
      <c r="C1257" s="6">
        <v>333</v>
      </c>
      <c r="D1257" s="6" t="str">
        <f>HYPERLINK("https://rmda.kulib.kyoto-u.ac.jp/item/rb00000426#?c=0&amp;m=0&amp;s=0&amp;cv=332")</f>
        <v>https://rmda.kulib.kyoto-u.ac.jp/item/rb00000426#?c=0&amp;m=0&amp;s=0&amp;cv=332</v>
      </c>
    </row>
    <row r="1258" spans="1:4" x14ac:dyDescent="0.15">
      <c r="A1258" s="66" t="s">
        <v>5227</v>
      </c>
      <c r="B1258" s="6" t="s">
        <v>5080</v>
      </c>
      <c r="C1258" s="6">
        <v>335</v>
      </c>
      <c r="D1258" s="6" t="str">
        <f>HYPERLINK("https://rmda.kulib.kyoto-u.ac.jp/item/rb00000426#?c=0&amp;m=0&amp;s=0&amp;cv=334")</f>
        <v>https://rmda.kulib.kyoto-u.ac.jp/item/rb00000426#?c=0&amp;m=0&amp;s=0&amp;cv=334</v>
      </c>
    </row>
    <row r="1259" spans="1:4" x14ac:dyDescent="0.15">
      <c r="A1259" s="66" t="s">
        <v>5227</v>
      </c>
      <c r="B1259" s="72" t="s">
        <v>2891</v>
      </c>
      <c r="C1259" s="6">
        <v>337</v>
      </c>
      <c r="D1259" s="6" t="str">
        <f>HYPERLINK("https://rmda.kulib.kyoto-u.ac.jp/item/rb00000426#?c=0&amp;m=0&amp;s=0&amp;cv=336")</f>
        <v>https://rmda.kulib.kyoto-u.ac.jp/item/rb00000426#?c=0&amp;m=0&amp;s=0&amp;cv=336</v>
      </c>
    </row>
    <row r="1260" spans="1:4" x14ac:dyDescent="0.15">
      <c r="A1260" s="66" t="s">
        <v>5227</v>
      </c>
      <c r="B1260" s="6" t="s">
        <v>5081</v>
      </c>
      <c r="C1260" s="6">
        <v>337</v>
      </c>
      <c r="D1260" s="6" t="str">
        <f>HYPERLINK("https://rmda.kulib.kyoto-u.ac.jp/item/rb00000426#?c=0&amp;m=0&amp;s=0&amp;cv=336")</f>
        <v>https://rmda.kulib.kyoto-u.ac.jp/item/rb00000426#?c=0&amp;m=0&amp;s=0&amp;cv=336</v>
      </c>
    </row>
    <row r="1261" spans="1:4" x14ac:dyDescent="0.15">
      <c r="A1261" s="66" t="s">
        <v>5227</v>
      </c>
      <c r="B1261" s="6" t="s">
        <v>5082</v>
      </c>
      <c r="C1261" s="6">
        <v>338</v>
      </c>
      <c r="D1261" s="6" t="str">
        <f>HYPERLINK("https://rmda.kulib.kyoto-u.ac.jp/item/rb00000426#?c=0&amp;m=0&amp;s=0&amp;cv=337")</f>
        <v>https://rmda.kulib.kyoto-u.ac.jp/item/rb00000426#?c=0&amp;m=0&amp;s=0&amp;cv=337</v>
      </c>
    </row>
    <row r="1262" spans="1:4" x14ac:dyDescent="0.15">
      <c r="A1262" s="66" t="s">
        <v>5227</v>
      </c>
      <c r="B1262" s="6" t="s">
        <v>5083</v>
      </c>
      <c r="C1262" s="6">
        <v>339</v>
      </c>
      <c r="D1262" s="6" t="str">
        <f>HYPERLINK("https://rmda.kulib.kyoto-u.ac.jp/item/rb00000426#?c=0&amp;m=0&amp;s=0&amp;cv=338")</f>
        <v>https://rmda.kulib.kyoto-u.ac.jp/item/rb00000426#?c=0&amp;m=0&amp;s=0&amp;cv=338</v>
      </c>
    </row>
    <row r="1263" spans="1:4" x14ac:dyDescent="0.15">
      <c r="A1263" s="66" t="s">
        <v>5227</v>
      </c>
      <c r="B1263" s="6" t="s">
        <v>5084</v>
      </c>
      <c r="C1263" s="6">
        <v>340</v>
      </c>
      <c r="D1263" s="6" t="str">
        <f>HYPERLINK("https://rmda.kulib.kyoto-u.ac.jp/item/rb00000426#?c=0&amp;m=0&amp;s=0&amp;cv=339")</f>
        <v>https://rmda.kulib.kyoto-u.ac.jp/item/rb00000426#?c=0&amp;m=0&amp;s=0&amp;cv=339</v>
      </c>
    </row>
    <row r="1264" spans="1:4" x14ac:dyDescent="0.15">
      <c r="A1264" s="66" t="s">
        <v>5227</v>
      </c>
      <c r="B1264" s="6" t="s">
        <v>5085</v>
      </c>
      <c r="C1264" s="6">
        <v>342</v>
      </c>
      <c r="D1264" s="6" t="str">
        <f>HYPERLINK("https://rmda.kulib.kyoto-u.ac.jp/item/rb00000426#?c=0&amp;m=0&amp;s=0&amp;cv=341")</f>
        <v>https://rmda.kulib.kyoto-u.ac.jp/item/rb00000426#?c=0&amp;m=0&amp;s=0&amp;cv=341</v>
      </c>
    </row>
    <row r="1265" spans="1:4" x14ac:dyDescent="0.15">
      <c r="A1265" s="66" t="s">
        <v>5227</v>
      </c>
      <c r="B1265" s="6" t="s">
        <v>5086</v>
      </c>
      <c r="C1265" s="6">
        <v>344</v>
      </c>
      <c r="D1265" s="6" t="str">
        <f>HYPERLINK("https://rmda.kulib.kyoto-u.ac.jp/item/rb00000426#?c=0&amp;m=0&amp;s=0&amp;cv=343")</f>
        <v>https://rmda.kulib.kyoto-u.ac.jp/item/rb00000426#?c=0&amp;m=0&amp;s=0&amp;cv=343</v>
      </c>
    </row>
    <row r="1266" spans="1:4" x14ac:dyDescent="0.15">
      <c r="A1266" s="66" t="s">
        <v>5227</v>
      </c>
      <c r="B1266" s="6" t="s">
        <v>5087</v>
      </c>
      <c r="C1266" s="6">
        <v>345</v>
      </c>
      <c r="D1266" s="6" t="str">
        <f>HYPERLINK("https://rmda.kulib.kyoto-u.ac.jp/item/rb00000426#?c=0&amp;m=0&amp;s=0&amp;cv=344")</f>
        <v>https://rmda.kulib.kyoto-u.ac.jp/item/rb00000426#?c=0&amp;m=0&amp;s=0&amp;cv=344</v>
      </c>
    </row>
    <row r="1267" spans="1:4" x14ac:dyDescent="0.15">
      <c r="A1267" s="66" t="s">
        <v>5227</v>
      </c>
      <c r="B1267" s="6" t="s">
        <v>5088</v>
      </c>
      <c r="C1267" s="6">
        <v>347</v>
      </c>
      <c r="D1267" s="6" t="str">
        <f>HYPERLINK("https://rmda.kulib.kyoto-u.ac.jp/item/rb00000426#?c=0&amp;m=0&amp;s=0&amp;cv=346")</f>
        <v>https://rmda.kulib.kyoto-u.ac.jp/item/rb00000426#?c=0&amp;m=0&amp;s=0&amp;cv=346</v>
      </c>
    </row>
    <row r="1268" spans="1:4" x14ac:dyDescent="0.15">
      <c r="A1268" s="66" t="s">
        <v>5227</v>
      </c>
      <c r="B1268" s="6" t="s">
        <v>5089</v>
      </c>
      <c r="C1268" s="6">
        <v>348</v>
      </c>
      <c r="D1268" s="6" t="str">
        <f>HYPERLINK("https://rmda.kulib.kyoto-u.ac.jp/item/rb00000426#?c=0&amp;m=0&amp;s=0&amp;cv=347")</f>
        <v>https://rmda.kulib.kyoto-u.ac.jp/item/rb00000426#?c=0&amp;m=0&amp;s=0&amp;cv=347</v>
      </c>
    </row>
    <row r="1269" spans="1:4" x14ac:dyDescent="0.15">
      <c r="A1269" s="66" t="s">
        <v>5227</v>
      </c>
      <c r="B1269" s="6" t="s">
        <v>5090</v>
      </c>
      <c r="C1269" s="6">
        <v>348</v>
      </c>
      <c r="D1269" s="6" t="str">
        <f>HYPERLINK("https://rmda.kulib.kyoto-u.ac.jp/item/rb00000426#?c=0&amp;m=0&amp;s=0&amp;cv=347")</f>
        <v>https://rmda.kulib.kyoto-u.ac.jp/item/rb00000426#?c=0&amp;m=0&amp;s=0&amp;cv=347</v>
      </c>
    </row>
    <row r="1270" spans="1:4" x14ac:dyDescent="0.15">
      <c r="A1270" s="66" t="s">
        <v>5227</v>
      </c>
      <c r="B1270" s="6" t="s">
        <v>5091</v>
      </c>
      <c r="C1270" s="6">
        <v>352</v>
      </c>
      <c r="D1270" s="6" t="str">
        <f>HYPERLINK("https://rmda.kulib.kyoto-u.ac.jp/item/rb00000426#?c=0&amp;m=0&amp;s=0&amp;cv=351")</f>
        <v>https://rmda.kulib.kyoto-u.ac.jp/item/rb00000426#?c=0&amp;m=0&amp;s=0&amp;cv=351</v>
      </c>
    </row>
    <row r="1271" spans="1:4" x14ac:dyDescent="0.15">
      <c r="A1271" s="66" t="s">
        <v>5227</v>
      </c>
      <c r="B1271" s="72" t="s">
        <v>2897</v>
      </c>
      <c r="C1271" s="6">
        <v>354</v>
      </c>
      <c r="D1271" s="6" t="str">
        <f>HYPERLINK("https://rmda.kulib.kyoto-u.ac.jp/item/rb00000426#?c=0&amp;m=0&amp;s=0&amp;cv=353")</f>
        <v>https://rmda.kulib.kyoto-u.ac.jp/item/rb00000426#?c=0&amp;m=0&amp;s=0&amp;cv=353</v>
      </c>
    </row>
    <row r="1272" spans="1:4" x14ac:dyDescent="0.15">
      <c r="A1272" s="66" t="s">
        <v>5227</v>
      </c>
      <c r="B1272" s="6" t="s">
        <v>5092</v>
      </c>
      <c r="C1272" s="6">
        <v>354</v>
      </c>
      <c r="D1272" s="6" t="str">
        <f>HYPERLINK("https://rmda.kulib.kyoto-u.ac.jp/item/rb00000426#?c=0&amp;m=0&amp;s=0&amp;cv=353")</f>
        <v>https://rmda.kulib.kyoto-u.ac.jp/item/rb00000426#?c=0&amp;m=0&amp;s=0&amp;cv=353</v>
      </c>
    </row>
    <row r="1273" spans="1:4" x14ac:dyDescent="0.15">
      <c r="A1273" s="66" t="s">
        <v>5227</v>
      </c>
      <c r="B1273" s="6" t="s">
        <v>5093</v>
      </c>
      <c r="C1273" s="6">
        <v>356</v>
      </c>
      <c r="D1273" s="6" t="str">
        <f>HYPERLINK("https://rmda.kulib.kyoto-u.ac.jp/item/rb00000426#?c=0&amp;m=0&amp;s=0&amp;cv=355")</f>
        <v>https://rmda.kulib.kyoto-u.ac.jp/item/rb00000426#?c=0&amp;m=0&amp;s=0&amp;cv=355</v>
      </c>
    </row>
    <row r="1274" spans="1:4" x14ac:dyDescent="0.15">
      <c r="A1274" s="66" t="s">
        <v>5227</v>
      </c>
      <c r="B1274" s="6" t="s">
        <v>5094</v>
      </c>
      <c r="C1274" s="6">
        <v>357</v>
      </c>
      <c r="D1274" s="6" t="str">
        <f>HYPERLINK("https://rmda.kulib.kyoto-u.ac.jp/item/rb00000426#?c=0&amp;m=0&amp;s=0&amp;cv=356")</f>
        <v>https://rmda.kulib.kyoto-u.ac.jp/item/rb00000426#?c=0&amp;m=0&amp;s=0&amp;cv=356</v>
      </c>
    </row>
    <row r="1275" spans="1:4" x14ac:dyDescent="0.15">
      <c r="A1275" s="66" t="s">
        <v>5227</v>
      </c>
      <c r="B1275" s="6" t="s">
        <v>5095</v>
      </c>
      <c r="C1275" s="6">
        <v>359</v>
      </c>
      <c r="D1275" s="6" t="str">
        <f>HYPERLINK("https://rmda.kulib.kyoto-u.ac.jp/item/rb00000426#?c=0&amp;m=0&amp;s=0&amp;cv=358")</f>
        <v>https://rmda.kulib.kyoto-u.ac.jp/item/rb00000426#?c=0&amp;m=0&amp;s=0&amp;cv=358</v>
      </c>
    </row>
    <row r="1276" spans="1:4" x14ac:dyDescent="0.15">
      <c r="A1276" s="66" t="s">
        <v>5227</v>
      </c>
      <c r="B1276" s="6" t="s">
        <v>5096</v>
      </c>
      <c r="C1276" s="6">
        <v>361</v>
      </c>
      <c r="D1276" s="6" t="str">
        <f>HYPERLINK("https://rmda.kulib.kyoto-u.ac.jp/item/rb00000426#?c=0&amp;m=0&amp;s=0&amp;cv=360")</f>
        <v>https://rmda.kulib.kyoto-u.ac.jp/item/rb00000426#?c=0&amp;m=0&amp;s=0&amp;cv=360</v>
      </c>
    </row>
    <row r="1277" spans="1:4" x14ac:dyDescent="0.15">
      <c r="A1277" s="66" t="s">
        <v>5227</v>
      </c>
      <c r="B1277" s="6" t="s">
        <v>5097</v>
      </c>
      <c r="C1277" s="6">
        <v>363</v>
      </c>
      <c r="D1277" s="6" t="str">
        <f>HYPERLINK("https://rmda.kulib.kyoto-u.ac.jp/item/rb00000426#?c=0&amp;m=0&amp;s=0&amp;cv=362")</f>
        <v>https://rmda.kulib.kyoto-u.ac.jp/item/rb00000426#?c=0&amp;m=0&amp;s=0&amp;cv=362</v>
      </c>
    </row>
    <row r="1278" spans="1:4" x14ac:dyDescent="0.15">
      <c r="A1278" s="66" t="s">
        <v>5227</v>
      </c>
      <c r="B1278" s="6" t="s">
        <v>5098</v>
      </c>
      <c r="C1278" s="6">
        <v>364</v>
      </c>
      <c r="D1278" s="6" t="str">
        <f>HYPERLINK("https://rmda.kulib.kyoto-u.ac.jp/item/rb00000426#?c=0&amp;m=0&amp;s=0&amp;cv=363")</f>
        <v>https://rmda.kulib.kyoto-u.ac.jp/item/rb00000426#?c=0&amp;m=0&amp;s=0&amp;cv=363</v>
      </c>
    </row>
    <row r="1279" spans="1:4" x14ac:dyDescent="0.15">
      <c r="A1279" s="66" t="s">
        <v>5227</v>
      </c>
      <c r="B1279" s="6" t="s">
        <v>5099</v>
      </c>
      <c r="C1279" s="6">
        <v>365</v>
      </c>
      <c r="D1279" s="6" t="str">
        <f>HYPERLINK("https://rmda.kulib.kyoto-u.ac.jp/item/rb00000426#?c=0&amp;m=0&amp;s=0&amp;cv=364")</f>
        <v>https://rmda.kulib.kyoto-u.ac.jp/item/rb00000426#?c=0&amp;m=0&amp;s=0&amp;cv=364</v>
      </c>
    </row>
    <row r="1280" spans="1:4" x14ac:dyDescent="0.15">
      <c r="A1280" s="66" t="s">
        <v>5227</v>
      </c>
      <c r="B1280" s="6" t="s">
        <v>5100</v>
      </c>
      <c r="C1280" s="6">
        <v>368</v>
      </c>
      <c r="D1280" s="6" t="str">
        <f>HYPERLINK("https://rmda.kulib.kyoto-u.ac.jp/item/rb00000426#?c=0&amp;m=0&amp;s=0&amp;cv=367")</f>
        <v>https://rmda.kulib.kyoto-u.ac.jp/item/rb00000426#?c=0&amp;m=0&amp;s=0&amp;cv=367</v>
      </c>
    </row>
    <row r="1281" spans="1:4" x14ac:dyDescent="0.15">
      <c r="A1281" s="66" t="s">
        <v>5227</v>
      </c>
      <c r="B1281" s="6" t="s">
        <v>5101</v>
      </c>
      <c r="C1281" s="6">
        <v>368</v>
      </c>
      <c r="D1281" s="6" t="str">
        <f>HYPERLINK("https://rmda.kulib.kyoto-u.ac.jp/item/rb00000426#?c=0&amp;m=0&amp;s=0&amp;cv=367")</f>
        <v>https://rmda.kulib.kyoto-u.ac.jp/item/rb00000426#?c=0&amp;m=0&amp;s=0&amp;cv=367</v>
      </c>
    </row>
    <row r="1282" spans="1:4" x14ac:dyDescent="0.15">
      <c r="A1282" s="66" t="s">
        <v>5227</v>
      </c>
      <c r="B1282" s="6" t="s">
        <v>5102</v>
      </c>
      <c r="C1282" s="6">
        <v>368</v>
      </c>
      <c r="D1282" s="6" t="str">
        <f>HYPERLINK("https://rmda.kulib.kyoto-u.ac.jp/item/rb00000426#?c=0&amp;m=0&amp;s=0&amp;cv=367")</f>
        <v>https://rmda.kulib.kyoto-u.ac.jp/item/rb00000426#?c=0&amp;m=0&amp;s=0&amp;cv=367</v>
      </c>
    </row>
    <row r="1283" spans="1:4" x14ac:dyDescent="0.15">
      <c r="A1283" s="66" t="s">
        <v>5227</v>
      </c>
      <c r="B1283" s="6" t="s">
        <v>5103</v>
      </c>
      <c r="C1283" s="6">
        <v>368</v>
      </c>
      <c r="D1283" s="6" t="str">
        <f>HYPERLINK("https://rmda.kulib.kyoto-u.ac.jp/item/rb00000426#?c=0&amp;m=0&amp;s=0&amp;cv=367")</f>
        <v>https://rmda.kulib.kyoto-u.ac.jp/item/rb00000426#?c=0&amp;m=0&amp;s=0&amp;cv=367</v>
      </c>
    </row>
    <row r="1284" spans="1:4" x14ac:dyDescent="0.15">
      <c r="A1284" s="66" t="s">
        <v>5227</v>
      </c>
      <c r="B1284" s="6" t="s">
        <v>5104</v>
      </c>
      <c r="C1284" s="6">
        <v>370</v>
      </c>
      <c r="D1284" s="6" t="str">
        <f>HYPERLINK("https://rmda.kulib.kyoto-u.ac.jp/item/rb00000426#?c=0&amp;m=0&amp;s=0&amp;cv=369")</f>
        <v>https://rmda.kulib.kyoto-u.ac.jp/item/rb00000426#?c=0&amp;m=0&amp;s=0&amp;cv=369</v>
      </c>
    </row>
    <row r="1285" spans="1:4" x14ac:dyDescent="0.15">
      <c r="A1285" s="66" t="s">
        <v>5227</v>
      </c>
      <c r="B1285" s="72" t="s">
        <v>5105</v>
      </c>
      <c r="C1285" s="6">
        <v>374</v>
      </c>
      <c r="D1285" s="6" t="str">
        <f>HYPERLINK("https://rmda.kulib.kyoto-u.ac.jp/item/rb00000426#?c=0&amp;m=0&amp;s=0&amp;cv=373")</f>
        <v>https://rmda.kulib.kyoto-u.ac.jp/item/rb00000426#?c=0&amp;m=0&amp;s=0&amp;cv=373</v>
      </c>
    </row>
    <row r="1286" spans="1:4" x14ac:dyDescent="0.15">
      <c r="A1286" s="66" t="s">
        <v>5227</v>
      </c>
      <c r="B1286" s="63" t="s">
        <v>2171</v>
      </c>
      <c r="C1286" s="6">
        <v>374</v>
      </c>
      <c r="D1286" s="6" t="str">
        <f>HYPERLINK("https://rmda.kulib.kyoto-u.ac.jp/item/rb00000426#?c=0&amp;m=0&amp;s=0&amp;cv=373")</f>
        <v>https://rmda.kulib.kyoto-u.ac.jp/item/rb00000426#?c=0&amp;m=0&amp;s=0&amp;cv=373</v>
      </c>
    </row>
    <row r="1287" spans="1:4" x14ac:dyDescent="0.15">
      <c r="A1287" s="66" t="s">
        <v>5227</v>
      </c>
      <c r="B1287" s="6" t="s">
        <v>5106</v>
      </c>
      <c r="C1287" s="6">
        <v>374</v>
      </c>
      <c r="D1287" s="6" t="str">
        <f>HYPERLINK("https://rmda.kulib.kyoto-u.ac.jp/item/rb00000426#?c=0&amp;m=0&amp;s=0&amp;cv=373")</f>
        <v>https://rmda.kulib.kyoto-u.ac.jp/item/rb00000426#?c=0&amp;m=0&amp;s=0&amp;cv=373</v>
      </c>
    </row>
    <row r="1288" spans="1:4" x14ac:dyDescent="0.15">
      <c r="A1288" s="66" t="s">
        <v>5227</v>
      </c>
      <c r="B1288" s="6" t="s">
        <v>2172</v>
      </c>
      <c r="C1288" s="6">
        <v>375</v>
      </c>
      <c r="D1288" s="6" t="str">
        <f>HYPERLINK("https://rmda.kulib.kyoto-u.ac.jp/item/rb00000426#?c=0&amp;m=0&amp;s=0&amp;cv=374")</f>
        <v>https://rmda.kulib.kyoto-u.ac.jp/item/rb00000426#?c=0&amp;m=0&amp;s=0&amp;cv=374</v>
      </c>
    </row>
    <row r="1289" spans="1:4" x14ac:dyDescent="0.15">
      <c r="A1289" s="66" t="s">
        <v>5227</v>
      </c>
      <c r="B1289" s="6" t="s">
        <v>2173</v>
      </c>
      <c r="C1289" s="6">
        <v>375</v>
      </c>
      <c r="D1289" s="6" t="str">
        <f>HYPERLINK("https://rmda.kulib.kyoto-u.ac.jp/item/rb00000426#?c=0&amp;m=0&amp;s=0&amp;cv=374")</f>
        <v>https://rmda.kulib.kyoto-u.ac.jp/item/rb00000426#?c=0&amp;m=0&amp;s=0&amp;cv=374</v>
      </c>
    </row>
    <row r="1290" spans="1:4" x14ac:dyDescent="0.15">
      <c r="A1290" s="66" t="s">
        <v>5227</v>
      </c>
      <c r="B1290" s="6" t="s">
        <v>2174</v>
      </c>
      <c r="C1290" s="6">
        <v>377</v>
      </c>
      <c r="D1290" s="6" t="str">
        <f>HYPERLINK("https://rmda.kulib.kyoto-u.ac.jp/item/rb00000426#?c=0&amp;m=0&amp;s=0&amp;cv=376")</f>
        <v>https://rmda.kulib.kyoto-u.ac.jp/item/rb00000426#?c=0&amp;m=0&amp;s=0&amp;cv=376</v>
      </c>
    </row>
    <row r="1291" spans="1:4" x14ac:dyDescent="0.15">
      <c r="A1291" s="66" t="s">
        <v>5227</v>
      </c>
      <c r="B1291" s="6" t="s">
        <v>2175</v>
      </c>
      <c r="C1291" s="6">
        <v>377</v>
      </c>
      <c r="D1291" s="6" t="str">
        <f>HYPERLINK("https://rmda.kulib.kyoto-u.ac.jp/item/rb00000426#?c=0&amp;m=0&amp;s=0&amp;cv=376")</f>
        <v>https://rmda.kulib.kyoto-u.ac.jp/item/rb00000426#?c=0&amp;m=0&amp;s=0&amp;cv=376</v>
      </c>
    </row>
    <row r="1292" spans="1:4" x14ac:dyDescent="0.15">
      <c r="A1292" s="66" t="s">
        <v>5227</v>
      </c>
      <c r="B1292" s="6" t="s">
        <v>2176</v>
      </c>
      <c r="C1292" s="6">
        <v>379</v>
      </c>
      <c r="D1292" s="6" t="str">
        <f>HYPERLINK("https://rmda.kulib.kyoto-u.ac.jp/item/rb00000426#?c=0&amp;m=0&amp;s=0&amp;cv=378")</f>
        <v>https://rmda.kulib.kyoto-u.ac.jp/item/rb00000426#?c=0&amp;m=0&amp;s=0&amp;cv=378</v>
      </c>
    </row>
    <row r="1293" spans="1:4" x14ac:dyDescent="0.15">
      <c r="A1293" s="66" t="s">
        <v>5227</v>
      </c>
      <c r="B1293" s="6" t="s">
        <v>2177</v>
      </c>
      <c r="C1293" s="6">
        <v>385</v>
      </c>
      <c r="D1293" s="6" t="str">
        <f>HYPERLINK("https://rmda.kulib.kyoto-u.ac.jp/item/rb00000426#?c=0&amp;m=0&amp;s=0&amp;cv=384")</f>
        <v>https://rmda.kulib.kyoto-u.ac.jp/item/rb00000426#?c=0&amp;m=0&amp;s=0&amp;cv=384</v>
      </c>
    </row>
    <row r="1294" spans="1:4" x14ac:dyDescent="0.15">
      <c r="A1294" s="66" t="s">
        <v>5227</v>
      </c>
      <c r="B1294" s="6" t="s">
        <v>2178</v>
      </c>
      <c r="C1294" s="6">
        <v>385</v>
      </c>
      <c r="D1294" s="6" t="str">
        <f>HYPERLINK("https://rmda.kulib.kyoto-u.ac.jp/item/rb00000426#?c=0&amp;m=0&amp;s=0&amp;cv=384")</f>
        <v>https://rmda.kulib.kyoto-u.ac.jp/item/rb00000426#?c=0&amp;m=0&amp;s=0&amp;cv=384</v>
      </c>
    </row>
    <row r="1295" spans="1:4" x14ac:dyDescent="0.15">
      <c r="A1295" s="66" t="s">
        <v>5227</v>
      </c>
      <c r="B1295" s="6" t="s">
        <v>2179</v>
      </c>
      <c r="C1295" s="6">
        <v>385</v>
      </c>
      <c r="D1295" s="6" t="str">
        <f>HYPERLINK("https://rmda.kulib.kyoto-u.ac.jp/item/rb00000426#?c=0&amp;m=0&amp;s=0&amp;cv=384")</f>
        <v>https://rmda.kulib.kyoto-u.ac.jp/item/rb00000426#?c=0&amp;m=0&amp;s=0&amp;cv=384</v>
      </c>
    </row>
    <row r="1296" spans="1:4" x14ac:dyDescent="0.15">
      <c r="A1296" s="66" t="s">
        <v>5227</v>
      </c>
      <c r="B1296" s="6" t="s">
        <v>5107</v>
      </c>
      <c r="C1296" s="6">
        <v>386</v>
      </c>
      <c r="D1296" s="6" t="str">
        <f>HYPERLINK("https://rmda.kulib.kyoto-u.ac.jp/item/rb00000426#?c=0&amp;m=0&amp;s=0&amp;cv=385")</f>
        <v>https://rmda.kulib.kyoto-u.ac.jp/item/rb00000426#?c=0&amp;m=0&amp;s=0&amp;cv=385</v>
      </c>
    </row>
    <row r="1297" spans="1:4" x14ac:dyDescent="0.15">
      <c r="A1297" s="66" t="s">
        <v>5227</v>
      </c>
      <c r="B1297" s="6" t="s">
        <v>2180</v>
      </c>
      <c r="C1297" s="6">
        <v>387</v>
      </c>
      <c r="D1297" s="6" t="str">
        <f>HYPERLINK("https://rmda.kulib.kyoto-u.ac.jp/item/rb00000426#?c=0&amp;m=0&amp;s=0&amp;cv=386")</f>
        <v>https://rmda.kulib.kyoto-u.ac.jp/item/rb00000426#?c=0&amp;m=0&amp;s=0&amp;cv=386</v>
      </c>
    </row>
    <row r="1298" spans="1:4" x14ac:dyDescent="0.15">
      <c r="A1298" s="66" t="s">
        <v>5227</v>
      </c>
      <c r="B1298" s="72" t="s">
        <v>5108</v>
      </c>
      <c r="C1298" s="6">
        <v>388</v>
      </c>
      <c r="D1298" s="6" t="str">
        <f>HYPERLINK("https://rmda.kulib.kyoto-u.ac.jp/item/rb00000426#?c=0&amp;m=0&amp;s=0&amp;cv=387")</f>
        <v>https://rmda.kulib.kyoto-u.ac.jp/item/rb00000426#?c=0&amp;m=0&amp;s=0&amp;cv=387</v>
      </c>
    </row>
    <row r="1299" spans="1:4" x14ac:dyDescent="0.15">
      <c r="A1299" s="66" t="s">
        <v>5227</v>
      </c>
      <c r="B1299" s="63" t="s">
        <v>2181</v>
      </c>
      <c r="C1299" s="6">
        <v>388</v>
      </c>
      <c r="D1299" s="6" t="str">
        <f>HYPERLINK("https://rmda.kulib.kyoto-u.ac.jp/item/rb00000426#?c=0&amp;m=0&amp;s=0&amp;cv=387")</f>
        <v>https://rmda.kulib.kyoto-u.ac.jp/item/rb00000426#?c=0&amp;m=0&amp;s=0&amp;cv=387</v>
      </c>
    </row>
    <row r="1300" spans="1:4" x14ac:dyDescent="0.15">
      <c r="A1300" s="66" t="s">
        <v>5227</v>
      </c>
      <c r="B1300" s="6" t="s">
        <v>2182</v>
      </c>
      <c r="C1300" s="6">
        <v>388</v>
      </c>
      <c r="D1300" s="6" t="str">
        <f>HYPERLINK("https://rmda.kulib.kyoto-u.ac.jp/item/rb00000426#?c=0&amp;m=0&amp;s=0&amp;cv=387")</f>
        <v>https://rmda.kulib.kyoto-u.ac.jp/item/rb00000426#?c=0&amp;m=0&amp;s=0&amp;cv=387</v>
      </c>
    </row>
    <row r="1301" spans="1:4" x14ac:dyDescent="0.15">
      <c r="A1301" s="66" t="s">
        <v>5227</v>
      </c>
      <c r="B1301" s="6" t="s">
        <v>2183</v>
      </c>
      <c r="C1301" s="6">
        <v>390</v>
      </c>
      <c r="D1301" s="6" t="str">
        <f>HYPERLINK("https://rmda.kulib.kyoto-u.ac.jp/item/rb00000426#?c=0&amp;m=0&amp;s=0&amp;cv=389")</f>
        <v>https://rmda.kulib.kyoto-u.ac.jp/item/rb00000426#?c=0&amp;m=0&amp;s=0&amp;cv=389</v>
      </c>
    </row>
    <row r="1302" spans="1:4" x14ac:dyDescent="0.15">
      <c r="A1302" s="66" t="s">
        <v>5227</v>
      </c>
      <c r="B1302" s="6" t="s">
        <v>2184</v>
      </c>
      <c r="C1302" s="6">
        <v>392</v>
      </c>
      <c r="D1302" s="6" t="str">
        <f>HYPERLINK("https://rmda.kulib.kyoto-u.ac.jp/item/rb00000426#?c=0&amp;m=0&amp;s=0&amp;cv=391")</f>
        <v>https://rmda.kulib.kyoto-u.ac.jp/item/rb00000426#?c=0&amp;m=0&amp;s=0&amp;cv=391</v>
      </c>
    </row>
    <row r="1303" spans="1:4" x14ac:dyDescent="0.15">
      <c r="A1303" s="66" t="s">
        <v>5227</v>
      </c>
      <c r="B1303" s="6" t="s">
        <v>5109</v>
      </c>
      <c r="C1303" s="6">
        <v>394</v>
      </c>
      <c r="D1303" s="6" t="str">
        <f>HYPERLINK("https://rmda.kulib.kyoto-u.ac.jp/item/rb00000426#?c=0&amp;m=0&amp;s=0&amp;cv=393")</f>
        <v>https://rmda.kulib.kyoto-u.ac.jp/item/rb00000426#?c=0&amp;m=0&amp;s=0&amp;cv=393</v>
      </c>
    </row>
    <row r="1304" spans="1:4" x14ac:dyDescent="0.15">
      <c r="A1304" s="66" t="s">
        <v>5227</v>
      </c>
      <c r="B1304" s="6" t="s">
        <v>2185</v>
      </c>
      <c r="C1304" s="6">
        <v>396</v>
      </c>
      <c r="D1304" s="6" t="str">
        <f>HYPERLINK("https://rmda.kulib.kyoto-u.ac.jp/item/rb00000426#?c=0&amp;m=0&amp;s=0&amp;cv=395")</f>
        <v>https://rmda.kulib.kyoto-u.ac.jp/item/rb00000426#?c=0&amp;m=0&amp;s=0&amp;cv=395</v>
      </c>
    </row>
    <row r="1305" spans="1:4" x14ac:dyDescent="0.15">
      <c r="A1305" s="66" t="s">
        <v>5227</v>
      </c>
      <c r="B1305" s="6" t="s">
        <v>2186</v>
      </c>
      <c r="C1305" s="6">
        <v>396</v>
      </c>
      <c r="D1305" s="6" t="str">
        <f>HYPERLINK("https://rmda.kulib.kyoto-u.ac.jp/item/rb00000426#?c=0&amp;m=0&amp;s=0&amp;cv=395")</f>
        <v>https://rmda.kulib.kyoto-u.ac.jp/item/rb00000426#?c=0&amp;m=0&amp;s=0&amp;cv=395</v>
      </c>
    </row>
    <row r="1306" spans="1:4" x14ac:dyDescent="0.15">
      <c r="A1306" s="66" t="s">
        <v>5227</v>
      </c>
      <c r="B1306" s="6" t="s">
        <v>2187</v>
      </c>
      <c r="C1306" s="6">
        <v>397</v>
      </c>
      <c r="D1306" s="6" t="str">
        <f>HYPERLINK("https://rmda.kulib.kyoto-u.ac.jp/item/rb00000426#?c=0&amp;m=0&amp;s=0&amp;cv=396")</f>
        <v>https://rmda.kulib.kyoto-u.ac.jp/item/rb00000426#?c=0&amp;m=0&amp;s=0&amp;cv=396</v>
      </c>
    </row>
    <row r="1307" spans="1:4" x14ac:dyDescent="0.15">
      <c r="A1307" s="66" t="s">
        <v>5227</v>
      </c>
      <c r="B1307" s="72" t="s">
        <v>5110</v>
      </c>
      <c r="C1307" s="6">
        <v>400</v>
      </c>
      <c r="D1307" s="6" t="str">
        <f>HYPERLINK("https://rmda.kulib.kyoto-u.ac.jp/item/rb00000426#?c=0&amp;m=0&amp;s=0&amp;cv=399")</f>
        <v>https://rmda.kulib.kyoto-u.ac.jp/item/rb00000426#?c=0&amp;m=0&amp;s=0&amp;cv=399</v>
      </c>
    </row>
    <row r="1308" spans="1:4" x14ac:dyDescent="0.15">
      <c r="A1308" s="66" t="s">
        <v>5227</v>
      </c>
      <c r="B1308" s="63" t="s">
        <v>5111</v>
      </c>
      <c r="C1308" s="6">
        <v>400</v>
      </c>
      <c r="D1308" s="6" t="str">
        <f>HYPERLINK("https://rmda.kulib.kyoto-u.ac.jp/item/rb00000426#?c=0&amp;m=0&amp;s=0&amp;cv=399")</f>
        <v>https://rmda.kulib.kyoto-u.ac.jp/item/rb00000426#?c=0&amp;m=0&amp;s=0&amp;cv=399</v>
      </c>
    </row>
    <row r="1309" spans="1:4" x14ac:dyDescent="0.15">
      <c r="A1309" s="66" t="s">
        <v>5227</v>
      </c>
      <c r="B1309" s="6" t="s">
        <v>5112</v>
      </c>
      <c r="C1309" s="6">
        <v>400</v>
      </c>
      <c r="D1309" s="6" t="str">
        <f>HYPERLINK("https://rmda.kulib.kyoto-u.ac.jp/item/rb00000426#?c=0&amp;m=0&amp;s=0&amp;cv=399")</f>
        <v>https://rmda.kulib.kyoto-u.ac.jp/item/rb00000426#?c=0&amp;m=0&amp;s=0&amp;cv=399</v>
      </c>
    </row>
    <row r="1310" spans="1:4" x14ac:dyDescent="0.15">
      <c r="A1310" s="66" t="s">
        <v>5227</v>
      </c>
      <c r="B1310" s="6" t="s">
        <v>5113</v>
      </c>
      <c r="C1310" s="6">
        <v>401</v>
      </c>
      <c r="D1310" s="6" t="str">
        <f>HYPERLINK("https://rmda.kulib.kyoto-u.ac.jp/item/rb00000426#?c=0&amp;m=0&amp;s=0&amp;cv=400")</f>
        <v>https://rmda.kulib.kyoto-u.ac.jp/item/rb00000426#?c=0&amp;m=0&amp;s=0&amp;cv=400</v>
      </c>
    </row>
    <row r="1311" spans="1:4" x14ac:dyDescent="0.15">
      <c r="A1311" s="66" t="s">
        <v>5227</v>
      </c>
      <c r="B1311" s="6" t="s">
        <v>5114</v>
      </c>
      <c r="C1311" s="6">
        <v>401</v>
      </c>
      <c r="D1311" s="6" t="str">
        <f>HYPERLINK("https://rmda.kulib.kyoto-u.ac.jp/item/rb00000426#?c=0&amp;m=0&amp;s=0&amp;cv=400")</f>
        <v>https://rmda.kulib.kyoto-u.ac.jp/item/rb00000426#?c=0&amp;m=0&amp;s=0&amp;cv=400</v>
      </c>
    </row>
    <row r="1312" spans="1:4" x14ac:dyDescent="0.15">
      <c r="A1312" s="66" t="s">
        <v>5227</v>
      </c>
      <c r="B1312" s="6" t="s">
        <v>2188</v>
      </c>
      <c r="C1312" s="6">
        <v>401</v>
      </c>
      <c r="D1312" s="6" t="str">
        <f>HYPERLINK("https://rmda.kulib.kyoto-u.ac.jp/item/rb00000426#?c=0&amp;m=0&amp;s=0&amp;cv=400")</f>
        <v>https://rmda.kulib.kyoto-u.ac.jp/item/rb00000426#?c=0&amp;m=0&amp;s=0&amp;cv=400</v>
      </c>
    </row>
    <row r="1313" spans="1:4" x14ac:dyDescent="0.15">
      <c r="A1313" s="66" t="s">
        <v>5227</v>
      </c>
      <c r="B1313" s="6" t="s">
        <v>5115</v>
      </c>
      <c r="C1313" s="6">
        <v>403</v>
      </c>
      <c r="D1313" s="6" t="str">
        <f>HYPERLINK("https://rmda.kulib.kyoto-u.ac.jp/item/rb00000426#?c=0&amp;m=0&amp;s=0&amp;cv=402")</f>
        <v>https://rmda.kulib.kyoto-u.ac.jp/item/rb00000426#?c=0&amp;m=0&amp;s=0&amp;cv=402</v>
      </c>
    </row>
    <row r="1314" spans="1:4" x14ac:dyDescent="0.15">
      <c r="A1314" s="66" t="s">
        <v>5227</v>
      </c>
      <c r="B1314" s="6" t="s">
        <v>5116</v>
      </c>
      <c r="C1314" s="6">
        <v>405</v>
      </c>
      <c r="D1314" s="6" t="str">
        <f>HYPERLINK("https://rmda.kulib.kyoto-u.ac.jp/item/rb00000426#?c=0&amp;m=0&amp;s=0&amp;cv=404")</f>
        <v>https://rmda.kulib.kyoto-u.ac.jp/item/rb00000426#?c=0&amp;m=0&amp;s=0&amp;cv=404</v>
      </c>
    </row>
    <row r="1315" spans="1:4" x14ac:dyDescent="0.15">
      <c r="A1315" s="66" t="s">
        <v>5227</v>
      </c>
      <c r="B1315" s="6" t="s">
        <v>5117</v>
      </c>
      <c r="C1315" s="6">
        <v>406</v>
      </c>
      <c r="D1315" s="6" t="str">
        <f>HYPERLINK("https://rmda.kulib.kyoto-u.ac.jp/item/rb00000426#?c=0&amp;m=0&amp;s=0&amp;cv=405")</f>
        <v>https://rmda.kulib.kyoto-u.ac.jp/item/rb00000426#?c=0&amp;m=0&amp;s=0&amp;cv=405</v>
      </c>
    </row>
    <row r="1316" spans="1:4" x14ac:dyDescent="0.15">
      <c r="A1316" s="66" t="s">
        <v>5227</v>
      </c>
      <c r="B1316" s="6" t="s">
        <v>5118</v>
      </c>
      <c r="C1316" s="6">
        <v>407</v>
      </c>
      <c r="D1316" s="6" t="str">
        <f>HYPERLINK("https://rmda.kulib.kyoto-u.ac.jp/item/rb00000426#?c=0&amp;m=0&amp;s=0&amp;cv=406")</f>
        <v>https://rmda.kulib.kyoto-u.ac.jp/item/rb00000426#?c=0&amp;m=0&amp;s=0&amp;cv=406</v>
      </c>
    </row>
    <row r="1317" spans="1:4" x14ac:dyDescent="0.15">
      <c r="A1317" s="66" t="s">
        <v>5227</v>
      </c>
      <c r="B1317" s="72" t="s">
        <v>5119</v>
      </c>
      <c r="C1317" s="6">
        <v>409</v>
      </c>
      <c r="D1317" s="6" t="str">
        <f>HYPERLINK("https://rmda.kulib.kyoto-u.ac.jp/item/rb00000426#?c=0&amp;m=0&amp;s=0&amp;cv=408")</f>
        <v>https://rmda.kulib.kyoto-u.ac.jp/item/rb00000426#?c=0&amp;m=0&amp;s=0&amp;cv=408</v>
      </c>
    </row>
    <row r="1318" spans="1:4" x14ac:dyDescent="0.15">
      <c r="A1318" s="66" t="s">
        <v>5227</v>
      </c>
      <c r="B1318" s="6" t="s">
        <v>5120</v>
      </c>
      <c r="C1318" s="6">
        <v>409</v>
      </c>
      <c r="D1318" s="6" t="str">
        <f>HYPERLINK("https://rmda.kulib.kyoto-u.ac.jp/item/rb00000426#?c=0&amp;m=0&amp;s=0&amp;cv=408")</f>
        <v>https://rmda.kulib.kyoto-u.ac.jp/item/rb00000426#?c=0&amp;m=0&amp;s=0&amp;cv=408</v>
      </c>
    </row>
    <row r="1319" spans="1:4" x14ac:dyDescent="0.15">
      <c r="A1319" s="66" t="s">
        <v>5227</v>
      </c>
      <c r="B1319" s="6" t="s">
        <v>5121</v>
      </c>
      <c r="C1319" s="6">
        <v>410</v>
      </c>
      <c r="D1319" s="6" t="str">
        <f>HYPERLINK("https://rmda.kulib.kyoto-u.ac.jp/item/rb00000426#?c=0&amp;m=0&amp;s=0&amp;cv=409")</f>
        <v>https://rmda.kulib.kyoto-u.ac.jp/item/rb00000426#?c=0&amp;m=0&amp;s=0&amp;cv=409</v>
      </c>
    </row>
    <row r="1320" spans="1:4" x14ac:dyDescent="0.15">
      <c r="A1320" s="66" t="s">
        <v>5227</v>
      </c>
      <c r="B1320" s="6" t="s">
        <v>5122</v>
      </c>
      <c r="C1320" s="6">
        <v>411</v>
      </c>
      <c r="D1320" s="6" t="str">
        <f>HYPERLINK("https://rmda.kulib.kyoto-u.ac.jp/item/rb00000426#?c=0&amp;m=0&amp;s=0&amp;cv=410")</f>
        <v>https://rmda.kulib.kyoto-u.ac.jp/item/rb00000426#?c=0&amp;m=0&amp;s=0&amp;cv=410</v>
      </c>
    </row>
    <row r="1321" spans="1:4" x14ac:dyDescent="0.15">
      <c r="A1321" s="66" t="s">
        <v>5227</v>
      </c>
      <c r="B1321" s="6" t="s">
        <v>5123</v>
      </c>
      <c r="C1321" s="6">
        <v>413</v>
      </c>
      <c r="D1321" s="6" t="str">
        <f>HYPERLINK("https://rmda.kulib.kyoto-u.ac.jp/item/rb00000426#?c=0&amp;m=0&amp;s=0&amp;cv=412")</f>
        <v>https://rmda.kulib.kyoto-u.ac.jp/item/rb00000426#?c=0&amp;m=0&amp;s=0&amp;cv=412</v>
      </c>
    </row>
    <row r="1322" spans="1:4" x14ac:dyDescent="0.15">
      <c r="A1322" s="66" t="s">
        <v>5227</v>
      </c>
      <c r="B1322" s="6" t="s">
        <v>5124</v>
      </c>
      <c r="C1322" s="6">
        <v>414</v>
      </c>
      <c r="D1322" s="6" t="str">
        <f>HYPERLINK("https://rmda.kulib.kyoto-u.ac.jp/item/rb00000426#?c=0&amp;m=0&amp;s=0&amp;cv=413")</f>
        <v>https://rmda.kulib.kyoto-u.ac.jp/item/rb00000426#?c=0&amp;m=0&amp;s=0&amp;cv=413</v>
      </c>
    </row>
    <row r="1323" spans="1:4" x14ac:dyDescent="0.15">
      <c r="A1323" s="66" t="s">
        <v>5227</v>
      </c>
      <c r="B1323" s="6" t="s">
        <v>5125</v>
      </c>
      <c r="C1323" s="6">
        <v>415</v>
      </c>
      <c r="D1323" s="6" t="str">
        <f>HYPERLINK("https://rmda.kulib.kyoto-u.ac.jp/item/rb00000426#?c=0&amp;m=0&amp;s=0&amp;cv=414")</f>
        <v>https://rmda.kulib.kyoto-u.ac.jp/item/rb00000426#?c=0&amp;m=0&amp;s=0&amp;cv=414</v>
      </c>
    </row>
    <row r="1324" spans="1:4" x14ac:dyDescent="0.15">
      <c r="A1324" s="66" t="s">
        <v>5227</v>
      </c>
      <c r="B1324" s="6" t="s">
        <v>5126</v>
      </c>
      <c r="C1324" s="6">
        <v>417</v>
      </c>
      <c r="D1324" s="6" t="str">
        <f>HYPERLINK("https://rmda.kulib.kyoto-u.ac.jp/item/rb00000426#?c=0&amp;m=0&amp;s=0&amp;cv=416")</f>
        <v>https://rmda.kulib.kyoto-u.ac.jp/item/rb00000426#?c=0&amp;m=0&amp;s=0&amp;cv=416</v>
      </c>
    </row>
    <row r="1325" spans="1:4" x14ac:dyDescent="0.15">
      <c r="A1325" s="66" t="s">
        <v>5227</v>
      </c>
      <c r="B1325" s="6" t="s">
        <v>5127</v>
      </c>
      <c r="C1325" s="6">
        <v>418</v>
      </c>
      <c r="D1325" s="6" t="str">
        <f>HYPERLINK("https://rmda.kulib.kyoto-u.ac.jp/item/rb00000426#?c=0&amp;m=0&amp;s=0&amp;cv=417")</f>
        <v>https://rmda.kulib.kyoto-u.ac.jp/item/rb00000426#?c=0&amp;m=0&amp;s=0&amp;cv=417</v>
      </c>
    </row>
    <row r="1326" spans="1:4" x14ac:dyDescent="0.15">
      <c r="A1326" s="66" t="s">
        <v>5227</v>
      </c>
      <c r="B1326" s="6" t="s">
        <v>5128</v>
      </c>
      <c r="C1326" s="6">
        <v>419</v>
      </c>
      <c r="D1326" s="6" t="str">
        <f>HYPERLINK("https://rmda.kulib.kyoto-u.ac.jp/item/rb00000426#?c=0&amp;m=0&amp;s=0&amp;cv=418")</f>
        <v>https://rmda.kulib.kyoto-u.ac.jp/item/rb00000426#?c=0&amp;m=0&amp;s=0&amp;cv=418</v>
      </c>
    </row>
    <row r="1327" spans="1:4" x14ac:dyDescent="0.15">
      <c r="A1327" s="66" t="s">
        <v>5227</v>
      </c>
      <c r="B1327" s="6" t="s">
        <v>5129</v>
      </c>
      <c r="C1327" s="6">
        <v>420</v>
      </c>
      <c r="D1327" s="6" t="str">
        <f>HYPERLINK("https://rmda.kulib.kyoto-u.ac.jp/item/rb00000426#?c=0&amp;m=0&amp;s=0&amp;cv=419")</f>
        <v>https://rmda.kulib.kyoto-u.ac.jp/item/rb00000426#?c=0&amp;m=0&amp;s=0&amp;cv=419</v>
      </c>
    </row>
    <row r="1328" spans="1:4" x14ac:dyDescent="0.15">
      <c r="A1328" s="66" t="s">
        <v>5227</v>
      </c>
      <c r="B1328" s="6" t="s">
        <v>5130</v>
      </c>
      <c r="C1328" s="6">
        <v>421</v>
      </c>
      <c r="D1328" s="6" t="str">
        <f>HYPERLINK("https://rmda.kulib.kyoto-u.ac.jp/item/rb00000426#?c=0&amp;m=0&amp;s=0&amp;cv=420")</f>
        <v>https://rmda.kulib.kyoto-u.ac.jp/item/rb00000426#?c=0&amp;m=0&amp;s=0&amp;cv=420</v>
      </c>
    </row>
    <row r="1329" spans="1:4" x14ac:dyDescent="0.15">
      <c r="A1329" s="66" t="s">
        <v>5227</v>
      </c>
      <c r="B1329" s="6" t="s">
        <v>5131</v>
      </c>
      <c r="C1329" s="6">
        <v>422</v>
      </c>
      <c r="D1329" s="6" t="str">
        <f>HYPERLINK("https://rmda.kulib.kyoto-u.ac.jp/item/rb00000426#?c=0&amp;m=0&amp;s=0&amp;cv=421")</f>
        <v>https://rmda.kulib.kyoto-u.ac.jp/item/rb00000426#?c=0&amp;m=0&amp;s=0&amp;cv=421</v>
      </c>
    </row>
    <row r="1330" spans="1:4" x14ac:dyDescent="0.15">
      <c r="A1330" s="66" t="s">
        <v>5227</v>
      </c>
      <c r="B1330" s="6" t="s">
        <v>5132</v>
      </c>
      <c r="C1330" s="6">
        <v>424</v>
      </c>
      <c r="D1330" s="6" t="str">
        <f>HYPERLINK("https://rmda.kulib.kyoto-u.ac.jp/item/rb00000426#?c=0&amp;m=0&amp;s=0&amp;cv=423")</f>
        <v>https://rmda.kulib.kyoto-u.ac.jp/item/rb00000426#?c=0&amp;m=0&amp;s=0&amp;cv=423</v>
      </c>
    </row>
    <row r="1331" spans="1:4" x14ac:dyDescent="0.15">
      <c r="A1331" s="66" t="s">
        <v>5227</v>
      </c>
      <c r="B1331" s="72" t="s">
        <v>5133</v>
      </c>
      <c r="C1331" s="6">
        <v>428</v>
      </c>
      <c r="D1331" s="6" t="str">
        <f>HYPERLINK("https://rmda.kulib.kyoto-u.ac.jp/item/rb00000426#?c=0&amp;m=0&amp;s=0&amp;cv=427")</f>
        <v>https://rmda.kulib.kyoto-u.ac.jp/item/rb00000426#?c=0&amp;m=0&amp;s=0&amp;cv=427</v>
      </c>
    </row>
    <row r="1332" spans="1:4" x14ac:dyDescent="0.15">
      <c r="A1332" s="66" t="s">
        <v>5227</v>
      </c>
      <c r="B1332" s="6" t="s">
        <v>5134</v>
      </c>
      <c r="C1332" s="6">
        <v>428</v>
      </c>
      <c r="D1332" s="6" t="str">
        <f>HYPERLINK("https://rmda.kulib.kyoto-u.ac.jp/item/rb00000426#?c=0&amp;m=0&amp;s=0&amp;cv=427")</f>
        <v>https://rmda.kulib.kyoto-u.ac.jp/item/rb00000426#?c=0&amp;m=0&amp;s=0&amp;cv=427</v>
      </c>
    </row>
    <row r="1333" spans="1:4" x14ac:dyDescent="0.15">
      <c r="A1333" s="66" t="s">
        <v>5227</v>
      </c>
      <c r="B1333" s="6" t="s">
        <v>5135</v>
      </c>
      <c r="C1333" s="6">
        <v>429</v>
      </c>
      <c r="D1333" s="6" t="str">
        <f>HYPERLINK("https://rmda.kulib.kyoto-u.ac.jp/item/rb00000426#?c=0&amp;m=0&amp;s=0&amp;cv=428")</f>
        <v>https://rmda.kulib.kyoto-u.ac.jp/item/rb00000426#?c=0&amp;m=0&amp;s=0&amp;cv=428</v>
      </c>
    </row>
    <row r="1334" spans="1:4" x14ac:dyDescent="0.15">
      <c r="A1334" s="66" t="s">
        <v>5227</v>
      </c>
      <c r="B1334" s="6" t="s">
        <v>5136</v>
      </c>
      <c r="C1334" s="6">
        <v>431</v>
      </c>
      <c r="D1334" s="6" t="str">
        <f>HYPERLINK("https://rmda.kulib.kyoto-u.ac.jp/item/rb00000426#?c=0&amp;m=0&amp;s=0&amp;cv=430")</f>
        <v>https://rmda.kulib.kyoto-u.ac.jp/item/rb00000426#?c=0&amp;m=0&amp;s=0&amp;cv=430</v>
      </c>
    </row>
    <row r="1335" spans="1:4" x14ac:dyDescent="0.15">
      <c r="A1335" s="66" t="s">
        <v>5227</v>
      </c>
      <c r="B1335" s="6" t="s">
        <v>5137</v>
      </c>
      <c r="C1335" s="6">
        <v>432</v>
      </c>
      <c r="D1335" s="6" t="str">
        <f>HYPERLINK("https://rmda.kulib.kyoto-u.ac.jp/item/rb00000426#?c=0&amp;m=0&amp;s=0&amp;cv=431")</f>
        <v>https://rmda.kulib.kyoto-u.ac.jp/item/rb00000426#?c=0&amp;m=0&amp;s=0&amp;cv=431</v>
      </c>
    </row>
    <row r="1336" spans="1:4" x14ac:dyDescent="0.15">
      <c r="A1336" s="66" t="s">
        <v>5227</v>
      </c>
      <c r="B1336" s="6" t="s">
        <v>5138</v>
      </c>
      <c r="C1336" s="6">
        <v>433</v>
      </c>
      <c r="D1336" s="6" t="str">
        <f>HYPERLINK("https://rmda.kulib.kyoto-u.ac.jp/item/rb00000426#?c=0&amp;m=0&amp;s=0&amp;cv=432")</f>
        <v>https://rmda.kulib.kyoto-u.ac.jp/item/rb00000426#?c=0&amp;m=0&amp;s=0&amp;cv=432</v>
      </c>
    </row>
    <row r="1337" spans="1:4" x14ac:dyDescent="0.15">
      <c r="A1337" s="66" t="s">
        <v>5227</v>
      </c>
      <c r="B1337" s="6" t="s">
        <v>5139</v>
      </c>
      <c r="C1337" s="6">
        <v>434</v>
      </c>
      <c r="D1337" s="6" t="str">
        <f>HYPERLINK("https://rmda.kulib.kyoto-u.ac.jp/item/rb00000426#?c=0&amp;m=0&amp;s=0&amp;cv=433")</f>
        <v>https://rmda.kulib.kyoto-u.ac.jp/item/rb00000426#?c=0&amp;m=0&amp;s=0&amp;cv=433</v>
      </c>
    </row>
    <row r="1338" spans="1:4" x14ac:dyDescent="0.15">
      <c r="A1338" s="66" t="s">
        <v>5227</v>
      </c>
      <c r="B1338" s="6" t="s">
        <v>5140</v>
      </c>
      <c r="C1338" s="6">
        <v>435</v>
      </c>
      <c r="D1338" s="6" t="str">
        <f>HYPERLINK("https://rmda.kulib.kyoto-u.ac.jp/item/rb00000426#?c=0&amp;m=0&amp;s=0&amp;cv=434")</f>
        <v>https://rmda.kulib.kyoto-u.ac.jp/item/rb00000426#?c=0&amp;m=0&amp;s=0&amp;cv=434</v>
      </c>
    </row>
    <row r="1339" spans="1:4" x14ac:dyDescent="0.15">
      <c r="A1339" s="66" t="s">
        <v>5227</v>
      </c>
      <c r="B1339" s="6" t="s">
        <v>5141</v>
      </c>
      <c r="C1339" s="6">
        <v>435</v>
      </c>
      <c r="D1339" s="6" t="str">
        <f>HYPERLINK("https://rmda.kulib.kyoto-u.ac.jp/item/rb00000426#?c=0&amp;m=0&amp;s=0&amp;cv=434")</f>
        <v>https://rmda.kulib.kyoto-u.ac.jp/item/rb00000426#?c=0&amp;m=0&amp;s=0&amp;cv=434</v>
      </c>
    </row>
    <row r="1340" spans="1:4" x14ac:dyDescent="0.15">
      <c r="A1340" s="66" t="s">
        <v>5227</v>
      </c>
      <c r="B1340" s="6" t="s">
        <v>5142</v>
      </c>
      <c r="C1340" s="6">
        <v>436</v>
      </c>
      <c r="D1340" s="6" t="str">
        <f>HYPERLINK("https://rmda.kulib.kyoto-u.ac.jp/item/rb00000426#?c=0&amp;m=0&amp;s=0&amp;cv=435")</f>
        <v>https://rmda.kulib.kyoto-u.ac.jp/item/rb00000426#?c=0&amp;m=0&amp;s=0&amp;cv=435</v>
      </c>
    </row>
    <row r="1341" spans="1:4" x14ac:dyDescent="0.15">
      <c r="A1341" s="66" t="s">
        <v>5227</v>
      </c>
      <c r="B1341" s="6" t="s">
        <v>5143</v>
      </c>
      <c r="C1341" s="6">
        <v>437</v>
      </c>
      <c r="D1341" s="6" t="str">
        <f>HYPERLINK("https://rmda.kulib.kyoto-u.ac.jp/item/rb00000426#?c=0&amp;m=0&amp;s=0&amp;cv=436")</f>
        <v>https://rmda.kulib.kyoto-u.ac.jp/item/rb00000426#?c=0&amp;m=0&amp;s=0&amp;cv=436</v>
      </c>
    </row>
    <row r="1342" spans="1:4" x14ac:dyDescent="0.15">
      <c r="A1342" s="66" t="s">
        <v>5227</v>
      </c>
      <c r="B1342" s="6" t="s">
        <v>5144</v>
      </c>
      <c r="C1342" s="6">
        <v>438</v>
      </c>
      <c r="D1342" s="6" t="str">
        <f>HYPERLINK("https://rmda.kulib.kyoto-u.ac.jp/item/rb00000426#?c=0&amp;m=0&amp;s=0&amp;cv=437")</f>
        <v>https://rmda.kulib.kyoto-u.ac.jp/item/rb00000426#?c=0&amp;m=0&amp;s=0&amp;cv=437</v>
      </c>
    </row>
    <row r="1343" spans="1:4" x14ac:dyDescent="0.15">
      <c r="A1343" s="66" t="s">
        <v>5227</v>
      </c>
      <c r="B1343" s="6" t="s">
        <v>5145</v>
      </c>
      <c r="C1343" s="6">
        <v>439</v>
      </c>
      <c r="D1343" s="6" t="str">
        <f>HYPERLINK("https://rmda.kulib.kyoto-u.ac.jp/item/rb00000426#?c=0&amp;m=0&amp;s=0&amp;cv=438")</f>
        <v>https://rmda.kulib.kyoto-u.ac.jp/item/rb00000426#?c=0&amp;m=0&amp;s=0&amp;cv=438</v>
      </c>
    </row>
    <row r="1344" spans="1:4" x14ac:dyDescent="0.15">
      <c r="A1344" s="66" t="s">
        <v>5227</v>
      </c>
      <c r="B1344" s="6" t="s">
        <v>5146</v>
      </c>
      <c r="C1344" s="6">
        <v>440</v>
      </c>
      <c r="D1344" s="6" t="str">
        <f>HYPERLINK("https://rmda.kulib.kyoto-u.ac.jp/item/rb00000426#?c=0&amp;m=0&amp;s=0&amp;cv=439")</f>
        <v>https://rmda.kulib.kyoto-u.ac.jp/item/rb00000426#?c=0&amp;m=0&amp;s=0&amp;cv=439</v>
      </c>
    </row>
    <row r="1345" spans="1:4" x14ac:dyDescent="0.15">
      <c r="A1345" s="66" t="s">
        <v>5227</v>
      </c>
      <c r="B1345" s="6" t="s">
        <v>5147</v>
      </c>
      <c r="C1345" s="6">
        <v>440</v>
      </c>
      <c r="D1345" s="6" t="str">
        <f>HYPERLINK("https://rmda.kulib.kyoto-u.ac.jp/item/rb00000426#?c=0&amp;m=0&amp;s=0&amp;cv=439")</f>
        <v>https://rmda.kulib.kyoto-u.ac.jp/item/rb00000426#?c=0&amp;m=0&amp;s=0&amp;cv=439</v>
      </c>
    </row>
    <row r="1346" spans="1:4" x14ac:dyDescent="0.15">
      <c r="A1346" s="66" t="s">
        <v>5227</v>
      </c>
      <c r="B1346" s="72" t="s">
        <v>5148</v>
      </c>
      <c r="C1346" s="6">
        <v>443</v>
      </c>
      <c r="D1346" s="6" t="str">
        <f>HYPERLINK("https://rmda.kulib.kyoto-u.ac.jp/item/rb00000426#?c=0&amp;m=0&amp;s=0&amp;cv=442")</f>
        <v>https://rmda.kulib.kyoto-u.ac.jp/item/rb00000426#?c=0&amp;m=0&amp;s=0&amp;cv=442</v>
      </c>
    </row>
    <row r="1347" spans="1:4" x14ac:dyDescent="0.15">
      <c r="A1347" s="66" t="s">
        <v>5227</v>
      </c>
      <c r="B1347" s="6" t="s">
        <v>5149</v>
      </c>
      <c r="C1347" s="6">
        <v>443</v>
      </c>
      <c r="D1347" s="6" t="str">
        <f>HYPERLINK("https://rmda.kulib.kyoto-u.ac.jp/item/rb00000426#?c=0&amp;m=0&amp;s=0&amp;cv=442")</f>
        <v>https://rmda.kulib.kyoto-u.ac.jp/item/rb00000426#?c=0&amp;m=0&amp;s=0&amp;cv=442</v>
      </c>
    </row>
    <row r="1348" spans="1:4" x14ac:dyDescent="0.15">
      <c r="A1348" s="66" t="s">
        <v>5227</v>
      </c>
      <c r="B1348" s="6" t="s">
        <v>5150</v>
      </c>
      <c r="C1348" s="6">
        <v>444</v>
      </c>
      <c r="D1348" s="6" t="str">
        <f>HYPERLINK("https://rmda.kulib.kyoto-u.ac.jp/item/rb00000426#?c=0&amp;m=0&amp;s=0&amp;cv=443")</f>
        <v>https://rmda.kulib.kyoto-u.ac.jp/item/rb00000426#?c=0&amp;m=0&amp;s=0&amp;cv=443</v>
      </c>
    </row>
    <row r="1349" spans="1:4" x14ac:dyDescent="0.15">
      <c r="A1349" s="66" t="s">
        <v>5227</v>
      </c>
      <c r="B1349" s="6" t="s">
        <v>5151</v>
      </c>
      <c r="C1349" s="6">
        <v>445</v>
      </c>
      <c r="D1349" s="6" t="str">
        <f>HYPERLINK("https://rmda.kulib.kyoto-u.ac.jp/item/rb00000426#?c=0&amp;m=0&amp;s=0&amp;cv=444")</f>
        <v>https://rmda.kulib.kyoto-u.ac.jp/item/rb00000426#?c=0&amp;m=0&amp;s=0&amp;cv=444</v>
      </c>
    </row>
    <row r="1350" spans="1:4" x14ac:dyDescent="0.15">
      <c r="A1350" s="66" t="s">
        <v>5227</v>
      </c>
      <c r="B1350" s="6" t="s">
        <v>5152</v>
      </c>
      <c r="C1350" s="6">
        <v>447</v>
      </c>
      <c r="D1350" s="6" t="str">
        <f>HYPERLINK("https://rmda.kulib.kyoto-u.ac.jp/item/rb00000426#?c=0&amp;m=0&amp;s=0&amp;cv=446")</f>
        <v>https://rmda.kulib.kyoto-u.ac.jp/item/rb00000426#?c=0&amp;m=0&amp;s=0&amp;cv=446</v>
      </c>
    </row>
    <row r="1351" spans="1:4" x14ac:dyDescent="0.15">
      <c r="A1351" s="66" t="s">
        <v>5227</v>
      </c>
      <c r="B1351" s="6" t="s">
        <v>5153</v>
      </c>
      <c r="C1351" s="6">
        <v>448</v>
      </c>
      <c r="D1351" s="6" t="str">
        <f>HYPERLINK("https://rmda.kulib.kyoto-u.ac.jp/item/rb00000426#?c=0&amp;m=0&amp;s=0&amp;cv=447")</f>
        <v>https://rmda.kulib.kyoto-u.ac.jp/item/rb00000426#?c=0&amp;m=0&amp;s=0&amp;cv=447</v>
      </c>
    </row>
    <row r="1352" spans="1:4" x14ac:dyDescent="0.15">
      <c r="A1352" s="66" t="s">
        <v>5227</v>
      </c>
      <c r="B1352" s="6" t="s">
        <v>5154</v>
      </c>
      <c r="C1352" s="6">
        <v>449</v>
      </c>
      <c r="D1352" s="6" t="str">
        <f>HYPERLINK("https://rmda.kulib.kyoto-u.ac.jp/item/rb00000426#?c=0&amp;m=0&amp;s=0&amp;cv=448")</f>
        <v>https://rmda.kulib.kyoto-u.ac.jp/item/rb00000426#?c=0&amp;m=0&amp;s=0&amp;cv=448</v>
      </c>
    </row>
    <row r="1353" spans="1:4" x14ac:dyDescent="0.15">
      <c r="A1353" s="66" t="s">
        <v>5227</v>
      </c>
      <c r="B1353" s="6" t="s">
        <v>5155</v>
      </c>
      <c r="C1353" s="6">
        <v>450</v>
      </c>
      <c r="D1353" s="6" t="str">
        <f>HYPERLINK("https://rmda.kulib.kyoto-u.ac.jp/item/rb00000426#?c=0&amp;m=0&amp;s=0&amp;cv=449")</f>
        <v>https://rmda.kulib.kyoto-u.ac.jp/item/rb00000426#?c=0&amp;m=0&amp;s=0&amp;cv=449</v>
      </c>
    </row>
    <row r="1354" spans="1:4" x14ac:dyDescent="0.15">
      <c r="A1354" s="66" t="s">
        <v>5227</v>
      </c>
      <c r="B1354" s="6" t="s">
        <v>5156</v>
      </c>
      <c r="C1354" s="6">
        <v>450</v>
      </c>
      <c r="D1354" s="6" t="str">
        <f>HYPERLINK("https://rmda.kulib.kyoto-u.ac.jp/item/rb00000426#?c=0&amp;m=0&amp;s=0&amp;cv=449")</f>
        <v>https://rmda.kulib.kyoto-u.ac.jp/item/rb00000426#?c=0&amp;m=0&amp;s=0&amp;cv=449</v>
      </c>
    </row>
    <row r="1355" spans="1:4" x14ac:dyDescent="0.15">
      <c r="A1355" s="66" t="s">
        <v>5227</v>
      </c>
      <c r="B1355" s="6" t="s">
        <v>5157</v>
      </c>
      <c r="C1355" s="6">
        <v>451</v>
      </c>
      <c r="D1355" s="6" t="str">
        <f>HYPERLINK("https://rmda.kulib.kyoto-u.ac.jp/item/rb00000426#?c=0&amp;m=0&amp;s=0&amp;cv=450")</f>
        <v>https://rmda.kulib.kyoto-u.ac.jp/item/rb00000426#?c=0&amp;m=0&amp;s=0&amp;cv=450</v>
      </c>
    </row>
    <row r="1356" spans="1:4" x14ac:dyDescent="0.15">
      <c r="A1356" s="66" t="s">
        <v>5227</v>
      </c>
      <c r="B1356" s="6" t="s">
        <v>5158</v>
      </c>
      <c r="C1356" s="6">
        <v>453</v>
      </c>
      <c r="D1356" s="6" t="str">
        <f>HYPERLINK("https://rmda.kulib.kyoto-u.ac.jp/item/rb00000426#?c=0&amp;m=0&amp;s=0&amp;cv=452")</f>
        <v>https://rmda.kulib.kyoto-u.ac.jp/item/rb00000426#?c=0&amp;m=0&amp;s=0&amp;cv=452</v>
      </c>
    </row>
    <row r="1357" spans="1:4" x14ac:dyDescent="0.15">
      <c r="A1357" s="66" t="s">
        <v>5227</v>
      </c>
      <c r="B1357" s="72" t="s">
        <v>5159</v>
      </c>
      <c r="C1357" s="6">
        <v>455</v>
      </c>
      <c r="D1357" s="6" t="str">
        <f>HYPERLINK("https://rmda.kulib.kyoto-u.ac.jp/item/rb00000426#?c=0&amp;m=0&amp;s=0&amp;cv=454")</f>
        <v>https://rmda.kulib.kyoto-u.ac.jp/item/rb00000426#?c=0&amp;m=0&amp;s=0&amp;cv=454</v>
      </c>
    </row>
    <row r="1358" spans="1:4" x14ac:dyDescent="0.15">
      <c r="A1358" s="66" t="s">
        <v>5227</v>
      </c>
      <c r="B1358" s="6" t="s">
        <v>5160</v>
      </c>
      <c r="C1358" s="6">
        <v>455</v>
      </c>
      <c r="D1358" s="6" t="str">
        <f>HYPERLINK("https://rmda.kulib.kyoto-u.ac.jp/item/rb00000426#?c=0&amp;m=0&amp;s=0&amp;cv=454")</f>
        <v>https://rmda.kulib.kyoto-u.ac.jp/item/rb00000426#?c=0&amp;m=0&amp;s=0&amp;cv=454</v>
      </c>
    </row>
    <row r="1359" spans="1:4" x14ac:dyDescent="0.15">
      <c r="A1359" s="66" t="s">
        <v>5227</v>
      </c>
      <c r="B1359" s="6" t="s">
        <v>5161</v>
      </c>
      <c r="C1359" s="6">
        <v>456</v>
      </c>
      <c r="D1359" s="6" t="str">
        <f>HYPERLINK("https://rmda.kulib.kyoto-u.ac.jp/item/rb00000426#?c=0&amp;m=0&amp;s=0&amp;cv=455")</f>
        <v>https://rmda.kulib.kyoto-u.ac.jp/item/rb00000426#?c=0&amp;m=0&amp;s=0&amp;cv=455</v>
      </c>
    </row>
    <row r="1360" spans="1:4" x14ac:dyDescent="0.15">
      <c r="A1360" s="66" t="s">
        <v>5227</v>
      </c>
      <c r="B1360" s="6" t="s">
        <v>5162</v>
      </c>
      <c r="C1360" s="6">
        <v>457</v>
      </c>
      <c r="D1360" s="6" t="str">
        <f>HYPERLINK("https://rmda.kulib.kyoto-u.ac.jp/item/rb00000426#?c=0&amp;m=0&amp;s=0&amp;cv=456")</f>
        <v>https://rmda.kulib.kyoto-u.ac.jp/item/rb00000426#?c=0&amp;m=0&amp;s=0&amp;cv=456</v>
      </c>
    </row>
    <row r="1361" spans="1:4" x14ac:dyDescent="0.15">
      <c r="A1361" s="66" t="s">
        <v>5227</v>
      </c>
      <c r="B1361" s="6" t="s">
        <v>5163</v>
      </c>
      <c r="C1361" s="6">
        <v>459</v>
      </c>
      <c r="D1361" s="6" t="str">
        <f>HYPERLINK("https://rmda.kulib.kyoto-u.ac.jp/item/rb00000426#?c=0&amp;m=0&amp;s=0&amp;cv=458")</f>
        <v>https://rmda.kulib.kyoto-u.ac.jp/item/rb00000426#?c=0&amp;m=0&amp;s=0&amp;cv=458</v>
      </c>
    </row>
    <row r="1362" spans="1:4" x14ac:dyDescent="0.15">
      <c r="A1362" s="66" t="s">
        <v>5227</v>
      </c>
      <c r="B1362" s="6" t="s">
        <v>5164</v>
      </c>
      <c r="C1362" s="6">
        <v>461</v>
      </c>
      <c r="D1362" s="6" t="str">
        <f>HYPERLINK("https://rmda.kulib.kyoto-u.ac.jp/item/rb00000426#?c=0&amp;m=0&amp;s=0&amp;cv=460")</f>
        <v>https://rmda.kulib.kyoto-u.ac.jp/item/rb00000426#?c=0&amp;m=0&amp;s=0&amp;cv=460</v>
      </c>
    </row>
    <row r="1363" spans="1:4" x14ac:dyDescent="0.15">
      <c r="A1363" s="66" t="s">
        <v>5227</v>
      </c>
      <c r="B1363" s="6" t="s">
        <v>5165</v>
      </c>
      <c r="C1363" s="6">
        <v>461</v>
      </c>
      <c r="D1363" s="6" t="str">
        <f>HYPERLINK("https://rmda.kulib.kyoto-u.ac.jp/item/rb00000426#?c=0&amp;m=0&amp;s=0&amp;cv=460")</f>
        <v>https://rmda.kulib.kyoto-u.ac.jp/item/rb00000426#?c=0&amp;m=0&amp;s=0&amp;cv=460</v>
      </c>
    </row>
    <row r="1364" spans="1:4" x14ac:dyDescent="0.15">
      <c r="A1364" s="66" t="s">
        <v>5227</v>
      </c>
      <c r="B1364" s="6" t="s">
        <v>5166</v>
      </c>
      <c r="C1364" s="6">
        <v>462</v>
      </c>
      <c r="D1364" s="6" t="str">
        <f>HYPERLINK("https://rmda.kulib.kyoto-u.ac.jp/item/rb00000426#?c=0&amp;m=0&amp;s=0&amp;cv=461")</f>
        <v>https://rmda.kulib.kyoto-u.ac.jp/item/rb00000426#?c=0&amp;m=0&amp;s=0&amp;cv=461</v>
      </c>
    </row>
    <row r="1365" spans="1:4" x14ac:dyDescent="0.15">
      <c r="A1365" s="66" t="s">
        <v>5227</v>
      </c>
      <c r="B1365" s="6" t="s">
        <v>5167</v>
      </c>
      <c r="C1365" s="6">
        <v>463</v>
      </c>
      <c r="D1365" s="6" t="str">
        <f>HYPERLINK("https://rmda.kulib.kyoto-u.ac.jp/item/rb00000426#?c=0&amp;m=0&amp;s=0&amp;cv=462")</f>
        <v>https://rmda.kulib.kyoto-u.ac.jp/item/rb00000426#?c=0&amp;m=0&amp;s=0&amp;cv=462</v>
      </c>
    </row>
    <row r="1366" spans="1:4" x14ac:dyDescent="0.15">
      <c r="A1366" s="66" t="s">
        <v>5227</v>
      </c>
      <c r="B1366" s="6" t="s">
        <v>5168</v>
      </c>
      <c r="C1366" s="6">
        <v>464</v>
      </c>
      <c r="D1366" s="6" t="str">
        <f>HYPERLINK("https://rmda.kulib.kyoto-u.ac.jp/item/rb00000426#?c=0&amp;m=0&amp;s=0&amp;cv=463")</f>
        <v>https://rmda.kulib.kyoto-u.ac.jp/item/rb00000426#?c=0&amp;m=0&amp;s=0&amp;cv=463</v>
      </c>
    </row>
    <row r="1367" spans="1:4" x14ac:dyDescent="0.15">
      <c r="A1367" s="66" t="s">
        <v>5227</v>
      </c>
      <c r="B1367" s="6" t="s">
        <v>5169</v>
      </c>
      <c r="C1367" s="6">
        <v>464</v>
      </c>
      <c r="D1367" s="6" t="str">
        <f>HYPERLINK("https://rmda.kulib.kyoto-u.ac.jp/item/rb00000426#?c=0&amp;m=0&amp;s=0&amp;cv=463")</f>
        <v>https://rmda.kulib.kyoto-u.ac.jp/item/rb00000426#?c=0&amp;m=0&amp;s=0&amp;cv=463</v>
      </c>
    </row>
    <row r="1368" spans="1:4" x14ac:dyDescent="0.15">
      <c r="A1368" s="66" t="s">
        <v>5227</v>
      </c>
      <c r="B1368" s="6" t="s">
        <v>5170</v>
      </c>
      <c r="C1368" s="6">
        <v>466</v>
      </c>
      <c r="D1368" s="6" t="str">
        <f>HYPERLINK("https://rmda.kulib.kyoto-u.ac.jp/item/rb00000426#?c=0&amp;m=0&amp;s=0&amp;cv=465")</f>
        <v>https://rmda.kulib.kyoto-u.ac.jp/item/rb00000426#?c=0&amp;m=0&amp;s=0&amp;cv=465</v>
      </c>
    </row>
    <row r="1369" spans="1:4" x14ac:dyDescent="0.15">
      <c r="A1369" s="66" t="s">
        <v>5227</v>
      </c>
      <c r="B1369" s="6" t="s">
        <v>5171</v>
      </c>
      <c r="C1369" s="6">
        <v>467</v>
      </c>
      <c r="D1369" s="6" t="str">
        <f>HYPERLINK("https://rmda.kulib.kyoto-u.ac.jp/item/rb00000426#?c=0&amp;m=0&amp;s=0&amp;cv=466")</f>
        <v>https://rmda.kulib.kyoto-u.ac.jp/item/rb00000426#?c=0&amp;m=0&amp;s=0&amp;cv=466</v>
      </c>
    </row>
    <row r="1370" spans="1:4" x14ac:dyDescent="0.15">
      <c r="A1370" s="66" t="s">
        <v>5227</v>
      </c>
      <c r="B1370" s="72" t="s">
        <v>5172</v>
      </c>
      <c r="C1370" s="6">
        <v>469</v>
      </c>
      <c r="D1370" s="6" t="str">
        <f>HYPERLINK("https://rmda.kulib.kyoto-u.ac.jp/item/rb00000426#?c=0&amp;m=0&amp;s=0&amp;cv=468")</f>
        <v>https://rmda.kulib.kyoto-u.ac.jp/item/rb00000426#?c=0&amp;m=0&amp;s=0&amp;cv=468</v>
      </c>
    </row>
    <row r="1371" spans="1:4" x14ac:dyDescent="0.15">
      <c r="A1371" s="66" t="s">
        <v>5227</v>
      </c>
      <c r="B1371" s="6" t="s">
        <v>5173</v>
      </c>
      <c r="C1371" s="6">
        <v>469</v>
      </c>
      <c r="D1371" s="6" t="str">
        <f>HYPERLINK("https://rmda.kulib.kyoto-u.ac.jp/item/rb00000426#?c=0&amp;m=0&amp;s=0&amp;cv=468")</f>
        <v>https://rmda.kulib.kyoto-u.ac.jp/item/rb00000426#?c=0&amp;m=0&amp;s=0&amp;cv=468</v>
      </c>
    </row>
    <row r="1372" spans="1:4" x14ac:dyDescent="0.15">
      <c r="A1372" s="66" t="s">
        <v>5227</v>
      </c>
      <c r="B1372" s="6" t="s">
        <v>5174</v>
      </c>
      <c r="C1372" s="6">
        <v>470</v>
      </c>
      <c r="D1372" s="6" t="str">
        <f>HYPERLINK("https://rmda.kulib.kyoto-u.ac.jp/item/rb00000426#?c=0&amp;m=0&amp;s=0&amp;cv=469")</f>
        <v>https://rmda.kulib.kyoto-u.ac.jp/item/rb00000426#?c=0&amp;m=0&amp;s=0&amp;cv=469</v>
      </c>
    </row>
    <row r="1373" spans="1:4" x14ac:dyDescent="0.15">
      <c r="A1373" s="66" t="s">
        <v>5227</v>
      </c>
      <c r="B1373" s="6" t="s">
        <v>5094</v>
      </c>
      <c r="C1373" s="6">
        <v>471</v>
      </c>
      <c r="D1373" s="6" t="str">
        <f>HYPERLINK("https://rmda.kulib.kyoto-u.ac.jp/item/rb00000426#?c=0&amp;m=0&amp;s=0&amp;cv=470")</f>
        <v>https://rmda.kulib.kyoto-u.ac.jp/item/rb00000426#?c=0&amp;m=0&amp;s=0&amp;cv=470</v>
      </c>
    </row>
    <row r="1374" spans="1:4" x14ac:dyDescent="0.15">
      <c r="A1374" s="66" t="s">
        <v>5227</v>
      </c>
      <c r="B1374" s="6" t="s">
        <v>5175</v>
      </c>
      <c r="C1374" s="6">
        <v>472</v>
      </c>
      <c r="D1374" s="6" t="str">
        <f>HYPERLINK("https://rmda.kulib.kyoto-u.ac.jp/item/rb00000426#?c=0&amp;m=0&amp;s=0&amp;cv=471")</f>
        <v>https://rmda.kulib.kyoto-u.ac.jp/item/rb00000426#?c=0&amp;m=0&amp;s=0&amp;cv=471</v>
      </c>
    </row>
    <row r="1375" spans="1:4" x14ac:dyDescent="0.15">
      <c r="A1375" s="66" t="s">
        <v>5227</v>
      </c>
      <c r="B1375" s="6" t="s">
        <v>5176</v>
      </c>
      <c r="C1375" s="6">
        <v>473</v>
      </c>
      <c r="D1375" s="6" t="str">
        <f>HYPERLINK("https://rmda.kulib.kyoto-u.ac.jp/item/rb00000426#?c=0&amp;m=0&amp;s=0&amp;cv=472")</f>
        <v>https://rmda.kulib.kyoto-u.ac.jp/item/rb00000426#?c=0&amp;m=0&amp;s=0&amp;cv=472</v>
      </c>
    </row>
    <row r="1376" spans="1:4" x14ac:dyDescent="0.15">
      <c r="A1376" s="66" t="s">
        <v>5227</v>
      </c>
      <c r="B1376" s="6" t="s">
        <v>5177</v>
      </c>
      <c r="C1376" s="6">
        <v>474</v>
      </c>
      <c r="D1376" s="6" t="str">
        <f>HYPERLINK("https://rmda.kulib.kyoto-u.ac.jp/item/rb00000426#?c=0&amp;m=0&amp;s=0&amp;cv=473")</f>
        <v>https://rmda.kulib.kyoto-u.ac.jp/item/rb00000426#?c=0&amp;m=0&amp;s=0&amp;cv=473</v>
      </c>
    </row>
    <row r="1377" spans="1:4" x14ac:dyDescent="0.15">
      <c r="A1377" s="66" t="s">
        <v>5227</v>
      </c>
      <c r="B1377" s="6" t="s">
        <v>5178</v>
      </c>
      <c r="C1377" s="6">
        <v>475</v>
      </c>
      <c r="D1377" s="6" t="str">
        <f>HYPERLINK("https://rmda.kulib.kyoto-u.ac.jp/item/rb00000426#?c=0&amp;m=0&amp;s=0&amp;cv=474")</f>
        <v>https://rmda.kulib.kyoto-u.ac.jp/item/rb00000426#?c=0&amp;m=0&amp;s=0&amp;cv=474</v>
      </c>
    </row>
    <row r="1378" spans="1:4" x14ac:dyDescent="0.15">
      <c r="A1378" s="66" t="s">
        <v>5227</v>
      </c>
      <c r="B1378" s="6" t="s">
        <v>5179</v>
      </c>
      <c r="C1378" s="6">
        <v>476</v>
      </c>
      <c r="D1378" s="6" t="str">
        <f>HYPERLINK("https://rmda.kulib.kyoto-u.ac.jp/item/rb00000426#?c=0&amp;m=0&amp;s=0&amp;cv=475")</f>
        <v>https://rmda.kulib.kyoto-u.ac.jp/item/rb00000426#?c=0&amp;m=0&amp;s=0&amp;cv=475</v>
      </c>
    </row>
    <row r="1379" spans="1:4" x14ac:dyDescent="0.15">
      <c r="A1379" s="66" t="s">
        <v>5227</v>
      </c>
      <c r="B1379" s="6" t="s">
        <v>5180</v>
      </c>
      <c r="C1379" s="6">
        <v>478</v>
      </c>
      <c r="D1379" s="6" t="str">
        <f>HYPERLINK("https://rmda.kulib.kyoto-u.ac.jp/item/rb00000426#?c=0&amp;m=0&amp;s=0&amp;cv=477")</f>
        <v>https://rmda.kulib.kyoto-u.ac.jp/item/rb00000426#?c=0&amp;m=0&amp;s=0&amp;cv=477</v>
      </c>
    </row>
    <row r="1380" spans="1:4" x14ac:dyDescent="0.15">
      <c r="A1380" s="66" t="s">
        <v>5227</v>
      </c>
      <c r="B1380" s="6" t="s">
        <v>5181</v>
      </c>
      <c r="C1380" s="6">
        <v>479</v>
      </c>
      <c r="D1380" s="6" t="str">
        <f>HYPERLINK("https://rmda.kulib.kyoto-u.ac.jp/item/rb00000426#?c=0&amp;m=0&amp;s=0&amp;cv=478")</f>
        <v>https://rmda.kulib.kyoto-u.ac.jp/item/rb00000426#?c=0&amp;m=0&amp;s=0&amp;cv=478</v>
      </c>
    </row>
    <row r="1381" spans="1:4" x14ac:dyDescent="0.15">
      <c r="A1381" s="66" t="s">
        <v>5227</v>
      </c>
      <c r="B1381" s="6" t="s">
        <v>5182</v>
      </c>
      <c r="C1381" s="6">
        <v>480</v>
      </c>
      <c r="D1381" s="6" t="str">
        <f>HYPERLINK("https://rmda.kulib.kyoto-u.ac.jp/item/rb00000426#?c=0&amp;m=0&amp;s=0&amp;cv=479")</f>
        <v>https://rmda.kulib.kyoto-u.ac.jp/item/rb00000426#?c=0&amp;m=0&amp;s=0&amp;cv=479</v>
      </c>
    </row>
    <row r="1382" spans="1:4" x14ac:dyDescent="0.15">
      <c r="A1382" s="66" t="s">
        <v>5227</v>
      </c>
      <c r="B1382" s="6" t="s">
        <v>5183</v>
      </c>
      <c r="C1382" s="6">
        <v>481</v>
      </c>
      <c r="D1382" s="6" t="str">
        <f>HYPERLINK("https://rmda.kulib.kyoto-u.ac.jp/item/rb00000426#?c=0&amp;m=0&amp;s=0&amp;cv=480")</f>
        <v>https://rmda.kulib.kyoto-u.ac.jp/item/rb00000426#?c=0&amp;m=0&amp;s=0&amp;cv=480</v>
      </c>
    </row>
    <row r="1383" spans="1:4" x14ac:dyDescent="0.15">
      <c r="A1383" s="66" t="s">
        <v>5227</v>
      </c>
      <c r="B1383" s="6" t="s">
        <v>5184</v>
      </c>
      <c r="C1383" s="6">
        <v>482</v>
      </c>
      <c r="D1383" s="6" t="str">
        <f>HYPERLINK("https://rmda.kulib.kyoto-u.ac.jp/item/rb00000426#?c=0&amp;m=0&amp;s=0&amp;cv=481")</f>
        <v>https://rmda.kulib.kyoto-u.ac.jp/item/rb00000426#?c=0&amp;m=0&amp;s=0&amp;cv=481</v>
      </c>
    </row>
    <row r="1384" spans="1:4" x14ac:dyDescent="0.15">
      <c r="A1384" s="66" t="s">
        <v>5227</v>
      </c>
      <c r="B1384" s="6" t="s">
        <v>5185</v>
      </c>
      <c r="C1384" s="6">
        <v>482</v>
      </c>
      <c r="D1384" s="6" t="str">
        <f>HYPERLINK("https://rmda.kulib.kyoto-u.ac.jp/item/rb00000426#?c=0&amp;m=0&amp;s=0&amp;cv=481")</f>
        <v>https://rmda.kulib.kyoto-u.ac.jp/item/rb00000426#?c=0&amp;m=0&amp;s=0&amp;cv=481</v>
      </c>
    </row>
    <row r="1385" spans="1:4" x14ac:dyDescent="0.15">
      <c r="A1385" s="66" t="s">
        <v>5227</v>
      </c>
      <c r="B1385" s="72" t="s">
        <v>5186</v>
      </c>
      <c r="C1385" s="6">
        <v>486</v>
      </c>
      <c r="D1385" s="6" t="str">
        <f>HYPERLINK("https://rmda.kulib.kyoto-u.ac.jp/item/rb00000426#?c=0&amp;m=0&amp;s=0&amp;cv=485")</f>
        <v>https://rmda.kulib.kyoto-u.ac.jp/item/rb00000426#?c=0&amp;m=0&amp;s=0&amp;cv=485</v>
      </c>
    </row>
    <row r="1386" spans="1:4" x14ac:dyDescent="0.15">
      <c r="A1386" s="66" t="s">
        <v>5227</v>
      </c>
      <c r="B1386" s="63" t="s">
        <v>5187</v>
      </c>
      <c r="C1386" s="6">
        <v>486</v>
      </c>
      <c r="D1386" s="6" t="str">
        <f>HYPERLINK("https://rmda.kulib.kyoto-u.ac.jp/item/rb00000426#?c=0&amp;m=0&amp;s=0&amp;cv=485")</f>
        <v>https://rmda.kulib.kyoto-u.ac.jp/item/rb00000426#?c=0&amp;m=0&amp;s=0&amp;cv=485</v>
      </c>
    </row>
    <row r="1387" spans="1:4" x14ac:dyDescent="0.15">
      <c r="A1387" s="66" t="s">
        <v>5227</v>
      </c>
      <c r="B1387" s="6" t="s">
        <v>5188</v>
      </c>
      <c r="C1387" s="6">
        <v>486</v>
      </c>
      <c r="D1387" s="6" t="str">
        <f>HYPERLINK("https://rmda.kulib.kyoto-u.ac.jp/item/rb00000426#?c=0&amp;m=0&amp;s=0&amp;cv=485")</f>
        <v>https://rmda.kulib.kyoto-u.ac.jp/item/rb00000426#?c=0&amp;m=0&amp;s=0&amp;cv=485</v>
      </c>
    </row>
    <row r="1388" spans="1:4" x14ac:dyDescent="0.15">
      <c r="A1388" s="66" t="s">
        <v>5227</v>
      </c>
      <c r="B1388" s="6" t="s">
        <v>5189</v>
      </c>
      <c r="C1388" s="6">
        <v>494</v>
      </c>
      <c r="D1388" s="6" t="str">
        <f>HYPERLINK("https://rmda.kulib.kyoto-u.ac.jp/item/rb00000426#?c=0&amp;m=0&amp;s=0&amp;cv=493")</f>
        <v>https://rmda.kulib.kyoto-u.ac.jp/item/rb00000426#?c=0&amp;m=0&amp;s=0&amp;cv=493</v>
      </c>
    </row>
    <row r="1389" spans="1:4" x14ac:dyDescent="0.15">
      <c r="A1389" s="66" t="s">
        <v>5227</v>
      </c>
      <c r="B1389" s="6" t="s">
        <v>5190</v>
      </c>
      <c r="C1389" s="6">
        <v>498</v>
      </c>
      <c r="D1389" s="6" t="str">
        <f>HYPERLINK("https://rmda.kulib.kyoto-u.ac.jp/item/rb00000426#?c=0&amp;m=0&amp;s=0&amp;cv=497")</f>
        <v>https://rmda.kulib.kyoto-u.ac.jp/item/rb00000426#?c=0&amp;m=0&amp;s=0&amp;cv=497</v>
      </c>
    </row>
    <row r="1390" spans="1:4" x14ac:dyDescent="0.15">
      <c r="A1390" s="66" t="s">
        <v>5227</v>
      </c>
      <c r="B1390" s="6" t="s">
        <v>5191</v>
      </c>
      <c r="C1390" s="6">
        <v>504</v>
      </c>
      <c r="D1390" s="6" t="str">
        <f>HYPERLINK("https://rmda.kulib.kyoto-u.ac.jp/item/rb00000426#?c=0&amp;m=0&amp;s=0&amp;cv=503")</f>
        <v>https://rmda.kulib.kyoto-u.ac.jp/item/rb00000426#?c=0&amp;m=0&amp;s=0&amp;cv=503</v>
      </c>
    </row>
    <row r="1391" spans="1:4" x14ac:dyDescent="0.15">
      <c r="A1391" s="66" t="s">
        <v>5227</v>
      </c>
      <c r="B1391" s="6" t="s">
        <v>5192</v>
      </c>
      <c r="C1391" s="6">
        <v>509</v>
      </c>
      <c r="D1391" s="6" t="str">
        <f>HYPERLINK("https://rmda.kulib.kyoto-u.ac.jp/item/rb00000426#?c=0&amp;m=0&amp;s=0&amp;cv=508")</f>
        <v>https://rmda.kulib.kyoto-u.ac.jp/item/rb00000426#?c=0&amp;m=0&amp;s=0&amp;cv=508</v>
      </c>
    </row>
    <row r="1392" spans="1:4" x14ac:dyDescent="0.15">
      <c r="A1392" s="66" t="s">
        <v>5227</v>
      </c>
      <c r="B1392" s="6" t="s">
        <v>5193</v>
      </c>
      <c r="C1392" s="6">
        <v>514</v>
      </c>
      <c r="D1392" s="6" t="str">
        <f>HYPERLINK("https://rmda.kulib.kyoto-u.ac.jp/item/rb00000426#?c=0&amp;m=0&amp;s=0&amp;cv=513")</f>
        <v>https://rmda.kulib.kyoto-u.ac.jp/item/rb00000426#?c=0&amp;m=0&amp;s=0&amp;cv=513</v>
      </c>
    </row>
    <row r="1393" spans="1:4" x14ac:dyDescent="0.15">
      <c r="A1393" s="66" t="s">
        <v>5227</v>
      </c>
      <c r="B1393" s="6" t="s">
        <v>5194</v>
      </c>
      <c r="C1393" s="6">
        <v>517</v>
      </c>
      <c r="D1393" s="6" t="str">
        <f>HYPERLINK("https://rmda.kulib.kyoto-u.ac.jp/item/rb00000426#?c=0&amp;m=0&amp;s=0&amp;cv=516")</f>
        <v>https://rmda.kulib.kyoto-u.ac.jp/item/rb00000426#?c=0&amp;m=0&amp;s=0&amp;cv=516</v>
      </c>
    </row>
    <row r="1394" spans="1:4" x14ac:dyDescent="0.15">
      <c r="A1394" s="66" t="s">
        <v>5227</v>
      </c>
      <c r="B1394" s="6" t="s">
        <v>5195</v>
      </c>
      <c r="C1394" s="6">
        <v>520</v>
      </c>
      <c r="D1394" s="6" t="str">
        <f>HYPERLINK("https://rmda.kulib.kyoto-u.ac.jp/item/rb00000426#?c=0&amp;m=0&amp;s=0&amp;cv=519")</f>
        <v>https://rmda.kulib.kyoto-u.ac.jp/item/rb00000426#?c=0&amp;m=0&amp;s=0&amp;cv=519</v>
      </c>
    </row>
    <row r="1395" spans="1:4" x14ac:dyDescent="0.15">
      <c r="A1395" s="66" t="s">
        <v>5227</v>
      </c>
      <c r="B1395" s="6" t="s">
        <v>5196</v>
      </c>
      <c r="C1395" s="6">
        <v>523</v>
      </c>
      <c r="D1395" s="6" t="str">
        <f>HYPERLINK("https://rmda.kulib.kyoto-u.ac.jp/item/rb00000426#?c=0&amp;m=0&amp;s=0&amp;cv=522")</f>
        <v>https://rmda.kulib.kyoto-u.ac.jp/item/rb00000426#?c=0&amp;m=0&amp;s=0&amp;cv=522</v>
      </c>
    </row>
    <row r="1396" spans="1:4" x14ac:dyDescent="0.15">
      <c r="A1396" s="66" t="s">
        <v>5227</v>
      </c>
      <c r="B1396" s="6" t="s">
        <v>5197</v>
      </c>
      <c r="C1396" s="6">
        <v>525</v>
      </c>
      <c r="D1396" s="6" t="str">
        <f>HYPERLINK("https://rmda.kulib.kyoto-u.ac.jp/item/rb00000426#?c=0&amp;m=0&amp;s=0&amp;cv=524")</f>
        <v>https://rmda.kulib.kyoto-u.ac.jp/item/rb00000426#?c=0&amp;m=0&amp;s=0&amp;cv=524</v>
      </c>
    </row>
    <row r="1397" spans="1:4" x14ac:dyDescent="0.15">
      <c r="A1397" s="66" t="s">
        <v>5227</v>
      </c>
      <c r="B1397" s="6" t="s">
        <v>5198</v>
      </c>
      <c r="C1397" s="6">
        <v>529</v>
      </c>
      <c r="D1397" s="6" t="str">
        <f>HYPERLINK("https://rmda.kulib.kyoto-u.ac.jp/item/rb00000426#?c=0&amp;m=0&amp;s=0&amp;cv=528")</f>
        <v>https://rmda.kulib.kyoto-u.ac.jp/item/rb00000426#?c=0&amp;m=0&amp;s=0&amp;cv=528</v>
      </c>
    </row>
    <row r="1398" spans="1:4" x14ac:dyDescent="0.15">
      <c r="A1398" s="66" t="s">
        <v>5227</v>
      </c>
      <c r="B1398" s="6" t="s">
        <v>5199</v>
      </c>
      <c r="C1398" s="6">
        <v>531</v>
      </c>
      <c r="D1398" s="6" t="str">
        <f>HYPERLINK("https://rmda.kulib.kyoto-u.ac.jp/item/rb00000426#?c=0&amp;m=0&amp;s=0&amp;cv=530")</f>
        <v>https://rmda.kulib.kyoto-u.ac.jp/item/rb00000426#?c=0&amp;m=0&amp;s=0&amp;cv=530</v>
      </c>
    </row>
    <row r="1399" spans="1:4" x14ac:dyDescent="0.15">
      <c r="A1399" s="66" t="s">
        <v>5227</v>
      </c>
      <c r="B1399" s="6" t="s">
        <v>5200</v>
      </c>
      <c r="C1399" s="6">
        <v>535</v>
      </c>
      <c r="D1399" s="6" t="str">
        <f>HYPERLINK("https://rmda.kulib.kyoto-u.ac.jp/item/rb00000426#?c=0&amp;m=0&amp;s=0&amp;cv=534")</f>
        <v>https://rmda.kulib.kyoto-u.ac.jp/item/rb00000426#?c=0&amp;m=0&amp;s=0&amp;cv=534</v>
      </c>
    </row>
    <row r="1400" spans="1:4" x14ac:dyDescent="0.15">
      <c r="A1400" s="66" t="s">
        <v>5227</v>
      </c>
      <c r="B1400" s="6" t="s">
        <v>5201</v>
      </c>
      <c r="C1400" s="6">
        <v>538</v>
      </c>
      <c r="D1400" s="6" t="str">
        <f>HYPERLINK("https://rmda.kulib.kyoto-u.ac.jp/item/rb00000426#?c=0&amp;m=0&amp;s=0&amp;cv=537")</f>
        <v>https://rmda.kulib.kyoto-u.ac.jp/item/rb00000426#?c=0&amp;m=0&amp;s=0&amp;cv=537</v>
      </c>
    </row>
    <row r="1401" spans="1:4" x14ac:dyDescent="0.15">
      <c r="A1401" s="66" t="s">
        <v>5227</v>
      </c>
      <c r="B1401" s="6" t="s">
        <v>5202</v>
      </c>
      <c r="C1401" s="6">
        <v>541</v>
      </c>
      <c r="D1401" s="6" t="str">
        <f>HYPERLINK("https://rmda.kulib.kyoto-u.ac.jp/item/rb00000426#?c=0&amp;m=0&amp;s=0&amp;cv=540")</f>
        <v>https://rmda.kulib.kyoto-u.ac.jp/item/rb00000426#?c=0&amp;m=0&amp;s=0&amp;cv=540</v>
      </c>
    </row>
    <row r="1402" spans="1:4" x14ac:dyDescent="0.15">
      <c r="A1402" s="8" t="s">
        <v>5228</v>
      </c>
      <c r="B1402" s="11" t="s">
        <v>120</v>
      </c>
      <c r="C1402" s="6"/>
      <c r="D1402" s="6"/>
    </row>
    <row r="1403" spans="1:4" x14ac:dyDescent="0.15">
      <c r="A1403" s="84" t="s">
        <v>5509</v>
      </c>
      <c r="B1403" s="71" t="s">
        <v>5233</v>
      </c>
      <c r="C1403" s="63"/>
      <c r="D1403" s="9" t="s">
        <v>1100</v>
      </c>
    </row>
    <row r="1404" spans="1:4" x14ac:dyDescent="0.15">
      <c r="A1404" s="6"/>
      <c r="B1404" s="71" t="s">
        <v>5230</v>
      </c>
      <c r="C1404" s="63"/>
      <c r="D1404" s="9"/>
    </row>
    <row r="1405" spans="1:4" x14ac:dyDescent="0.15">
      <c r="A1405" s="6" t="s">
        <v>122</v>
      </c>
      <c r="B1405" s="6" t="s">
        <v>3649</v>
      </c>
      <c r="C1405" s="6">
        <v>4</v>
      </c>
      <c r="D1405" s="6" t="str">
        <f>HYPERLINK("https://rmda.kulib.kyoto-u.ac.jp/item/rb00002248#?c=0&amp;m=0&amp;s=0&amp;cv=3")</f>
        <v>https://rmda.kulib.kyoto-u.ac.jp/item/rb00002248#?c=0&amp;m=0&amp;s=0&amp;cv=3</v>
      </c>
    </row>
    <row r="1406" spans="1:4" x14ac:dyDescent="0.15">
      <c r="A1406" s="6" t="s">
        <v>122</v>
      </c>
      <c r="B1406" s="119" t="s">
        <v>5514</v>
      </c>
      <c r="C1406" s="6">
        <v>8</v>
      </c>
      <c r="D1406" s="6" t="str">
        <f>HYPERLINK("https://rmda.kulib.kyoto-u.ac.jp/item/rb00002248#?c=0&amp;m=0&amp;s=0&amp;cv=7")</f>
        <v>https://rmda.kulib.kyoto-u.ac.jp/item/rb00002248#?c=0&amp;m=0&amp;s=0&amp;cv=7</v>
      </c>
    </row>
    <row r="1407" spans="1:4" x14ac:dyDescent="0.15">
      <c r="A1407" s="6" t="s">
        <v>122</v>
      </c>
      <c r="B1407" s="6" t="s">
        <v>4069</v>
      </c>
      <c r="C1407" s="6">
        <v>8</v>
      </c>
      <c r="D1407" s="6" t="str">
        <f>HYPERLINK("https://rmda.kulib.kyoto-u.ac.jp/item/rb00002248#?c=0&amp;m=0&amp;s=0&amp;cv=7")</f>
        <v>https://rmda.kulib.kyoto-u.ac.jp/item/rb00002248#?c=0&amp;m=0&amp;s=0&amp;cv=7</v>
      </c>
    </row>
    <row r="1408" spans="1:4" x14ac:dyDescent="0.15">
      <c r="A1408" s="6" t="s">
        <v>122</v>
      </c>
      <c r="B1408" s="6" t="s">
        <v>4070</v>
      </c>
      <c r="C1408" s="6">
        <v>13</v>
      </c>
      <c r="D1408" s="6" t="str">
        <f>HYPERLINK("https://rmda.kulib.kyoto-u.ac.jp/item/rb00002248#?c=0&amp;m=0&amp;s=0&amp;cv=12")</f>
        <v>https://rmda.kulib.kyoto-u.ac.jp/item/rb00002248#?c=0&amp;m=0&amp;s=0&amp;cv=12</v>
      </c>
    </row>
    <row r="1409" spans="1:4" x14ac:dyDescent="0.15">
      <c r="A1409" s="6" t="s">
        <v>122</v>
      </c>
      <c r="B1409" s="6" t="s">
        <v>4071</v>
      </c>
      <c r="C1409" s="6">
        <v>15</v>
      </c>
      <c r="D1409" s="6" t="str">
        <f>HYPERLINK("https://rmda.kulib.kyoto-u.ac.jp/item/rb00002248#?c=0&amp;m=0&amp;s=0&amp;cv=14")</f>
        <v>https://rmda.kulib.kyoto-u.ac.jp/item/rb00002248#?c=0&amp;m=0&amp;s=0&amp;cv=14</v>
      </c>
    </row>
    <row r="1410" spans="1:4" x14ac:dyDescent="0.15">
      <c r="A1410" s="6" t="s">
        <v>122</v>
      </c>
      <c r="B1410" s="6" t="s">
        <v>4072</v>
      </c>
      <c r="C1410" s="6">
        <v>15</v>
      </c>
      <c r="D1410" s="6" t="str">
        <f>HYPERLINK("https://rmda.kulib.kyoto-u.ac.jp/item/rb00002248#?c=0&amp;m=0&amp;s=0&amp;cv=14")</f>
        <v>https://rmda.kulib.kyoto-u.ac.jp/item/rb00002248#?c=0&amp;m=0&amp;s=0&amp;cv=14</v>
      </c>
    </row>
    <row r="1411" spans="1:4" x14ac:dyDescent="0.15">
      <c r="A1411" s="6" t="s">
        <v>122</v>
      </c>
      <c r="B1411" s="6" t="s">
        <v>4073</v>
      </c>
      <c r="C1411" s="6">
        <v>18</v>
      </c>
      <c r="D1411" s="6" t="str">
        <f>HYPERLINK("https://rmda.kulib.kyoto-u.ac.jp/item/rb00002248#?c=0&amp;m=0&amp;s=0&amp;cv=17")</f>
        <v>https://rmda.kulib.kyoto-u.ac.jp/item/rb00002248#?c=0&amp;m=0&amp;s=0&amp;cv=17</v>
      </c>
    </row>
    <row r="1412" spans="1:4" x14ac:dyDescent="0.15">
      <c r="A1412" s="6" t="s">
        <v>122</v>
      </c>
      <c r="B1412" s="6" t="s">
        <v>4074</v>
      </c>
      <c r="C1412" s="6">
        <v>19</v>
      </c>
      <c r="D1412" s="6" t="str">
        <f>HYPERLINK("https://rmda.kulib.kyoto-u.ac.jp/item/rb00002248#?c=0&amp;m=0&amp;s=0&amp;cv=18")</f>
        <v>https://rmda.kulib.kyoto-u.ac.jp/item/rb00002248#?c=0&amp;m=0&amp;s=0&amp;cv=18</v>
      </c>
    </row>
    <row r="1413" spans="1:4" x14ac:dyDescent="0.15">
      <c r="A1413" s="6" t="s">
        <v>122</v>
      </c>
      <c r="B1413" s="6" t="s">
        <v>4075</v>
      </c>
      <c r="C1413" s="6">
        <v>20</v>
      </c>
      <c r="D1413" s="6" t="str">
        <f>HYPERLINK("https://rmda.kulib.kyoto-u.ac.jp/item/rb00002248#?c=0&amp;m=0&amp;s=0&amp;cv=19")</f>
        <v>https://rmda.kulib.kyoto-u.ac.jp/item/rb00002248#?c=0&amp;m=0&amp;s=0&amp;cv=19</v>
      </c>
    </row>
    <row r="1414" spans="1:4" x14ac:dyDescent="0.15">
      <c r="A1414" s="6" t="s">
        <v>122</v>
      </c>
      <c r="B1414" s="6" t="s">
        <v>4076</v>
      </c>
      <c r="C1414" s="6">
        <v>20</v>
      </c>
      <c r="D1414" s="6" t="str">
        <f>HYPERLINK("https://rmda.kulib.kyoto-u.ac.jp/item/rb00002248#?c=0&amp;m=0&amp;s=0&amp;cv=19")</f>
        <v>https://rmda.kulib.kyoto-u.ac.jp/item/rb00002248#?c=0&amp;m=0&amp;s=0&amp;cv=19</v>
      </c>
    </row>
    <row r="1415" spans="1:4" x14ac:dyDescent="0.15">
      <c r="A1415" s="6" t="s">
        <v>122</v>
      </c>
      <c r="B1415" s="6" t="s">
        <v>4077</v>
      </c>
      <c r="C1415" s="6">
        <v>22</v>
      </c>
      <c r="D1415" s="6" t="str">
        <f>HYPERLINK("https://rmda.kulib.kyoto-u.ac.jp/item/rb00002248#?c=0&amp;m=0&amp;s=0&amp;cv=21")</f>
        <v>https://rmda.kulib.kyoto-u.ac.jp/item/rb00002248#?c=0&amp;m=0&amp;s=0&amp;cv=21</v>
      </c>
    </row>
    <row r="1416" spans="1:4" x14ac:dyDescent="0.15">
      <c r="A1416" s="6" t="s">
        <v>122</v>
      </c>
      <c r="B1416" s="6" t="s">
        <v>4078</v>
      </c>
      <c r="C1416" s="6">
        <v>24</v>
      </c>
      <c r="D1416" s="6" t="str">
        <f>HYPERLINK("https://rmda.kulib.kyoto-u.ac.jp/item/rb00002248#?c=0&amp;m=0&amp;s=0&amp;cv=23")</f>
        <v>https://rmda.kulib.kyoto-u.ac.jp/item/rb00002248#?c=0&amp;m=0&amp;s=0&amp;cv=23</v>
      </c>
    </row>
    <row r="1417" spans="1:4" x14ac:dyDescent="0.15">
      <c r="A1417" s="6" t="s">
        <v>122</v>
      </c>
      <c r="B1417" s="6" t="s">
        <v>4079</v>
      </c>
      <c r="C1417" s="6">
        <v>26</v>
      </c>
      <c r="D1417" s="6" t="str">
        <f>HYPERLINK("https://rmda.kulib.kyoto-u.ac.jp/item/rb00002248#?c=0&amp;m=0&amp;s=0&amp;cv=25")</f>
        <v>https://rmda.kulib.kyoto-u.ac.jp/item/rb00002248#?c=0&amp;m=0&amp;s=0&amp;cv=25</v>
      </c>
    </row>
    <row r="1418" spans="1:4" x14ac:dyDescent="0.15">
      <c r="A1418" s="6" t="s">
        <v>122</v>
      </c>
      <c r="B1418" s="6" t="s">
        <v>4080</v>
      </c>
      <c r="C1418" s="6">
        <v>34</v>
      </c>
      <c r="D1418" s="6" t="str">
        <f>HYPERLINK("https://rmda.kulib.kyoto-u.ac.jp/item/rb00002248#?c=0&amp;m=0&amp;s=0&amp;cv=33")</f>
        <v>https://rmda.kulib.kyoto-u.ac.jp/item/rb00002248#?c=0&amp;m=0&amp;s=0&amp;cv=33</v>
      </c>
    </row>
    <row r="1419" spans="1:4" x14ac:dyDescent="0.15">
      <c r="A1419" s="6" t="s">
        <v>122</v>
      </c>
      <c r="B1419" s="6" t="s">
        <v>4081</v>
      </c>
      <c r="C1419" s="6">
        <v>34</v>
      </c>
      <c r="D1419" s="6" t="str">
        <f>HYPERLINK("https://rmda.kulib.kyoto-u.ac.jp/item/rb00002248#?c=0&amp;m=0&amp;s=0&amp;cv=33")</f>
        <v>https://rmda.kulib.kyoto-u.ac.jp/item/rb00002248#?c=0&amp;m=0&amp;s=0&amp;cv=33</v>
      </c>
    </row>
    <row r="1420" spans="1:4" x14ac:dyDescent="0.15">
      <c r="A1420" s="6" t="s">
        <v>122</v>
      </c>
      <c r="B1420" s="6" t="s">
        <v>4082</v>
      </c>
      <c r="C1420" s="6">
        <v>35</v>
      </c>
      <c r="D1420" s="6" t="str">
        <f>HYPERLINK("https://rmda.kulib.kyoto-u.ac.jp/item/rb00002248#?c=0&amp;m=0&amp;s=0&amp;cv=34")</f>
        <v>https://rmda.kulib.kyoto-u.ac.jp/item/rb00002248#?c=0&amp;m=0&amp;s=0&amp;cv=34</v>
      </c>
    </row>
    <row r="1421" spans="1:4" x14ac:dyDescent="0.15">
      <c r="A1421" s="6" t="s">
        <v>122</v>
      </c>
      <c r="B1421" s="6" t="s">
        <v>4083</v>
      </c>
      <c r="C1421" s="6">
        <v>36</v>
      </c>
      <c r="D1421" s="6" t="str">
        <f>HYPERLINK("https://rmda.kulib.kyoto-u.ac.jp/item/rb00002248#?c=0&amp;m=0&amp;s=0&amp;cv=35")</f>
        <v>https://rmda.kulib.kyoto-u.ac.jp/item/rb00002248#?c=0&amp;m=0&amp;s=0&amp;cv=35</v>
      </c>
    </row>
    <row r="1422" spans="1:4" x14ac:dyDescent="0.15">
      <c r="A1422" s="6" t="s">
        <v>122</v>
      </c>
      <c r="B1422" s="6" t="s">
        <v>4084</v>
      </c>
      <c r="C1422" s="6">
        <v>36</v>
      </c>
      <c r="D1422" s="6" t="str">
        <f>HYPERLINK("https://rmda.kulib.kyoto-u.ac.jp/item/rb00002248#?c=0&amp;m=0&amp;s=0&amp;cv=35")</f>
        <v>https://rmda.kulib.kyoto-u.ac.jp/item/rb00002248#?c=0&amp;m=0&amp;s=0&amp;cv=35</v>
      </c>
    </row>
    <row r="1423" spans="1:4" x14ac:dyDescent="0.15">
      <c r="A1423" s="6" t="s">
        <v>122</v>
      </c>
      <c r="B1423" s="6" t="s">
        <v>4085</v>
      </c>
      <c r="C1423" s="6">
        <v>37</v>
      </c>
      <c r="D1423" s="6" t="str">
        <f>HYPERLINK("https://rmda.kulib.kyoto-u.ac.jp/item/rb00002248#?c=0&amp;m=0&amp;s=0&amp;cv=36")</f>
        <v>https://rmda.kulib.kyoto-u.ac.jp/item/rb00002248#?c=0&amp;m=0&amp;s=0&amp;cv=36</v>
      </c>
    </row>
    <row r="1424" spans="1:4" x14ac:dyDescent="0.15">
      <c r="A1424" s="6" t="s">
        <v>122</v>
      </c>
      <c r="B1424" s="6" t="s">
        <v>4086</v>
      </c>
      <c r="C1424" s="6">
        <v>37</v>
      </c>
      <c r="D1424" s="6" t="str">
        <f>HYPERLINK("https://rmda.kulib.kyoto-u.ac.jp/item/rb00002248#?c=0&amp;m=0&amp;s=0&amp;cv=36")</f>
        <v>https://rmda.kulib.kyoto-u.ac.jp/item/rb00002248#?c=0&amp;m=0&amp;s=0&amp;cv=36</v>
      </c>
    </row>
    <row r="1425" spans="1:4" x14ac:dyDescent="0.15">
      <c r="A1425" s="6" t="s">
        <v>122</v>
      </c>
      <c r="B1425" s="6" t="s">
        <v>4087</v>
      </c>
      <c r="C1425" s="6">
        <v>39</v>
      </c>
      <c r="D1425" s="6" t="str">
        <f>HYPERLINK("https://rmda.kulib.kyoto-u.ac.jp/item/rb00002248#?c=0&amp;m=0&amp;s=0&amp;cv=38")</f>
        <v>https://rmda.kulib.kyoto-u.ac.jp/item/rb00002248#?c=0&amp;m=0&amp;s=0&amp;cv=38</v>
      </c>
    </row>
    <row r="1426" spans="1:4" x14ac:dyDescent="0.15">
      <c r="A1426" s="6" t="s">
        <v>122</v>
      </c>
      <c r="B1426" s="6" t="s">
        <v>4088</v>
      </c>
      <c r="C1426" s="6">
        <v>39</v>
      </c>
      <c r="D1426" s="6" t="str">
        <f>HYPERLINK("https://rmda.kulib.kyoto-u.ac.jp/item/rb00002248#?c=0&amp;m=0&amp;s=0&amp;cv=38")</f>
        <v>https://rmda.kulib.kyoto-u.ac.jp/item/rb00002248#?c=0&amp;m=0&amp;s=0&amp;cv=38</v>
      </c>
    </row>
    <row r="1427" spans="1:4" x14ac:dyDescent="0.15">
      <c r="A1427" s="6" t="s">
        <v>122</v>
      </c>
      <c r="B1427" s="6" t="s">
        <v>4089</v>
      </c>
      <c r="C1427" s="6">
        <v>40</v>
      </c>
      <c r="D1427" s="6" t="str">
        <f>HYPERLINK("https://rmda.kulib.kyoto-u.ac.jp/item/rb00002248#?c=0&amp;m=0&amp;s=0&amp;cv=39")</f>
        <v>https://rmda.kulib.kyoto-u.ac.jp/item/rb00002248#?c=0&amp;m=0&amp;s=0&amp;cv=39</v>
      </c>
    </row>
    <row r="1428" spans="1:4" x14ac:dyDescent="0.15">
      <c r="A1428" s="6" t="s">
        <v>122</v>
      </c>
      <c r="B1428" s="6" t="s">
        <v>4090</v>
      </c>
      <c r="C1428" s="6">
        <v>41</v>
      </c>
      <c r="D1428" s="6" t="str">
        <f>HYPERLINK("https://rmda.kulib.kyoto-u.ac.jp/item/rb00002248#?c=0&amp;m=0&amp;s=0&amp;cv=40")</f>
        <v>https://rmda.kulib.kyoto-u.ac.jp/item/rb00002248#?c=0&amp;m=0&amp;s=0&amp;cv=40</v>
      </c>
    </row>
    <row r="1429" spans="1:4" x14ac:dyDescent="0.15">
      <c r="A1429" s="6" t="s">
        <v>122</v>
      </c>
      <c r="B1429" s="59" t="s">
        <v>5515</v>
      </c>
      <c r="C1429" s="6">
        <v>48</v>
      </c>
      <c r="D1429" s="6" t="str">
        <f>HYPERLINK("https://rmda.kulib.kyoto-u.ac.jp/item/rb00002248#?c=0&amp;m=0&amp;s=0&amp;cv=47")</f>
        <v>https://rmda.kulib.kyoto-u.ac.jp/item/rb00002248#?c=0&amp;m=0&amp;s=0&amp;cv=47</v>
      </c>
    </row>
    <row r="1430" spans="1:4" x14ac:dyDescent="0.15">
      <c r="A1430" s="6" t="s">
        <v>122</v>
      </c>
      <c r="B1430" s="6" t="s">
        <v>4091</v>
      </c>
      <c r="C1430" s="6">
        <v>48</v>
      </c>
      <c r="D1430" s="6" t="str">
        <f>HYPERLINK("https://rmda.kulib.kyoto-u.ac.jp/item/rb00002248#?c=0&amp;m=0&amp;s=0&amp;cv=47")</f>
        <v>https://rmda.kulib.kyoto-u.ac.jp/item/rb00002248#?c=0&amp;m=0&amp;s=0&amp;cv=47</v>
      </c>
    </row>
    <row r="1431" spans="1:4" x14ac:dyDescent="0.15">
      <c r="A1431" s="6" t="s">
        <v>122</v>
      </c>
      <c r="B1431" s="6" t="s">
        <v>4092</v>
      </c>
      <c r="C1431" s="6">
        <v>49</v>
      </c>
      <c r="D1431" s="6" t="str">
        <f>HYPERLINK("https://rmda.kulib.kyoto-u.ac.jp/item/rb00002248#?c=0&amp;m=0&amp;s=0&amp;cv=48")</f>
        <v>https://rmda.kulib.kyoto-u.ac.jp/item/rb00002248#?c=0&amp;m=0&amp;s=0&amp;cv=48</v>
      </c>
    </row>
    <row r="1432" spans="1:4" x14ac:dyDescent="0.15">
      <c r="A1432" s="6" t="s">
        <v>122</v>
      </c>
      <c r="B1432" s="6" t="s">
        <v>4093</v>
      </c>
      <c r="C1432" s="6">
        <v>52</v>
      </c>
      <c r="D1432" s="6" t="str">
        <f>HYPERLINK("https://rmda.kulib.kyoto-u.ac.jp/item/rb00002248#?c=0&amp;m=0&amp;s=0&amp;cv=51")</f>
        <v>https://rmda.kulib.kyoto-u.ac.jp/item/rb00002248#?c=0&amp;m=0&amp;s=0&amp;cv=51</v>
      </c>
    </row>
    <row r="1433" spans="1:4" x14ac:dyDescent="0.15">
      <c r="A1433" s="6" t="s">
        <v>122</v>
      </c>
      <c r="B1433" s="6" t="s">
        <v>4094</v>
      </c>
      <c r="C1433" s="6">
        <v>56</v>
      </c>
      <c r="D1433" s="6" t="str">
        <f>HYPERLINK("https://rmda.kulib.kyoto-u.ac.jp/item/rb00002248#?c=0&amp;m=0&amp;s=0&amp;cv=55")</f>
        <v>https://rmda.kulib.kyoto-u.ac.jp/item/rb00002248#?c=0&amp;m=0&amp;s=0&amp;cv=55</v>
      </c>
    </row>
    <row r="1434" spans="1:4" x14ac:dyDescent="0.15">
      <c r="A1434" s="6" t="s">
        <v>122</v>
      </c>
      <c r="B1434" s="6" t="s">
        <v>4095</v>
      </c>
      <c r="C1434" s="6">
        <v>57</v>
      </c>
      <c r="D1434" s="6" t="str">
        <f>HYPERLINK("https://rmda.kulib.kyoto-u.ac.jp/item/rb00002248#?c=0&amp;m=0&amp;s=0&amp;cv=56")</f>
        <v>https://rmda.kulib.kyoto-u.ac.jp/item/rb00002248#?c=0&amp;m=0&amp;s=0&amp;cv=56</v>
      </c>
    </row>
    <row r="1435" spans="1:4" x14ac:dyDescent="0.15">
      <c r="A1435" s="6" t="s">
        <v>122</v>
      </c>
      <c r="B1435" s="6" t="s">
        <v>4096</v>
      </c>
      <c r="C1435" s="6">
        <v>58</v>
      </c>
      <c r="D1435" s="6" t="str">
        <f>HYPERLINK("https://rmda.kulib.kyoto-u.ac.jp/item/rb00002248#?c=0&amp;m=0&amp;s=0&amp;cv=57")</f>
        <v>https://rmda.kulib.kyoto-u.ac.jp/item/rb00002248#?c=0&amp;m=0&amp;s=0&amp;cv=57</v>
      </c>
    </row>
    <row r="1436" spans="1:4" x14ac:dyDescent="0.15">
      <c r="A1436" s="6" t="s">
        <v>122</v>
      </c>
      <c r="B1436" s="6" t="s">
        <v>4097</v>
      </c>
      <c r="C1436" s="6">
        <v>61</v>
      </c>
      <c r="D1436" s="6" t="str">
        <f>HYPERLINK("https://rmda.kulib.kyoto-u.ac.jp/item/rb00002248#?c=0&amp;m=0&amp;s=0&amp;cv=60")</f>
        <v>https://rmda.kulib.kyoto-u.ac.jp/item/rb00002248#?c=0&amp;m=0&amp;s=0&amp;cv=60</v>
      </c>
    </row>
    <row r="1437" spans="1:4" x14ac:dyDescent="0.15">
      <c r="A1437" s="6" t="s">
        <v>122</v>
      </c>
      <c r="B1437" s="6" t="s">
        <v>4098</v>
      </c>
      <c r="C1437" s="6">
        <v>62</v>
      </c>
      <c r="D1437" s="6" t="str">
        <f>HYPERLINK("https://rmda.kulib.kyoto-u.ac.jp/item/rb00002248#?c=0&amp;m=0&amp;s=0&amp;cv=61")</f>
        <v>https://rmda.kulib.kyoto-u.ac.jp/item/rb00002248#?c=0&amp;m=0&amp;s=0&amp;cv=61</v>
      </c>
    </row>
    <row r="1438" spans="1:4" x14ac:dyDescent="0.15">
      <c r="A1438" s="6" t="s">
        <v>122</v>
      </c>
      <c r="B1438" s="6" t="s">
        <v>4099</v>
      </c>
      <c r="C1438" s="6">
        <v>64</v>
      </c>
      <c r="D1438" s="6" t="str">
        <f>HYPERLINK("https://rmda.kulib.kyoto-u.ac.jp/item/rb00002248#?c=0&amp;m=0&amp;s=0&amp;cv=63")</f>
        <v>https://rmda.kulib.kyoto-u.ac.jp/item/rb00002248#?c=0&amp;m=0&amp;s=0&amp;cv=63</v>
      </c>
    </row>
    <row r="1439" spans="1:4" x14ac:dyDescent="0.15">
      <c r="A1439" s="6" t="s">
        <v>122</v>
      </c>
      <c r="B1439" s="6" t="s">
        <v>4100</v>
      </c>
      <c r="C1439" s="6">
        <v>65</v>
      </c>
      <c r="D1439" s="6" t="str">
        <f>HYPERLINK("https://rmda.kulib.kyoto-u.ac.jp/item/rb00002248#?c=0&amp;m=0&amp;s=0&amp;cv=64")</f>
        <v>https://rmda.kulib.kyoto-u.ac.jp/item/rb00002248#?c=0&amp;m=0&amp;s=0&amp;cv=64</v>
      </c>
    </row>
    <row r="1440" spans="1:4" x14ac:dyDescent="0.15">
      <c r="A1440" s="6" t="s">
        <v>122</v>
      </c>
      <c r="B1440" s="6" t="s">
        <v>4101</v>
      </c>
      <c r="C1440" s="6">
        <v>67</v>
      </c>
      <c r="D1440" s="6" t="str">
        <f>HYPERLINK("https://rmda.kulib.kyoto-u.ac.jp/item/rb00002248#?c=0&amp;m=0&amp;s=0&amp;cv=66")</f>
        <v>https://rmda.kulib.kyoto-u.ac.jp/item/rb00002248#?c=0&amp;m=0&amp;s=0&amp;cv=66</v>
      </c>
    </row>
    <row r="1441" spans="1:4" x14ac:dyDescent="0.15">
      <c r="A1441" s="6" t="s">
        <v>122</v>
      </c>
      <c r="B1441" s="6" t="s">
        <v>4102</v>
      </c>
      <c r="C1441" s="6">
        <v>70</v>
      </c>
      <c r="D1441" s="6" t="str">
        <f>HYPERLINK("https://rmda.kulib.kyoto-u.ac.jp/item/rb00002248#?c=0&amp;m=0&amp;s=0&amp;cv=69")</f>
        <v>https://rmda.kulib.kyoto-u.ac.jp/item/rb00002248#?c=0&amp;m=0&amp;s=0&amp;cv=69</v>
      </c>
    </row>
    <row r="1442" spans="1:4" x14ac:dyDescent="0.15">
      <c r="A1442" s="6" t="s">
        <v>122</v>
      </c>
      <c r="B1442" s="6" t="s">
        <v>4103</v>
      </c>
      <c r="C1442" s="6">
        <v>70</v>
      </c>
      <c r="D1442" s="6" t="str">
        <f>HYPERLINK("https://rmda.kulib.kyoto-u.ac.jp/item/rb00002248#?c=0&amp;m=0&amp;s=0&amp;cv=69")</f>
        <v>https://rmda.kulib.kyoto-u.ac.jp/item/rb00002248#?c=0&amp;m=0&amp;s=0&amp;cv=69</v>
      </c>
    </row>
    <row r="1443" spans="1:4" x14ac:dyDescent="0.15">
      <c r="A1443" s="6" t="s">
        <v>122</v>
      </c>
      <c r="B1443" s="6" t="s">
        <v>4104</v>
      </c>
      <c r="C1443" s="6">
        <v>72</v>
      </c>
      <c r="D1443" s="6" t="str">
        <f>HYPERLINK("https://rmda.kulib.kyoto-u.ac.jp/item/rb00002248#?c=0&amp;m=0&amp;s=0&amp;cv=71")</f>
        <v>https://rmda.kulib.kyoto-u.ac.jp/item/rb00002248#?c=0&amp;m=0&amp;s=0&amp;cv=71</v>
      </c>
    </row>
    <row r="1444" spans="1:4" x14ac:dyDescent="0.15">
      <c r="A1444" s="6" t="s">
        <v>122</v>
      </c>
      <c r="B1444" s="6" t="s">
        <v>4105</v>
      </c>
      <c r="C1444" s="6">
        <v>73</v>
      </c>
      <c r="D1444" s="6" t="str">
        <f>HYPERLINK("https://rmda.kulib.kyoto-u.ac.jp/item/rb00002248#?c=0&amp;m=0&amp;s=0&amp;cv=72")</f>
        <v>https://rmda.kulib.kyoto-u.ac.jp/item/rb00002248#?c=0&amp;m=0&amp;s=0&amp;cv=72</v>
      </c>
    </row>
    <row r="1445" spans="1:4" x14ac:dyDescent="0.15">
      <c r="A1445" s="6" t="s">
        <v>122</v>
      </c>
      <c r="B1445" s="6" t="s">
        <v>4106</v>
      </c>
      <c r="C1445" s="6">
        <v>73</v>
      </c>
      <c r="D1445" s="6" t="str">
        <f>HYPERLINK("https://rmda.kulib.kyoto-u.ac.jp/item/rb00002248#?c=0&amp;m=0&amp;s=0&amp;cv=72")</f>
        <v>https://rmda.kulib.kyoto-u.ac.jp/item/rb00002248#?c=0&amp;m=0&amp;s=0&amp;cv=72</v>
      </c>
    </row>
    <row r="1446" spans="1:4" x14ac:dyDescent="0.15">
      <c r="A1446" s="6" t="s">
        <v>122</v>
      </c>
      <c r="B1446" s="59" t="s">
        <v>5516</v>
      </c>
      <c r="C1446" s="6">
        <v>85</v>
      </c>
      <c r="D1446" s="6" t="str">
        <f>HYPERLINK("https://rmda.kulib.kyoto-u.ac.jp/item/rb00002248#?c=0&amp;m=0&amp;s=0&amp;cv=84")</f>
        <v>https://rmda.kulib.kyoto-u.ac.jp/item/rb00002248#?c=0&amp;m=0&amp;s=0&amp;cv=84</v>
      </c>
    </row>
    <row r="1447" spans="1:4" x14ac:dyDescent="0.15">
      <c r="A1447" s="6" t="s">
        <v>122</v>
      </c>
      <c r="B1447" s="6" t="s">
        <v>4107</v>
      </c>
      <c r="C1447" s="6">
        <v>85</v>
      </c>
      <c r="D1447" s="6" t="str">
        <f>HYPERLINK("https://rmda.kulib.kyoto-u.ac.jp/item/rb00002248#?c=0&amp;m=0&amp;s=0&amp;cv=84")</f>
        <v>https://rmda.kulib.kyoto-u.ac.jp/item/rb00002248#?c=0&amp;m=0&amp;s=0&amp;cv=84</v>
      </c>
    </row>
    <row r="1448" spans="1:4" x14ac:dyDescent="0.15">
      <c r="A1448" s="6" t="s">
        <v>122</v>
      </c>
      <c r="B1448" s="6" t="s">
        <v>4108</v>
      </c>
      <c r="C1448" s="6">
        <v>86</v>
      </c>
      <c r="D1448" s="6" t="str">
        <f>HYPERLINK("https://rmda.kulib.kyoto-u.ac.jp/item/rb00002248#?c=0&amp;m=0&amp;s=0&amp;cv=85")</f>
        <v>https://rmda.kulib.kyoto-u.ac.jp/item/rb00002248#?c=0&amp;m=0&amp;s=0&amp;cv=85</v>
      </c>
    </row>
    <row r="1449" spans="1:4" x14ac:dyDescent="0.15">
      <c r="A1449" s="6" t="s">
        <v>122</v>
      </c>
      <c r="B1449" s="6" t="s">
        <v>4109</v>
      </c>
      <c r="C1449" s="6">
        <v>90</v>
      </c>
      <c r="D1449" s="6" t="str">
        <f>HYPERLINK("https://rmda.kulib.kyoto-u.ac.jp/item/rb00002248#?c=0&amp;m=0&amp;s=0&amp;cv=89")</f>
        <v>https://rmda.kulib.kyoto-u.ac.jp/item/rb00002248#?c=0&amp;m=0&amp;s=0&amp;cv=89</v>
      </c>
    </row>
    <row r="1450" spans="1:4" x14ac:dyDescent="0.15">
      <c r="A1450" s="6" t="s">
        <v>122</v>
      </c>
      <c r="B1450" s="6" t="s">
        <v>4110</v>
      </c>
      <c r="C1450" s="6">
        <v>91</v>
      </c>
      <c r="D1450" s="6" t="str">
        <f>HYPERLINK("https://rmda.kulib.kyoto-u.ac.jp/item/rb00002248#?c=0&amp;m=0&amp;s=0&amp;cv=90")</f>
        <v>https://rmda.kulib.kyoto-u.ac.jp/item/rb00002248#?c=0&amp;m=0&amp;s=0&amp;cv=90</v>
      </c>
    </row>
    <row r="1451" spans="1:4" x14ac:dyDescent="0.15">
      <c r="A1451" s="6" t="s">
        <v>122</v>
      </c>
      <c r="B1451" s="6" t="s">
        <v>4111</v>
      </c>
      <c r="C1451" s="6">
        <v>94</v>
      </c>
      <c r="D1451" s="6" t="str">
        <f>HYPERLINK("https://rmda.kulib.kyoto-u.ac.jp/item/rb00002248#?c=0&amp;m=0&amp;s=0&amp;cv=93")</f>
        <v>https://rmda.kulib.kyoto-u.ac.jp/item/rb00002248#?c=0&amp;m=0&amp;s=0&amp;cv=93</v>
      </c>
    </row>
    <row r="1452" spans="1:4" x14ac:dyDescent="0.15">
      <c r="A1452" s="6" t="s">
        <v>122</v>
      </c>
      <c r="B1452" s="6" t="s">
        <v>4112</v>
      </c>
      <c r="C1452" s="6">
        <v>95</v>
      </c>
      <c r="D1452" s="6" t="str">
        <f>HYPERLINK("https://rmda.kulib.kyoto-u.ac.jp/item/rb00002248#?c=0&amp;m=0&amp;s=0&amp;cv=94")</f>
        <v>https://rmda.kulib.kyoto-u.ac.jp/item/rb00002248#?c=0&amp;m=0&amp;s=0&amp;cv=94</v>
      </c>
    </row>
    <row r="1453" spans="1:4" x14ac:dyDescent="0.15">
      <c r="A1453" s="6" t="s">
        <v>122</v>
      </c>
      <c r="B1453" s="6" t="s">
        <v>4113</v>
      </c>
      <c r="C1453" s="6">
        <v>96</v>
      </c>
      <c r="D1453" s="6" t="str">
        <f>HYPERLINK("https://rmda.kulib.kyoto-u.ac.jp/item/rb00002248#?c=0&amp;m=0&amp;s=0&amp;cv=95")</f>
        <v>https://rmda.kulib.kyoto-u.ac.jp/item/rb00002248#?c=0&amp;m=0&amp;s=0&amp;cv=95</v>
      </c>
    </row>
    <row r="1454" spans="1:4" x14ac:dyDescent="0.15">
      <c r="A1454" s="6" t="s">
        <v>122</v>
      </c>
      <c r="B1454" s="6" t="s">
        <v>4114</v>
      </c>
      <c r="C1454" s="6">
        <v>97</v>
      </c>
      <c r="D1454" s="6" t="str">
        <f>HYPERLINK("https://rmda.kulib.kyoto-u.ac.jp/item/rb00002248#?c=0&amp;m=0&amp;s=0&amp;cv=96")</f>
        <v>https://rmda.kulib.kyoto-u.ac.jp/item/rb00002248#?c=0&amp;m=0&amp;s=0&amp;cv=96</v>
      </c>
    </row>
    <row r="1455" spans="1:4" x14ac:dyDescent="0.15">
      <c r="A1455" s="6" t="s">
        <v>122</v>
      </c>
      <c r="B1455" s="6" t="s">
        <v>4115</v>
      </c>
      <c r="C1455" s="6">
        <v>98</v>
      </c>
      <c r="D1455" s="6" t="str">
        <f>HYPERLINK("https://rmda.kulib.kyoto-u.ac.jp/item/rb00002248#?c=0&amp;m=0&amp;s=0&amp;cv=97")</f>
        <v>https://rmda.kulib.kyoto-u.ac.jp/item/rb00002248#?c=0&amp;m=0&amp;s=0&amp;cv=97</v>
      </c>
    </row>
    <row r="1456" spans="1:4" x14ac:dyDescent="0.15">
      <c r="A1456" s="6" t="s">
        <v>122</v>
      </c>
      <c r="B1456" s="6" t="s">
        <v>4116</v>
      </c>
      <c r="C1456" s="6">
        <v>99</v>
      </c>
      <c r="D1456" s="6" t="str">
        <f>HYPERLINK("https://rmda.kulib.kyoto-u.ac.jp/item/rb00002248#?c=0&amp;m=0&amp;s=0&amp;cv=98")</f>
        <v>https://rmda.kulib.kyoto-u.ac.jp/item/rb00002248#?c=0&amp;m=0&amp;s=0&amp;cv=98</v>
      </c>
    </row>
    <row r="1457" spans="1:6" x14ac:dyDescent="0.15">
      <c r="A1457" s="6" t="s">
        <v>122</v>
      </c>
      <c r="B1457" s="6" t="s">
        <v>4117</v>
      </c>
      <c r="C1457" s="6">
        <v>101</v>
      </c>
      <c r="D1457" s="6" t="str">
        <f>HYPERLINK("https://rmda.kulib.kyoto-u.ac.jp/item/rb00002248#?c=0&amp;m=0&amp;s=0&amp;cv=100")</f>
        <v>https://rmda.kulib.kyoto-u.ac.jp/item/rb00002248#?c=0&amp;m=0&amp;s=0&amp;cv=100</v>
      </c>
    </row>
    <row r="1458" spans="1:6" x14ac:dyDescent="0.15">
      <c r="A1458" s="6" t="s">
        <v>122</v>
      </c>
      <c r="B1458" s="6" t="s">
        <v>4118</v>
      </c>
      <c r="C1458" s="6">
        <v>102</v>
      </c>
      <c r="D1458" s="6" t="str">
        <f>HYPERLINK("https://rmda.kulib.kyoto-u.ac.jp/item/rb00002248#?c=0&amp;m=0&amp;s=0&amp;cv=101")</f>
        <v>https://rmda.kulib.kyoto-u.ac.jp/item/rb00002248#?c=0&amp;m=0&amp;s=0&amp;cv=101</v>
      </c>
    </row>
    <row r="1459" spans="1:6" x14ac:dyDescent="0.15">
      <c r="A1459" s="6" t="s">
        <v>122</v>
      </c>
      <c r="B1459" s="6" t="s">
        <v>4119</v>
      </c>
      <c r="C1459" s="6">
        <v>103</v>
      </c>
      <c r="D1459" s="6" t="str">
        <f>HYPERLINK("https://rmda.kulib.kyoto-u.ac.jp/item/rb00002248#?c=0&amp;m=0&amp;s=0&amp;cv=102")</f>
        <v>https://rmda.kulib.kyoto-u.ac.jp/item/rb00002248#?c=0&amp;m=0&amp;s=0&amp;cv=102</v>
      </c>
    </row>
    <row r="1460" spans="1:6" x14ac:dyDescent="0.15">
      <c r="A1460" s="6" t="s">
        <v>122</v>
      </c>
      <c r="B1460" s="6" t="s">
        <v>4120</v>
      </c>
      <c r="C1460" s="6">
        <v>103</v>
      </c>
      <c r="D1460" s="6" t="str">
        <f>HYPERLINK("https://rmda.kulib.kyoto-u.ac.jp/item/rb00002248#?c=0&amp;m=0&amp;s=0&amp;cv=102")</f>
        <v>https://rmda.kulib.kyoto-u.ac.jp/item/rb00002248#?c=0&amp;m=0&amp;s=0&amp;cv=102</v>
      </c>
    </row>
    <row r="1461" spans="1:6" x14ac:dyDescent="0.15">
      <c r="A1461" s="6" t="s">
        <v>122</v>
      </c>
      <c r="B1461" s="6" t="s">
        <v>4121</v>
      </c>
      <c r="C1461" s="6">
        <v>105</v>
      </c>
      <c r="D1461" s="6" t="str">
        <f>HYPERLINK("https://rmda.kulib.kyoto-u.ac.jp/item/rb00002248#?c=0&amp;m=0&amp;s=0&amp;cv=104")</f>
        <v>https://rmda.kulib.kyoto-u.ac.jp/item/rb00002248#?c=0&amp;m=0&amp;s=0&amp;cv=104</v>
      </c>
    </row>
    <row r="1462" spans="1:6" x14ac:dyDescent="0.15">
      <c r="A1462" s="6" t="s">
        <v>122</v>
      </c>
      <c r="B1462" s="6" t="s">
        <v>4122</v>
      </c>
      <c r="C1462" s="6">
        <v>107</v>
      </c>
      <c r="D1462" s="6" t="str">
        <f>HYPERLINK("https://rmda.kulib.kyoto-u.ac.jp/item/rb00002248#?c=0&amp;m=0&amp;s=0&amp;cv=106")</f>
        <v>https://rmda.kulib.kyoto-u.ac.jp/item/rb00002248#?c=0&amp;m=0&amp;s=0&amp;cv=106</v>
      </c>
    </row>
    <row r="1463" spans="1:6" x14ac:dyDescent="0.15">
      <c r="A1463" s="6" t="s">
        <v>122</v>
      </c>
      <c r="B1463" s="6" t="s">
        <v>4123</v>
      </c>
      <c r="C1463" s="6">
        <v>114</v>
      </c>
      <c r="D1463" s="6" t="str">
        <f>HYPERLINK("https://rmda.kulib.kyoto-u.ac.jp/item/rb00002248#?c=0&amp;m=0&amp;s=0&amp;cv=113")</f>
        <v>https://rmda.kulib.kyoto-u.ac.jp/item/rb00002248#?c=0&amp;m=0&amp;s=0&amp;cv=113</v>
      </c>
    </row>
    <row r="1464" spans="1:6" x14ac:dyDescent="0.15">
      <c r="A1464" s="6" t="s">
        <v>122</v>
      </c>
      <c r="B1464" s="6" t="s">
        <v>2196</v>
      </c>
      <c r="C1464" s="6">
        <v>115</v>
      </c>
      <c r="D1464" s="6" t="str">
        <f>HYPERLINK("https://rmda.kulib.kyoto-u.ac.jp/item/rb00002248#?c=0&amp;m=0&amp;s=0&amp;cv=114")</f>
        <v>https://rmda.kulib.kyoto-u.ac.jp/item/rb00002248#?c=0&amp;m=0&amp;s=0&amp;cv=114</v>
      </c>
    </row>
    <row r="1465" spans="1:6" x14ac:dyDescent="0.15">
      <c r="A1465" s="6" t="s">
        <v>122</v>
      </c>
      <c r="B1465" s="6" t="s">
        <v>2197</v>
      </c>
      <c r="C1465" s="6">
        <v>118</v>
      </c>
      <c r="D1465" s="6" t="str">
        <f>HYPERLINK("https://rmda.kulib.kyoto-u.ac.jp/item/rb00002248#?c=0&amp;m=0&amp;s=0&amp;cv=117")</f>
        <v>https://rmda.kulib.kyoto-u.ac.jp/item/rb00002248#?c=0&amp;m=0&amp;s=0&amp;cv=117</v>
      </c>
    </row>
    <row r="1466" spans="1:6" x14ac:dyDescent="0.15">
      <c r="A1466" s="6" t="s">
        <v>122</v>
      </c>
      <c r="B1466" s="6" t="s">
        <v>2198</v>
      </c>
      <c r="C1466" s="6">
        <v>124</v>
      </c>
      <c r="D1466" s="6" t="str">
        <f>HYPERLINK("https://rmda.kulib.kyoto-u.ac.jp/item/rb00002248#?c=0&amp;m=0&amp;s=0&amp;cv=123")</f>
        <v>https://rmda.kulib.kyoto-u.ac.jp/item/rb00002248#?c=0&amp;m=0&amp;s=0&amp;cv=123</v>
      </c>
    </row>
    <row r="1467" spans="1:6" x14ac:dyDescent="0.15">
      <c r="A1467" s="6" t="s">
        <v>122</v>
      </c>
      <c r="B1467" s="6" t="s">
        <v>3650</v>
      </c>
      <c r="C1467" s="6">
        <v>130</v>
      </c>
      <c r="D1467" s="6" t="str">
        <f>HYPERLINK("https://rmda.kulib.kyoto-u.ac.jp/item/rb00002248#?c=0&amp;m=0&amp;s=0&amp;cv=129")</f>
        <v>https://rmda.kulib.kyoto-u.ac.jp/item/rb00002248#?c=0&amp;m=0&amp;s=0&amp;cv=129</v>
      </c>
    </row>
    <row r="1468" spans="1:6" x14ac:dyDescent="0.15">
      <c r="A1468" s="116" t="s">
        <v>5513</v>
      </c>
      <c r="B1468" s="116" t="s">
        <v>126</v>
      </c>
      <c r="C1468" s="96"/>
      <c r="D1468" s="67"/>
    </row>
    <row r="1469" spans="1:6" x14ac:dyDescent="0.15">
      <c r="A1469" s="84" t="s">
        <v>5511</v>
      </c>
      <c r="B1469" s="6" t="s">
        <v>125</v>
      </c>
      <c r="C1469" s="6"/>
      <c r="D1469" s="6"/>
      <c r="E1469" s="6"/>
      <c r="F1469" s="6"/>
    </row>
    <row r="1470" spans="1:6" x14ac:dyDescent="0.15">
      <c r="A1470" s="17" t="s">
        <v>125</v>
      </c>
      <c r="B1470" s="6" t="s">
        <v>6147</v>
      </c>
      <c r="C1470" s="6"/>
      <c r="D1470" s="6"/>
      <c r="E1470" s="6" t="s">
        <v>1108</v>
      </c>
      <c r="F1470" s="6"/>
    </row>
    <row r="1471" spans="1:6" x14ac:dyDescent="0.15">
      <c r="A1471" s="6" t="s">
        <v>125</v>
      </c>
      <c r="B1471" s="6" t="s">
        <v>6148</v>
      </c>
      <c r="C1471" s="6"/>
      <c r="D1471" s="6"/>
      <c r="E1471" s="6" t="s">
        <v>6149</v>
      </c>
      <c r="F1471" s="6"/>
    </row>
    <row r="1472" spans="1:6" x14ac:dyDescent="0.15">
      <c r="A1472" s="6" t="s">
        <v>125</v>
      </c>
      <c r="B1472" s="6" t="s">
        <v>6150</v>
      </c>
      <c r="C1472" s="6"/>
      <c r="D1472" s="6"/>
      <c r="E1472" s="6" t="s">
        <v>6151</v>
      </c>
      <c r="F1472" s="6"/>
    </row>
    <row r="1473" spans="1:6" x14ac:dyDescent="0.15">
      <c r="A1473" s="6" t="s">
        <v>125</v>
      </c>
      <c r="B1473" s="6" t="s">
        <v>6152</v>
      </c>
      <c r="C1473" s="6"/>
      <c r="D1473" s="6"/>
      <c r="E1473" s="6" t="s">
        <v>6153</v>
      </c>
      <c r="F1473" s="6"/>
    </row>
    <row r="1474" spans="1:6" x14ac:dyDescent="0.15">
      <c r="A1474" s="6" t="s">
        <v>125</v>
      </c>
      <c r="B1474" s="6" t="s">
        <v>6154</v>
      </c>
      <c r="C1474" s="6"/>
      <c r="D1474" s="6"/>
      <c r="E1474" s="6" t="s">
        <v>6155</v>
      </c>
      <c r="F1474" s="6"/>
    </row>
    <row r="1475" spans="1:6" x14ac:dyDescent="0.15">
      <c r="A1475" s="6" t="s">
        <v>125</v>
      </c>
      <c r="B1475" s="6" t="s">
        <v>6156</v>
      </c>
      <c r="C1475" s="6"/>
      <c r="D1475" s="6"/>
      <c r="E1475" s="6" t="s">
        <v>6157</v>
      </c>
      <c r="F1475" s="6"/>
    </row>
    <row r="1476" spans="1:6" x14ac:dyDescent="0.15">
      <c r="A1476" s="6" t="s">
        <v>125</v>
      </c>
      <c r="B1476" s="6" t="s">
        <v>5959</v>
      </c>
      <c r="C1476" s="6"/>
      <c r="D1476" s="6"/>
      <c r="E1476" s="6" t="s">
        <v>6158</v>
      </c>
      <c r="F1476" s="6"/>
    </row>
    <row r="1477" spans="1:6" x14ac:dyDescent="0.15">
      <c r="A1477" s="6" t="s">
        <v>125</v>
      </c>
      <c r="B1477" s="6" t="s">
        <v>6159</v>
      </c>
      <c r="C1477" s="6"/>
      <c r="D1477" s="6"/>
      <c r="E1477" s="6" t="s">
        <v>6160</v>
      </c>
      <c r="F1477" s="6"/>
    </row>
    <row r="1478" spans="1:6" x14ac:dyDescent="0.15">
      <c r="A1478" s="6" t="s">
        <v>125</v>
      </c>
      <c r="B1478" s="6" t="s">
        <v>6161</v>
      </c>
      <c r="C1478" s="6"/>
      <c r="D1478" s="6"/>
      <c r="E1478" s="6" t="s">
        <v>5522</v>
      </c>
      <c r="F1478" s="6"/>
    </row>
    <row r="1479" spans="1:6" x14ac:dyDescent="0.15">
      <c r="A1479" s="6" t="s">
        <v>125</v>
      </c>
      <c r="B1479" s="6" t="s">
        <v>6160</v>
      </c>
      <c r="C1479" s="6"/>
      <c r="D1479" s="6"/>
      <c r="E1479" s="9" t="s">
        <v>1107</v>
      </c>
      <c r="F1479" s="6"/>
    </row>
    <row r="1480" spans="1:6" x14ac:dyDescent="0.15">
      <c r="A1480" s="6" t="s">
        <v>125</v>
      </c>
      <c r="B1480" s="6" t="s">
        <v>5522</v>
      </c>
      <c r="C1480" s="9" t="s">
        <v>1105</v>
      </c>
      <c r="D1480" s="6"/>
      <c r="E1480" s="6"/>
      <c r="F1480" s="6"/>
    </row>
    <row r="1481" spans="1:6" x14ac:dyDescent="0.15">
      <c r="A1481" s="6" t="s">
        <v>125</v>
      </c>
      <c r="B1481" s="6" t="s">
        <v>1371</v>
      </c>
      <c r="C1481" s="6">
        <v>4</v>
      </c>
      <c r="D1481" s="6" t="str">
        <f>HYPERLINK("https://rmda.kulib.kyoto-u.ac.jp/item/rb00002679#?c=0&amp;m=0&amp;s=0&amp;cv=3")</f>
        <v>https://rmda.kulib.kyoto-u.ac.jp/item/rb00002679#?c=0&amp;m=0&amp;s=0&amp;cv=3</v>
      </c>
      <c r="E1481" s="6">
        <v>4</v>
      </c>
      <c r="F1481" s="6" t="str">
        <f>HYPERLINK("https://rmda.kulib.kyoto-u.ac.jp/item/rb00002686#?c=0&amp;m=0&amp;s=0&amp;cv=3")</f>
        <v>https://rmda.kulib.kyoto-u.ac.jp/item/rb00002686#?c=0&amp;m=0&amp;s=0&amp;cv=3</v>
      </c>
    </row>
    <row r="1482" spans="1:6" x14ac:dyDescent="0.15">
      <c r="A1482" s="6" t="s">
        <v>125</v>
      </c>
      <c r="B1482" s="6" t="s">
        <v>1371</v>
      </c>
      <c r="C1482" s="6">
        <v>5</v>
      </c>
      <c r="D1482" s="6" t="str">
        <f>HYPERLINK("https://rmda.kulib.kyoto-u.ac.jp/item/rb00002679#?c=0&amp;m=0&amp;s=0&amp;cv=4")</f>
        <v>https://rmda.kulib.kyoto-u.ac.jp/item/rb00002679#?c=0&amp;m=0&amp;s=0&amp;cv=4</v>
      </c>
      <c r="E1482" s="6">
        <v>10</v>
      </c>
      <c r="F1482" s="6" t="str">
        <f>HYPERLINK("https://rmda.kulib.kyoto-u.ac.jp/item/rb00002686#?c=0&amp;m=0&amp;s=0&amp;cv=9")</f>
        <v>https://rmda.kulib.kyoto-u.ac.jp/item/rb00002686#?c=0&amp;m=0&amp;s=0&amp;cv=9</v>
      </c>
    </row>
    <row r="1483" spans="1:6" x14ac:dyDescent="0.15">
      <c r="A1483" s="6" t="s">
        <v>125</v>
      </c>
      <c r="B1483" s="6" t="s">
        <v>1372</v>
      </c>
      <c r="C1483" s="6">
        <v>7</v>
      </c>
      <c r="D1483" s="6" t="str">
        <f>HYPERLINK("https://rmda.kulib.kyoto-u.ac.jp/item/rb00002679#?c=0&amp;m=0&amp;s=0&amp;cv=6")</f>
        <v>https://rmda.kulib.kyoto-u.ac.jp/item/rb00002679#?c=0&amp;m=0&amp;s=0&amp;cv=6</v>
      </c>
      <c r="E1483" s="6"/>
      <c r="F1483" s="6"/>
    </row>
    <row r="1484" spans="1:6" x14ac:dyDescent="0.15">
      <c r="A1484" s="6" t="s">
        <v>125</v>
      </c>
      <c r="B1484" s="72" t="s">
        <v>6162</v>
      </c>
      <c r="C1484" s="6">
        <v>9</v>
      </c>
      <c r="D1484" s="6" t="str">
        <f>HYPERLINK("https://rmda.kulib.kyoto-u.ac.jp/item/rb00002679#?c=0&amp;m=0&amp;s=0&amp;cv=8")</f>
        <v>https://rmda.kulib.kyoto-u.ac.jp/item/rb00002679#?c=0&amp;m=0&amp;s=0&amp;cv=8</v>
      </c>
      <c r="E1484" s="6">
        <v>15</v>
      </c>
      <c r="F1484" s="6" t="str">
        <f>HYPERLINK("https://rmda.kulib.kyoto-u.ac.jp/item/rb00002686#?c=0&amp;m=0&amp;s=0&amp;cv=14")</f>
        <v>https://rmda.kulib.kyoto-u.ac.jp/item/rb00002686#?c=0&amp;m=0&amp;s=0&amp;cv=14</v>
      </c>
    </row>
    <row r="1485" spans="1:6" x14ac:dyDescent="0.15">
      <c r="A1485" s="6" t="s">
        <v>125</v>
      </c>
      <c r="B1485" s="6" t="s">
        <v>6163</v>
      </c>
      <c r="C1485" s="6">
        <v>9</v>
      </c>
      <c r="D1485" s="6" t="str">
        <f>HYPERLINK("https://rmda.kulib.kyoto-u.ac.jp/item/rb00002679#?c=0&amp;m=0&amp;s=0&amp;cv=8")</f>
        <v>https://rmda.kulib.kyoto-u.ac.jp/item/rb00002679#?c=0&amp;m=0&amp;s=0&amp;cv=8</v>
      </c>
      <c r="E1485" s="6">
        <v>15</v>
      </c>
      <c r="F1485" s="6" t="str">
        <f>HYPERLINK("https://rmda.kulib.kyoto-u.ac.jp/item/rb00002686#?c=0&amp;m=0&amp;s=0&amp;cv=14")</f>
        <v>https://rmda.kulib.kyoto-u.ac.jp/item/rb00002686#?c=0&amp;m=0&amp;s=0&amp;cv=14</v>
      </c>
    </row>
    <row r="1486" spans="1:6" x14ac:dyDescent="0.15">
      <c r="A1486" s="6" t="s">
        <v>125</v>
      </c>
      <c r="B1486" s="6" t="s">
        <v>6164</v>
      </c>
      <c r="C1486" s="6">
        <v>11</v>
      </c>
      <c r="D1486" s="6" t="str">
        <f>HYPERLINK("https://rmda.kulib.kyoto-u.ac.jp/item/rb00002679#?c=0&amp;m=0&amp;s=0&amp;cv=10")</f>
        <v>https://rmda.kulib.kyoto-u.ac.jp/item/rb00002679#?c=0&amp;m=0&amp;s=0&amp;cv=10</v>
      </c>
      <c r="E1486" s="6">
        <v>24</v>
      </c>
      <c r="F1486" s="6" t="str">
        <f>HYPERLINK("https://rmda.kulib.kyoto-u.ac.jp/item/rb00002686#?c=0&amp;m=0&amp;s=0&amp;cv=23")</f>
        <v>https://rmda.kulib.kyoto-u.ac.jp/item/rb00002686#?c=0&amp;m=0&amp;s=0&amp;cv=23</v>
      </c>
    </row>
    <row r="1487" spans="1:6" x14ac:dyDescent="0.15">
      <c r="A1487" s="6" t="s">
        <v>125</v>
      </c>
      <c r="B1487" s="6" t="s">
        <v>4006</v>
      </c>
      <c r="C1487" s="6">
        <v>11</v>
      </c>
      <c r="D1487" s="6" t="str">
        <f>HYPERLINK("https://rmda.kulib.kyoto-u.ac.jp/item/rb00002679#?c=0&amp;m=0&amp;s=0&amp;cv=10")</f>
        <v>https://rmda.kulib.kyoto-u.ac.jp/item/rb00002679#?c=0&amp;m=0&amp;s=0&amp;cv=10</v>
      </c>
      <c r="E1487" s="6">
        <v>25</v>
      </c>
      <c r="F1487" s="6" t="str">
        <f>HYPERLINK("https://rmda.kulib.kyoto-u.ac.jp/item/rb00002686#?c=0&amp;m=0&amp;s=0&amp;cv=24")</f>
        <v>https://rmda.kulib.kyoto-u.ac.jp/item/rb00002686#?c=0&amp;m=0&amp;s=0&amp;cv=24</v>
      </c>
    </row>
    <row r="1488" spans="1:6" x14ac:dyDescent="0.15">
      <c r="A1488" s="6" t="s">
        <v>125</v>
      </c>
      <c r="B1488" s="6" t="s">
        <v>6165</v>
      </c>
      <c r="C1488" s="6">
        <v>11</v>
      </c>
      <c r="D1488" s="6" t="str">
        <f>HYPERLINK("https://rmda.kulib.kyoto-u.ac.jp/item/rb00002679#?c=0&amp;m=0&amp;s=0&amp;cv=10")</f>
        <v>https://rmda.kulib.kyoto-u.ac.jp/item/rb00002679#?c=0&amp;m=0&amp;s=0&amp;cv=10</v>
      </c>
      <c r="E1488" s="6">
        <v>26</v>
      </c>
      <c r="F1488" s="6" t="str">
        <f>HYPERLINK("https://rmda.kulib.kyoto-u.ac.jp/item/rb00002686#?c=0&amp;m=0&amp;s=0&amp;cv=25")</f>
        <v>https://rmda.kulib.kyoto-u.ac.jp/item/rb00002686#?c=0&amp;m=0&amp;s=0&amp;cv=25</v>
      </c>
    </row>
    <row r="1489" spans="1:6" x14ac:dyDescent="0.15">
      <c r="A1489" s="6" t="s">
        <v>125</v>
      </c>
      <c r="B1489" s="6" t="s">
        <v>6166</v>
      </c>
      <c r="C1489" s="6">
        <v>12</v>
      </c>
      <c r="D1489" s="6" t="str">
        <f>HYPERLINK("https://rmda.kulib.kyoto-u.ac.jp/item/rb00002679#?c=0&amp;m=0&amp;s=0&amp;cv=11")</f>
        <v>https://rmda.kulib.kyoto-u.ac.jp/item/rb00002679#?c=0&amp;m=0&amp;s=0&amp;cv=11</v>
      </c>
      <c r="E1489" s="6">
        <v>26</v>
      </c>
      <c r="F1489" s="6" t="str">
        <f>HYPERLINK("https://rmda.kulib.kyoto-u.ac.jp/item/rb00002686#?c=0&amp;m=0&amp;s=0&amp;cv=25")</f>
        <v>https://rmda.kulib.kyoto-u.ac.jp/item/rb00002686#?c=0&amp;m=0&amp;s=0&amp;cv=25</v>
      </c>
    </row>
    <row r="1490" spans="1:6" x14ac:dyDescent="0.15">
      <c r="A1490" s="6" t="s">
        <v>125</v>
      </c>
      <c r="B1490" s="6" t="s">
        <v>6167</v>
      </c>
      <c r="C1490" s="6">
        <v>12</v>
      </c>
      <c r="D1490" s="6" t="str">
        <f>HYPERLINK("https://rmda.kulib.kyoto-u.ac.jp/item/rb00002679#?c=0&amp;m=0&amp;s=0&amp;cv=11")</f>
        <v>https://rmda.kulib.kyoto-u.ac.jp/item/rb00002679#?c=0&amp;m=0&amp;s=0&amp;cv=11</v>
      </c>
      <c r="E1490" s="6">
        <v>27</v>
      </c>
      <c r="F1490" s="6" t="str">
        <f>HYPERLINK("https://rmda.kulib.kyoto-u.ac.jp/item/rb00002686#?c=0&amp;m=0&amp;s=0&amp;cv=26")</f>
        <v>https://rmda.kulib.kyoto-u.ac.jp/item/rb00002686#?c=0&amp;m=0&amp;s=0&amp;cv=26</v>
      </c>
    </row>
    <row r="1491" spans="1:6" x14ac:dyDescent="0.15">
      <c r="A1491" s="6" t="s">
        <v>125</v>
      </c>
      <c r="B1491" s="6" t="s">
        <v>6168</v>
      </c>
      <c r="C1491" s="6">
        <v>12</v>
      </c>
      <c r="D1491" s="6" t="str">
        <f>HYPERLINK("https://rmda.kulib.kyoto-u.ac.jp/item/rb00002679#?c=0&amp;m=0&amp;s=0&amp;cv=11")</f>
        <v>https://rmda.kulib.kyoto-u.ac.jp/item/rb00002679#?c=0&amp;m=0&amp;s=0&amp;cv=11</v>
      </c>
      <c r="E1491" s="6">
        <v>28</v>
      </c>
      <c r="F1491" s="6" t="str">
        <f>HYPERLINK("https://rmda.kulib.kyoto-u.ac.jp/item/rb00002686#?c=0&amp;m=0&amp;s=0&amp;cv=27")</f>
        <v>https://rmda.kulib.kyoto-u.ac.jp/item/rb00002686#?c=0&amp;m=0&amp;s=0&amp;cv=27</v>
      </c>
    </row>
    <row r="1492" spans="1:6" x14ac:dyDescent="0.15">
      <c r="A1492" s="6" t="s">
        <v>125</v>
      </c>
      <c r="B1492" s="6" t="s">
        <v>6169</v>
      </c>
      <c r="C1492" s="6">
        <v>13</v>
      </c>
      <c r="D1492" s="6" t="str">
        <f>HYPERLINK("https://rmda.kulib.kyoto-u.ac.jp/item/rb00002679#?c=0&amp;m=0&amp;s=0&amp;cv=12")</f>
        <v>https://rmda.kulib.kyoto-u.ac.jp/item/rb00002679#?c=0&amp;m=0&amp;s=0&amp;cv=12</v>
      </c>
      <c r="E1492" s="6">
        <v>29</v>
      </c>
      <c r="F1492" s="6" t="str">
        <f>HYPERLINK("https://rmda.kulib.kyoto-u.ac.jp/item/rb00002686#?c=0&amp;m=0&amp;s=0&amp;cv=28")</f>
        <v>https://rmda.kulib.kyoto-u.ac.jp/item/rb00002686#?c=0&amp;m=0&amp;s=0&amp;cv=28</v>
      </c>
    </row>
    <row r="1493" spans="1:6" x14ac:dyDescent="0.15">
      <c r="A1493" s="6" t="s">
        <v>125</v>
      </c>
      <c r="B1493" s="6" t="s">
        <v>6170</v>
      </c>
      <c r="C1493" s="6">
        <v>14</v>
      </c>
      <c r="D1493" s="6" t="str">
        <f>HYPERLINK("https://rmda.kulib.kyoto-u.ac.jp/item/rb00002679#?c=0&amp;m=0&amp;s=0&amp;cv=13")</f>
        <v>https://rmda.kulib.kyoto-u.ac.jp/item/rb00002679#?c=0&amp;m=0&amp;s=0&amp;cv=13</v>
      </c>
      <c r="E1493" s="6">
        <v>30</v>
      </c>
      <c r="F1493" s="6" t="str">
        <f>HYPERLINK("https://rmda.kulib.kyoto-u.ac.jp/item/rb00002686#?c=0&amp;m=0&amp;s=0&amp;cv=29")</f>
        <v>https://rmda.kulib.kyoto-u.ac.jp/item/rb00002686#?c=0&amp;m=0&amp;s=0&amp;cv=29</v>
      </c>
    </row>
    <row r="1494" spans="1:6" x14ac:dyDescent="0.15">
      <c r="A1494" s="6" t="s">
        <v>125</v>
      </c>
      <c r="B1494" s="6" t="s">
        <v>6171</v>
      </c>
      <c r="C1494" s="6">
        <v>14</v>
      </c>
      <c r="D1494" s="6" t="str">
        <f>HYPERLINK("https://rmda.kulib.kyoto-u.ac.jp/item/rb00002679#?c=0&amp;m=0&amp;s=0&amp;cv=13")</f>
        <v>https://rmda.kulib.kyoto-u.ac.jp/item/rb00002679#?c=0&amp;m=0&amp;s=0&amp;cv=13</v>
      </c>
      <c r="E1494" s="6">
        <v>30</v>
      </c>
      <c r="F1494" s="6" t="str">
        <f>HYPERLINK("https://rmda.kulib.kyoto-u.ac.jp/item/rb00002686#?c=0&amp;m=0&amp;s=0&amp;cv=29")</f>
        <v>https://rmda.kulib.kyoto-u.ac.jp/item/rb00002686#?c=0&amp;m=0&amp;s=0&amp;cv=29</v>
      </c>
    </row>
    <row r="1495" spans="1:6" x14ac:dyDescent="0.15">
      <c r="A1495" s="6" t="s">
        <v>125</v>
      </c>
      <c r="B1495" s="6" t="s">
        <v>6172</v>
      </c>
      <c r="C1495" s="6">
        <v>14</v>
      </c>
      <c r="D1495" s="6" t="str">
        <f>HYPERLINK("https://rmda.kulib.kyoto-u.ac.jp/item/rb00002679#?c=0&amp;m=0&amp;s=0&amp;cv=13")</f>
        <v>https://rmda.kulib.kyoto-u.ac.jp/item/rb00002679#?c=0&amp;m=0&amp;s=0&amp;cv=13</v>
      </c>
      <c r="E1495" s="6">
        <v>31</v>
      </c>
      <c r="F1495" s="6" t="str">
        <f>HYPERLINK("https://rmda.kulib.kyoto-u.ac.jp/item/rb00002686#?c=0&amp;m=0&amp;s=0&amp;cv=30")</f>
        <v>https://rmda.kulib.kyoto-u.ac.jp/item/rb00002686#?c=0&amp;m=0&amp;s=0&amp;cv=30</v>
      </c>
    </row>
    <row r="1496" spans="1:6" x14ac:dyDescent="0.15">
      <c r="A1496" s="6" t="s">
        <v>125</v>
      </c>
      <c r="B1496" s="6" t="s">
        <v>6173</v>
      </c>
      <c r="C1496" s="6">
        <v>15</v>
      </c>
      <c r="D1496" s="6" t="str">
        <f>HYPERLINK("https://rmda.kulib.kyoto-u.ac.jp/item/rb00002679#?c=0&amp;m=0&amp;s=0&amp;cv=14")</f>
        <v>https://rmda.kulib.kyoto-u.ac.jp/item/rb00002679#?c=0&amp;m=0&amp;s=0&amp;cv=14</v>
      </c>
      <c r="E1496" s="6">
        <v>32</v>
      </c>
      <c r="F1496" s="6" t="str">
        <f>HYPERLINK("https://rmda.kulib.kyoto-u.ac.jp/item/rb00002686#?c=0&amp;m=0&amp;s=0&amp;cv=31")</f>
        <v>https://rmda.kulib.kyoto-u.ac.jp/item/rb00002686#?c=0&amp;m=0&amp;s=0&amp;cv=31</v>
      </c>
    </row>
    <row r="1497" spans="1:6" x14ac:dyDescent="0.15">
      <c r="A1497" s="6" t="s">
        <v>125</v>
      </c>
      <c r="B1497" s="6" t="s">
        <v>6174</v>
      </c>
      <c r="C1497" s="6">
        <v>15</v>
      </c>
      <c r="D1497" s="6" t="str">
        <f>HYPERLINK("https://rmda.kulib.kyoto-u.ac.jp/item/rb00002679#?c=0&amp;m=0&amp;s=0&amp;cv=14")</f>
        <v>https://rmda.kulib.kyoto-u.ac.jp/item/rb00002679#?c=0&amp;m=0&amp;s=0&amp;cv=14</v>
      </c>
      <c r="E1497" s="6">
        <v>33</v>
      </c>
      <c r="F1497" s="6" t="str">
        <f>HYPERLINK("https://rmda.kulib.kyoto-u.ac.jp/item/rb00002686#?c=0&amp;m=0&amp;s=0&amp;cv=32")</f>
        <v>https://rmda.kulib.kyoto-u.ac.jp/item/rb00002686#?c=0&amp;m=0&amp;s=0&amp;cv=32</v>
      </c>
    </row>
    <row r="1498" spans="1:6" x14ac:dyDescent="0.15">
      <c r="A1498" s="6" t="s">
        <v>125</v>
      </c>
      <c r="B1498" s="6" t="s">
        <v>6175</v>
      </c>
      <c r="C1498" s="6">
        <v>17</v>
      </c>
      <c r="D1498" s="6" t="str">
        <f>HYPERLINK("https://rmda.kulib.kyoto-u.ac.jp/item/rb00002679#?c=0&amp;m=0&amp;s=0&amp;cv=16")</f>
        <v>https://rmda.kulib.kyoto-u.ac.jp/item/rb00002679#?c=0&amp;m=0&amp;s=0&amp;cv=16</v>
      </c>
      <c r="E1498" s="6">
        <v>36</v>
      </c>
      <c r="F1498" s="6" t="str">
        <f>HYPERLINK("https://rmda.kulib.kyoto-u.ac.jp/item/rb00002686#?c=0&amp;m=0&amp;s=0&amp;cv=35")</f>
        <v>https://rmda.kulib.kyoto-u.ac.jp/item/rb00002686#?c=0&amp;m=0&amp;s=0&amp;cv=35</v>
      </c>
    </row>
    <row r="1499" spans="1:6" x14ac:dyDescent="0.15">
      <c r="A1499" s="6" t="s">
        <v>125</v>
      </c>
      <c r="B1499" s="6" t="s">
        <v>6176</v>
      </c>
      <c r="C1499" s="6">
        <v>17</v>
      </c>
      <c r="D1499" s="6" t="str">
        <f>HYPERLINK("https://rmda.kulib.kyoto-u.ac.jp/item/rb00002679#?c=0&amp;m=0&amp;s=0&amp;cv=16")</f>
        <v>https://rmda.kulib.kyoto-u.ac.jp/item/rb00002679#?c=0&amp;m=0&amp;s=0&amp;cv=16</v>
      </c>
      <c r="E1499" s="6">
        <v>36</v>
      </c>
      <c r="F1499" s="6" t="str">
        <f>HYPERLINK("https://rmda.kulib.kyoto-u.ac.jp/item/rb00002686#?c=0&amp;m=0&amp;s=0&amp;cv=35")</f>
        <v>https://rmda.kulib.kyoto-u.ac.jp/item/rb00002686#?c=0&amp;m=0&amp;s=0&amp;cv=35</v>
      </c>
    </row>
    <row r="1500" spans="1:6" x14ac:dyDescent="0.15">
      <c r="A1500" s="6" t="s">
        <v>125</v>
      </c>
      <c r="B1500" s="6" t="s">
        <v>6177</v>
      </c>
      <c r="C1500" s="6">
        <v>17</v>
      </c>
      <c r="D1500" s="6" t="str">
        <f>HYPERLINK("https://rmda.kulib.kyoto-u.ac.jp/item/rb00002679#?c=0&amp;m=0&amp;s=0&amp;cv=16")</f>
        <v>https://rmda.kulib.kyoto-u.ac.jp/item/rb00002679#?c=0&amp;m=0&amp;s=0&amp;cv=16</v>
      </c>
      <c r="E1500" s="6">
        <v>36</v>
      </c>
      <c r="F1500" s="6" t="str">
        <f>HYPERLINK("https://rmda.kulib.kyoto-u.ac.jp/item/rb00002686#?c=0&amp;m=0&amp;s=0&amp;cv=35")</f>
        <v>https://rmda.kulib.kyoto-u.ac.jp/item/rb00002686#?c=0&amp;m=0&amp;s=0&amp;cv=35</v>
      </c>
    </row>
    <row r="1501" spans="1:6" x14ac:dyDescent="0.15">
      <c r="A1501" s="6" t="s">
        <v>125</v>
      </c>
      <c r="B1501" s="6" t="s">
        <v>6178</v>
      </c>
      <c r="C1501" s="6">
        <v>17</v>
      </c>
      <c r="D1501" s="6" t="str">
        <f>HYPERLINK("https://rmda.kulib.kyoto-u.ac.jp/item/rb00002679#?c=0&amp;m=0&amp;s=0&amp;cv=16")</f>
        <v>https://rmda.kulib.kyoto-u.ac.jp/item/rb00002679#?c=0&amp;m=0&amp;s=0&amp;cv=16</v>
      </c>
      <c r="E1501" s="6">
        <v>37</v>
      </c>
      <c r="F1501" s="6" t="str">
        <f>HYPERLINK("https://rmda.kulib.kyoto-u.ac.jp/item/rb00002686#?c=0&amp;m=0&amp;s=0&amp;cv=36")</f>
        <v>https://rmda.kulib.kyoto-u.ac.jp/item/rb00002686#?c=0&amp;m=0&amp;s=0&amp;cv=36</v>
      </c>
    </row>
    <row r="1502" spans="1:6" x14ac:dyDescent="0.15">
      <c r="A1502" s="6" t="s">
        <v>125</v>
      </c>
      <c r="B1502" s="6" t="s">
        <v>6179</v>
      </c>
      <c r="C1502" s="6">
        <v>18</v>
      </c>
      <c r="D1502" s="6" t="str">
        <f>HYPERLINK("https://rmda.kulib.kyoto-u.ac.jp/item/rb00002679#?c=0&amp;m=0&amp;s=0&amp;cv=17")</f>
        <v>https://rmda.kulib.kyoto-u.ac.jp/item/rb00002679#?c=0&amp;m=0&amp;s=0&amp;cv=17</v>
      </c>
      <c r="E1502" s="6">
        <v>38</v>
      </c>
      <c r="F1502" s="6" t="str">
        <f>HYPERLINK("https://rmda.kulib.kyoto-u.ac.jp/item/rb00002686#?c=0&amp;m=0&amp;s=0&amp;cv=37")</f>
        <v>https://rmda.kulib.kyoto-u.ac.jp/item/rb00002686#?c=0&amp;m=0&amp;s=0&amp;cv=37</v>
      </c>
    </row>
    <row r="1503" spans="1:6" x14ac:dyDescent="0.15">
      <c r="A1503" s="6" t="s">
        <v>125</v>
      </c>
      <c r="B1503" s="6" t="s">
        <v>6180</v>
      </c>
      <c r="C1503" s="6">
        <v>18</v>
      </c>
      <c r="D1503" s="6" t="str">
        <f>HYPERLINK("https://rmda.kulib.kyoto-u.ac.jp/item/rb00002679#?c=0&amp;m=0&amp;s=0&amp;cv=17")</f>
        <v>https://rmda.kulib.kyoto-u.ac.jp/item/rb00002679#?c=0&amp;m=0&amp;s=0&amp;cv=17</v>
      </c>
      <c r="E1503" s="6">
        <v>38</v>
      </c>
      <c r="F1503" s="6" t="str">
        <f>HYPERLINK("https://rmda.kulib.kyoto-u.ac.jp/item/rb00002686#?c=0&amp;m=0&amp;s=0&amp;cv=37")</f>
        <v>https://rmda.kulib.kyoto-u.ac.jp/item/rb00002686#?c=0&amp;m=0&amp;s=0&amp;cv=37</v>
      </c>
    </row>
    <row r="1504" spans="1:6" x14ac:dyDescent="0.15">
      <c r="A1504" s="6" t="s">
        <v>125</v>
      </c>
      <c r="B1504" s="6" t="s">
        <v>6181</v>
      </c>
      <c r="C1504" s="6">
        <v>18</v>
      </c>
      <c r="D1504" s="6" t="str">
        <f>HYPERLINK("https://rmda.kulib.kyoto-u.ac.jp/item/rb00002679#?c=0&amp;m=0&amp;s=0&amp;cv=17")</f>
        <v>https://rmda.kulib.kyoto-u.ac.jp/item/rb00002679#?c=0&amp;m=0&amp;s=0&amp;cv=17</v>
      </c>
      <c r="E1504" s="6">
        <v>39</v>
      </c>
      <c r="F1504" s="6" t="str">
        <f>HYPERLINK("https://rmda.kulib.kyoto-u.ac.jp/item/rb00002686#?c=0&amp;m=0&amp;s=0&amp;cv=38")</f>
        <v>https://rmda.kulib.kyoto-u.ac.jp/item/rb00002686#?c=0&amp;m=0&amp;s=0&amp;cv=38</v>
      </c>
    </row>
    <row r="1505" spans="1:6" x14ac:dyDescent="0.15">
      <c r="A1505" s="6" t="s">
        <v>125</v>
      </c>
      <c r="B1505" s="6" t="s">
        <v>6182</v>
      </c>
      <c r="C1505" s="6">
        <v>18</v>
      </c>
      <c r="D1505" s="6" t="str">
        <f>HYPERLINK("https://rmda.kulib.kyoto-u.ac.jp/item/rb00002679#?c=0&amp;m=0&amp;s=0&amp;cv=17")</f>
        <v>https://rmda.kulib.kyoto-u.ac.jp/item/rb00002679#?c=0&amp;m=0&amp;s=0&amp;cv=17</v>
      </c>
      <c r="E1505" s="6">
        <v>39</v>
      </c>
      <c r="F1505" s="6" t="str">
        <f>HYPERLINK("https://rmda.kulib.kyoto-u.ac.jp/item/rb00002686#?c=0&amp;m=0&amp;s=0&amp;cv=38")</f>
        <v>https://rmda.kulib.kyoto-u.ac.jp/item/rb00002686#?c=0&amp;m=0&amp;s=0&amp;cv=38</v>
      </c>
    </row>
    <row r="1506" spans="1:6" x14ac:dyDescent="0.15">
      <c r="A1506" s="6" t="s">
        <v>125</v>
      </c>
      <c r="B1506" s="6" t="s">
        <v>6183</v>
      </c>
      <c r="C1506" s="6">
        <v>19</v>
      </c>
      <c r="D1506" s="6" t="str">
        <f>HYPERLINK("https://rmda.kulib.kyoto-u.ac.jp/item/rb00002679#?c=0&amp;m=0&amp;s=0&amp;cv=18")</f>
        <v>https://rmda.kulib.kyoto-u.ac.jp/item/rb00002679#?c=0&amp;m=0&amp;s=0&amp;cv=18</v>
      </c>
      <c r="E1506" s="6">
        <v>39</v>
      </c>
      <c r="F1506" s="6" t="str">
        <f>HYPERLINK("https://rmda.kulib.kyoto-u.ac.jp/item/rb00002686#?c=0&amp;m=0&amp;s=0&amp;cv=38")</f>
        <v>https://rmda.kulib.kyoto-u.ac.jp/item/rb00002686#?c=0&amp;m=0&amp;s=0&amp;cv=38</v>
      </c>
    </row>
    <row r="1507" spans="1:6" x14ac:dyDescent="0.15">
      <c r="A1507" s="6" t="s">
        <v>125</v>
      </c>
      <c r="B1507" s="6" t="s">
        <v>6184</v>
      </c>
      <c r="C1507" s="6">
        <v>19</v>
      </c>
      <c r="D1507" s="6" t="str">
        <f>HYPERLINK("https://rmda.kulib.kyoto-u.ac.jp/item/rb00002679#?c=0&amp;m=0&amp;s=0&amp;cv=18")</f>
        <v>https://rmda.kulib.kyoto-u.ac.jp/item/rb00002679#?c=0&amp;m=0&amp;s=0&amp;cv=18</v>
      </c>
      <c r="E1507" s="6">
        <v>39</v>
      </c>
      <c r="F1507" s="6" t="str">
        <f>HYPERLINK("https://rmda.kulib.kyoto-u.ac.jp/item/rb00002686#?c=0&amp;m=0&amp;s=0&amp;cv=38")</f>
        <v>https://rmda.kulib.kyoto-u.ac.jp/item/rb00002686#?c=0&amp;m=0&amp;s=0&amp;cv=38</v>
      </c>
    </row>
    <row r="1508" spans="1:6" x14ac:dyDescent="0.15">
      <c r="A1508" s="6" t="s">
        <v>125</v>
      </c>
      <c r="B1508" s="6" t="s">
        <v>6185</v>
      </c>
      <c r="C1508" s="6">
        <v>19</v>
      </c>
      <c r="D1508" s="6" t="str">
        <f>HYPERLINK("https://rmda.kulib.kyoto-u.ac.jp/item/rb00002679#?c=0&amp;m=0&amp;s=0&amp;cv=18")</f>
        <v>https://rmda.kulib.kyoto-u.ac.jp/item/rb00002679#?c=0&amp;m=0&amp;s=0&amp;cv=18</v>
      </c>
      <c r="E1508" s="6">
        <v>40</v>
      </c>
      <c r="F1508" s="6" t="str">
        <f>HYPERLINK("https://rmda.kulib.kyoto-u.ac.jp/item/rb00002686#?c=0&amp;m=0&amp;s=0&amp;cv=39")</f>
        <v>https://rmda.kulib.kyoto-u.ac.jp/item/rb00002686#?c=0&amp;m=0&amp;s=0&amp;cv=39</v>
      </c>
    </row>
    <row r="1509" spans="1:6" x14ac:dyDescent="0.15">
      <c r="A1509" s="6" t="s">
        <v>125</v>
      </c>
      <c r="B1509" s="6" t="s">
        <v>6186</v>
      </c>
      <c r="C1509" s="6">
        <v>19</v>
      </c>
      <c r="D1509" s="6" t="str">
        <f>HYPERLINK("https://rmda.kulib.kyoto-u.ac.jp/item/rb00002679#?c=0&amp;m=0&amp;s=0&amp;cv=18")</f>
        <v>https://rmda.kulib.kyoto-u.ac.jp/item/rb00002679#?c=0&amp;m=0&amp;s=0&amp;cv=18</v>
      </c>
      <c r="E1509" s="6">
        <v>40</v>
      </c>
      <c r="F1509" s="6" t="str">
        <f>HYPERLINK("https://rmda.kulib.kyoto-u.ac.jp/item/rb00002686#?c=0&amp;m=0&amp;s=0&amp;cv=39")</f>
        <v>https://rmda.kulib.kyoto-u.ac.jp/item/rb00002686#?c=0&amp;m=0&amp;s=0&amp;cv=39</v>
      </c>
    </row>
    <row r="1510" spans="1:6" x14ac:dyDescent="0.15">
      <c r="A1510" s="6" t="s">
        <v>125</v>
      </c>
      <c r="B1510" s="6" t="s">
        <v>6187</v>
      </c>
      <c r="C1510" s="6">
        <v>19</v>
      </c>
      <c r="D1510" s="6" t="str">
        <f>HYPERLINK("https://rmda.kulib.kyoto-u.ac.jp/item/rb00002679#?c=0&amp;m=0&amp;s=0&amp;cv=18")</f>
        <v>https://rmda.kulib.kyoto-u.ac.jp/item/rb00002679#?c=0&amp;m=0&amp;s=0&amp;cv=18</v>
      </c>
      <c r="E1510" s="6">
        <v>41</v>
      </c>
      <c r="F1510" s="6" t="str">
        <f>HYPERLINK("https://rmda.kulib.kyoto-u.ac.jp/item/rb00002686#?c=0&amp;m=0&amp;s=0&amp;cv=40")</f>
        <v>https://rmda.kulib.kyoto-u.ac.jp/item/rb00002686#?c=0&amp;m=0&amp;s=0&amp;cv=40</v>
      </c>
    </row>
    <row r="1511" spans="1:6" x14ac:dyDescent="0.15">
      <c r="A1511" s="6" t="s">
        <v>125</v>
      </c>
      <c r="B1511" s="6" t="s">
        <v>6188</v>
      </c>
      <c r="C1511" s="6">
        <v>20</v>
      </c>
      <c r="D1511" s="6" t="str">
        <f>HYPERLINK("https://rmda.kulib.kyoto-u.ac.jp/item/rb00002679#?c=0&amp;m=0&amp;s=0&amp;cv=19")</f>
        <v>https://rmda.kulib.kyoto-u.ac.jp/item/rb00002679#?c=0&amp;m=0&amp;s=0&amp;cv=19</v>
      </c>
      <c r="E1511" s="6">
        <v>42</v>
      </c>
      <c r="F1511" s="6" t="str">
        <f>HYPERLINK("https://rmda.kulib.kyoto-u.ac.jp/item/rb00002686#?c=0&amp;m=0&amp;s=0&amp;cv=41")</f>
        <v>https://rmda.kulib.kyoto-u.ac.jp/item/rb00002686#?c=0&amp;m=0&amp;s=0&amp;cv=41</v>
      </c>
    </row>
    <row r="1512" spans="1:6" x14ac:dyDescent="0.15">
      <c r="A1512" s="6" t="s">
        <v>125</v>
      </c>
      <c r="B1512" s="6" t="s">
        <v>6189</v>
      </c>
      <c r="C1512" s="6">
        <v>20</v>
      </c>
      <c r="D1512" s="6" t="str">
        <f>HYPERLINK("https://rmda.kulib.kyoto-u.ac.jp/item/rb00002679#?c=0&amp;m=0&amp;s=0&amp;cv=19")</f>
        <v>https://rmda.kulib.kyoto-u.ac.jp/item/rb00002679#?c=0&amp;m=0&amp;s=0&amp;cv=19</v>
      </c>
      <c r="E1512" s="6">
        <v>43</v>
      </c>
      <c r="F1512" s="6" t="str">
        <f>HYPERLINK("https://rmda.kulib.kyoto-u.ac.jp/item/rb00002686#?c=0&amp;m=0&amp;s=0&amp;cv=42")</f>
        <v>https://rmda.kulib.kyoto-u.ac.jp/item/rb00002686#?c=0&amp;m=0&amp;s=0&amp;cv=42</v>
      </c>
    </row>
    <row r="1513" spans="1:6" x14ac:dyDescent="0.15">
      <c r="A1513" s="6" t="s">
        <v>125</v>
      </c>
      <c r="B1513" s="72" t="s">
        <v>6190</v>
      </c>
      <c r="C1513" s="6">
        <v>21</v>
      </c>
      <c r="D1513" s="6" t="str">
        <f>HYPERLINK("https://rmda.kulib.kyoto-u.ac.jp/item/rb00002679#?c=0&amp;m=0&amp;s=0&amp;cv=20")</f>
        <v>https://rmda.kulib.kyoto-u.ac.jp/item/rb00002679#?c=0&amp;m=0&amp;s=0&amp;cv=20</v>
      </c>
      <c r="E1513" s="6">
        <v>47</v>
      </c>
      <c r="F1513" s="6" t="str">
        <f>HYPERLINK("https://rmda.kulib.kyoto-u.ac.jp/item/rb00002686#?c=0&amp;m=0&amp;s=0&amp;cv=46")</f>
        <v>https://rmda.kulib.kyoto-u.ac.jp/item/rb00002686#?c=0&amp;m=0&amp;s=0&amp;cv=46</v>
      </c>
    </row>
    <row r="1514" spans="1:6" x14ac:dyDescent="0.15">
      <c r="A1514" s="6" t="s">
        <v>125</v>
      </c>
      <c r="B1514" s="71" t="s">
        <v>6191</v>
      </c>
      <c r="C1514" s="6">
        <v>21</v>
      </c>
      <c r="D1514" s="6" t="str">
        <f>HYPERLINK("https://rmda.kulib.kyoto-u.ac.jp/item/rb00002679#?c=0&amp;m=0&amp;s=0&amp;cv=20")</f>
        <v>https://rmda.kulib.kyoto-u.ac.jp/item/rb00002679#?c=0&amp;m=0&amp;s=0&amp;cv=20</v>
      </c>
      <c r="E1514" s="6">
        <v>47</v>
      </c>
      <c r="F1514" s="6" t="str">
        <f>HYPERLINK("https://rmda.kulib.kyoto-u.ac.jp/item/rb00002686#?c=0&amp;m=0&amp;s=0&amp;cv=46")</f>
        <v>https://rmda.kulib.kyoto-u.ac.jp/item/rb00002686#?c=0&amp;m=0&amp;s=0&amp;cv=46</v>
      </c>
    </row>
    <row r="1515" spans="1:6" x14ac:dyDescent="0.15">
      <c r="A1515" s="6" t="s">
        <v>125</v>
      </c>
      <c r="B1515" s="73" t="s">
        <v>6192</v>
      </c>
      <c r="C1515" s="6">
        <v>21</v>
      </c>
      <c r="D1515" s="6" t="str">
        <f>HYPERLINK("https://rmda.kulib.kyoto-u.ac.jp/item/rb00002679#?c=0&amp;m=0&amp;s=0&amp;cv=20")</f>
        <v>https://rmda.kulib.kyoto-u.ac.jp/item/rb00002679#?c=0&amp;m=0&amp;s=0&amp;cv=20</v>
      </c>
      <c r="E1515" s="6">
        <v>47</v>
      </c>
      <c r="F1515" s="6" t="str">
        <f>HYPERLINK("https://rmda.kulib.kyoto-u.ac.jp/item/rb00002686#?c=0&amp;m=0&amp;s=0&amp;cv=46")</f>
        <v>https://rmda.kulib.kyoto-u.ac.jp/item/rb00002686#?c=0&amp;m=0&amp;s=0&amp;cv=46</v>
      </c>
    </row>
    <row r="1516" spans="1:6" x14ac:dyDescent="0.15">
      <c r="A1516" s="6" t="s">
        <v>125</v>
      </c>
      <c r="B1516" s="6" t="s">
        <v>6193</v>
      </c>
      <c r="C1516" s="6">
        <v>21</v>
      </c>
      <c r="D1516" s="6" t="str">
        <f>HYPERLINK("https://rmda.kulib.kyoto-u.ac.jp/item/rb00002679#?c=0&amp;m=0&amp;s=0&amp;cv=20")</f>
        <v>https://rmda.kulib.kyoto-u.ac.jp/item/rb00002679#?c=0&amp;m=0&amp;s=0&amp;cv=20</v>
      </c>
      <c r="E1516" s="6">
        <v>48</v>
      </c>
      <c r="F1516" s="6" t="str">
        <f>HYPERLINK("https://rmda.kulib.kyoto-u.ac.jp/item/rb00002686#?c=0&amp;m=0&amp;s=0&amp;cv=47")</f>
        <v>https://rmda.kulib.kyoto-u.ac.jp/item/rb00002686#?c=0&amp;m=0&amp;s=0&amp;cv=47</v>
      </c>
    </row>
    <row r="1517" spans="1:6" x14ac:dyDescent="0.15">
      <c r="A1517" s="6" t="s">
        <v>125</v>
      </c>
      <c r="B1517" s="6" t="s">
        <v>6194</v>
      </c>
      <c r="C1517" s="6">
        <v>23</v>
      </c>
      <c r="D1517" s="6" t="str">
        <f>HYPERLINK("https://rmda.kulib.kyoto-u.ac.jp/item/rb00002679#?c=0&amp;m=0&amp;s=0&amp;cv=22")</f>
        <v>https://rmda.kulib.kyoto-u.ac.jp/item/rb00002679#?c=0&amp;m=0&amp;s=0&amp;cv=22</v>
      </c>
      <c r="E1517" s="6">
        <v>51</v>
      </c>
      <c r="F1517" s="6" t="str">
        <f>HYPERLINK("https://rmda.kulib.kyoto-u.ac.jp/item/rb00002686#?c=0&amp;m=0&amp;s=0&amp;cv=50")</f>
        <v>https://rmda.kulib.kyoto-u.ac.jp/item/rb00002686#?c=0&amp;m=0&amp;s=0&amp;cv=50</v>
      </c>
    </row>
    <row r="1518" spans="1:6" x14ac:dyDescent="0.15">
      <c r="A1518" s="6" t="s">
        <v>125</v>
      </c>
      <c r="B1518" s="6" t="s">
        <v>6195</v>
      </c>
      <c r="C1518" s="6">
        <v>23</v>
      </c>
      <c r="D1518" s="6" t="str">
        <f>HYPERLINK("https://rmda.kulib.kyoto-u.ac.jp/item/rb00002679#?c=0&amp;m=0&amp;s=0&amp;cv=22")</f>
        <v>https://rmda.kulib.kyoto-u.ac.jp/item/rb00002679#?c=0&amp;m=0&amp;s=0&amp;cv=22</v>
      </c>
      <c r="E1518" s="6">
        <v>54</v>
      </c>
      <c r="F1518" s="6" t="str">
        <f>HYPERLINK("https://rmda.kulib.kyoto-u.ac.jp/item/rb00002686#?c=0&amp;m=0&amp;s=0&amp;cv=53")</f>
        <v>https://rmda.kulib.kyoto-u.ac.jp/item/rb00002686#?c=0&amp;m=0&amp;s=0&amp;cv=53</v>
      </c>
    </row>
    <row r="1519" spans="1:6" x14ac:dyDescent="0.15">
      <c r="A1519" s="6" t="s">
        <v>125</v>
      </c>
      <c r="B1519" s="6" t="s">
        <v>6196</v>
      </c>
      <c r="C1519" s="6">
        <v>24</v>
      </c>
      <c r="D1519" s="6" t="str">
        <f>HYPERLINK("https://rmda.kulib.kyoto-u.ac.jp/item/rb00002679#?c=0&amp;m=0&amp;s=0&amp;cv=23")</f>
        <v>https://rmda.kulib.kyoto-u.ac.jp/item/rb00002679#?c=0&amp;m=0&amp;s=0&amp;cv=23</v>
      </c>
      <c r="E1519" s="6">
        <v>55</v>
      </c>
      <c r="F1519" s="6" t="str">
        <f>HYPERLINK("https://rmda.kulib.kyoto-u.ac.jp/item/rb00002686#?c=0&amp;m=0&amp;s=0&amp;cv=54")</f>
        <v>https://rmda.kulib.kyoto-u.ac.jp/item/rb00002686#?c=0&amp;m=0&amp;s=0&amp;cv=54</v>
      </c>
    </row>
    <row r="1520" spans="1:6" x14ac:dyDescent="0.15">
      <c r="A1520" s="6" t="s">
        <v>125</v>
      </c>
      <c r="B1520" s="6" t="s">
        <v>6197</v>
      </c>
      <c r="C1520" s="6">
        <v>25</v>
      </c>
      <c r="D1520" s="6" t="str">
        <f>HYPERLINK("https://rmda.kulib.kyoto-u.ac.jp/item/rb00002679#?c=0&amp;m=0&amp;s=0&amp;cv=24")</f>
        <v>https://rmda.kulib.kyoto-u.ac.jp/item/rb00002679#?c=0&amp;m=0&amp;s=0&amp;cv=24</v>
      </c>
      <c r="E1520" s="6">
        <v>55</v>
      </c>
      <c r="F1520" s="6" t="str">
        <f>HYPERLINK("https://rmda.kulib.kyoto-u.ac.jp/item/rb00002686#?c=0&amp;m=0&amp;s=0&amp;cv=54")</f>
        <v>https://rmda.kulib.kyoto-u.ac.jp/item/rb00002686#?c=0&amp;m=0&amp;s=0&amp;cv=54</v>
      </c>
    </row>
    <row r="1521" spans="1:6" x14ac:dyDescent="0.15">
      <c r="A1521" s="6" t="s">
        <v>125</v>
      </c>
      <c r="B1521" s="6" t="s">
        <v>6198</v>
      </c>
      <c r="C1521" s="6">
        <v>26</v>
      </c>
      <c r="D1521" s="6" t="str">
        <f>HYPERLINK("https://rmda.kulib.kyoto-u.ac.jp/item/rb00002679#?c=0&amp;m=0&amp;s=0&amp;cv=25")</f>
        <v>https://rmda.kulib.kyoto-u.ac.jp/item/rb00002679#?c=0&amp;m=0&amp;s=0&amp;cv=25</v>
      </c>
      <c r="E1521" s="6">
        <v>56</v>
      </c>
      <c r="F1521" s="6" t="str">
        <f>HYPERLINK("https://rmda.kulib.kyoto-u.ac.jp/item/rb00002686#?c=0&amp;m=0&amp;s=0&amp;cv=55")</f>
        <v>https://rmda.kulib.kyoto-u.ac.jp/item/rb00002686#?c=0&amp;m=0&amp;s=0&amp;cv=55</v>
      </c>
    </row>
    <row r="1522" spans="1:6" x14ac:dyDescent="0.15">
      <c r="A1522" s="6" t="s">
        <v>125</v>
      </c>
      <c r="B1522" s="6" t="s">
        <v>6199</v>
      </c>
      <c r="C1522" s="6">
        <v>27</v>
      </c>
      <c r="D1522" s="6" t="str">
        <f>HYPERLINK("https://rmda.kulib.kyoto-u.ac.jp/item/rb00002679#?c=0&amp;m=0&amp;s=0&amp;cv=26")</f>
        <v>https://rmda.kulib.kyoto-u.ac.jp/item/rb00002679#?c=0&amp;m=0&amp;s=0&amp;cv=26</v>
      </c>
      <c r="E1522" s="6">
        <v>57</v>
      </c>
      <c r="F1522" s="6" t="str">
        <f>HYPERLINK("https://rmda.kulib.kyoto-u.ac.jp/item/rb00002686#?c=0&amp;m=0&amp;s=0&amp;cv=56")</f>
        <v>https://rmda.kulib.kyoto-u.ac.jp/item/rb00002686#?c=0&amp;m=0&amp;s=0&amp;cv=56</v>
      </c>
    </row>
    <row r="1523" spans="1:6" x14ac:dyDescent="0.15">
      <c r="A1523" s="6" t="s">
        <v>125</v>
      </c>
      <c r="B1523" s="73" t="s">
        <v>6200</v>
      </c>
      <c r="C1523" s="6">
        <v>27</v>
      </c>
      <c r="D1523" s="6" t="str">
        <f>HYPERLINK("https://rmda.kulib.kyoto-u.ac.jp/item/rb00002679#?c=0&amp;m=0&amp;s=0&amp;cv=26")</f>
        <v>https://rmda.kulib.kyoto-u.ac.jp/item/rb00002679#?c=0&amp;m=0&amp;s=0&amp;cv=26</v>
      </c>
      <c r="E1523" s="6">
        <v>58</v>
      </c>
      <c r="F1523" s="6" t="str">
        <f>HYPERLINK("https://rmda.kulib.kyoto-u.ac.jp/item/rb00002686#?c=0&amp;m=0&amp;s=0&amp;cv=57")</f>
        <v>https://rmda.kulib.kyoto-u.ac.jp/item/rb00002686#?c=0&amp;m=0&amp;s=0&amp;cv=57</v>
      </c>
    </row>
    <row r="1524" spans="1:6" x14ac:dyDescent="0.15">
      <c r="A1524" s="6" t="s">
        <v>125</v>
      </c>
      <c r="B1524" s="6" t="s">
        <v>6201</v>
      </c>
      <c r="C1524" s="6">
        <v>27</v>
      </c>
      <c r="D1524" s="6" t="str">
        <f>HYPERLINK("https://rmda.kulib.kyoto-u.ac.jp/item/rb00002679#?c=0&amp;m=0&amp;s=0&amp;cv=26")</f>
        <v>https://rmda.kulib.kyoto-u.ac.jp/item/rb00002679#?c=0&amp;m=0&amp;s=0&amp;cv=26</v>
      </c>
      <c r="E1524" s="6">
        <v>58</v>
      </c>
      <c r="F1524" s="6" t="str">
        <f>HYPERLINK("https://rmda.kulib.kyoto-u.ac.jp/item/rb00002686#?c=0&amp;m=0&amp;s=0&amp;cv=57")</f>
        <v>https://rmda.kulib.kyoto-u.ac.jp/item/rb00002686#?c=0&amp;m=0&amp;s=0&amp;cv=57</v>
      </c>
    </row>
    <row r="1525" spans="1:6" x14ac:dyDescent="0.15">
      <c r="A1525" s="6" t="s">
        <v>125</v>
      </c>
      <c r="B1525" s="6" t="s">
        <v>6202</v>
      </c>
      <c r="C1525" s="6">
        <v>28</v>
      </c>
      <c r="D1525" s="6" t="str">
        <f>HYPERLINK("https://rmda.kulib.kyoto-u.ac.jp/item/rb00002679#?c=0&amp;m=0&amp;s=0&amp;cv=27")</f>
        <v>https://rmda.kulib.kyoto-u.ac.jp/item/rb00002679#?c=0&amp;m=0&amp;s=0&amp;cv=27</v>
      </c>
      <c r="E1525" s="6">
        <v>59</v>
      </c>
      <c r="F1525" s="6" t="str">
        <f>HYPERLINK("https://rmda.kulib.kyoto-u.ac.jp/item/rb00002686#?c=0&amp;m=0&amp;s=0&amp;cv=58")</f>
        <v>https://rmda.kulib.kyoto-u.ac.jp/item/rb00002686#?c=0&amp;m=0&amp;s=0&amp;cv=58</v>
      </c>
    </row>
    <row r="1526" spans="1:6" x14ac:dyDescent="0.15">
      <c r="A1526" s="6" t="s">
        <v>125</v>
      </c>
      <c r="B1526" s="6" t="s">
        <v>6203</v>
      </c>
      <c r="C1526" s="6">
        <v>29</v>
      </c>
      <c r="D1526" s="6" t="str">
        <f>HYPERLINK("https://rmda.kulib.kyoto-u.ac.jp/item/rb00002679#?c=0&amp;m=0&amp;s=0&amp;cv=28")</f>
        <v>https://rmda.kulib.kyoto-u.ac.jp/item/rb00002679#?c=0&amp;m=0&amp;s=0&amp;cv=28</v>
      </c>
      <c r="E1526" s="6">
        <v>62</v>
      </c>
      <c r="F1526" s="6" t="str">
        <f>HYPERLINK("https://rmda.kulib.kyoto-u.ac.jp/item/rb00002686#?c=0&amp;m=0&amp;s=0&amp;cv=61")</f>
        <v>https://rmda.kulib.kyoto-u.ac.jp/item/rb00002686#?c=0&amp;m=0&amp;s=0&amp;cv=61</v>
      </c>
    </row>
    <row r="1527" spans="1:6" x14ac:dyDescent="0.15">
      <c r="A1527" s="6" t="s">
        <v>125</v>
      </c>
      <c r="B1527" s="6" t="s">
        <v>6204</v>
      </c>
      <c r="C1527" s="6">
        <v>30</v>
      </c>
      <c r="D1527" s="6" t="str">
        <f>HYPERLINK("https://rmda.kulib.kyoto-u.ac.jp/item/rb00002679#?c=0&amp;m=0&amp;s=0&amp;cv=29")</f>
        <v>https://rmda.kulib.kyoto-u.ac.jp/item/rb00002679#?c=0&amp;m=0&amp;s=0&amp;cv=29</v>
      </c>
      <c r="E1527" s="6">
        <v>63</v>
      </c>
      <c r="F1527" s="6" t="str">
        <f>HYPERLINK("https://rmda.kulib.kyoto-u.ac.jp/item/rb00002686#?c=0&amp;m=0&amp;s=0&amp;cv=62")</f>
        <v>https://rmda.kulib.kyoto-u.ac.jp/item/rb00002686#?c=0&amp;m=0&amp;s=0&amp;cv=62</v>
      </c>
    </row>
    <row r="1528" spans="1:6" x14ac:dyDescent="0.15">
      <c r="A1528" s="6" t="s">
        <v>125</v>
      </c>
      <c r="B1528" s="6" t="s">
        <v>6205</v>
      </c>
      <c r="C1528" s="6">
        <v>31</v>
      </c>
      <c r="D1528" s="6" t="str">
        <f>HYPERLINK("https://rmda.kulib.kyoto-u.ac.jp/item/rb00002679#?c=0&amp;m=0&amp;s=0&amp;cv=30")</f>
        <v>https://rmda.kulib.kyoto-u.ac.jp/item/rb00002679#?c=0&amp;m=0&amp;s=0&amp;cv=30</v>
      </c>
      <c r="E1528" s="6">
        <v>64</v>
      </c>
      <c r="F1528" s="6" t="str">
        <f>HYPERLINK("https://rmda.kulib.kyoto-u.ac.jp/item/rb00002686#?c=0&amp;m=0&amp;s=0&amp;cv=63")</f>
        <v>https://rmda.kulib.kyoto-u.ac.jp/item/rb00002686#?c=0&amp;m=0&amp;s=0&amp;cv=63</v>
      </c>
    </row>
    <row r="1529" spans="1:6" x14ac:dyDescent="0.15">
      <c r="A1529" s="6" t="s">
        <v>125</v>
      </c>
      <c r="B1529" s="6" t="s">
        <v>6206</v>
      </c>
      <c r="C1529" s="6">
        <v>31</v>
      </c>
      <c r="D1529" s="6" t="str">
        <f>HYPERLINK("https://rmda.kulib.kyoto-u.ac.jp/item/rb00002679#?c=0&amp;m=0&amp;s=0&amp;cv=30")</f>
        <v>https://rmda.kulib.kyoto-u.ac.jp/item/rb00002679#?c=0&amp;m=0&amp;s=0&amp;cv=30</v>
      </c>
      <c r="E1529" s="6">
        <v>64</v>
      </c>
      <c r="F1529" s="6" t="str">
        <f>HYPERLINK("https://rmda.kulib.kyoto-u.ac.jp/item/rb00002686#?c=0&amp;m=0&amp;s=0&amp;cv=63")</f>
        <v>https://rmda.kulib.kyoto-u.ac.jp/item/rb00002686#?c=0&amp;m=0&amp;s=0&amp;cv=63</v>
      </c>
    </row>
    <row r="1530" spans="1:6" x14ac:dyDescent="0.15">
      <c r="A1530" s="6" t="s">
        <v>125</v>
      </c>
      <c r="B1530" s="6" t="s">
        <v>6207</v>
      </c>
      <c r="C1530" s="6">
        <v>32</v>
      </c>
      <c r="D1530" s="6" t="str">
        <f>HYPERLINK("https://rmda.kulib.kyoto-u.ac.jp/item/rb00002679#?c=0&amp;m=0&amp;s=0&amp;cv=31")</f>
        <v>https://rmda.kulib.kyoto-u.ac.jp/item/rb00002679#?c=0&amp;m=0&amp;s=0&amp;cv=31</v>
      </c>
      <c r="E1530" s="6">
        <v>65</v>
      </c>
      <c r="F1530" s="6" t="str">
        <f>HYPERLINK("https://rmda.kulib.kyoto-u.ac.jp/item/rb00002686#?c=0&amp;m=0&amp;s=0&amp;cv=64")</f>
        <v>https://rmda.kulib.kyoto-u.ac.jp/item/rb00002686#?c=0&amp;m=0&amp;s=0&amp;cv=64</v>
      </c>
    </row>
    <row r="1531" spans="1:6" x14ac:dyDescent="0.15">
      <c r="A1531" s="6" t="s">
        <v>125</v>
      </c>
      <c r="B1531" s="6" t="s">
        <v>6208</v>
      </c>
      <c r="C1531" s="6">
        <v>32</v>
      </c>
      <c r="D1531" s="6" t="str">
        <f>HYPERLINK("https://rmda.kulib.kyoto-u.ac.jp/item/rb00002679#?c=0&amp;m=0&amp;s=0&amp;cv=31")</f>
        <v>https://rmda.kulib.kyoto-u.ac.jp/item/rb00002679#?c=0&amp;m=0&amp;s=0&amp;cv=31</v>
      </c>
      <c r="E1531" s="6">
        <v>66</v>
      </c>
      <c r="F1531" s="6" t="str">
        <f>HYPERLINK("https://rmda.kulib.kyoto-u.ac.jp/item/rb00002686#?c=0&amp;m=0&amp;s=0&amp;cv=65")</f>
        <v>https://rmda.kulib.kyoto-u.ac.jp/item/rb00002686#?c=0&amp;m=0&amp;s=0&amp;cv=65</v>
      </c>
    </row>
    <row r="1532" spans="1:6" x14ac:dyDescent="0.15">
      <c r="A1532" s="6" t="s">
        <v>125</v>
      </c>
      <c r="B1532" s="73" t="s">
        <v>6209</v>
      </c>
      <c r="C1532" s="6">
        <v>33</v>
      </c>
      <c r="D1532" s="6" t="str">
        <f>HYPERLINK("https://rmda.kulib.kyoto-u.ac.jp/item/rb00002679#?c=0&amp;m=0&amp;s=0&amp;cv=32")</f>
        <v>https://rmda.kulib.kyoto-u.ac.jp/item/rb00002679#?c=0&amp;m=0&amp;s=0&amp;cv=32</v>
      </c>
      <c r="E1532" s="6">
        <v>66</v>
      </c>
      <c r="F1532" s="6" t="str">
        <f>HYPERLINK("https://rmda.kulib.kyoto-u.ac.jp/item/rb00002686#?c=0&amp;m=0&amp;s=0&amp;cv=65")</f>
        <v>https://rmda.kulib.kyoto-u.ac.jp/item/rb00002686#?c=0&amp;m=0&amp;s=0&amp;cv=65</v>
      </c>
    </row>
    <row r="1533" spans="1:6" x14ac:dyDescent="0.15">
      <c r="A1533" s="6" t="s">
        <v>125</v>
      </c>
      <c r="B1533" s="6" t="s">
        <v>6210</v>
      </c>
      <c r="C1533" s="6">
        <v>33</v>
      </c>
      <c r="D1533" s="6" t="str">
        <f>HYPERLINK("https://rmda.kulib.kyoto-u.ac.jp/item/rb00002679#?c=0&amp;m=0&amp;s=0&amp;cv=32")</f>
        <v>https://rmda.kulib.kyoto-u.ac.jp/item/rb00002679#?c=0&amp;m=0&amp;s=0&amp;cv=32</v>
      </c>
      <c r="E1533" s="6">
        <v>67</v>
      </c>
      <c r="F1533" s="6" t="str">
        <f>HYPERLINK("https://rmda.kulib.kyoto-u.ac.jp/item/rb00002686#?c=0&amp;m=0&amp;s=0&amp;cv=66")</f>
        <v>https://rmda.kulib.kyoto-u.ac.jp/item/rb00002686#?c=0&amp;m=0&amp;s=0&amp;cv=66</v>
      </c>
    </row>
    <row r="1534" spans="1:6" x14ac:dyDescent="0.15">
      <c r="A1534" s="6" t="s">
        <v>125</v>
      </c>
      <c r="B1534" s="6" t="s">
        <v>6211</v>
      </c>
      <c r="C1534" s="6">
        <v>33</v>
      </c>
      <c r="D1534" s="6" t="str">
        <f>HYPERLINK("https://rmda.kulib.kyoto-u.ac.jp/item/rb00002679#?c=0&amp;m=0&amp;s=0&amp;cv=32")</f>
        <v>https://rmda.kulib.kyoto-u.ac.jp/item/rb00002679#?c=0&amp;m=0&amp;s=0&amp;cv=32</v>
      </c>
      <c r="E1534" s="6">
        <v>68</v>
      </c>
      <c r="F1534" s="6" t="str">
        <f>HYPERLINK("https://rmda.kulib.kyoto-u.ac.jp/item/rb00002686#?c=0&amp;m=0&amp;s=0&amp;cv=67")</f>
        <v>https://rmda.kulib.kyoto-u.ac.jp/item/rb00002686#?c=0&amp;m=0&amp;s=0&amp;cv=67</v>
      </c>
    </row>
    <row r="1535" spans="1:6" x14ac:dyDescent="0.15">
      <c r="A1535" s="6" t="s">
        <v>125</v>
      </c>
      <c r="B1535" s="6" t="s">
        <v>6212</v>
      </c>
      <c r="C1535" s="6">
        <v>34</v>
      </c>
      <c r="D1535" s="6" t="str">
        <f>HYPERLINK("https://rmda.kulib.kyoto-u.ac.jp/item/rb00002679#?c=0&amp;m=0&amp;s=0&amp;cv=33")</f>
        <v>https://rmda.kulib.kyoto-u.ac.jp/item/rb00002679#?c=0&amp;m=0&amp;s=0&amp;cv=33</v>
      </c>
      <c r="E1535" s="6">
        <v>68</v>
      </c>
      <c r="F1535" s="6" t="str">
        <f>HYPERLINK("https://rmda.kulib.kyoto-u.ac.jp/item/rb00002686#?c=0&amp;m=0&amp;s=0&amp;cv=67")</f>
        <v>https://rmda.kulib.kyoto-u.ac.jp/item/rb00002686#?c=0&amp;m=0&amp;s=0&amp;cv=67</v>
      </c>
    </row>
    <row r="1536" spans="1:6" x14ac:dyDescent="0.15">
      <c r="A1536" s="6" t="s">
        <v>125</v>
      </c>
      <c r="B1536" s="6" t="s">
        <v>6213</v>
      </c>
      <c r="C1536" s="6">
        <v>34</v>
      </c>
      <c r="D1536" s="6" t="str">
        <f>HYPERLINK("https://rmda.kulib.kyoto-u.ac.jp/item/rb00002679#?c=0&amp;m=0&amp;s=0&amp;cv=33")</f>
        <v>https://rmda.kulib.kyoto-u.ac.jp/item/rb00002679#?c=0&amp;m=0&amp;s=0&amp;cv=33</v>
      </c>
      <c r="E1536" s="6">
        <v>69</v>
      </c>
      <c r="F1536" s="6" t="str">
        <f>HYPERLINK("https://rmda.kulib.kyoto-u.ac.jp/item/rb00002686#?c=0&amp;m=0&amp;s=0&amp;cv=68")</f>
        <v>https://rmda.kulib.kyoto-u.ac.jp/item/rb00002686#?c=0&amp;m=0&amp;s=0&amp;cv=68</v>
      </c>
    </row>
    <row r="1537" spans="1:6" x14ac:dyDescent="0.15">
      <c r="A1537" s="6" t="s">
        <v>125</v>
      </c>
      <c r="B1537" s="6" t="s">
        <v>6214</v>
      </c>
      <c r="C1537" s="6">
        <v>34</v>
      </c>
      <c r="D1537" s="6" t="str">
        <f>HYPERLINK("https://rmda.kulib.kyoto-u.ac.jp/item/rb00002679#?c=0&amp;m=0&amp;s=0&amp;cv=33")</f>
        <v>https://rmda.kulib.kyoto-u.ac.jp/item/rb00002679#?c=0&amp;m=0&amp;s=0&amp;cv=33</v>
      </c>
      <c r="E1537" s="6">
        <v>69</v>
      </c>
      <c r="F1537" s="6" t="str">
        <f>HYPERLINK("https://rmda.kulib.kyoto-u.ac.jp/item/rb00002686#?c=0&amp;m=0&amp;s=0&amp;cv=68")</f>
        <v>https://rmda.kulib.kyoto-u.ac.jp/item/rb00002686#?c=0&amp;m=0&amp;s=0&amp;cv=68</v>
      </c>
    </row>
    <row r="1538" spans="1:6" x14ac:dyDescent="0.15">
      <c r="A1538" s="6" t="s">
        <v>125</v>
      </c>
      <c r="B1538" s="6" t="s">
        <v>6215</v>
      </c>
      <c r="C1538" s="6">
        <v>34</v>
      </c>
      <c r="D1538" s="6" t="str">
        <f>HYPERLINK("https://rmda.kulib.kyoto-u.ac.jp/item/rb00002679#?c=0&amp;m=0&amp;s=0&amp;cv=33")</f>
        <v>https://rmda.kulib.kyoto-u.ac.jp/item/rb00002679#?c=0&amp;m=0&amp;s=0&amp;cv=33</v>
      </c>
      <c r="E1538" s="6">
        <v>69</v>
      </c>
      <c r="F1538" s="6" t="str">
        <f>HYPERLINK("https://rmda.kulib.kyoto-u.ac.jp/item/rb00002686#?c=0&amp;m=0&amp;s=0&amp;cv=68")</f>
        <v>https://rmda.kulib.kyoto-u.ac.jp/item/rb00002686#?c=0&amp;m=0&amp;s=0&amp;cv=68</v>
      </c>
    </row>
    <row r="1539" spans="1:6" x14ac:dyDescent="0.15">
      <c r="A1539" s="6" t="s">
        <v>125</v>
      </c>
      <c r="B1539" s="6" t="s">
        <v>6216</v>
      </c>
      <c r="C1539" s="6">
        <v>35</v>
      </c>
      <c r="D1539" s="6" t="str">
        <f>HYPERLINK("https://rmda.kulib.kyoto-u.ac.jp/item/rb00002679#?c=0&amp;m=0&amp;s=0&amp;cv=34")</f>
        <v>https://rmda.kulib.kyoto-u.ac.jp/item/rb00002679#?c=0&amp;m=0&amp;s=0&amp;cv=34</v>
      </c>
      <c r="E1539" s="6">
        <v>69</v>
      </c>
      <c r="F1539" s="6" t="str">
        <f>HYPERLINK("https://rmda.kulib.kyoto-u.ac.jp/item/rb00002686#?c=0&amp;m=0&amp;s=0&amp;cv=68")</f>
        <v>https://rmda.kulib.kyoto-u.ac.jp/item/rb00002686#?c=0&amp;m=0&amp;s=0&amp;cv=68</v>
      </c>
    </row>
    <row r="1540" spans="1:6" x14ac:dyDescent="0.15">
      <c r="A1540" s="6" t="s">
        <v>125</v>
      </c>
      <c r="B1540" s="6" t="s">
        <v>6217</v>
      </c>
      <c r="C1540" s="6">
        <v>35</v>
      </c>
      <c r="D1540" s="6" t="str">
        <f>HYPERLINK("https://rmda.kulib.kyoto-u.ac.jp/item/rb00002679#?c=0&amp;m=0&amp;s=0&amp;cv=34")</f>
        <v>https://rmda.kulib.kyoto-u.ac.jp/item/rb00002679#?c=0&amp;m=0&amp;s=0&amp;cv=34</v>
      </c>
      <c r="E1540" s="6">
        <v>70</v>
      </c>
      <c r="F1540" s="6" t="str">
        <f>HYPERLINK("https://rmda.kulib.kyoto-u.ac.jp/item/rb00002686#?c=0&amp;m=0&amp;s=0&amp;cv=69")</f>
        <v>https://rmda.kulib.kyoto-u.ac.jp/item/rb00002686#?c=0&amp;m=0&amp;s=0&amp;cv=69</v>
      </c>
    </row>
    <row r="1541" spans="1:6" x14ac:dyDescent="0.15">
      <c r="A1541" s="6" t="s">
        <v>125</v>
      </c>
      <c r="B1541" s="6" t="s">
        <v>6218</v>
      </c>
      <c r="C1541" s="6">
        <v>35</v>
      </c>
      <c r="D1541" s="6" t="str">
        <f>HYPERLINK("https://rmda.kulib.kyoto-u.ac.jp/item/rb00002679#?c=0&amp;m=0&amp;s=0&amp;cv=34")</f>
        <v>https://rmda.kulib.kyoto-u.ac.jp/item/rb00002679#?c=0&amp;m=0&amp;s=0&amp;cv=34</v>
      </c>
      <c r="E1541" s="6">
        <v>70</v>
      </c>
      <c r="F1541" s="6" t="str">
        <f>HYPERLINK("https://rmda.kulib.kyoto-u.ac.jp/item/rb00002686#?c=0&amp;m=0&amp;s=0&amp;cv=69")</f>
        <v>https://rmda.kulib.kyoto-u.ac.jp/item/rb00002686#?c=0&amp;m=0&amp;s=0&amp;cv=69</v>
      </c>
    </row>
    <row r="1542" spans="1:6" x14ac:dyDescent="0.15">
      <c r="A1542" s="6" t="s">
        <v>125</v>
      </c>
      <c r="B1542" s="6" t="s">
        <v>6219</v>
      </c>
      <c r="C1542" s="6">
        <v>35</v>
      </c>
      <c r="D1542" s="6" t="str">
        <f>HYPERLINK("https://rmda.kulib.kyoto-u.ac.jp/item/rb00002679#?c=0&amp;m=0&amp;s=0&amp;cv=34")</f>
        <v>https://rmda.kulib.kyoto-u.ac.jp/item/rb00002679#?c=0&amp;m=0&amp;s=0&amp;cv=34</v>
      </c>
      <c r="E1542" s="6">
        <v>71</v>
      </c>
      <c r="F1542" s="6" t="str">
        <f>HYPERLINK("https://rmda.kulib.kyoto-u.ac.jp/item/rb00002686#?c=0&amp;m=0&amp;s=0&amp;cv=70")</f>
        <v>https://rmda.kulib.kyoto-u.ac.jp/item/rb00002686#?c=0&amp;m=0&amp;s=0&amp;cv=70</v>
      </c>
    </row>
    <row r="1543" spans="1:6" x14ac:dyDescent="0.15">
      <c r="A1543" s="6" t="s">
        <v>125</v>
      </c>
      <c r="B1543" s="6" t="s">
        <v>6220</v>
      </c>
      <c r="C1543" s="6">
        <v>36</v>
      </c>
      <c r="D1543" s="6" t="str">
        <f>HYPERLINK("https://rmda.kulib.kyoto-u.ac.jp/item/rb00002679#?c=0&amp;m=0&amp;s=0&amp;cv=35")</f>
        <v>https://rmda.kulib.kyoto-u.ac.jp/item/rb00002679#?c=0&amp;m=0&amp;s=0&amp;cv=35</v>
      </c>
      <c r="E1543" s="6">
        <v>71</v>
      </c>
      <c r="F1543" s="6" t="str">
        <f>HYPERLINK("https://rmda.kulib.kyoto-u.ac.jp/item/rb00002686#?c=0&amp;m=0&amp;s=0&amp;cv=70")</f>
        <v>https://rmda.kulib.kyoto-u.ac.jp/item/rb00002686#?c=0&amp;m=0&amp;s=0&amp;cv=70</v>
      </c>
    </row>
    <row r="1544" spans="1:6" x14ac:dyDescent="0.15">
      <c r="A1544" s="6" t="s">
        <v>125</v>
      </c>
      <c r="B1544" s="73" t="s">
        <v>6221</v>
      </c>
      <c r="C1544" s="6">
        <v>36</v>
      </c>
      <c r="D1544" s="6" t="str">
        <f>HYPERLINK("https://rmda.kulib.kyoto-u.ac.jp/item/rb00002679#?c=0&amp;m=0&amp;s=0&amp;cv=35")</f>
        <v>https://rmda.kulib.kyoto-u.ac.jp/item/rb00002679#?c=0&amp;m=0&amp;s=0&amp;cv=35</v>
      </c>
      <c r="E1544" s="6">
        <v>72</v>
      </c>
      <c r="F1544" s="6" t="str">
        <f>HYPERLINK("https://rmda.kulib.kyoto-u.ac.jp/item/rb00002686#?c=0&amp;m=0&amp;s=0&amp;cv=71")</f>
        <v>https://rmda.kulib.kyoto-u.ac.jp/item/rb00002686#?c=0&amp;m=0&amp;s=0&amp;cv=71</v>
      </c>
    </row>
    <row r="1545" spans="1:6" x14ac:dyDescent="0.15">
      <c r="A1545" s="6" t="s">
        <v>125</v>
      </c>
      <c r="B1545" s="6" t="s">
        <v>6222</v>
      </c>
      <c r="C1545" s="6">
        <v>36</v>
      </c>
      <c r="D1545" s="6" t="str">
        <f>HYPERLINK("https://rmda.kulib.kyoto-u.ac.jp/item/rb00002679#?c=0&amp;m=0&amp;s=0&amp;cv=35")</f>
        <v>https://rmda.kulib.kyoto-u.ac.jp/item/rb00002679#?c=0&amp;m=0&amp;s=0&amp;cv=35</v>
      </c>
      <c r="E1545" s="6">
        <v>72</v>
      </c>
      <c r="F1545" s="6" t="str">
        <f>HYPERLINK("https://rmda.kulib.kyoto-u.ac.jp/item/rb00002686#?c=0&amp;m=0&amp;s=0&amp;cv=71")</f>
        <v>https://rmda.kulib.kyoto-u.ac.jp/item/rb00002686#?c=0&amp;m=0&amp;s=0&amp;cv=71</v>
      </c>
    </row>
    <row r="1546" spans="1:6" x14ac:dyDescent="0.15">
      <c r="A1546" s="6" t="s">
        <v>125</v>
      </c>
      <c r="B1546" s="6" t="s">
        <v>6223</v>
      </c>
      <c r="C1546" s="6">
        <v>36</v>
      </c>
      <c r="D1546" s="6" t="str">
        <f>HYPERLINK("https://rmda.kulib.kyoto-u.ac.jp/item/rb00002679#?c=0&amp;m=0&amp;s=0&amp;cv=35")</f>
        <v>https://rmda.kulib.kyoto-u.ac.jp/item/rb00002679#?c=0&amp;m=0&amp;s=0&amp;cv=35</v>
      </c>
      <c r="E1546" s="6">
        <v>72</v>
      </c>
      <c r="F1546" s="6" t="str">
        <f>HYPERLINK("https://rmda.kulib.kyoto-u.ac.jp/item/rb00002686#?c=0&amp;m=0&amp;s=0&amp;cv=71")</f>
        <v>https://rmda.kulib.kyoto-u.ac.jp/item/rb00002686#?c=0&amp;m=0&amp;s=0&amp;cv=71</v>
      </c>
    </row>
    <row r="1547" spans="1:6" x14ac:dyDescent="0.15">
      <c r="A1547" s="6" t="s">
        <v>125</v>
      </c>
      <c r="B1547" s="6" t="s">
        <v>6224</v>
      </c>
      <c r="C1547" s="6">
        <v>36</v>
      </c>
      <c r="D1547" s="6" t="str">
        <f>HYPERLINK("https://rmda.kulib.kyoto-u.ac.jp/item/rb00002679#?c=0&amp;m=0&amp;s=0&amp;cv=35")</f>
        <v>https://rmda.kulib.kyoto-u.ac.jp/item/rb00002679#?c=0&amp;m=0&amp;s=0&amp;cv=35</v>
      </c>
      <c r="E1547" s="6">
        <v>73</v>
      </c>
      <c r="F1547" s="6" t="str">
        <f>HYPERLINK("https://rmda.kulib.kyoto-u.ac.jp/item/rb00002686#?c=0&amp;m=0&amp;s=0&amp;cv=72")</f>
        <v>https://rmda.kulib.kyoto-u.ac.jp/item/rb00002686#?c=0&amp;m=0&amp;s=0&amp;cv=72</v>
      </c>
    </row>
    <row r="1548" spans="1:6" x14ac:dyDescent="0.15">
      <c r="A1548" s="6" t="s">
        <v>125</v>
      </c>
      <c r="B1548" s="6" t="s">
        <v>6225</v>
      </c>
      <c r="C1548" s="6">
        <v>37</v>
      </c>
      <c r="D1548" s="6" t="str">
        <f>HYPERLINK("https://rmda.kulib.kyoto-u.ac.jp/item/rb00002679#?c=0&amp;m=0&amp;s=0&amp;cv=36")</f>
        <v>https://rmda.kulib.kyoto-u.ac.jp/item/rb00002679#?c=0&amp;m=0&amp;s=0&amp;cv=36</v>
      </c>
      <c r="E1548" s="6">
        <v>73</v>
      </c>
      <c r="F1548" s="6" t="str">
        <f>HYPERLINK("https://rmda.kulib.kyoto-u.ac.jp/item/rb00002686#?c=0&amp;m=0&amp;s=0&amp;cv=72")</f>
        <v>https://rmda.kulib.kyoto-u.ac.jp/item/rb00002686#?c=0&amp;m=0&amp;s=0&amp;cv=72</v>
      </c>
    </row>
    <row r="1549" spans="1:6" x14ac:dyDescent="0.15">
      <c r="A1549" s="6" t="s">
        <v>125</v>
      </c>
      <c r="B1549" s="6" t="s">
        <v>6226</v>
      </c>
      <c r="C1549" s="6">
        <v>37</v>
      </c>
      <c r="D1549" s="6" t="str">
        <f>HYPERLINK("https://rmda.kulib.kyoto-u.ac.jp/item/rb00002679#?c=0&amp;m=0&amp;s=0&amp;cv=36")</f>
        <v>https://rmda.kulib.kyoto-u.ac.jp/item/rb00002679#?c=0&amp;m=0&amp;s=0&amp;cv=36</v>
      </c>
      <c r="E1549" s="6">
        <v>74</v>
      </c>
      <c r="F1549" s="6" t="str">
        <f>HYPERLINK("https://rmda.kulib.kyoto-u.ac.jp/item/rb00002686#?c=0&amp;m=0&amp;s=0&amp;cv=73")</f>
        <v>https://rmda.kulib.kyoto-u.ac.jp/item/rb00002686#?c=0&amp;m=0&amp;s=0&amp;cv=73</v>
      </c>
    </row>
    <row r="1550" spans="1:6" x14ac:dyDescent="0.15">
      <c r="A1550" s="6" t="s">
        <v>125</v>
      </c>
      <c r="B1550" s="6" t="s">
        <v>6227</v>
      </c>
      <c r="C1550" s="6">
        <v>37</v>
      </c>
      <c r="D1550" s="6" t="str">
        <f>HYPERLINK("https://rmda.kulib.kyoto-u.ac.jp/item/rb00002679#?c=0&amp;m=0&amp;s=0&amp;cv=36")</f>
        <v>https://rmda.kulib.kyoto-u.ac.jp/item/rb00002679#?c=0&amp;m=0&amp;s=0&amp;cv=36</v>
      </c>
      <c r="E1550" s="6">
        <v>74</v>
      </c>
      <c r="F1550" s="6" t="str">
        <f>HYPERLINK("https://rmda.kulib.kyoto-u.ac.jp/item/rb00002686#?c=0&amp;m=0&amp;s=0&amp;cv=73")</f>
        <v>https://rmda.kulib.kyoto-u.ac.jp/item/rb00002686#?c=0&amp;m=0&amp;s=0&amp;cv=73</v>
      </c>
    </row>
    <row r="1551" spans="1:6" x14ac:dyDescent="0.15">
      <c r="A1551" s="6" t="s">
        <v>125</v>
      </c>
      <c r="B1551" s="6" t="s">
        <v>6228</v>
      </c>
      <c r="C1551" s="6">
        <v>37</v>
      </c>
      <c r="D1551" s="6" t="str">
        <f>HYPERLINK("https://rmda.kulib.kyoto-u.ac.jp/item/rb00002679#?c=0&amp;m=0&amp;s=0&amp;cv=36")</f>
        <v>https://rmda.kulib.kyoto-u.ac.jp/item/rb00002679#?c=0&amp;m=0&amp;s=0&amp;cv=36</v>
      </c>
      <c r="E1551" s="6">
        <v>75</v>
      </c>
      <c r="F1551" s="6" t="str">
        <f>HYPERLINK("https://rmda.kulib.kyoto-u.ac.jp/item/rb00002686#?c=0&amp;m=0&amp;s=0&amp;cv=74")</f>
        <v>https://rmda.kulib.kyoto-u.ac.jp/item/rb00002686#?c=0&amp;m=0&amp;s=0&amp;cv=74</v>
      </c>
    </row>
    <row r="1552" spans="1:6" x14ac:dyDescent="0.15">
      <c r="A1552" s="6" t="s">
        <v>125</v>
      </c>
      <c r="B1552" s="71" t="s">
        <v>6229</v>
      </c>
      <c r="C1552" s="6">
        <v>38</v>
      </c>
      <c r="D1552" s="6" t="str">
        <f>HYPERLINK("https://rmda.kulib.kyoto-u.ac.jp/item/rb00002679#?c=0&amp;m=0&amp;s=0&amp;cv=37")</f>
        <v>https://rmda.kulib.kyoto-u.ac.jp/item/rb00002679#?c=0&amp;m=0&amp;s=0&amp;cv=37</v>
      </c>
      <c r="E1552" s="6">
        <v>75</v>
      </c>
      <c r="F1552" s="6" t="str">
        <f>HYPERLINK("https://rmda.kulib.kyoto-u.ac.jp/item/rb00002686#?c=0&amp;m=0&amp;s=0&amp;cv=74")</f>
        <v>https://rmda.kulib.kyoto-u.ac.jp/item/rb00002686#?c=0&amp;m=0&amp;s=0&amp;cv=74</v>
      </c>
    </row>
    <row r="1553" spans="1:6" x14ac:dyDescent="0.15">
      <c r="A1553" s="6" t="s">
        <v>125</v>
      </c>
      <c r="B1553" s="72" t="s">
        <v>6230</v>
      </c>
      <c r="C1553" s="6">
        <v>38</v>
      </c>
      <c r="D1553" s="6" t="str">
        <f>HYPERLINK("https://rmda.kulib.kyoto-u.ac.jp/item/rb00002679#?c=0&amp;m=0&amp;s=0&amp;cv=37")</f>
        <v>https://rmda.kulib.kyoto-u.ac.jp/item/rb00002679#?c=0&amp;m=0&amp;s=0&amp;cv=37</v>
      </c>
      <c r="E1553" s="6">
        <v>77</v>
      </c>
      <c r="F1553" s="6" t="str">
        <f>HYPERLINK("https://rmda.kulib.kyoto-u.ac.jp/item/rb00002686#?c=0&amp;m=0&amp;s=0&amp;cv=76")</f>
        <v>https://rmda.kulib.kyoto-u.ac.jp/item/rb00002686#?c=0&amp;m=0&amp;s=0&amp;cv=76</v>
      </c>
    </row>
    <row r="1554" spans="1:6" x14ac:dyDescent="0.15">
      <c r="A1554" s="6" t="s">
        <v>125</v>
      </c>
      <c r="B1554" s="71" t="s">
        <v>6231</v>
      </c>
      <c r="C1554" s="6">
        <v>38</v>
      </c>
      <c r="D1554" s="6" t="str">
        <f>HYPERLINK("https://rmda.kulib.kyoto-u.ac.jp/item/rb00002679#?c=0&amp;m=0&amp;s=0&amp;cv=37")</f>
        <v>https://rmda.kulib.kyoto-u.ac.jp/item/rb00002679#?c=0&amp;m=0&amp;s=0&amp;cv=37</v>
      </c>
      <c r="E1554" s="6">
        <v>77</v>
      </c>
      <c r="F1554" s="6" t="str">
        <f>HYPERLINK("https://rmda.kulib.kyoto-u.ac.jp/item/rb00002686#?c=0&amp;m=0&amp;s=0&amp;cv=76")</f>
        <v>https://rmda.kulib.kyoto-u.ac.jp/item/rb00002686#?c=0&amp;m=0&amp;s=0&amp;cv=76</v>
      </c>
    </row>
    <row r="1555" spans="1:6" x14ac:dyDescent="0.15">
      <c r="A1555" s="6" t="s">
        <v>125</v>
      </c>
      <c r="B1555" s="6" t="s">
        <v>6232</v>
      </c>
      <c r="C1555" s="6">
        <v>38</v>
      </c>
      <c r="D1555" s="6" t="str">
        <f>HYPERLINK("https://rmda.kulib.kyoto-u.ac.jp/item/rb00002679#?c=0&amp;m=0&amp;s=0&amp;cv=37")</f>
        <v>https://rmda.kulib.kyoto-u.ac.jp/item/rb00002679#?c=0&amp;m=0&amp;s=0&amp;cv=37</v>
      </c>
      <c r="E1555" s="6">
        <v>77</v>
      </c>
      <c r="F1555" s="6" t="str">
        <f>HYPERLINK("https://rmda.kulib.kyoto-u.ac.jp/item/rb00002686#?c=0&amp;m=0&amp;s=0&amp;cv=76")</f>
        <v>https://rmda.kulib.kyoto-u.ac.jp/item/rb00002686#?c=0&amp;m=0&amp;s=0&amp;cv=76</v>
      </c>
    </row>
    <row r="1556" spans="1:6" x14ac:dyDescent="0.15">
      <c r="A1556" s="6" t="s">
        <v>125</v>
      </c>
      <c r="B1556" s="6" t="s">
        <v>6233</v>
      </c>
      <c r="C1556" s="6">
        <v>38</v>
      </c>
      <c r="D1556" s="6" t="str">
        <f>HYPERLINK("https://rmda.kulib.kyoto-u.ac.jp/item/rb00002679#?c=0&amp;m=0&amp;s=0&amp;cv=37")</f>
        <v>https://rmda.kulib.kyoto-u.ac.jp/item/rb00002679#?c=0&amp;m=0&amp;s=0&amp;cv=37</v>
      </c>
      <c r="E1556" s="6">
        <v>78</v>
      </c>
      <c r="F1556" s="6" t="str">
        <f>HYPERLINK("https://rmda.kulib.kyoto-u.ac.jp/item/rb00002686#?c=0&amp;m=0&amp;s=0&amp;cv=77")</f>
        <v>https://rmda.kulib.kyoto-u.ac.jp/item/rb00002686#?c=0&amp;m=0&amp;s=0&amp;cv=77</v>
      </c>
    </row>
    <row r="1557" spans="1:6" x14ac:dyDescent="0.15">
      <c r="A1557" s="6" t="s">
        <v>125</v>
      </c>
      <c r="B1557" s="6" t="s">
        <v>6234</v>
      </c>
      <c r="C1557" s="6">
        <v>39</v>
      </c>
      <c r="D1557" s="6" t="str">
        <f>HYPERLINK("https://rmda.kulib.kyoto-u.ac.jp/item/rb00002679#?c=0&amp;m=0&amp;s=0&amp;cv=38")</f>
        <v>https://rmda.kulib.kyoto-u.ac.jp/item/rb00002679#?c=0&amp;m=0&amp;s=0&amp;cv=38</v>
      </c>
      <c r="E1557" s="6">
        <v>78</v>
      </c>
      <c r="F1557" s="6" t="str">
        <f>HYPERLINK("https://rmda.kulib.kyoto-u.ac.jp/item/rb00002686#?c=0&amp;m=0&amp;s=0&amp;cv=77")</f>
        <v>https://rmda.kulib.kyoto-u.ac.jp/item/rb00002686#?c=0&amp;m=0&amp;s=0&amp;cv=77</v>
      </c>
    </row>
    <row r="1558" spans="1:6" x14ac:dyDescent="0.15">
      <c r="A1558" s="6" t="s">
        <v>125</v>
      </c>
      <c r="B1558" s="6" t="s">
        <v>6235</v>
      </c>
      <c r="C1558" s="6">
        <v>39</v>
      </c>
      <c r="D1558" s="6" t="str">
        <f>HYPERLINK("https://rmda.kulib.kyoto-u.ac.jp/item/rb00002679#?c=0&amp;m=0&amp;s=0&amp;cv=38")</f>
        <v>https://rmda.kulib.kyoto-u.ac.jp/item/rb00002679#?c=0&amp;m=0&amp;s=0&amp;cv=38</v>
      </c>
      <c r="E1558" s="6">
        <v>79</v>
      </c>
      <c r="F1558" s="6" t="str">
        <f>HYPERLINK("https://rmda.kulib.kyoto-u.ac.jp/item/rb00002686#?c=0&amp;m=0&amp;s=0&amp;cv=78")</f>
        <v>https://rmda.kulib.kyoto-u.ac.jp/item/rb00002686#?c=0&amp;m=0&amp;s=0&amp;cv=78</v>
      </c>
    </row>
    <row r="1559" spans="1:6" x14ac:dyDescent="0.15">
      <c r="A1559" s="6" t="s">
        <v>125</v>
      </c>
      <c r="B1559" s="6" t="s">
        <v>6236</v>
      </c>
      <c r="C1559" s="6">
        <v>39</v>
      </c>
      <c r="D1559" s="6" t="str">
        <f>HYPERLINK("https://rmda.kulib.kyoto-u.ac.jp/item/rb00002679#?c=0&amp;m=0&amp;s=0&amp;cv=38")</f>
        <v>https://rmda.kulib.kyoto-u.ac.jp/item/rb00002679#?c=0&amp;m=0&amp;s=0&amp;cv=38</v>
      </c>
      <c r="E1559" s="6">
        <v>79</v>
      </c>
      <c r="F1559" s="6" t="str">
        <f>HYPERLINK("https://rmda.kulib.kyoto-u.ac.jp/item/rb00002686#?c=0&amp;m=0&amp;s=0&amp;cv=78")</f>
        <v>https://rmda.kulib.kyoto-u.ac.jp/item/rb00002686#?c=0&amp;m=0&amp;s=0&amp;cv=78</v>
      </c>
    </row>
    <row r="1560" spans="1:6" x14ac:dyDescent="0.15">
      <c r="A1560" s="6" t="s">
        <v>125</v>
      </c>
      <c r="B1560" s="6" t="s">
        <v>6237</v>
      </c>
      <c r="C1560" s="6">
        <v>40</v>
      </c>
      <c r="D1560" s="6" t="str">
        <f>HYPERLINK("https://rmda.kulib.kyoto-u.ac.jp/item/rb00002679#?c=0&amp;m=0&amp;s=0&amp;cv=39")</f>
        <v>https://rmda.kulib.kyoto-u.ac.jp/item/rb00002679#?c=0&amp;m=0&amp;s=0&amp;cv=39</v>
      </c>
      <c r="E1560" s="6">
        <v>79</v>
      </c>
      <c r="F1560" s="6" t="str">
        <f>HYPERLINK("https://rmda.kulib.kyoto-u.ac.jp/item/rb00002686#?c=0&amp;m=0&amp;s=0&amp;cv=78")</f>
        <v>https://rmda.kulib.kyoto-u.ac.jp/item/rb00002686#?c=0&amp;m=0&amp;s=0&amp;cv=78</v>
      </c>
    </row>
    <row r="1561" spans="1:6" x14ac:dyDescent="0.15">
      <c r="A1561" s="6" t="s">
        <v>125</v>
      </c>
      <c r="B1561" s="6" t="s">
        <v>6238</v>
      </c>
      <c r="C1561" s="6">
        <v>40</v>
      </c>
      <c r="D1561" s="6" t="str">
        <f>HYPERLINK("https://rmda.kulib.kyoto-u.ac.jp/item/rb00002679#?c=0&amp;m=0&amp;s=0&amp;cv=39")</f>
        <v>https://rmda.kulib.kyoto-u.ac.jp/item/rb00002679#?c=0&amp;m=0&amp;s=0&amp;cv=39</v>
      </c>
      <c r="E1561" s="6">
        <v>80</v>
      </c>
      <c r="F1561" s="6" t="str">
        <f>HYPERLINK("https://rmda.kulib.kyoto-u.ac.jp/item/rb00002686#?c=0&amp;m=0&amp;s=0&amp;cv=79")</f>
        <v>https://rmda.kulib.kyoto-u.ac.jp/item/rb00002686#?c=0&amp;m=0&amp;s=0&amp;cv=79</v>
      </c>
    </row>
    <row r="1562" spans="1:6" x14ac:dyDescent="0.15">
      <c r="A1562" s="6" t="s">
        <v>125</v>
      </c>
      <c r="B1562" s="6" t="s">
        <v>6239</v>
      </c>
      <c r="C1562" s="6">
        <v>40</v>
      </c>
      <c r="D1562" s="6" t="str">
        <f>HYPERLINK("https://rmda.kulib.kyoto-u.ac.jp/item/rb00002679#?c=0&amp;m=0&amp;s=0&amp;cv=39")</f>
        <v>https://rmda.kulib.kyoto-u.ac.jp/item/rb00002679#?c=0&amp;m=0&amp;s=0&amp;cv=39</v>
      </c>
      <c r="E1562" s="6">
        <v>80</v>
      </c>
      <c r="F1562" s="6" t="str">
        <f>HYPERLINK("https://rmda.kulib.kyoto-u.ac.jp/item/rb00002686#?c=0&amp;m=0&amp;s=0&amp;cv=79")</f>
        <v>https://rmda.kulib.kyoto-u.ac.jp/item/rb00002686#?c=0&amp;m=0&amp;s=0&amp;cv=79</v>
      </c>
    </row>
    <row r="1563" spans="1:6" x14ac:dyDescent="0.15">
      <c r="A1563" s="6" t="s">
        <v>125</v>
      </c>
      <c r="B1563" s="6" t="s">
        <v>6240</v>
      </c>
      <c r="C1563" s="6">
        <v>40</v>
      </c>
      <c r="D1563" s="6" t="str">
        <f>HYPERLINK("https://rmda.kulib.kyoto-u.ac.jp/item/rb00002679#?c=0&amp;m=0&amp;s=0&amp;cv=39")</f>
        <v>https://rmda.kulib.kyoto-u.ac.jp/item/rb00002679#?c=0&amp;m=0&amp;s=0&amp;cv=39</v>
      </c>
      <c r="E1563" s="6">
        <v>80</v>
      </c>
      <c r="F1563" s="6" t="str">
        <f>HYPERLINK("https://rmda.kulib.kyoto-u.ac.jp/item/rb00002686#?c=0&amp;m=0&amp;s=0&amp;cv=79")</f>
        <v>https://rmda.kulib.kyoto-u.ac.jp/item/rb00002686#?c=0&amp;m=0&amp;s=0&amp;cv=79</v>
      </c>
    </row>
    <row r="1564" spans="1:6" x14ac:dyDescent="0.15">
      <c r="A1564" s="6" t="s">
        <v>125</v>
      </c>
      <c r="B1564" s="6" t="s">
        <v>6241</v>
      </c>
      <c r="C1564" s="6">
        <v>41</v>
      </c>
      <c r="D1564" s="6" t="str">
        <f>HYPERLINK("https://rmda.kulib.kyoto-u.ac.jp/item/rb00002679#?c=0&amp;m=0&amp;s=0&amp;cv=40")</f>
        <v>https://rmda.kulib.kyoto-u.ac.jp/item/rb00002679#?c=0&amp;m=0&amp;s=0&amp;cv=40</v>
      </c>
      <c r="E1564" s="6">
        <v>81</v>
      </c>
      <c r="F1564" s="6" t="str">
        <f>HYPERLINK("https://rmda.kulib.kyoto-u.ac.jp/item/rb00002686#?c=0&amp;m=0&amp;s=0&amp;cv=80")</f>
        <v>https://rmda.kulib.kyoto-u.ac.jp/item/rb00002686#?c=0&amp;m=0&amp;s=0&amp;cv=80</v>
      </c>
    </row>
    <row r="1565" spans="1:6" x14ac:dyDescent="0.15">
      <c r="A1565" s="6" t="s">
        <v>125</v>
      </c>
      <c r="B1565" s="6" t="s">
        <v>6242</v>
      </c>
      <c r="C1565" s="6">
        <v>41</v>
      </c>
      <c r="D1565" s="6" t="str">
        <f>HYPERLINK("https://rmda.kulib.kyoto-u.ac.jp/item/rb00002679#?c=0&amp;m=0&amp;s=0&amp;cv=40")</f>
        <v>https://rmda.kulib.kyoto-u.ac.jp/item/rb00002679#?c=0&amp;m=0&amp;s=0&amp;cv=40</v>
      </c>
      <c r="E1565" s="6">
        <v>81</v>
      </c>
      <c r="F1565" s="6" t="str">
        <f>HYPERLINK("https://rmda.kulib.kyoto-u.ac.jp/item/rb00002686#?c=0&amp;m=0&amp;s=0&amp;cv=80")</f>
        <v>https://rmda.kulib.kyoto-u.ac.jp/item/rb00002686#?c=0&amp;m=0&amp;s=0&amp;cv=80</v>
      </c>
    </row>
    <row r="1566" spans="1:6" x14ac:dyDescent="0.15">
      <c r="A1566" s="6" t="s">
        <v>125</v>
      </c>
      <c r="B1566" s="6" t="s">
        <v>6243</v>
      </c>
      <c r="C1566" s="6">
        <v>41</v>
      </c>
      <c r="D1566" s="6" t="str">
        <f>HYPERLINK("https://rmda.kulib.kyoto-u.ac.jp/item/rb00002679#?c=0&amp;m=0&amp;s=0&amp;cv=40")</f>
        <v>https://rmda.kulib.kyoto-u.ac.jp/item/rb00002679#?c=0&amp;m=0&amp;s=0&amp;cv=40</v>
      </c>
      <c r="E1566" s="6">
        <v>81</v>
      </c>
      <c r="F1566" s="6" t="str">
        <f>HYPERLINK("https://rmda.kulib.kyoto-u.ac.jp/item/rb00002686#?c=0&amp;m=0&amp;s=0&amp;cv=80")</f>
        <v>https://rmda.kulib.kyoto-u.ac.jp/item/rb00002686#?c=0&amp;m=0&amp;s=0&amp;cv=80</v>
      </c>
    </row>
    <row r="1567" spans="1:6" x14ac:dyDescent="0.15">
      <c r="A1567" s="6" t="s">
        <v>125</v>
      </c>
      <c r="B1567" s="6" t="s">
        <v>6244</v>
      </c>
      <c r="C1567" s="6">
        <v>41</v>
      </c>
      <c r="D1567" s="6" t="str">
        <f>HYPERLINK("https://rmda.kulib.kyoto-u.ac.jp/item/rb00002679#?c=0&amp;m=0&amp;s=0&amp;cv=40")</f>
        <v>https://rmda.kulib.kyoto-u.ac.jp/item/rb00002679#?c=0&amp;m=0&amp;s=0&amp;cv=40</v>
      </c>
      <c r="E1567" s="6">
        <v>81</v>
      </c>
      <c r="F1567" s="6" t="str">
        <f>HYPERLINK("https://rmda.kulib.kyoto-u.ac.jp/item/rb00002686#?c=0&amp;m=0&amp;s=0&amp;cv=80")</f>
        <v>https://rmda.kulib.kyoto-u.ac.jp/item/rb00002686#?c=0&amp;m=0&amp;s=0&amp;cv=80</v>
      </c>
    </row>
    <row r="1568" spans="1:6" x14ac:dyDescent="0.15">
      <c r="A1568" s="6" t="s">
        <v>125</v>
      </c>
      <c r="B1568" s="6" t="s">
        <v>6245</v>
      </c>
      <c r="C1568" s="6">
        <v>42</v>
      </c>
      <c r="D1568" s="6" t="str">
        <f>HYPERLINK("https://rmda.kulib.kyoto-u.ac.jp/item/rb00002679#?c=0&amp;m=0&amp;s=0&amp;cv=41")</f>
        <v>https://rmda.kulib.kyoto-u.ac.jp/item/rb00002679#?c=0&amp;m=0&amp;s=0&amp;cv=41</v>
      </c>
      <c r="E1568" s="6">
        <v>82</v>
      </c>
      <c r="F1568" s="6" t="str">
        <f>HYPERLINK("https://rmda.kulib.kyoto-u.ac.jp/item/rb00002686#?c=0&amp;m=0&amp;s=0&amp;cv=81")</f>
        <v>https://rmda.kulib.kyoto-u.ac.jp/item/rb00002686#?c=0&amp;m=0&amp;s=0&amp;cv=81</v>
      </c>
    </row>
    <row r="1569" spans="1:6" x14ac:dyDescent="0.15">
      <c r="A1569" s="6" t="s">
        <v>125</v>
      </c>
      <c r="B1569" s="6" t="s">
        <v>6246</v>
      </c>
      <c r="C1569" s="6">
        <v>42</v>
      </c>
      <c r="D1569" s="6" t="str">
        <f>HYPERLINK("https://rmda.kulib.kyoto-u.ac.jp/item/rb00002679#?c=0&amp;m=0&amp;s=0&amp;cv=41")</f>
        <v>https://rmda.kulib.kyoto-u.ac.jp/item/rb00002679#?c=0&amp;m=0&amp;s=0&amp;cv=41</v>
      </c>
      <c r="E1569" s="6">
        <v>82</v>
      </c>
      <c r="F1569" s="6" t="str">
        <f>HYPERLINK("https://rmda.kulib.kyoto-u.ac.jp/item/rb00002686#?c=0&amp;m=0&amp;s=0&amp;cv=81")</f>
        <v>https://rmda.kulib.kyoto-u.ac.jp/item/rb00002686#?c=0&amp;m=0&amp;s=0&amp;cv=81</v>
      </c>
    </row>
    <row r="1570" spans="1:6" x14ac:dyDescent="0.15">
      <c r="A1570" s="6" t="s">
        <v>125</v>
      </c>
      <c r="B1570" s="6" t="s">
        <v>6247</v>
      </c>
      <c r="C1570" s="6">
        <v>42</v>
      </c>
      <c r="D1570" s="6" t="str">
        <f>HYPERLINK("https://rmda.kulib.kyoto-u.ac.jp/item/rb00002679#?c=0&amp;m=0&amp;s=0&amp;cv=41")</f>
        <v>https://rmda.kulib.kyoto-u.ac.jp/item/rb00002679#?c=0&amp;m=0&amp;s=0&amp;cv=41</v>
      </c>
      <c r="E1570" s="6">
        <v>82</v>
      </c>
      <c r="F1570" s="6" t="str">
        <f>HYPERLINK("https://rmda.kulib.kyoto-u.ac.jp/item/rb00002686#?c=0&amp;m=0&amp;s=0&amp;cv=81")</f>
        <v>https://rmda.kulib.kyoto-u.ac.jp/item/rb00002686#?c=0&amp;m=0&amp;s=0&amp;cv=81</v>
      </c>
    </row>
    <row r="1571" spans="1:6" x14ac:dyDescent="0.15">
      <c r="A1571" s="6" t="s">
        <v>125</v>
      </c>
      <c r="B1571" s="6" t="s">
        <v>6248</v>
      </c>
      <c r="C1571" s="6">
        <v>42</v>
      </c>
      <c r="D1571" s="6" t="str">
        <f>HYPERLINK("https://rmda.kulib.kyoto-u.ac.jp/item/rb00002679#?c=0&amp;m=0&amp;s=0&amp;cv=41")</f>
        <v>https://rmda.kulib.kyoto-u.ac.jp/item/rb00002679#?c=0&amp;m=0&amp;s=0&amp;cv=41</v>
      </c>
      <c r="E1571" s="6">
        <v>82</v>
      </c>
      <c r="F1571" s="6" t="str">
        <f>HYPERLINK("https://rmda.kulib.kyoto-u.ac.jp/item/rb00002686#?c=0&amp;m=0&amp;s=0&amp;cv=81")</f>
        <v>https://rmda.kulib.kyoto-u.ac.jp/item/rb00002686#?c=0&amp;m=0&amp;s=0&amp;cv=81</v>
      </c>
    </row>
    <row r="1572" spans="1:6" x14ac:dyDescent="0.15">
      <c r="A1572" s="6" t="s">
        <v>125</v>
      </c>
      <c r="B1572" s="6" t="s">
        <v>6249</v>
      </c>
      <c r="C1572" s="6">
        <v>43</v>
      </c>
      <c r="D1572" s="6" t="str">
        <f>HYPERLINK("https://rmda.kulib.kyoto-u.ac.jp/item/rb00002679#?c=0&amp;m=0&amp;s=0&amp;cv=42")</f>
        <v>https://rmda.kulib.kyoto-u.ac.jp/item/rb00002679#?c=0&amp;m=0&amp;s=0&amp;cv=42</v>
      </c>
      <c r="E1572" s="6">
        <v>83</v>
      </c>
      <c r="F1572" s="6" t="str">
        <f>HYPERLINK("https://rmda.kulib.kyoto-u.ac.jp/item/rb00002686#?c=0&amp;m=0&amp;s=0&amp;cv=82")</f>
        <v>https://rmda.kulib.kyoto-u.ac.jp/item/rb00002686#?c=0&amp;m=0&amp;s=0&amp;cv=82</v>
      </c>
    </row>
    <row r="1573" spans="1:6" x14ac:dyDescent="0.15">
      <c r="A1573" s="6" t="s">
        <v>125</v>
      </c>
      <c r="B1573" s="6" t="s">
        <v>6250</v>
      </c>
      <c r="C1573" s="6">
        <v>43</v>
      </c>
      <c r="D1573" s="6" t="str">
        <f>HYPERLINK("https://rmda.kulib.kyoto-u.ac.jp/item/rb00002679#?c=0&amp;m=0&amp;s=0&amp;cv=42")</f>
        <v>https://rmda.kulib.kyoto-u.ac.jp/item/rb00002679#?c=0&amp;m=0&amp;s=0&amp;cv=42</v>
      </c>
      <c r="E1573" s="6">
        <v>83</v>
      </c>
      <c r="F1573" s="6" t="str">
        <f>HYPERLINK("https://rmda.kulib.kyoto-u.ac.jp/item/rb00002686#?c=0&amp;m=0&amp;s=0&amp;cv=82")</f>
        <v>https://rmda.kulib.kyoto-u.ac.jp/item/rb00002686#?c=0&amp;m=0&amp;s=0&amp;cv=82</v>
      </c>
    </row>
    <row r="1574" spans="1:6" x14ac:dyDescent="0.15">
      <c r="A1574" s="6" t="s">
        <v>125</v>
      </c>
      <c r="B1574" s="6" t="s">
        <v>6251</v>
      </c>
      <c r="C1574" s="6">
        <v>43</v>
      </c>
      <c r="D1574" s="6" t="str">
        <f>HYPERLINK("https://rmda.kulib.kyoto-u.ac.jp/item/rb00002679#?c=0&amp;m=0&amp;s=0&amp;cv=42")</f>
        <v>https://rmda.kulib.kyoto-u.ac.jp/item/rb00002679#?c=0&amp;m=0&amp;s=0&amp;cv=42</v>
      </c>
      <c r="E1574" s="6">
        <v>83</v>
      </c>
      <c r="F1574" s="6" t="str">
        <f>HYPERLINK("https://rmda.kulib.kyoto-u.ac.jp/item/rb00002686#?c=0&amp;m=0&amp;s=0&amp;cv=82")</f>
        <v>https://rmda.kulib.kyoto-u.ac.jp/item/rb00002686#?c=0&amp;m=0&amp;s=0&amp;cv=82</v>
      </c>
    </row>
    <row r="1575" spans="1:6" x14ac:dyDescent="0.15">
      <c r="A1575" s="6" t="s">
        <v>125</v>
      </c>
      <c r="B1575" s="6" t="s">
        <v>6252</v>
      </c>
      <c r="C1575" s="6">
        <v>43</v>
      </c>
      <c r="D1575" s="6" t="str">
        <f>HYPERLINK("https://rmda.kulib.kyoto-u.ac.jp/item/rb00002679#?c=0&amp;m=0&amp;s=0&amp;cv=42")</f>
        <v>https://rmda.kulib.kyoto-u.ac.jp/item/rb00002679#?c=0&amp;m=0&amp;s=0&amp;cv=42</v>
      </c>
      <c r="E1575" s="6">
        <v>84</v>
      </c>
      <c r="F1575" s="6" t="str">
        <f>HYPERLINK("https://rmda.kulib.kyoto-u.ac.jp/item/rb00002686#?c=0&amp;m=0&amp;s=0&amp;cv=83")</f>
        <v>https://rmda.kulib.kyoto-u.ac.jp/item/rb00002686#?c=0&amp;m=0&amp;s=0&amp;cv=83</v>
      </c>
    </row>
    <row r="1576" spans="1:6" x14ac:dyDescent="0.15">
      <c r="A1576" s="6" t="s">
        <v>125</v>
      </c>
      <c r="B1576" s="6" t="s">
        <v>6253</v>
      </c>
      <c r="C1576" s="6">
        <v>45</v>
      </c>
      <c r="D1576" s="6" t="str">
        <f>HYPERLINK("https://rmda.kulib.kyoto-u.ac.jp/item/rb00002679#?c=0&amp;m=0&amp;s=0&amp;cv=44")</f>
        <v>https://rmda.kulib.kyoto-u.ac.jp/item/rb00002679#?c=0&amp;m=0&amp;s=0&amp;cv=44</v>
      </c>
      <c r="E1576" s="6">
        <v>86</v>
      </c>
      <c r="F1576" s="6" t="str">
        <f>HYPERLINK("https://rmda.kulib.kyoto-u.ac.jp/item/rb00002686#?c=0&amp;m=0&amp;s=0&amp;cv=85")</f>
        <v>https://rmda.kulib.kyoto-u.ac.jp/item/rb00002686#?c=0&amp;m=0&amp;s=0&amp;cv=85</v>
      </c>
    </row>
    <row r="1577" spans="1:6" x14ac:dyDescent="0.15">
      <c r="A1577" s="6" t="s">
        <v>125</v>
      </c>
      <c r="B1577" s="6" t="s">
        <v>6254</v>
      </c>
      <c r="C1577" s="6">
        <v>45</v>
      </c>
      <c r="D1577" s="6" t="str">
        <f>HYPERLINK("https://rmda.kulib.kyoto-u.ac.jp/item/rb00002679#?c=0&amp;m=0&amp;s=0&amp;cv=44")</f>
        <v>https://rmda.kulib.kyoto-u.ac.jp/item/rb00002679#?c=0&amp;m=0&amp;s=0&amp;cv=44</v>
      </c>
      <c r="E1577" s="6">
        <v>87</v>
      </c>
      <c r="F1577" s="6" t="str">
        <f>HYPERLINK("https://rmda.kulib.kyoto-u.ac.jp/item/rb00002686#?c=0&amp;m=0&amp;s=0&amp;cv=86")</f>
        <v>https://rmda.kulib.kyoto-u.ac.jp/item/rb00002686#?c=0&amp;m=0&amp;s=0&amp;cv=86</v>
      </c>
    </row>
    <row r="1578" spans="1:6" x14ac:dyDescent="0.15">
      <c r="A1578" s="6" t="s">
        <v>125</v>
      </c>
      <c r="B1578" s="6" t="s">
        <v>6255</v>
      </c>
      <c r="C1578" s="6">
        <v>45</v>
      </c>
      <c r="D1578" s="6" t="str">
        <f>HYPERLINK("https://rmda.kulib.kyoto-u.ac.jp/item/rb00002679#?c=0&amp;m=0&amp;s=0&amp;cv=44")</f>
        <v>https://rmda.kulib.kyoto-u.ac.jp/item/rb00002679#?c=0&amp;m=0&amp;s=0&amp;cv=44</v>
      </c>
      <c r="E1578" s="6">
        <v>88</v>
      </c>
      <c r="F1578" s="6" t="str">
        <f>HYPERLINK("https://rmda.kulib.kyoto-u.ac.jp/item/rb00002686#?c=0&amp;m=0&amp;s=0&amp;cv=87")</f>
        <v>https://rmda.kulib.kyoto-u.ac.jp/item/rb00002686#?c=0&amp;m=0&amp;s=0&amp;cv=87</v>
      </c>
    </row>
    <row r="1579" spans="1:6" x14ac:dyDescent="0.15">
      <c r="A1579" s="6" t="s">
        <v>125</v>
      </c>
      <c r="B1579" s="6" t="s">
        <v>6256</v>
      </c>
      <c r="C1579" s="6">
        <v>46</v>
      </c>
      <c r="D1579" s="6" t="str">
        <f>HYPERLINK("https://rmda.kulib.kyoto-u.ac.jp/item/rb00002679#?c=0&amp;m=0&amp;s=0&amp;cv=45")</f>
        <v>https://rmda.kulib.kyoto-u.ac.jp/item/rb00002679#?c=0&amp;m=0&amp;s=0&amp;cv=45</v>
      </c>
      <c r="E1579" s="6">
        <v>89</v>
      </c>
      <c r="F1579" s="6" t="str">
        <f>HYPERLINK("https://rmda.kulib.kyoto-u.ac.jp/item/rb00002686#?c=0&amp;m=0&amp;s=0&amp;cv=88")</f>
        <v>https://rmda.kulib.kyoto-u.ac.jp/item/rb00002686#?c=0&amp;m=0&amp;s=0&amp;cv=88</v>
      </c>
    </row>
    <row r="1580" spans="1:6" x14ac:dyDescent="0.15">
      <c r="A1580" s="6" t="s">
        <v>125</v>
      </c>
      <c r="B1580" s="6" t="s">
        <v>6257</v>
      </c>
      <c r="C1580" s="6">
        <v>46</v>
      </c>
      <c r="D1580" s="6" t="str">
        <f>HYPERLINK("https://rmda.kulib.kyoto-u.ac.jp/item/rb00002679#?c=0&amp;m=0&amp;s=0&amp;cv=45")</f>
        <v>https://rmda.kulib.kyoto-u.ac.jp/item/rb00002679#?c=0&amp;m=0&amp;s=0&amp;cv=45</v>
      </c>
      <c r="E1580" s="6">
        <v>90</v>
      </c>
      <c r="F1580" s="6" t="str">
        <f>HYPERLINK("https://rmda.kulib.kyoto-u.ac.jp/item/rb00002686#?c=0&amp;m=0&amp;s=0&amp;cv=89")</f>
        <v>https://rmda.kulib.kyoto-u.ac.jp/item/rb00002686#?c=0&amp;m=0&amp;s=0&amp;cv=89</v>
      </c>
    </row>
    <row r="1581" spans="1:6" x14ac:dyDescent="0.15">
      <c r="A1581" s="6" t="s">
        <v>125</v>
      </c>
      <c r="B1581" s="71" t="s">
        <v>6258</v>
      </c>
      <c r="C1581" s="6">
        <v>47</v>
      </c>
      <c r="D1581" s="6" t="str">
        <f>HYPERLINK("https://rmda.kulib.kyoto-u.ac.jp/item/rb00002679#?c=0&amp;m=0&amp;s=0&amp;cv=46")</f>
        <v>https://rmda.kulib.kyoto-u.ac.jp/item/rb00002679#?c=0&amp;m=0&amp;s=0&amp;cv=46</v>
      </c>
      <c r="E1581" s="6">
        <v>90</v>
      </c>
      <c r="F1581" s="6" t="str">
        <f>HYPERLINK("https://rmda.kulib.kyoto-u.ac.jp/item/rb00002686#?c=0&amp;m=0&amp;s=0&amp;cv=89")</f>
        <v>https://rmda.kulib.kyoto-u.ac.jp/item/rb00002686#?c=0&amp;m=0&amp;s=0&amp;cv=89</v>
      </c>
    </row>
    <row r="1582" spans="1:6" x14ac:dyDescent="0.15">
      <c r="A1582" s="6" t="s">
        <v>125</v>
      </c>
      <c r="B1582" s="6" t="s">
        <v>6259</v>
      </c>
      <c r="C1582" s="6">
        <v>47</v>
      </c>
      <c r="D1582" s="6" t="str">
        <f>HYPERLINK("https://rmda.kulib.kyoto-u.ac.jp/item/rb00002679#?c=0&amp;m=0&amp;s=0&amp;cv=46")</f>
        <v>https://rmda.kulib.kyoto-u.ac.jp/item/rb00002679#?c=0&amp;m=0&amp;s=0&amp;cv=46</v>
      </c>
      <c r="E1582" s="6">
        <v>91</v>
      </c>
      <c r="F1582" s="6" t="str">
        <f>HYPERLINK("https://rmda.kulib.kyoto-u.ac.jp/item/rb00002686#?c=0&amp;m=0&amp;s=0&amp;cv=90")</f>
        <v>https://rmda.kulib.kyoto-u.ac.jp/item/rb00002686#?c=0&amp;m=0&amp;s=0&amp;cv=90</v>
      </c>
    </row>
    <row r="1583" spans="1:6" x14ac:dyDescent="0.15">
      <c r="A1583" s="6" t="s">
        <v>125</v>
      </c>
      <c r="B1583" s="6" t="s">
        <v>6260</v>
      </c>
      <c r="C1583" s="6">
        <v>48</v>
      </c>
      <c r="D1583" s="6" t="str">
        <f>HYPERLINK("https://rmda.kulib.kyoto-u.ac.jp/item/rb00002679#?c=0&amp;m=0&amp;s=0&amp;cv=47")</f>
        <v>https://rmda.kulib.kyoto-u.ac.jp/item/rb00002679#?c=0&amp;m=0&amp;s=0&amp;cv=47</v>
      </c>
      <c r="E1583" s="6">
        <v>93</v>
      </c>
      <c r="F1583" s="6" t="str">
        <f>HYPERLINK("https://rmda.kulib.kyoto-u.ac.jp/item/rb00002686#?c=0&amp;m=0&amp;s=0&amp;cv=92")</f>
        <v>https://rmda.kulib.kyoto-u.ac.jp/item/rb00002686#?c=0&amp;m=0&amp;s=0&amp;cv=92</v>
      </c>
    </row>
    <row r="1584" spans="1:6" x14ac:dyDescent="0.15">
      <c r="A1584" s="6" t="s">
        <v>125</v>
      </c>
      <c r="B1584" s="6" t="s">
        <v>6261</v>
      </c>
      <c r="C1584" s="6">
        <v>49</v>
      </c>
      <c r="D1584" s="6" t="str">
        <f>HYPERLINK("https://rmda.kulib.kyoto-u.ac.jp/item/rb00002679#?c=0&amp;m=0&amp;s=0&amp;cv=48")</f>
        <v>https://rmda.kulib.kyoto-u.ac.jp/item/rb00002679#?c=0&amp;m=0&amp;s=0&amp;cv=48</v>
      </c>
      <c r="E1584" s="6">
        <v>93</v>
      </c>
      <c r="F1584" s="6" t="str">
        <f>HYPERLINK("https://rmda.kulib.kyoto-u.ac.jp/item/rb00002686#?c=0&amp;m=0&amp;s=0&amp;cv=92")</f>
        <v>https://rmda.kulib.kyoto-u.ac.jp/item/rb00002686#?c=0&amp;m=0&amp;s=0&amp;cv=92</v>
      </c>
    </row>
    <row r="1585" spans="1:6" x14ac:dyDescent="0.15">
      <c r="A1585" s="6" t="s">
        <v>125</v>
      </c>
      <c r="B1585" s="6" t="s">
        <v>6262</v>
      </c>
      <c r="C1585" s="6">
        <v>49</v>
      </c>
      <c r="D1585" s="6" t="str">
        <f>HYPERLINK("https://rmda.kulib.kyoto-u.ac.jp/item/rb00002679#?c=0&amp;m=0&amp;s=0&amp;cv=48")</f>
        <v>https://rmda.kulib.kyoto-u.ac.jp/item/rb00002679#?c=0&amp;m=0&amp;s=0&amp;cv=48</v>
      </c>
      <c r="E1585" s="6">
        <v>93</v>
      </c>
      <c r="F1585" s="6" t="str">
        <f>HYPERLINK("https://rmda.kulib.kyoto-u.ac.jp/item/rb00002686#?c=0&amp;m=0&amp;s=0&amp;cv=92")</f>
        <v>https://rmda.kulib.kyoto-u.ac.jp/item/rb00002686#?c=0&amp;m=0&amp;s=0&amp;cv=92</v>
      </c>
    </row>
    <row r="1586" spans="1:6" x14ac:dyDescent="0.15">
      <c r="A1586" s="6" t="s">
        <v>125</v>
      </c>
      <c r="B1586" s="71" t="s">
        <v>6263</v>
      </c>
      <c r="C1586" s="6">
        <v>49</v>
      </c>
      <c r="D1586" s="6" t="str">
        <f>HYPERLINK("https://rmda.kulib.kyoto-u.ac.jp/item/rb00002679#?c=0&amp;m=0&amp;s=0&amp;cv=48")</f>
        <v>https://rmda.kulib.kyoto-u.ac.jp/item/rb00002679#?c=0&amp;m=0&amp;s=0&amp;cv=48</v>
      </c>
      <c r="E1586" s="6">
        <v>94</v>
      </c>
      <c r="F1586" s="6" t="str">
        <f>HYPERLINK("https://rmda.kulib.kyoto-u.ac.jp/item/rb00002686#?c=0&amp;m=0&amp;s=0&amp;cv=93")</f>
        <v>https://rmda.kulib.kyoto-u.ac.jp/item/rb00002686#?c=0&amp;m=0&amp;s=0&amp;cv=93</v>
      </c>
    </row>
    <row r="1587" spans="1:6" x14ac:dyDescent="0.15">
      <c r="A1587" s="6" t="s">
        <v>125</v>
      </c>
      <c r="B1587" s="6" t="s">
        <v>6264</v>
      </c>
      <c r="C1587" s="6">
        <v>50</v>
      </c>
      <c r="D1587" s="6" t="str">
        <f>HYPERLINK("https://rmda.kulib.kyoto-u.ac.jp/item/rb00002679#?c=0&amp;m=0&amp;s=0&amp;cv=49")</f>
        <v>https://rmda.kulib.kyoto-u.ac.jp/item/rb00002679#?c=0&amp;m=0&amp;s=0&amp;cv=49</v>
      </c>
      <c r="E1587" s="6">
        <v>96</v>
      </c>
      <c r="F1587" s="6" t="str">
        <f>HYPERLINK("https://rmda.kulib.kyoto-u.ac.jp/item/rb00002686#?c=0&amp;m=0&amp;s=0&amp;cv=95")</f>
        <v>https://rmda.kulib.kyoto-u.ac.jp/item/rb00002686#?c=0&amp;m=0&amp;s=0&amp;cv=95</v>
      </c>
    </row>
    <row r="1588" spans="1:6" x14ac:dyDescent="0.15">
      <c r="A1588" s="6" t="s">
        <v>125</v>
      </c>
      <c r="B1588" s="6" t="s">
        <v>6265</v>
      </c>
      <c r="C1588" s="6">
        <v>50</v>
      </c>
      <c r="D1588" s="6" t="str">
        <f>HYPERLINK("https://rmda.kulib.kyoto-u.ac.jp/item/rb00002679#?c=0&amp;m=0&amp;s=0&amp;cv=49")</f>
        <v>https://rmda.kulib.kyoto-u.ac.jp/item/rb00002679#?c=0&amp;m=0&amp;s=0&amp;cv=49</v>
      </c>
      <c r="E1588" s="6">
        <v>96</v>
      </c>
      <c r="F1588" s="6" t="str">
        <f>HYPERLINK("https://rmda.kulib.kyoto-u.ac.jp/item/rb00002686#?c=0&amp;m=0&amp;s=0&amp;cv=95")</f>
        <v>https://rmda.kulib.kyoto-u.ac.jp/item/rb00002686#?c=0&amp;m=0&amp;s=0&amp;cv=95</v>
      </c>
    </row>
    <row r="1589" spans="1:6" x14ac:dyDescent="0.15">
      <c r="A1589" s="6" t="s">
        <v>125</v>
      </c>
      <c r="B1589" s="6" t="s">
        <v>6266</v>
      </c>
      <c r="C1589" s="6">
        <v>51</v>
      </c>
      <c r="D1589" s="6" t="str">
        <f>HYPERLINK("https://rmda.kulib.kyoto-u.ac.jp/item/rb00002679#?c=0&amp;m=0&amp;s=0&amp;cv=50")</f>
        <v>https://rmda.kulib.kyoto-u.ac.jp/item/rb00002679#?c=0&amp;m=0&amp;s=0&amp;cv=50</v>
      </c>
      <c r="E1589" s="6">
        <v>97</v>
      </c>
      <c r="F1589" s="6" t="str">
        <f>HYPERLINK("https://rmda.kulib.kyoto-u.ac.jp/item/rb00002686#?c=0&amp;m=0&amp;s=0&amp;cv=96")</f>
        <v>https://rmda.kulib.kyoto-u.ac.jp/item/rb00002686#?c=0&amp;m=0&amp;s=0&amp;cv=96</v>
      </c>
    </row>
    <row r="1590" spans="1:6" x14ac:dyDescent="0.15">
      <c r="A1590" s="6" t="s">
        <v>125</v>
      </c>
      <c r="B1590" s="6" t="s">
        <v>6267</v>
      </c>
      <c r="C1590" s="6">
        <v>51</v>
      </c>
      <c r="D1590" s="6" t="str">
        <f>HYPERLINK("https://rmda.kulib.kyoto-u.ac.jp/item/rb00002679#?c=0&amp;m=0&amp;s=0&amp;cv=50")</f>
        <v>https://rmda.kulib.kyoto-u.ac.jp/item/rb00002679#?c=0&amp;m=0&amp;s=0&amp;cv=50</v>
      </c>
      <c r="E1590" s="6">
        <v>98</v>
      </c>
      <c r="F1590" s="6" t="str">
        <f>HYPERLINK("https://rmda.kulib.kyoto-u.ac.jp/item/rb00002686#?c=0&amp;m=0&amp;s=0&amp;cv=97")</f>
        <v>https://rmda.kulib.kyoto-u.ac.jp/item/rb00002686#?c=0&amp;m=0&amp;s=0&amp;cv=97</v>
      </c>
    </row>
    <row r="1591" spans="1:6" x14ac:dyDescent="0.15">
      <c r="A1591" s="6" t="s">
        <v>125</v>
      </c>
      <c r="B1591" s="6" t="s">
        <v>6268</v>
      </c>
      <c r="C1591" s="6">
        <v>52</v>
      </c>
      <c r="D1591" s="6" t="str">
        <f>HYPERLINK("https://rmda.kulib.kyoto-u.ac.jp/item/rb00002679#?c=0&amp;m=0&amp;s=0&amp;cv=51")</f>
        <v>https://rmda.kulib.kyoto-u.ac.jp/item/rb00002679#?c=0&amp;m=0&amp;s=0&amp;cv=51</v>
      </c>
      <c r="E1591" s="6">
        <v>98</v>
      </c>
      <c r="F1591" s="6" t="str">
        <f>HYPERLINK("https://rmda.kulib.kyoto-u.ac.jp/item/rb00002686#?c=0&amp;m=0&amp;s=0&amp;cv=97")</f>
        <v>https://rmda.kulib.kyoto-u.ac.jp/item/rb00002686#?c=0&amp;m=0&amp;s=0&amp;cv=97</v>
      </c>
    </row>
    <row r="1592" spans="1:6" x14ac:dyDescent="0.15">
      <c r="A1592" s="6" t="s">
        <v>125</v>
      </c>
      <c r="B1592" s="6" t="s">
        <v>6269</v>
      </c>
      <c r="C1592" s="6">
        <v>55</v>
      </c>
      <c r="D1592" s="6" t="str">
        <f>HYPERLINK("https://rmda.kulib.kyoto-u.ac.jp/item/rb00002679#?c=0&amp;m=0&amp;s=0&amp;cv=54")</f>
        <v>https://rmda.kulib.kyoto-u.ac.jp/item/rb00002679#?c=0&amp;m=0&amp;s=0&amp;cv=54</v>
      </c>
      <c r="E1592" s="6">
        <v>100</v>
      </c>
      <c r="F1592" s="6" t="str">
        <f>HYPERLINK("https://rmda.kulib.kyoto-u.ac.jp/item/rb00002686#?c=0&amp;m=0&amp;s=0&amp;cv=99")</f>
        <v>https://rmda.kulib.kyoto-u.ac.jp/item/rb00002686#?c=0&amp;m=0&amp;s=0&amp;cv=99</v>
      </c>
    </row>
    <row r="1593" spans="1:6" x14ac:dyDescent="0.15">
      <c r="A1593" s="6" t="s">
        <v>125</v>
      </c>
      <c r="B1593" s="6" t="s">
        <v>6270</v>
      </c>
      <c r="C1593" s="6">
        <v>55</v>
      </c>
      <c r="D1593" s="6" t="str">
        <f>HYPERLINK("https://rmda.kulib.kyoto-u.ac.jp/item/rb00002679#?c=0&amp;m=0&amp;s=0&amp;cv=54")</f>
        <v>https://rmda.kulib.kyoto-u.ac.jp/item/rb00002679#?c=0&amp;m=0&amp;s=0&amp;cv=54</v>
      </c>
      <c r="E1593" s="6">
        <v>100</v>
      </c>
      <c r="F1593" s="6" t="str">
        <f>HYPERLINK("https://rmda.kulib.kyoto-u.ac.jp/item/rb00002686#?c=0&amp;m=0&amp;s=0&amp;cv=99")</f>
        <v>https://rmda.kulib.kyoto-u.ac.jp/item/rb00002686#?c=0&amp;m=0&amp;s=0&amp;cv=99</v>
      </c>
    </row>
    <row r="1594" spans="1:6" x14ac:dyDescent="0.15">
      <c r="A1594" s="69" t="s">
        <v>5512</v>
      </c>
      <c r="B1594" s="69" t="s">
        <v>131</v>
      </c>
      <c r="C1594" s="92"/>
      <c r="D1594" s="77" t="s">
        <v>5568</v>
      </c>
    </row>
    <row r="1595" spans="1:6" x14ac:dyDescent="0.15">
      <c r="A1595" s="84" t="s">
        <v>5510</v>
      </c>
      <c r="B1595" s="6" t="s">
        <v>2199</v>
      </c>
      <c r="C1595" s="8"/>
      <c r="D1595" s="6"/>
    </row>
    <row r="1596" spans="1:6" x14ac:dyDescent="0.15">
      <c r="A1596" s="6" t="s">
        <v>2199</v>
      </c>
      <c r="B1596" s="6"/>
      <c r="C1596" s="8"/>
      <c r="D1596" s="71" t="s">
        <v>5569</v>
      </c>
      <c r="F1596" s="68" t="s">
        <v>1112</v>
      </c>
    </row>
    <row r="1597" spans="1:6" x14ac:dyDescent="0.15">
      <c r="A1597" s="6" t="s">
        <v>2199</v>
      </c>
      <c r="B1597" s="6"/>
      <c r="C1597" s="8"/>
      <c r="D1597" s="71" t="s">
        <v>5570</v>
      </c>
      <c r="F1597" s="68" t="s">
        <v>5517</v>
      </c>
    </row>
    <row r="1598" spans="1:6" x14ac:dyDescent="0.15">
      <c r="A1598" s="6" t="s">
        <v>2199</v>
      </c>
      <c r="B1598" s="6"/>
      <c r="C1598" s="8"/>
      <c r="D1598" s="71" t="s">
        <v>5571</v>
      </c>
      <c r="F1598" s="68" t="s">
        <v>5518</v>
      </c>
    </row>
    <row r="1599" spans="1:6" x14ac:dyDescent="0.15">
      <c r="A1599" s="6" t="s">
        <v>2199</v>
      </c>
      <c r="B1599" s="6"/>
      <c r="C1599" s="8"/>
      <c r="D1599" s="71" t="s">
        <v>5572</v>
      </c>
      <c r="F1599" s="68" t="s">
        <v>5519</v>
      </c>
    </row>
    <row r="1600" spans="1:6" x14ac:dyDescent="0.15">
      <c r="A1600" s="6" t="s">
        <v>2199</v>
      </c>
      <c r="B1600" s="6"/>
      <c r="C1600" s="8"/>
      <c r="D1600" s="71" t="s">
        <v>5573</v>
      </c>
      <c r="F1600" s="68" t="s">
        <v>5520</v>
      </c>
    </row>
    <row r="1601" spans="1:6" x14ac:dyDescent="0.15">
      <c r="A1601" s="6" t="s">
        <v>2199</v>
      </c>
      <c r="B1601" s="6"/>
      <c r="C1601" s="8"/>
      <c r="D1601" s="6"/>
      <c r="F1601" s="68" t="s">
        <v>5521</v>
      </c>
    </row>
    <row r="1602" spans="1:6" x14ac:dyDescent="0.15">
      <c r="A1602" s="6" t="s">
        <v>2199</v>
      </c>
      <c r="B1602" s="6"/>
      <c r="C1602" s="8"/>
      <c r="D1602" s="6"/>
      <c r="F1602" s="68" t="s">
        <v>5230</v>
      </c>
    </row>
    <row r="1603" spans="1:6" x14ac:dyDescent="0.15">
      <c r="A1603" s="6" t="s">
        <v>2199</v>
      </c>
      <c r="B1603" s="6" t="s">
        <v>2199</v>
      </c>
      <c r="C1603" s="6"/>
      <c r="D1603" s="6"/>
      <c r="F1603" s="77" t="s">
        <v>1111</v>
      </c>
    </row>
    <row r="1604" spans="1:6" x14ac:dyDescent="0.15">
      <c r="A1604" s="6" t="s">
        <v>2199</v>
      </c>
      <c r="B1604" s="6" t="s">
        <v>4191</v>
      </c>
      <c r="C1604" s="6">
        <v>3</v>
      </c>
      <c r="D1604" s="6" t="str">
        <f>HYPERLINK("https://rmda.kulib.kyoto-u.ac.jp/item/rb00003883#?c=0&amp;m=0&amp;s=0&amp;cv=2")</f>
        <v>https://rmda.kulib.kyoto-u.ac.jp/item/rb00003883#?c=0&amp;m=0&amp;s=0&amp;cv=2</v>
      </c>
    </row>
    <row r="1605" spans="1:6" x14ac:dyDescent="0.15">
      <c r="A1605" s="6" t="s">
        <v>2199</v>
      </c>
      <c r="B1605" s="6" t="s">
        <v>2200</v>
      </c>
      <c r="C1605" s="6">
        <v>33</v>
      </c>
      <c r="D1605" s="6" t="str">
        <f>HYPERLINK("https://rmda.kulib.kyoto-u.ac.jp/item/rb00003883#?c=0&amp;m=0&amp;s=0&amp;cv=32")</f>
        <v>https://rmda.kulib.kyoto-u.ac.jp/item/rb00003883#?c=0&amp;m=0&amp;s=0&amp;cv=32</v>
      </c>
    </row>
    <row r="1606" spans="1:6" x14ac:dyDescent="0.15">
      <c r="A1606" s="6" t="s">
        <v>2199</v>
      </c>
      <c r="B1606" s="6" t="s">
        <v>4192</v>
      </c>
      <c r="C1606" s="6">
        <v>10</v>
      </c>
      <c r="D1606" s="6" t="str">
        <f>HYPERLINK("https://rmda.kulib.kyoto-u.ac.jp/item/rb00003883#?c=0&amp;m=0&amp;s=0&amp;cv=9")</f>
        <v>https://rmda.kulib.kyoto-u.ac.jp/item/rb00003883#?c=0&amp;m=0&amp;s=0&amp;cv=9</v>
      </c>
    </row>
    <row r="1607" spans="1:6" x14ac:dyDescent="0.15">
      <c r="A1607" s="6" t="s">
        <v>2199</v>
      </c>
      <c r="B1607" s="6" t="s">
        <v>4193</v>
      </c>
      <c r="C1607" s="6">
        <v>32</v>
      </c>
      <c r="D1607" s="6" t="str">
        <f>HYPERLINK("https://rmda.kulib.kyoto-u.ac.jp/item/rb00003883#?c=0&amp;m=0&amp;s=0&amp;cv=31")</f>
        <v>https://rmda.kulib.kyoto-u.ac.jp/item/rb00003883#?c=0&amp;m=0&amp;s=0&amp;cv=31</v>
      </c>
    </row>
    <row r="1608" spans="1:6" x14ac:dyDescent="0.15">
      <c r="A1608" s="6" t="s">
        <v>2199</v>
      </c>
      <c r="B1608" s="6" t="s">
        <v>4194</v>
      </c>
      <c r="C1608" s="6">
        <v>12</v>
      </c>
      <c r="D1608" s="6" t="str">
        <f>HYPERLINK("https://rmda.kulib.kyoto-u.ac.jp/item/rb00003883#?c=0&amp;m=0&amp;s=0&amp;cv=11")</f>
        <v>https://rmda.kulib.kyoto-u.ac.jp/item/rb00003883#?c=0&amp;m=0&amp;s=0&amp;cv=11</v>
      </c>
    </row>
    <row r="1609" spans="1:6" x14ac:dyDescent="0.15">
      <c r="A1609" s="6" t="s">
        <v>2199</v>
      </c>
      <c r="B1609" s="6" t="s">
        <v>4195</v>
      </c>
      <c r="C1609" s="6">
        <v>14</v>
      </c>
      <c r="D1609" s="6" t="str">
        <f>HYPERLINK("https://rmda.kulib.kyoto-u.ac.jp/item/rb00003883#?c=0&amp;m=0&amp;s=0&amp;cv=13")</f>
        <v>https://rmda.kulib.kyoto-u.ac.jp/item/rb00003883#?c=0&amp;m=0&amp;s=0&amp;cv=13</v>
      </c>
    </row>
    <row r="1610" spans="1:6" x14ac:dyDescent="0.15">
      <c r="A1610" s="6" t="s">
        <v>2199</v>
      </c>
      <c r="B1610" s="72" t="s">
        <v>2201</v>
      </c>
      <c r="C1610" s="6">
        <v>40</v>
      </c>
      <c r="D1610" s="6" t="str">
        <f>HYPERLINK("https://rmda.kulib.kyoto-u.ac.jp/item/rb00003883#?c=0&amp;m=0&amp;s=0&amp;cv=39")</f>
        <v>https://rmda.kulib.kyoto-u.ac.jp/item/rb00003883#?c=0&amp;m=0&amp;s=0&amp;cv=39</v>
      </c>
    </row>
    <row r="1611" spans="1:6" x14ac:dyDescent="0.15">
      <c r="A1611" s="6" t="s">
        <v>2199</v>
      </c>
      <c r="B1611" s="63" t="s">
        <v>4482</v>
      </c>
      <c r="C1611" s="6">
        <v>40</v>
      </c>
      <c r="D1611" s="6" t="str">
        <f>HYPERLINK("https://rmda.kulib.kyoto-u.ac.jp/item/rb00003883#?c=0&amp;m=0&amp;s=0&amp;cv=39")</f>
        <v>https://rmda.kulib.kyoto-u.ac.jp/item/rb00003883#?c=0&amp;m=0&amp;s=0&amp;cv=39</v>
      </c>
      <c r="F1611">
        <v>4</v>
      </c>
    </row>
    <row r="1612" spans="1:6" x14ac:dyDescent="0.15">
      <c r="A1612" s="6" t="s">
        <v>2199</v>
      </c>
      <c r="B1612" s="6" t="s">
        <v>2202</v>
      </c>
      <c r="C1612" s="6">
        <v>40</v>
      </c>
      <c r="D1612" s="6" t="str">
        <f>HYPERLINK("https://rmda.kulib.kyoto-u.ac.jp/item/rb00003883#?c=0&amp;m=0&amp;s=0&amp;cv=39")</f>
        <v>https://rmda.kulib.kyoto-u.ac.jp/item/rb00003883#?c=0&amp;m=0&amp;s=0&amp;cv=39</v>
      </c>
      <c r="F1612">
        <v>4</v>
      </c>
    </row>
    <row r="1613" spans="1:6" x14ac:dyDescent="0.15">
      <c r="A1613" s="6" t="s">
        <v>2199</v>
      </c>
      <c r="B1613" s="6" t="s">
        <v>2203</v>
      </c>
      <c r="C1613" s="6">
        <v>41</v>
      </c>
      <c r="D1613" s="6" t="str">
        <f>HYPERLINK("https://rmda.kulib.kyoto-u.ac.jp/item/rb00003883#?c=0&amp;m=0&amp;s=0&amp;cv=40")</f>
        <v>https://rmda.kulib.kyoto-u.ac.jp/item/rb00003883#?c=0&amp;m=0&amp;s=0&amp;cv=40</v>
      </c>
      <c r="F1613">
        <v>6</v>
      </c>
    </row>
    <row r="1614" spans="1:6" x14ac:dyDescent="0.15">
      <c r="A1614" s="6" t="s">
        <v>2199</v>
      </c>
      <c r="B1614" s="6" t="s">
        <v>4196</v>
      </c>
      <c r="C1614" s="6">
        <v>44</v>
      </c>
      <c r="D1614" s="6" t="str">
        <f>HYPERLINK("https://rmda.kulib.kyoto-u.ac.jp/item/rb00003883#?c=0&amp;m=0&amp;s=0&amp;cv=43")</f>
        <v>https://rmda.kulib.kyoto-u.ac.jp/item/rb00003883#?c=0&amp;m=0&amp;s=0&amp;cv=43</v>
      </c>
      <c r="F1614">
        <v>10</v>
      </c>
    </row>
    <row r="1615" spans="1:6" x14ac:dyDescent="0.15">
      <c r="A1615" s="6" t="s">
        <v>2199</v>
      </c>
      <c r="B1615" s="6" t="s">
        <v>4197</v>
      </c>
      <c r="C1615" s="6">
        <v>45</v>
      </c>
      <c r="D1615" s="6" t="str">
        <f>HYPERLINK("https://rmda.kulib.kyoto-u.ac.jp/item/rb00003883#?c=0&amp;m=0&amp;s=0&amp;cv=44")</f>
        <v>https://rmda.kulib.kyoto-u.ac.jp/item/rb00003883#?c=0&amp;m=0&amp;s=0&amp;cv=44</v>
      </c>
      <c r="F1615">
        <v>11</v>
      </c>
    </row>
    <row r="1616" spans="1:6" x14ac:dyDescent="0.15">
      <c r="A1616" s="6" t="s">
        <v>2199</v>
      </c>
      <c r="B1616" s="6" t="s">
        <v>4198</v>
      </c>
      <c r="C1616" s="6">
        <v>46</v>
      </c>
      <c r="D1616" s="6" t="str">
        <f>HYPERLINK("https://rmda.kulib.kyoto-u.ac.jp/item/rb00003883#?c=0&amp;m=0&amp;s=0&amp;cv=45")</f>
        <v>https://rmda.kulib.kyoto-u.ac.jp/item/rb00003883#?c=0&amp;m=0&amp;s=0&amp;cv=45</v>
      </c>
      <c r="F1616">
        <v>12</v>
      </c>
    </row>
    <row r="1617" spans="1:6" x14ac:dyDescent="0.15">
      <c r="A1617" s="6" t="s">
        <v>2199</v>
      </c>
      <c r="B1617" s="6" t="s">
        <v>4199</v>
      </c>
      <c r="C1617" s="6">
        <v>47</v>
      </c>
      <c r="D1617" s="6" t="str">
        <f>HYPERLINK("https://rmda.kulib.kyoto-u.ac.jp/item/rb00003883#?c=0&amp;m=0&amp;s=0&amp;cv=46")</f>
        <v>https://rmda.kulib.kyoto-u.ac.jp/item/rb00003883#?c=0&amp;m=0&amp;s=0&amp;cv=46</v>
      </c>
      <c r="F1617">
        <v>13</v>
      </c>
    </row>
    <row r="1618" spans="1:6" x14ac:dyDescent="0.15">
      <c r="A1618" s="6" t="s">
        <v>2199</v>
      </c>
      <c r="B1618" s="6" t="s">
        <v>2204</v>
      </c>
      <c r="C1618" s="6">
        <v>48</v>
      </c>
      <c r="D1618" s="6" t="str">
        <f>HYPERLINK("https://rmda.kulib.kyoto-u.ac.jp/item/rb00003883#?c=0&amp;m=0&amp;s=0&amp;cv=47")</f>
        <v>https://rmda.kulib.kyoto-u.ac.jp/item/rb00003883#?c=0&amp;m=0&amp;s=0&amp;cv=47</v>
      </c>
      <c r="F1618">
        <v>14</v>
      </c>
    </row>
    <row r="1619" spans="1:6" x14ac:dyDescent="0.15">
      <c r="A1619" s="6" t="s">
        <v>2199</v>
      </c>
      <c r="B1619" s="6" t="s">
        <v>2205</v>
      </c>
      <c r="C1619" s="6">
        <v>48</v>
      </c>
      <c r="D1619" s="6" t="str">
        <f>HYPERLINK("https://rmda.kulib.kyoto-u.ac.jp/item/rb00003883#?c=0&amp;m=0&amp;s=0&amp;cv=47")</f>
        <v>https://rmda.kulib.kyoto-u.ac.jp/item/rb00003883#?c=0&amp;m=0&amp;s=0&amp;cv=47</v>
      </c>
      <c r="F1619">
        <v>15</v>
      </c>
    </row>
    <row r="1620" spans="1:6" x14ac:dyDescent="0.15">
      <c r="A1620" s="6" t="s">
        <v>2199</v>
      </c>
      <c r="B1620" s="6" t="s">
        <v>4200</v>
      </c>
      <c r="C1620" s="6">
        <v>49</v>
      </c>
      <c r="D1620" s="6" t="str">
        <f>HYPERLINK("https://rmda.kulib.kyoto-u.ac.jp/item/rb00003883#?c=0&amp;m=0&amp;s=0&amp;cv=48")</f>
        <v>https://rmda.kulib.kyoto-u.ac.jp/item/rb00003883#?c=0&amp;m=0&amp;s=0&amp;cv=48</v>
      </c>
      <c r="F1620">
        <v>15</v>
      </c>
    </row>
    <row r="1621" spans="1:6" x14ac:dyDescent="0.15">
      <c r="A1621" s="6" t="s">
        <v>2199</v>
      </c>
      <c r="B1621" s="6" t="s">
        <v>4201</v>
      </c>
      <c r="C1621" s="6">
        <v>49</v>
      </c>
      <c r="D1621" s="6" t="str">
        <f>HYPERLINK("https://rmda.kulib.kyoto-u.ac.jp/item/rb00003883#?c=0&amp;m=0&amp;s=0&amp;cv=48")</f>
        <v>https://rmda.kulib.kyoto-u.ac.jp/item/rb00003883#?c=0&amp;m=0&amp;s=0&amp;cv=48</v>
      </c>
      <c r="F1621">
        <v>16</v>
      </c>
    </row>
    <row r="1622" spans="1:6" x14ac:dyDescent="0.15">
      <c r="A1622" s="6" t="s">
        <v>2199</v>
      </c>
      <c r="B1622" s="6" t="s">
        <v>2206</v>
      </c>
      <c r="C1622" s="6">
        <v>50</v>
      </c>
      <c r="D1622" s="6" t="str">
        <f>HYPERLINK("https://rmda.kulib.kyoto-u.ac.jp/item/rb00003883#?c=0&amp;m=0&amp;s=0&amp;cv=49")</f>
        <v>https://rmda.kulib.kyoto-u.ac.jp/item/rb00003883#?c=0&amp;m=0&amp;s=0&amp;cv=49</v>
      </c>
      <c r="F1622">
        <v>17</v>
      </c>
    </row>
    <row r="1623" spans="1:6" x14ac:dyDescent="0.15">
      <c r="A1623" s="6" t="s">
        <v>2199</v>
      </c>
      <c r="B1623" s="6" t="s">
        <v>4202</v>
      </c>
      <c r="C1623" s="6">
        <v>51</v>
      </c>
      <c r="D1623" s="6" t="str">
        <f>HYPERLINK("https://rmda.kulib.kyoto-u.ac.jp/item/rb00003883#?c=0&amp;m=0&amp;s=0&amp;cv=50")</f>
        <v>https://rmda.kulib.kyoto-u.ac.jp/item/rb00003883#?c=0&amp;m=0&amp;s=0&amp;cv=50</v>
      </c>
      <c r="F1623">
        <v>19</v>
      </c>
    </row>
    <row r="1624" spans="1:6" x14ac:dyDescent="0.15">
      <c r="A1624" s="6" t="s">
        <v>2199</v>
      </c>
      <c r="B1624" s="6" t="s">
        <v>4203</v>
      </c>
      <c r="C1624" s="6">
        <v>52</v>
      </c>
      <c r="D1624" s="6" t="str">
        <f>HYPERLINK("https://rmda.kulib.kyoto-u.ac.jp/item/rb00003883#?c=0&amp;m=0&amp;s=0&amp;cv=51")</f>
        <v>https://rmda.kulib.kyoto-u.ac.jp/item/rb00003883#?c=0&amp;m=0&amp;s=0&amp;cv=51</v>
      </c>
      <c r="F1624">
        <v>19</v>
      </c>
    </row>
    <row r="1625" spans="1:6" x14ac:dyDescent="0.15">
      <c r="A1625" s="6" t="s">
        <v>2199</v>
      </c>
      <c r="B1625" s="6" t="s">
        <v>2207</v>
      </c>
      <c r="C1625" s="6">
        <v>52</v>
      </c>
      <c r="D1625" s="6" t="str">
        <f>HYPERLINK("https://rmda.kulib.kyoto-u.ac.jp/item/rb00003883#?c=0&amp;m=0&amp;s=0&amp;cv=51")</f>
        <v>https://rmda.kulib.kyoto-u.ac.jp/item/rb00003883#?c=0&amp;m=0&amp;s=0&amp;cv=51</v>
      </c>
      <c r="F1625">
        <v>20</v>
      </c>
    </row>
    <row r="1626" spans="1:6" x14ac:dyDescent="0.15">
      <c r="A1626" s="6" t="s">
        <v>2199</v>
      </c>
      <c r="B1626" s="6" t="s">
        <v>4204</v>
      </c>
      <c r="C1626" s="6">
        <v>53</v>
      </c>
      <c r="D1626" s="6" t="str">
        <f>HYPERLINK("https://rmda.kulib.kyoto-u.ac.jp/item/rb00003883#?c=0&amp;m=0&amp;s=0&amp;cv=52")</f>
        <v>https://rmda.kulib.kyoto-u.ac.jp/item/rb00003883#?c=0&amp;m=0&amp;s=0&amp;cv=52</v>
      </c>
      <c r="F1626">
        <v>20</v>
      </c>
    </row>
    <row r="1627" spans="1:6" x14ac:dyDescent="0.15">
      <c r="A1627" s="6" t="s">
        <v>2199</v>
      </c>
      <c r="B1627" s="6" t="s">
        <v>2058</v>
      </c>
      <c r="C1627" s="6">
        <v>53</v>
      </c>
      <c r="D1627" s="6" t="str">
        <f>HYPERLINK("https://rmda.kulib.kyoto-u.ac.jp/item/rb00003883#?c=0&amp;m=0&amp;s=0&amp;cv=52")</f>
        <v>https://rmda.kulib.kyoto-u.ac.jp/item/rb00003883#?c=0&amp;m=0&amp;s=0&amp;cv=52</v>
      </c>
      <c r="F1627">
        <v>21</v>
      </c>
    </row>
    <row r="1628" spans="1:6" x14ac:dyDescent="0.15">
      <c r="A1628" s="6" t="s">
        <v>2199</v>
      </c>
      <c r="B1628" s="6" t="s">
        <v>4205</v>
      </c>
      <c r="C1628" s="6">
        <v>53</v>
      </c>
      <c r="D1628" s="6" t="str">
        <f>HYPERLINK("https://rmda.kulib.kyoto-u.ac.jp/item/rb00003883#?c=0&amp;m=0&amp;s=0&amp;cv=52")</f>
        <v>https://rmda.kulib.kyoto-u.ac.jp/item/rb00003883#?c=0&amp;m=0&amp;s=0&amp;cv=52</v>
      </c>
      <c r="F1628">
        <v>21</v>
      </c>
    </row>
    <row r="1629" spans="1:6" x14ac:dyDescent="0.15">
      <c r="A1629" s="6" t="s">
        <v>2199</v>
      </c>
      <c r="B1629" s="6" t="s">
        <v>2208</v>
      </c>
      <c r="C1629" s="6">
        <v>54</v>
      </c>
      <c r="D1629" s="6" t="str">
        <f>HYPERLINK("https://rmda.kulib.kyoto-u.ac.jp/item/rb00003883#?c=0&amp;m=0&amp;s=0&amp;cv=53")</f>
        <v>https://rmda.kulib.kyoto-u.ac.jp/item/rb00003883#?c=0&amp;m=0&amp;s=0&amp;cv=53</v>
      </c>
      <c r="F1629">
        <v>22</v>
      </c>
    </row>
    <row r="1630" spans="1:6" x14ac:dyDescent="0.15">
      <c r="A1630" s="6" t="s">
        <v>2199</v>
      </c>
      <c r="B1630" s="6" t="s">
        <v>4206</v>
      </c>
      <c r="C1630" s="6">
        <v>54</v>
      </c>
      <c r="D1630" s="6" t="str">
        <f>HYPERLINK("https://rmda.kulib.kyoto-u.ac.jp/item/rb00003883#?c=0&amp;m=0&amp;s=0&amp;cv=53")</f>
        <v>https://rmda.kulib.kyoto-u.ac.jp/item/rb00003883#?c=0&amp;m=0&amp;s=0&amp;cv=53</v>
      </c>
      <c r="F1630">
        <v>22</v>
      </c>
    </row>
    <row r="1631" spans="1:6" x14ac:dyDescent="0.15">
      <c r="A1631" s="6" t="s">
        <v>2199</v>
      </c>
      <c r="B1631" s="6" t="s">
        <v>4207</v>
      </c>
      <c r="C1631" s="6">
        <v>55</v>
      </c>
      <c r="D1631" s="6" t="str">
        <f>HYPERLINK("https://rmda.kulib.kyoto-u.ac.jp/item/rb00003883#?c=0&amp;m=0&amp;s=0&amp;cv=54")</f>
        <v>https://rmda.kulib.kyoto-u.ac.jp/item/rb00003883#?c=0&amp;m=0&amp;s=0&amp;cv=54</v>
      </c>
      <c r="F1631">
        <v>23</v>
      </c>
    </row>
    <row r="1632" spans="1:6" x14ac:dyDescent="0.15">
      <c r="A1632" s="6" t="s">
        <v>2199</v>
      </c>
      <c r="B1632" s="6" t="s">
        <v>4210</v>
      </c>
      <c r="C1632" s="6">
        <v>55</v>
      </c>
      <c r="D1632" s="6" t="str">
        <f>HYPERLINK("https://rmda.kulib.kyoto-u.ac.jp/item/rb00003883#?c=0&amp;m=0&amp;s=0&amp;cv=54")</f>
        <v>https://rmda.kulib.kyoto-u.ac.jp/item/rb00003883#?c=0&amp;m=0&amp;s=0&amp;cv=54</v>
      </c>
      <c r="F1632">
        <v>23</v>
      </c>
    </row>
    <row r="1633" spans="1:6" x14ac:dyDescent="0.15">
      <c r="A1633" s="6" t="s">
        <v>2199</v>
      </c>
      <c r="B1633" s="6" t="s">
        <v>4208</v>
      </c>
      <c r="C1633" s="6">
        <v>56</v>
      </c>
      <c r="D1633" s="6" t="str">
        <f>HYPERLINK("https://rmda.kulib.kyoto-u.ac.jp/item/rb00003883#?c=0&amp;m=0&amp;s=0&amp;cv=55")</f>
        <v>https://rmda.kulib.kyoto-u.ac.jp/item/rb00003883#?c=0&amp;m=0&amp;s=0&amp;cv=55</v>
      </c>
      <c r="F1633">
        <v>24</v>
      </c>
    </row>
    <row r="1634" spans="1:6" x14ac:dyDescent="0.15">
      <c r="A1634" s="6" t="s">
        <v>2199</v>
      </c>
      <c r="B1634" s="6" t="s">
        <v>2209</v>
      </c>
      <c r="C1634" s="6">
        <v>56</v>
      </c>
      <c r="D1634" s="6" t="str">
        <f>HYPERLINK("https://rmda.kulib.kyoto-u.ac.jp/item/rb00003883#?c=0&amp;m=0&amp;s=0&amp;cv=55")</f>
        <v>https://rmda.kulib.kyoto-u.ac.jp/item/rb00003883#?c=0&amp;m=0&amp;s=0&amp;cv=55</v>
      </c>
      <c r="F1634">
        <v>24</v>
      </c>
    </row>
    <row r="1635" spans="1:6" x14ac:dyDescent="0.15">
      <c r="A1635" s="6" t="s">
        <v>2199</v>
      </c>
      <c r="B1635" s="6" t="s">
        <v>4209</v>
      </c>
      <c r="C1635" s="6">
        <v>57</v>
      </c>
      <c r="D1635" s="6" t="str">
        <f>HYPERLINK("https://rmda.kulib.kyoto-u.ac.jp/item/rb00003883#?c=0&amp;m=0&amp;s=0&amp;cv=56")</f>
        <v>https://rmda.kulib.kyoto-u.ac.jp/item/rb00003883#?c=0&amp;m=0&amp;s=0&amp;cv=56</v>
      </c>
      <c r="F1635">
        <v>25</v>
      </c>
    </row>
    <row r="1636" spans="1:6" x14ac:dyDescent="0.15">
      <c r="A1636" s="6" t="s">
        <v>2199</v>
      </c>
      <c r="B1636" s="6" t="s">
        <v>4211</v>
      </c>
      <c r="C1636" s="6">
        <v>57</v>
      </c>
      <c r="D1636" s="6" t="str">
        <f>HYPERLINK("https://rmda.kulib.kyoto-u.ac.jp/item/rb00003883#?c=0&amp;m=0&amp;s=0&amp;cv=56")</f>
        <v>https://rmda.kulib.kyoto-u.ac.jp/item/rb00003883#?c=0&amp;m=0&amp;s=0&amp;cv=56</v>
      </c>
      <c r="F1636">
        <v>25</v>
      </c>
    </row>
    <row r="1637" spans="1:6" x14ac:dyDescent="0.15">
      <c r="A1637" s="6" t="s">
        <v>2199</v>
      </c>
      <c r="B1637" s="6" t="s">
        <v>4212</v>
      </c>
      <c r="C1637" s="6">
        <v>57</v>
      </c>
      <c r="D1637" s="6" t="str">
        <f>HYPERLINK("https://rmda.kulib.kyoto-u.ac.jp/item/rb00003883#?c=0&amp;m=0&amp;s=0&amp;cv=56")</f>
        <v>https://rmda.kulib.kyoto-u.ac.jp/item/rb00003883#?c=0&amp;m=0&amp;s=0&amp;cv=56</v>
      </c>
      <c r="F1637">
        <v>26</v>
      </c>
    </row>
    <row r="1638" spans="1:6" x14ac:dyDescent="0.15">
      <c r="A1638" s="6" t="s">
        <v>2199</v>
      </c>
      <c r="B1638" s="6" t="s">
        <v>4213</v>
      </c>
      <c r="C1638" s="6">
        <v>58</v>
      </c>
      <c r="D1638" s="6" t="str">
        <f>HYPERLINK("https://rmda.kulib.kyoto-u.ac.jp/item/rb00003883#?c=0&amp;m=0&amp;s=0&amp;cv=57")</f>
        <v>https://rmda.kulib.kyoto-u.ac.jp/item/rb00003883#?c=0&amp;m=0&amp;s=0&amp;cv=57</v>
      </c>
      <c r="F1638">
        <v>26</v>
      </c>
    </row>
    <row r="1639" spans="1:6" x14ac:dyDescent="0.15">
      <c r="A1639" s="6" t="s">
        <v>2199</v>
      </c>
      <c r="B1639" s="6" t="s">
        <v>4214</v>
      </c>
      <c r="C1639" s="6">
        <v>58</v>
      </c>
      <c r="D1639" s="6" t="str">
        <f>HYPERLINK("https://rmda.kulib.kyoto-u.ac.jp/item/rb00003883#?c=0&amp;m=0&amp;s=0&amp;cv=57")</f>
        <v>https://rmda.kulib.kyoto-u.ac.jp/item/rb00003883#?c=0&amp;m=0&amp;s=0&amp;cv=57</v>
      </c>
      <c r="F1639">
        <v>27</v>
      </c>
    </row>
    <row r="1640" spans="1:6" x14ac:dyDescent="0.15">
      <c r="A1640" s="6" t="s">
        <v>2199</v>
      </c>
      <c r="B1640" s="6" t="s">
        <v>4215</v>
      </c>
      <c r="C1640" s="6">
        <v>58</v>
      </c>
      <c r="D1640" s="6" t="str">
        <f>HYPERLINK("https://rmda.kulib.kyoto-u.ac.jp/item/rb00003883#?c=0&amp;m=0&amp;s=0&amp;cv=57")</f>
        <v>https://rmda.kulib.kyoto-u.ac.jp/item/rb00003883#?c=0&amp;m=0&amp;s=0&amp;cv=57</v>
      </c>
      <c r="F1640">
        <v>27</v>
      </c>
    </row>
    <row r="1641" spans="1:6" x14ac:dyDescent="0.15">
      <c r="A1641" s="6" t="s">
        <v>2199</v>
      </c>
      <c r="B1641" s="6" t="s">
        <v>1641</v>
      </c>
      <c r="C1641" s="6">
        <v>59</v>
      </c>
      <c r="D1641" s="6" t="str">
        <f>HYPERLINK("https://rmda.kulib.kyoto-u.ac.jp/item/rb00003883#?c=0&amp;m=0&amp;s=0&amp;cv=58")</f>
        <v>https://rmda.kulib.kyoto-u.ac.jp/item/rb00003883#?c=0&amp;m=0&amp;s=0&amp;cv=58</v>
      </c>
      <c r="F1641">
        <v>28</v>
      </c>
    </row>
    <row r="1642" spans="1:6" x14ac:dyDescent="0.15">
      <c r="A1642" s="6" t="s">
        <v>2199</v>
      </c>
      <c r="B1642" s="6" t="s">
        <v>1647</v>
      </c>
      <c r="C1642" s="6">
        <v>59</v>
      </c>
      <c r="D1642" s="6" t="str">
        <f>HYPERLINK("https://rmda.kulib.kyoto-u.ac.jp/item/rb00003883#?c=0&amp;m=0&amp;s=0&amp;cv=58")</f>
        <v>https://rmda.kulib.kyoto-u.ac.jp/item/rb00003883#?c=0&amp;m=0&amp;s=0&amp;cv=58</v>
      </c>
      <c r="F1642">
        <v>28</v>
      </c>
    </row>
    <row r="1643" spans="1:6" x14ac:dyDescent="0.15">
      <c r="A1643" s="6" t="s">
        <v>2199</v>
      </c>
      <c r="B1643" s="6" t="s">
        <v>1640</v>
      </c>
      <c r="C1643" s="6">
        <v>60</v>
      </c>
      <c r="D1643" s="6" t="str">
        <f>HYPERLINK("https://rmda.kulib.kyoto-u.ac.jp/item/rb00003883#?c=0&amp;m=0&amp;s=0&amp;cv=59")</f>
        <v>https://rmda.kulib.kyoto-u.ac.jp/item/rb00003883#?c=0&amp;m=0&amp;s=0&amp;cv=59</v>
      </c>
      <c r="F1643">
        <v>29</v>
      </c>
    </row>
    <row r="1644" spans="1:6" x14ac:dyDescent="0.15">
      <c r="A1644" s="6" t="s">
        <v>2199</v>
      </c>
      <c r="B1644" s="6" t="s">
        <v>2210</v>
      </c>
      <c r="C1644" s="6">
        <v>60</v>
      </c>
      <c r="D1644" s="6" t="str">
        <f>HYPERLINK("https://rmda.kulib.kyoto-u.ac.jp/item/rb00003883#?c=0&amp;m=0&amp;s=0&amp;cv=59")</f>
        <v>https://rmda.kulib.kyoto-u.ac.jp/item/rb00003883#?c=0&amp;m=0&amp;s=0&amp;cv=59</v>
      </c>
      <c r="F1644">
        <v>30</v>
      </c>
    </row>
    <row r="1645" spans="1:6" x14ac:dyDescent="0.15">
      <c r="A1645" s="6" t="s">
        <v>2199</v>
      </c>
      <c r="B1645" s="6" t="s">
        <v>2040</v>
      </c>
      <c r="C1645" s="6">
        <v>61</v>
      </c>
      <c r="D1645" s="6" t="str">
        <f>HYPERLINK("https://rmda.kulib.kyoto-u.ac.jp/item/rb00003883#?c=0&amp;m=0&amp;s=0&amp;cv=60")</f>
        <v>https://rmda.kulib.kyoto-u.ac.jp/item/rb00003883#?c=0&amp;m=0&amp;s=0&amp;cv=60</v>
      </c>
      <c r="F1645">
        <v>31</v>
      </c>
    </row>
    <row r="1646" spans="1:6" x14ac:dyDescent="0.15">
      <c r="A1646" s="6" t="s">
        <v>2199</v>
      </c>
      <c r="B1646" s="6" t="s">
        <v>1839</v>
      </c>
      <c r="C1646" s="6">
        <v>62</v>
      </c>
      <c r="D1646" s="6" t="str">
        <f>HYPERLINK("https://rmda.kulib.kyoto-u.ac.jp/item/rb00003883#?c=0&amp;m=0&amp;s=0&amp;cv=61")</f>
        <v>https://rmda.kulib.kyoto-u.ac.jp/item/rb00003883#?c=0&amp;m=0&amp;s=0&amp;cv=61</v>
      </c>
      <c r="F1646">
        <v>31</v>
      </c>
    </row>
    <row r="1647" spans="1:6" x14ac:dyDescent="0.15">
      <c r="A1647" s="6" t="s">
        <v>2199</v>
      </c>
      <c r="B1647" s="6" t="s">
        <v>2211</v>
      </c>
      <c r="C1647" s="6">
        <v>62</v>
      </c>
      <c r="D1647" s="6" t="str">
        <f>HYPERLINK("https://rmda.kulib.kyoto-u.ac.jp/item/rb00003883#?c=0&amp;m=0&amp;s=0&amp;cv=61")</f>
        <v>https://rmda.kulib.kyoto-u.ac.jp/item/rb00003883#?c=0&amp;m=0&amp;s=0&amp;cv=61</v>
      </c>
      <c r="F1647">
        <v>32</v>
      </c>
    </row>
    <row r="1648" spans="1:6" x14ac:dyDescent="0.15">
      <c r="A1648" s="6" t="s">
        <v>2199</v>
      </c>
      <c r="B1648" s="6" t="s">
        <v>2212</v>
      </c>
      <c r="C1648" s="6">
        <v>62</v>
      </c>
      <c r="D1648" s="6" t="str">
        <f>HYPERLINK("https://rmda.kulib.kyoto-u.ac.jp/item/rb00003883#?c=0&amp;m=0&amp;s=0&amp;cv=61")</f>
        <v>https://rmda.kulib.kyoto-u.ac.jp/item/rb00003883#?c=0&amp;m=0&amp;s=0&amp;cv=61</v>
      </c>
      <c r="F1648">
        <v>32</v>
      </c>
    </row>
    <row r="1649" spans="1:6" x14ac:dyDescent="0.15">
      <c r="A1649" s="6" t="s">
        <v>2199</v>
      </c>
      <c r="B1649" s="6" t="s">
        <v>2213</v>
      </c>
      <c r="C1649" s="6">
        <v>63</v>
      </c>
      <c r="D1649" s="6" t="str">
        <f>HYPERLINK("https://rmda.kulib.kyoto-u.ac.jp/item/rb00003883#?c=0&amp;m=0&amp;s=0&amp;cv=62")</f>
        <v>https://rmda.kulib.kyoto-u.ac.jp/item/rb00003883#?c=0&amp;m=0&amp;s=0&amp;cv=62</v>
      </c>
      <c r="F1649">
        <v>32</v>
      </c>
    </row>
    <row r="1650" spans="1:6" x14ac:dyDescent="0.15">
      <c r="A1650" s="6" t="s">
        <v>2199</v>
      </c>
      <c r="B1650" s="6" t="s">
        <v>4216</v>
      </c>
      <c r="C1650" s="6">
        <v>63</v>
      </c>
      <c r="D1650" s="6" t="str">
        <f>HYPERLINK("https://rmda.kulib.kyoto-u.ac.jp/item/rb00003883#?c=0&amp;m=0&amp;s=0&amp;cv=62")</f>
        <v>https://rmda.kulib.kyoto-u.ac.jp/item/rb00003883#?c=0&amp;m=0&amp;s=0&amp;cv=62</v>
      </c>
      <c r="F1650">
        <v>33</v>
      </c>
    </row>
    <row r="1651" spans="1:6" x14ac:dyDescent="0.15">
      <c r="A1651" s="6" t="s">
        <v>2199</v>
      </c>
      <c r="B1651" s="63" t="s">
        <v>4452</v>
      </c>
      <c r="C1651" s="6">
        <v>64</v>
      </c>
      <c r="D1651" s="6" t="str">
        <f>HYPERLINK("https://rmda.kulib.kyoto-u.ac.jp/item/rb00003883#?c=0&amp;m=0&amp;s=0&amp;cv=63")</f>
        <v>https://rmda.kulib.kyoto-u.ac.jp/item/rb00003883#?c=0&amp;m=0&amp;s=0&amp;cv=63</v>
      </c>
      <c r="F1651">
        <v>34</v>
      </c>
    </row>
    <row r="1652" spans="1:6" x14ac:dyDescent="0.15">
      <c r="A1652" s="6" t="s">
        <v>2199</v>
      </c>
      <c r="B1652" s="6" t="s">
        <v>4217</v>
      </c>
      <c r="C1652" s="6">
        <v>64</v>
      </c>
      <c r="D1652" s="6" t="str">
        <f>HYPERLINK("https://rmda.kulib.kyoto-u.ac.jp/item/rb00003883#?c=0&amp;m=0&amp;s=0&amp;cv=63")</f>
        <v>https://rmda.kulib.kyoto-u.ac.jp/item/rb00003883#?c=0&amp;m=0&amp;s=0&amp;cv=63</v>
      </c>
      <c r="F1652">
        <v>34</v>
      </c>
    </row>
    <row r="1653" spans="1:6" x14ac:dyDescent="0.15">
      <c r="A1653" s="6" t="s">
        <v>2199</v>
      </c>
      <c r="B1653" s="6" t="s">
        <v>2214</v>
      </c>
      <c r="C1653" s="6">
        <v>64</v>
      </c>
      <c r="D1653" s="6" t="str">
        <f>HYPERLINK("https://rmda.kulib.kyoto-u.ac.jp/item/rb00003883#?c=0&amp;m=0&amp;s=0&amp;cv=63")</f>
        <v>https://rmda.kulib.kyoto-u.ac.jp/item/rb00003883#?c=0&amp;m=0&amp;s=0&amp;cv=63</v>
      </c>
      <c r="F1653">
        <v>34</v>
      </c>
    </row>
    <row r="1654" spans="1:6" x14ac:dyDescent="0.15">
      <c r="A1654" s="6" t="s">
        <v>2199</v>
      </c>
      <c r="B1654" s="6" t="s">
        <v>2215</v>
      </c>
      <c r="C1654" s="6">
        <v>65</v>
      </c>
      <c r="D1654" s="6" t="str">
        <f>HYPERLINK("https://rmda.kulib.kyoto-u.ac.jp/item/rb00003883#?c=0&amp;m=0&amp;s=0&amp;cv=64")</f>
        <v>https://rmda.kulib.kyoto-u.ac.jp/item/rb00003883#?c=0&amp;m=0&amp;s=0&amp;cv=64</v>
      </c>
      <c r="F1654" t="s">
        <v>5523</v>
      </c>
    </row>
    <row r="1655" spans="1:6" x14ac:dyDescent="0.15">
      <c r="A1655" s="6" t="s">
        <v>2199</v>
      </c>
      <c r="B1655" s="6" t="s">
        <v>1920</v>
      </c>
      <c r="C1655" s="6">
        <v>65</v>
      </c>
      <c r="D1655" s="6" t="str">
        <f>HYPERLINK("https://rmda.kulib.kyoto-u.ac.jp/item/rb00003883#?c=0&amp;m=0&amp;s=0&amp;cv=64")</f>
        <v>https://rmda.kulib.kyoto-u.ac.jp/item/rb00003883#?c=0&amp;m=0&amp;s=0&amp;cv=64</v>
      </c>
      <c r="F1655" t="s">
        <v>5523</v>
      </c>
    </row>
    <row r="1656" spans="1:6" x14ac:dyDescent="0.15">
      <c r="A1656" s="6" t="s">
        <v>2199</v>
      </c>
      <c r="B1656" s="6" t="s">
        <v>2216</v>
      </c>
      <c r="C1656" s="6">
        <v>65</v>
      </c>
      <c r="D1656" s="6" t="str">
        <f>HYPERLINK("https://rmda.kulib.kyoto-u.ac.jp/item/rb00003883#?c=0&amp;m=0&amp;s=0&amp;cv=64")</f>
        <v>https://rmda.kulib.kyoto-u.ac.jp/item/rb00003883#?c=0&amp;m=0&amp;s=0&amp;cv=64</v>
      </c>
      <c r="F1656" t="s">
        <v>5523</v>
      </c>
    </row>
    <row r="1657" spans="1:6" x14ac:dyDescent="0.15">
      <c r="A1657" s="6" t="s">
        <v>2199</v>
      </c>
      <c r="B1657" s="6" t="s">
        <v>4218</v>
      </c>
      <c r="C1657" s="6">
        <v>65</v>
      </c>
      <c r="D1657" s="6" t="str">
        <f>HYPERLINK("https://rmda.kulib.kyoto-u.ac.jp/item/rb00003883#?c=0&amp;m=0&amp;s=0&amp;cv=64")</f>
        <v>https://rmda.kulib.kyoto-u.ac.jp/item/rb00003883#?c=0&amp;m=0&amp;s=0&amp;cv=64</v>
      </c>
      <c r="F1657">
        <v>35</v>
      </c>
    </row>
    <row r="1658" spans="1:6" x14ac:dyDescent="0.15">
      <c r="A1658" s="6" t="s">
        <v>2199</v>
      </c>
      <c r="B1658" s="6" t="s">
        <v>2217</v>
      </c>
      <c r="C1658" s="6">
        <v>65</v>
      </c>
      <c r="D1658" s="6" t="str">
        <f>HYPERLINK("https://rmda.kulib.kyoto-u.ac.jp/item/rb00003883#?c=0&amp;m=0&amp;s=0&amp;cv=64")</f>
        <v>https://rmda.kulib.kyoto-u.ac.jp/item/rb00003883#?c=0&amp;m=0&amp;s=0&amp;cv=64</v>
      </c>
      <c r="F1658">
        <v>35</v>
      </c>
    </row>
    <row r="1659" spans="1:6" x14ac:dyDescent="0.15">
      <c r="A1659" s="6" t="s">
        <v>2199</v>
      </c>
      <c r="B1659" s="6" t="s">
        <v>4219</v>
      </c>
      <c r="C1659" s="6">
        <v>66</v>
      </c>
      <c r="D1659" s="6" t="str">
        <f>HYPERLINK("https://rmda.kulib.kyoto-u.ac.jp/item/rb00003883#?c=0&amp;m=0&amp;s=0&amp;cv=65")</f>
        <v>https://rmda.kulib.kyoto-u.ac.jp/item/rb00003883#?c=0&amp;m=0&amp;s=0&amp;cv=65</v>
      </c>
      <c r="F1659">
        <v>36</v>
      </c>
    </row>
    <row r="1660" spans="1:6" x14ac:dyDescent="0.15">
      <c r="A1660" s="6" t="s">
        <v>2199</v>
      </c>
      <c r="B1660" s="6" t="s">
        <v>4220</v>
      </c>
      <c r="C1660" s="6">
        <v>66</v>
      </c>
      <c r="D1660" s="6" t="str">
        <f>HYPERLINK("https://rmda.kulib.kyoto-u.ac.jp/item/rb00003883#?c=0&amp;m=0&amp;s=0&amp;cv=65")</f>
        <v>https://rmda.kulib.kyoto-u.ac.jp/item/rb00003883#?c=0&amp;m=0&amp;s=0&amp;cv=65</v>
      </c>
      <c r="F1660">
        <v>36</v>
      </c>
    </row>
    <row r="1661" spans="1:6" x14ac:dyDescent="0.15">
      <c r="A1661" s="6" t="s">
        <v>2199</v>
      </c>
      <c r="B1661" s="6" t="s">
        <v>1903</v>
      </c>
      <c r="C1661" s="6">
        <v>66</v>
      </c>
      <c r="D1661" s="6" t="str">
        <f>HYPERLINK("https://rmda.kulib.kyoto-u.ac.jp/item/rb00003883#?c=0&amp;m=0&amp;s=0&amp;cv=65")</f>
        <v>https://rmda.kulib.kyoto-u.ac.jp/item/rb00003883#?c=0&amp;m=0&amp;s=0&amp;cv=65</v>
      </c>
      <c r="F1661">
        <v>37</v>
      </c>
    </row>
    <row r="1662" spans="1:6" x14ac:dyDescent="0.15">
      <c r="A1662" s="6" t="s">
        <v>2199</v>
      </c>
      <c r="B1662" s="6" t="s">
        <v>2218</v>
      </c>
      <c r="C1662" s="6">
        <v>67</v>
      </c>
      <c r="D1662" s="6" t="str">
        <f>HYPERLINK("https://rmda.kulib.kyoto-u.ac.jp/item/rb00003883#?c=0&amp;m=0&amp;s=0&amp;cv=66")</f>
        <v>https://rmda.kulib.kyoto-u.ac.jp/item/rb00003883#?c=0&amp;m=0&amp;s=0&amp;cv=66</v>
      </c>
      <c r="F1662">
        <v>37</v>
      </c>
    </row>
    <row r="1663" spans="1:6" x14ac:dyDescent="0.15">
      <c r="A1663" s="6" t="s">
        <v>2199</v>
      </c>
      <c r="B1663" s="6" t="s">
        <v>4221</v>
      </c>
      <c r="C1663" s="6">
        <v>67</v>
      </c>
      <c r="D1663" s="6" t="str">
        <f>HYPERLINK("https://rmda.kulib.kyoto-u.ac.jp/item/rb00003883#?c=0&amp;m=0&amp;s=0&amp;cv=66")</f>
        <v>https://rmda.kulib.kyoto-u.ac.jp/item/rb00003883#?c=0&amp;m=0&amp;s=0&amp;cv=66</v>
      </c>
      <c r="F1663">
        <v>37</v>
      </c>
    </row>
    <row r="1664" spans="1:6" x14ac:dyDescent="0.15">
      <c r="A1664" s="6" t="s">
        <v>2199</v>
      </c>
      <c r="B1664" s="6" t="s">
        <v>4222</v>
      </c>
      <c r="C1664" s="6">
        <v>67</v>
      </c>
      <c r="D1664" s="6" t="str">
        <f>HYPERLINK("https://rmda.kulib.kyoto-u.ac.jp/item/rb00003883#?c=0&amp;m=0&amp;s=0&amp;cv=66")</f>
        <v>https://rmda.kulib.kyoto-u.ac.jp/item/rb00003883#?c=0&amp;m=0&amp;s=0&amp;cv=66</v>
      </c>
      <c r="F1664">
        <v>38</v>
      </c>
    </row>
    <row r="1665" spans="1:6" x14ac:dyDescent="0.15">
      <c r="A1665" s="6" t="s">
        <v>2199</v>
      </c>
      <c r="B1665" s="63" t="s">
        <v>4454</v>
      </c>
      <c r="C1665" s="6">
        <v>68</v>
      </c>
      <c r="D1665" s="6" t="str">
        <f>HYPERLINK("https://rmda.kulib.kyoto-u.ac.jp/item/rb00003883#?c=0&amp;m=0&amp;s=0&amp;cv=67")</f>
        <v>https://rmda.kulib.kyoto-u.ac.jp/item/rb00003883#?c=0&amp;m=0&amp;s=0&amp;cv=67</v>
      </c>
    </row>
    <row r="1666" spans="1:6" x14ac:dyDescent="0.15">
      <c r="A1666" s="6" t="s">
        <v>2199</v>
      </c>
      <c r="B1666" s="6" t="s">
        <v>2219</v>
      </c>
      <c r="C1666" s="6">
        <v>68</v>
      </c>
      <c r="D1666" s="6" t="str">
        <f>HYPERLINK("https://rmda.kulib.kyoto-u.ac.jp/item/rb00003883#?c=0&amp;m=0&amp;s=0&amp;cv=67")</f>
        <v>https://rmda.kulib.kyoto-u.ac.jp/item/rb00003883#?c=0&amp;m=0&amp;s=0&amp;cv=67</v>
      </c>
      <c r="F1666">
        <v>38</v>
      </c>
    </row>
    <row r="1667" spans="1:6" x14ac:dyDescent="0.15">
      <c r="A1667" s="6" t="s">
        <v>2199</v>
      </c>
      <c r="B1667" s="6" t="s">
        <v>4223</v>
      </c>
      <c r="C1667" s="6">
        <v>69</v>
      </c>
      <c r="D1667" s="6" t="str">
        <f>HYPERLINK("https://rmda.kulib.kyoto-u.ac.jp/item/rb00003883#?c=0&amp;m=0&amp;s=0&amp;cv=68")</f>
        <v>https://rmda.kulib.kyoto-u.ac.jp/item/rb00003883#?c=0&amp;m=0&amp;s=0&amp;cv=68</v>
      </c>
      <c r="F1667">
        <v>39</v>
      </c>
    </row>
    <row r="1668" spans="1:6" x14ac:dyDescent="0.15">
      <c r="A1668" s="6" t="s">
        <v>2199</v>
      </c>
      <c r="B1668" s="6" t="s">
        <v>2220</v>
      </c>
      <c r="C1668" s="6">
        <v>69</v>
      </c>
      <c r="D1668" s="6" t="str">
        <f>HYPERLINK("https://rmda.kulib.kyoto-u.ac.jp/item/rb00003883#?c=0&amp;m=0&amp;s=0&amp;cv=68")</f>
        <v>https://rmda.kulib.kyoto-u.ac.jp/item/rb00003883#?c=0&amp;m=0&amp;s=0&amp;cv=68</v>
      </c>
      <c r="F1668">
        <v>40</v>
      </c>
    </row>
    <row r="1669" spans="1:6" x14ac:dyDescent="0.15">
      <c r="A1669" s="6" t="s">
        <v>2199</v>
      </c>
      <c r="B1669" s="6" t="s">
        <v>2128</v>
      </c>
      <c r="C1669" s="6">
        <v>70</v>
      </c>
      <c r="D1669" s="6" t="str">
        <f>HYPERLINK("https://rmda.kulib.kyoto-u.ac.jp/item/rb00003883#?c=0&amp;m=0&amp;s=0&amp;cv=69")</f>
        <v>https://rmda.kulib.kyoto-u.ac.jp/item/rb00003883#?c=0&amp;m=0&amp;s=0&amp;cv=69</v>
      </c>
      <c r="F1669">
        <v>40</v>
      </c>
    </row>
    <row r="1670" spans="1:6" x14ac:dyDescent="0.15">
      <c r="A1670" s="6" t="s">
        <v>2199</v>
      </c>
      <c r="B1670" s="6" t="s">
        <v>4224</v>
      </c>
      <c r="C1670" s="6">
        <v>70</v>
      </c>
      <c r="D1670" s="6" t="str">
        <f>HYPERLINK("https://rmda.kulib.kyoto-u.ac.jp/item/rb00003883#?c=0&amp;m=0&amp;s=0&amp;cv=69")</f>
        <v>https://rmda.kulib.kyoto-u.ac.jp/item/rb00003883#?c=0&amp;m=0&amp;s=0&amp;cv=69</v>
      </c>
      <c r="F1670">
        <v>41</v>
      </c>
    </row>
    <row r="1671" spans="1:6" x14ac:dyDescent="0.15">
      <c r="A1671" s="6" t="s">
        <v>2199</v>
      </c>
      <c r="B1671" s="6" t="s">
        <v>4225</v>
      </c>
      <c r="C1671" s="6">
        <v>71</v>
      </c>
      <c r="D1671" s="6" t="str">
        <f>HYPERLINK("https://rmda.kulib.kyoto-u.ac.jp/item/rb00003883#?c=0&amp;m=0&amp;s=0&amp;cv=70")</f>
        <v>https://rmda.kulib.kyoto-u.ac.jp/item/rb00003883#?c=0&amp;m=0&amp;s=0&amp;cv=70</v>
      </c>
      <c r="F1671">
        <v>42</v>
      </c>
    </row>
    <row r="1672" spans="1:6" x14ac:dyDescent="0.15">
      <c r="A1672" s="6" t="s">
        <v>2199</v>
      </c>
      <c r="B1672" s="6" t="s">
        <v>1999</v>
      </c>
      <c r="C1672" s="6">
        <v>71</v>
      </c>
      <c r="D1672" s="6" t="str">
        <f>HYPERLINK("https://rmda.kulib.kyoto-u.ac.jp/item/rb00003883#?c=0&amp;m=0&amp;s=0&amp;cv=70")</f>
        <v>https://rmda.kulib.kyoto-u.ac.jp/item/rb00003883#?c=0&amp;m=0&amp;s=0&amp;cv=70</v>
      </c>
      <c r="F1672">
        <v>42</v>
      </c>
    </row>
    <row r="1673" spans="1:6" x14ac:dyDescent="0.15">
      <c r="A1673" s="6" t="s">
        <v>2199</v>
      </c>
      <c r="B1673" s="6" t="s">
        <v>2129</v>
      </c>
      <c r="C1673" s="6">
        <v>71</v>
      </c>
      <c r="D1673" s="6" t="str">
        <f>HYPERLINK("https://rmda.kulib.kyoto-u.ac.jp/item/rb00003883#?c=0&amp;m=0&amp;s=0&amp;cv=70")</f>
        <v>https://rmda.kulib.kyoto-u.ac.jp/item/rb00003883#?c=0&amp;m=0&amp;s=0&amp;cv=70</v>
      </c>
      <c r="F1673">
        <v>42</v>
      </c>
    </row>
    <row r="1674" spans="1:6" x14ac:dyDescent="0.15">
      <c r="A1674" s="6" t="s">
        <v>2199</v>
      </c>
      <c r="B1674" s="63" t="s">
        <v>5985</v>
      </c>
      <c r="C1674" s="6">
        <v>71</v>
      </c>
      <c r="D1674" s="6" t="str">
        <f>HYPERLINK("https://rmda.kulib.kyoto-u.ac.jp/item/rb00003883#?c=0&amp;m=0&amp;s=0&amp;cv=70")</f>
        <v>https://rmda.kulib.kyoto-u.ac.jp/item/rb00003883#?c=0&amp;m=0&amp;s=0&amp;cv=70</v>
      </c>
      <c r="F1674">
        <v>43</v>
      </c>
    </row>
    <row r="1675" spans="1:6" x14ac:dyDescent="0.15">
      <c r="A1675" s="6" t="s">
        <v>2199</v>
      </c>
      <c r="B1675" s="6" t="s">
        <v>2126</v>
      </c>
      <c r="C1675" s="6">
        <v>71</v>
      </c>
      <c r="D1675" s="6" t="str">
        <f>HYPERLINK("https://rmda.kulib.kyoto-u.ac.jp/item/rb00003883#?c=0&amp;m=0&amp;s=0&amp;cv=70")</f>
        <v>https://rmda.kulib.kyoto-u.ac.jp/item/rb00003883#?c=0&amp;m=0&amp;s=0&amp;cv=70</v>
      </c>
      <c r="F1675">
        <v>43</v>
      </c>
    </row>
    <row r="1676" spans="1:6" x14ac:dyDescent="0.15">
      <c r="A1676" s="6" t="s">
        <v>2199</v>
      </c>
      <c r="B1676" s="6" t="s">
        <v>2221</v>
      </c>
      <c r="C1676" s="6">
        <v>72</v>
      </c>
      <c r="D1676" s="6" t="str">
        <f>HYPERLINK("https://rmda.kulib.kyoto-u.ac.jp/item/rb00003883#?c=0&amp;m=0&amp;s=0&amp;cv=71")</f>
        <v>https://rmda.kulib.kyoto-u.ac.jp/item/rb00003883#?c=0&amp;m=0&amp;s=0&amp;cv=71</v>
      </c>
      <c r="F1676">
        <v>43</v>
      </c>
    </row>
    <row r="1677" spans="1:6" x14ac:dyDescent="0.15">
      <c r="A1677" s="6" t="s">
        <v>2199</v>
      </c>
      <c r="B1677" s="6" t="s">
        <v>2222</v>
      </c>
      <c r="C1677" s="6">
        <v>72</v>
      </c>
      <c r="D1677" s="6" t="str">
        <f>HYPERLINK("https://rmda.kulib.kyoto-u.ac.jp/item/rb00003883#?c=0&amp;m=0&amp;s=0&amp;cv=71")</f>
        <v>https://rmda.kulib.kyoto-u.ac.jp/item/rb00003883#?c=0&amp;m=0&amp;s=0&amp;cv=71</v>
      </c>
      <c r="F1677">
        <v>43</v>
      </c>
    </row>
    <row r="1678" spans="1:6" x14ac:dyDescent="0.15">
      <c r="A1678" s="6" t="s">
        <v>2199</v>
      </c>
      <c r="B1678" s="6" t="s">
        <v>4226</v>
      </c>
      <c r="C1678" s="6">
        <v>72</v>
      </c>
      <c r="D1678" s="6" t="str">
        <f>HYPERLINK("https://rmda.kulib.kyoto-u.ac.jp/item/rb00003883#?c=0&amp;m=0&amp;s=0&amp;cv=71")</f>
        <v>https://rmda.kulib.kyoto-u.ac.jp/item/rb00003883#?c=0&amp;m=0&amp;s=0&amp;cv=71</v>
      </c>
      <c r="F1678">
        <v>44</v>
      </c>
    </row>
    <row r="1679" spans="1:6" x14ac:dyDescent="0.15">
      <c r="A1679" s="6" t="s">
        <v>2199</v>
      </c>
      <c r="B1679" s="6" t="s">
        <v>4227</v>
      </c>
      <c r="C1679" s="6">
        <v>73</v>
      </c>
      <c r="D1679" s="6" t="str">
        <f>HYPERLINK("https://rmda.kulib.kyoto-u.ac.jp/item/rb00003883#?c=0&amp;m=0&amp;s=0&amp;cv=72")</f>
        <v>https://rmda.kulib.kyoto-u.ac.jp/item/rb00003883#?c=0&amp;m=0&amp;s=0&amp;cv=72</v>
      </c>
      <c r="F1679">
        <v>44</v>
      </c>
    </row>
    <row r="1680" spans="1:6" x14ac:dyDescent="0.15">
      <c r="A1680" s="6" t="s">
        <v>2199</v>
      </c>
      <c r="B1680" s="63" t="s">
        <v>5524</v>
      </c>
      <c r="C1680" s="6">
        <v>73</v>
      </c>
      <c r="D1680" s="6" t="str">
        <f>HYPERLINK("https://rmda.kulib.kyoto-u.ac.jp/item/rb00003883#?c=0&amp;m=0&amp;s=0&amp;cv=72")</f>
        <v>https://rmda.kulib.kyoto-u.ac.jp/item/rb00003883#?c=0&amp;m=0&amp;s=0&amp;cv=72</v>
      </c>
      <c r="F1680">
        <v>44</v>
      </c>
    </row>
    <row r="1681" spans="1:6" x14ac:dyDescent="0.15">
      <c r="A1681" s="6" t="s">
        <v>2199</v>
      </c>
      <c r="B1681" s="6" t="s">
        <v>2223</v>
      </c>
      <c r="C1681" s="6">
        <v>73</v>
      </c>
      <c r="D1681" s="6" t="str">
        <f>HYPERLINK("https://rmda.kulib.kyoto-u.ac.jp/item/rb00003883#?c=0&amp;m=0&amp;s=0&amp;cv=72")</f>
        <v>https://rmda.kulib.kyoto-u.ac.jp/item/rb00003883#?c=0&amp;m=0&amp;s=0&amp;cv=72</v>
      </c>
      <c r="F1681">
        <v>44</v>
      </c>
    </row>
    <row r="1682" spans="1:6" x14ac:dyDescent="0.15">
      <c r="A1682" s="6" t="s">
        <v>2199</v>
      </c>
      <c r="B1682" s="6" t="s">
        <v>4228</v>
      </c>
      <c r="C1682" s="6">
        <v>73</v>
      </c>
      <c r="D1682" s="6" t="str">
        <f>HYPERLINK("https://rmda.kulib.kyoto-u.ac.jp/item/rb00003883#?c=0&amp;m=0&amp;s=0&amp;cv=72")</f>
        <v>https://rmda.kulib.kyoto-u.ac.jp/item/rb00003883#?c=0&amp;m=0&amp;s=0&amp;cv=72</v>
      </c>
      <c r="F1682">
        <v>45</v>
      </c>
    </row>
    <row r="1683" spans="1:6" x14ac:dyDescent="0.15">
      <c r="A1683" s="6" t="s">
        <v>2199</v>
      </c>
      <c r="B1683" s="6" t="s">
        <v>2224</v>
      </c>
      <c r="C1683" s="6">
        <v>74</v>
      </c>
      <c r="D1683" s="6" t="str">
        <f>HYPERLINK("https://rmda.kulib.kyoto-u.ac.jp/item/rb00003883#?c=0&amp;m=0&amp;s=0&amp;cv=73")</f>
        <v>https://rmda.kulib.kyoto-u.ac.jp/item/rb00003883#?c=0&amp;m=0&amp;s=0&amp;cv=73</v>
      </c>
      <c r="F1683" t="s">
        <v>5523</v>
      </c>
    </row>
    <row r="1684" spans="1:6" x14ac:dyDescent="0.15">
      <c r="A1684" s="6" t="s">
        <v>2199</v>
      </c>
      <c r="B1684" s="6" t="s">
        <v>2225</v>
      </c>
      <c r="C1684" s="6">
        <v>74</v>
      </c>
      <c r="D1684" s="6" t="str">
        <f>HYPERLINK("https://rmda.kulib.kyoto-u.ac.jp/item/rb00003883#?c=0&amp;m=0&amp;s=0&amp;cv=73")</f>
        <v>https://rmda.kulib.kyoto-u.ac.jp/item/rb00003883#?c=0&amp;m=0&amp;s=0&amp;cv=73</v>
      </c>
      <c r="F1684" t="s">
        <v>5523</v>
      </c>
    </row>
    <row r="1685" spans="1:6" x14ac:dyDescent="0.15">
      <c r="A1685" s="6" t="s">
        <v>2199</v>
      </c>
      <c r="B1685" s="6" t="s">
        <v>4229</v>
      </c>
      <c r="C1685" s="6">
        <v>74</v>
      </c>
      <c r="D1685" s="6" t="str">
        <f>HYPERLINK("https://rmda.kulib.kyoto-u.ac.jp/item/rb00003883#?c=0&amp;m=0&amp;s=0&amp;cv=73")</f>
        <v>https://rmda.kulib.kyoto-u.ac.jp/item/rb00003883#?c=0&amp;m=0&amp;s=0&amp;cv=73</v>
      </c>
      <c r="F1685">
        <v>45</v>
      </c>
    </row>
    <row r="1686" spans="1:6" x14ac:dyDescent="0.15">
      <c r="A1686" s="6" t="s">
        <v>2199</v>
      </c>
      <c r="B1686" s="6" t="s">
        <v>4230</v>
      </c>
      <c r="C1686" s="6">
        <v>74</v>
      </c>
      <c r="D1686" s="6" t="str">
        <f>HYPERLINK("https://rmda.kulib.kyoto-u.ac.jp/item/rb00003883#?c=0&amp;m=0&amp;s=0&amp;cv=73")</f>
        <v>https://rmda.kulib.kyoto-u.ac.jp/item/rb00003883#?c=0&amp;m=0&amp;s=0&amp;cv=73</v>
      </c>
      <c r="F1686">
        <v>46</v>
      </c>
    </row>
    <row r="1687" spans="1:6" x14ac:dyDescent="0.15">
      <c r="A1687" s="6" t="s">
        <v>2199</v>
      </c>
      <c r="B1687" s="6" t="s">
        <v>4231</v>
      </c>
      <c r="C1687" s="6">
        <v>74</v>
      </c>
      <c r="D1687" s="6" t="str">
        <f>HYPERLINK("https://rmda.kulib.kyoto-u.ac.jp/item/rb00003883#?c=0&amp;m=0&amp;s=0&amp;cv=73")</f>
        <v>https://rmda.kulib.kyoto-u.ac.jp/item/rb00003883#?c=0&amp;m=0&amp;s=0&amp;cv=73</v>
      </c>
      <c r="F1687">
        <v>46</v>
      </c>
    </row>
    <row r="1688" spans="1:6" x14ac:dyDescent="0.15">
      <c r="A1688" s="6" t="s">
        <v>2199</v>
      </c>
      <c r="B1688" s="6" t="s">
        <v>4232</v>
      </c>
      <c r="C1688" s="6">
        <v>75</v>
      </c>
      <c r="D1688" s="6" t="str">
        <f>HYPERLINK("https://rmda.kulib.kyoto-u.ac.jp/item/rb00003883#?c=0&amp;m=0&amp;s=0&amp;cv=74")</f>
        <v>https://rmda.kulib.kyoto-u.ac.jp/item/rb00003883#?c=0&amp;m=0&amp;s=0&amp;cv=74</v>
      </c>
      <c r="F1688">
        <v>47</v>
      </c>
    </row>
    <row r="1689" spans="1:6" x14ac:dyDescent="0.15">
      <c r="A1689" s="6" t="s">
        <v>2199</v>
      </c>
      <c r="B1689" s="63" t="s">
        <v>5525</v>
      </c>
      <c r="C1689" s="6">
        <v>75</v>
      </c>
      <c r="D1689" s="6" t="str">
        <f>HYPERLINK("https://rmda.kulib.kyoto-u.ac.jp/item/rb00003883#?c=0&amp;m=0&amp;s=0&amp;cv=74")</f>
        <v>https://rmda.kulib.kyoto-u.ac.jp/item/rb00003883#?c=0&amp;m=0&amp;s=0&amp;cv=74</v>
      </c>
      <c r="F1689">
        <v>47</v>
      </c>
    </row>
    <row r="1690" spans="1:6" x14ac:dyDescent="0.15">
      <c r="A1690" s="6" t="s">
        <v>2199</v>
      </c>
      <c r="B1690" s="6" t="s">
        <v>2226</v>
      </c>
      <c r="C1690" s="6">
        <v>75</v>
      </c>
      <c r="D1690" s="6" t="str">
        <f>HYPERLINK("https://rmda.kulib.kyoto-u.ac.jp/item/rb00003883#?c=0&amp;m=0&amp;s=0&amp;cv=74")</f>
        <v>https://rmda.kulib.kyoto-u.ac.jp/item/rb00003883#?c=0&amp;m=0&amp;s=0&amp;cv=74</v>
      </c>
      <c r="F1690">
        <v>47</v>
      </c>
    </row>
    <row r="1691" spans="1:6" x14ac:dyDescent="0.15">
      <c r="A1691" s="6" t="s">
        <v>2199</v>
      </c>
      <c r="B1691" s="6" t="s">
        <v>4233</v>
      </c>
      <c r="C1691" s="6">
        <v>76</v>
      </c>
      <c r="D1691" s="6" t="str">
        <f>HYPERLINK("https://rmda.kulib.kyoto-u.ac.jp/item/rb00003883#?c=0&amp;m=0&amp;s=0&amp;cv=75")</f>
        <v>https://rmda.kulib.kyoto-u.ac.jp/item/rb00003883#?c=0&amp;m=0&amp;s=0&amp;cv=75</v>
      </c>
      <c r="F1691">
        <v>48</v>
      </c>
    </row>
    <row r="1692" spans="1:6" x14ac:dyDescent="0.15">
      <c r="A1692" s="6" t="s">
        <v>2199</v>
      </c>
      <c r="B1692" s="6" t="s">
        <v>4234</v>
      </c>
      <c r="C1692" s="6">
        <v>76</v>
      </c>
      <c r="D1692" s="6" t="str">
        <f>HYPERLINK("https://rmda.kulib.kyoto-u.ac.jp/item/rb00003883#?c=0&amp;m=0&amp;s=0&amp;cv=75")</f>
        <v>https://rmda.kulib.kyoto-u.ac.jp/item/rb00003883#?c=0&amp;m=0&amp;s=0&amp;cv=75</v>
      </c>
      <c r="F1692">
        <v>48</v>
      </c>
    </row>
    <row r="1693" spans="1:6" x14ac:dyDescent="0.15">
      <c r="A1693" s="6" t="s">
        <v>2199</v>
      </c>
      <c r="B1693" s="6" t="s">
        <v>2227</v>
      </c>
      <c r="C1693" s="6">
        <v>77</v>
      </c>
      <c r="D1693" s="6" t="str">
        <f>HYPERLINK("https://rmda.kulib.kyoto-u.ac.jp/item/rb00003883#?c=0&amp;m=0&amp;s=0&amp;cv=76")</f>
        <v>https://rmda.kulib.kyoto-u.ac.jp/item/rb00003883#?c=0&amp;m=0&amp;s=0&amp;cv=76</v>
      </c>
      <c r="F1693">
        <v>49</v>
      </c>
    </row>
    <row r="1694" spans="1:6" x14ac:dyDescent="0.15">
      <c r="A1694" s="6" t="s">
        <v>2199</v>
      </c>
      <c r="B1694" s="6" t="s">
        <v>2228</v>
      </c>
      <c r="C1694" s="6">
        <v>77</v>
      </c>
      <c r="D1694" s="6" t="str">
        <f>HYPERLINK("https://rmda.kulib.kyoto-u.ac.jp/item/rb00003883#?c=0&amp;m=0&amp;s=0&amp;cv=76")</f>
        <v>https://rmda.kulib.kyoto-u.ac.jp/item/rb00003883#?c=0&amp;m=0&amp;s=0&amp;cv=76</v>
      </c>
      <c r="F1694">
        <v>49</v>
      </c>
    </row>
    <row r="1695" spans="1:6" x14ac:dyDescent="0.15">
      <c r="A1695" s="6" t="s">
        <v>2199</v>
      </c>
      <c r="B1695" s="6" t="s">
        <v>2229</v>
      </c>
      <c r="C1695" s="6">
        <v>78</v>
      </c>
      <c r="D1695" s="6" t="str">
        <f>HYPERLINK("https://rmda.kulib.kyoto-u.ac.jp/item/rb00003883#?c=0&amp;m=0&amp;s=0&amp;cv=77")</f>
        <v>https://rmda.kulib.kyoto-u.ac.jp/item/rb00003883#?c=0&amp;m=0&amp;s=0&amp;cv=77</v>
      </c>
      <c r="F1695">
        <v>50</v>
      </c>
    </row>
    <row r="1696" spans="1:6" x14ac:dyDescent="0.15">
      <c r="A1696" s="6" t="s">
        <v>2199</v>
      </c>
      <c r="B1696" s="6" t="s">
        <v>1642</v>
      </c>
      <c r="C1696" s="6">
        <v>78</v>
      </c>
      <c r="D1696" s="6" t="str">
        <f>HYPERLINK("https://rmda.kulib.kyoto-u.ac.jp/item/rb00003883#?c=0&amp;m=0&amp;s=0&amp;cv=77")</f>
        <v>https://rmda.kulib.kyoto-u.ac.jp/item/rb00003883#?c=0&amp;m=0&amp;s=0&amp;cv=77</v>
      </c>
      <c r="F1696">
        <v>51</v>
      </c>
    </row>
    <row r="1697" spans="1:6" x14ac:dyDescent="0.15">
      <c r="A1697" s="6" t="s">
        <v>2199</v>
      </c>
      <c r="B1697" s="6" t="s">
        <v>4235</v>
      </c>
      <c r="C1697" s="6">
        <v>79</v>
      </c>
      <c r="D1697" s="6" t="str">
        <f>HYPERLINK("https://rmda.kulib.kyoto-u.ac.jp/item/rb00003883#?c=0&amp;m=0&amp;s=0&amp;cv=78")</f>
        <v>https://rmda.kulib.kyoto-u.ac.jp/item/rb00003883#?c=0&amp;m=0&amp;s=0&amp;cv=78</v>
      </c>
      <c r="F1697">
        <v>51</v>
      </c>
    </row>
    <row r="1698" spans="1:6" x14ac:dyDescent="0.15">
      <c r="A1698" s="6" t="s">
        <v>2199</v>
      </c>
      <c r="B1698" s="6" t="s">
        <v>4227</v>
      </c>
      <c r="C1698" s="6">
        <v>79</v>
      </c>
      <c r="D1698" s="6" t="str">
        <f>HYPERLINK("https://rmda.kulib.kyoto-u.ac.jp/item/rb00003883#?c=0&amp;m=0&amp;s=0&amp;cv=78")</f>
        <v>https://rmda.kulib.kyoto-u.ac.jp/item/rb00003883#?c=0&amp;m=0&amp;s=0&amp;cv=78</v>
      </c>
      <c r="F1698">
        <v>52</v>
      </c>
    </row>
    <row r="1699" spans="1:6" x14ac:dyDescent="0.15">
      <c r="A1699" s="6" t="s">
        <v>2199</v>
      </c>
      <c r="B1699" s="6" t="s">
        <v>4236</v>
      </c>
      <c r="C1699" s="6">
        <v>80</v>
      </c>
      <c r="D1699" s="6" t="str">
        <f>HYPERLINK("https://rmda.kulib.kyoto-u.ac.jp/item/rb00003883#?c=0&amp;m=0&amp;s=0&amp;cv=79")</f>
        <v>https://rmda.kulib.kyoto-u.ac.jp/item/rb00003883#?c=0&amp;m=0&amp;s=0&amp;cv=79</v>
      </c>
      <c r="F1699">
        <v>53</v>
      </c>
    </row>
    <row r="1700" spans="1:6" x14ac:dyDescent="0.15">
      <c r="A1700" s="6" t="s">
        <v>2199</v>
      </c>
      <c r="B1700" s="6" t="s">
        <v>4237</v>
      </c>
      <c r="C1700" s="6">
        <v>80</v>
      </c>
      <c r="D1700" s="6" t="str">
        <f>HYPERLINK("https://rmda.kulib.kyoto-u.ac.jp/item/rb00003883#?c=0&amp;m=0&amp;s=0&amp;cv=79")</f>
        <v>https://rmda.kulib.kyoto-u.ac.jp/item/rb00003883#?c=0&amp;m=0&amp;s=0&amp;cv=79</v>
      </c>
      <c r="F1700">
        <v>53</v>
      </c>
    </row>
    <row r="1701" spans="1:6" x14ac:dyDescent="0.15">
      <c r="A1701" s="6" t="s">
        <v>2199</v>
      </c>
      <c r="B1701" s="6" t="s">
        <v>4238</v>
      </c>
      <c r="C1701" s="6">
        <v>81</v>
      </c>
      <c r="D1701" s="6" t="str">
        <f>HYPERLINK("https://rmda.kulib.kyoto-u.ac.jp/item/rb00003883#?c=0&amp;m=0&amp;s=0&amp;cv=80")</f>
        <v>https://rmda.kulib.kyoto-u.ac.jp/item/rb00003883#?c=0&amp;m=0&amp;s=0&amp;cv=80</v>
      </c>
      <c r="F1701">
        <v>54</v>
      </c>
    </row>
    <row r="1702" spans="1:6" x14ac:dyDescent="0.15">
      <c r="A1702" s="6" t="s">
        <v>2199</v>
      </c>
      <c r="B1702" s="6" t="s">
        <v>2230</v>
      </c>
      <c r="C1702" s="6">
        <v>81</v>
      </c>
      <c r="D1702" s="6" t="str">
        <f>HYPERLINK("https://rmda.kulib.kyoto-u.ac.jp/item/rb00003883#?c=0&amp;m=0&amp;s=0&amp;cv=80")</f>
        <v>https://rmda.kulib.kyoto-u.ac.jp/item/rb00003883#?c=0&amp;m=0&amp;s=0&amp;cv=80</v>
      </c>
      <c r="F1702">
        <v>54</v>
      </c>
    </row>
    <row r="1703" spans="1:6" x14ac:dyDescent="0.15">
      <c r="A1703" s="6" t="s">
        <v>2199</v>
      </c>
      <c r="B1703" s="6" t="s">
        <v>4225</v>
      </c>
      <c r="C1703" s="6">
        <v>81</v>
      </c>
      <c r="D1703" s="6" t="str">
        <f>HYPERLINK("https://rmda.kulib.kyoto-u.ac.jp/item/rb00003883#?c=0&amp;m=0&amp;s=0&amp;cv=80")</f>
        <v>https://rmda.kulib.kyoto-u.ac.jp/item/rb00003883#?c=0&amp;m=0&amp;s=0&amp;cv=80</v>
      </c>
      <c r="F1703">
        <v>55</v>
      </c>
    </row>
    <row r="1704" spans="1:6" x14ac:dyDescent="0.15">
      <c r="A1704" s="6" t="s">
        <v>2199</v>
      </c>
      <c r="B1704" s="6" t="s">
        <v>2128</v>
      </c>
      <c r="C1704" s="6">
        <v>82</v>
      </c>
      <c r="D1704" s="6" t="str">
        <f>HYPERLINK("https://rmda.kulib.kyoto-u.ac.jp/item/rb00003883#?c=0&amp;m=0&amp;s=0&amp;cv=81")</f>
        <v>https://rmda.kulib.kyoto-u.ac.jp/item/rb00003883#?c=0&amp;m=0&amp;s=0&amp;cv=81</v>
      </c>
      <c r="F1704">
        <v>55</v>
      </c>
    </row>
    <row r="1705" spans="1:6" x14ac:dyDescent="0.15">
      <c r="A1705" s="6" t="s">
        <v>2199</v>
      </c>
      <c r="B1705" s="6" t="s">
        <v>4239</v>
      </c>
      <c r="C1705" s="6">
        <v>82</v>
      </c>
      <c r="D1705" s="6" t="str">
        <f>HYPERLINK("https://rmda.kulib.kyoto-u.ac.jp/item/rb00003883#?c=0&amp;m=0&amp;s=0&amp;cv=81")</f>
        <v>https://rmda.kulib.kyoto-u.ac.jp/item/rb00003883#?c=0&amp;m=0&amp;s=0&amp;cv=81</v>
      </c>
      <c r="F1705">
        <v>56</v>
      </c>
    </row>
    <row r="1706" spans="1:6" x14ac:dyDescent="0.15">
      <c r="A1706" s="6" t="s">
        <v>2199</v>
      </c>
      <c r="B1706" s="72" t="s">
        <v>2231</v>
      </c>
      <c r="C1706" s="6">
        <v>86</v>
      </c>
      <c r="D1706" s="6" t="str">
        <f>HYPERLINK("https://rmda.kulib.kyoto-u.ac.jp/item/rb00003883#?c=0&amp;m=0&amp;s=0&amp;cv=85")</f>
        <v>https://rmda.kulib.kyoto-u.ac.jp/item/rb00003883#?c=0&amp;m=0&amp;s=0&amp;cv=85</v>
      </c>
      <c r="F1706">
        <v>59</v>
      </c>
    </row>
    <row r="1707" spans="1:6" x14ac:dyDescent="0.15">
      <c r="A1707" s="6" t="s">
        <v>2199</v>
      </c>
      <c r="B1707" s="63" t="s">
        <v>5549</v>
      </c>
      <c r="C1707" s="6">
        <v>86</v>
      </c>
      <c r="D1707" s="6" t="str">
        <f>HYPERLINK("https://rmda.kulib.kyoto-u.ac.jp/item/rb00003883#?c=0&amp;m=0&amp;s=0&amp;cv=85")</f>
        <v>https://rmda.kulib.kyoto-u.ac.jp/item/rb00003883#?c=0&amp;m=0&amp;s=0&amp;cv=85</v>
      </c>
      <c r="F1707">
        <v>59</v>
      </c>
    </row>
    <row r="1708" spans="1:6" x14ac:dyDescent="0.15">
      <c r="A1708" s="6" t="s">
        <v>2199</v>
      </c>
      <c r="B1708" s="6" t="s">
        <v>2232</v>
      </c>
      <c r="C1708" s="6">
        <v>86</v>
      </c>
      <c r="D1708" s="6" t="str">
        <f>HYPERLINK("https://rmda.kulib.kyoto-u.ac.jp/item/rb00003883#?c=0&amp;m=0&amp;s=0&amp;cv=85")</f>
        <v>https://rmda.kulib.kyoto-u.ac.jp/item/rb00003883#?c=0&amp;m=0&amp;s=0&amp;cv=85</v>
      </c>
      <c r="F1708">
        <v>59</v>
      </c>
    </row>
    <row r="1709" spans="1:6" x14ac:dyDescent="0.15">
      <c r="A1709" s="6" t="s">
        <v>2199</v>
      </c>
      <c r="B1709" s="6" t="s">
        <v>1661</v>
      </c>
      <c r="C1709" s="6">
        <v>87</v>
      </c>
      <c r="D1709" s="6" t="str">
        <f>HYPERLINK("https://rmda.kulib.kyoto-u.ac.jp/item/rb00003883#?c=0&amp;m=0&amp;s=0&amp;cv=86")</f>
        <v>https://rmda.kulib.kyoto-u.ac.jp/item/rb00003883#?c=0&amp;m=0&amp;s=0&amp;cv=86</v>
      </c>
      <c r="F1709">
        <v>60</v>
      </c>
    </row>
    <row r="1710" spans="1:6" x14ac:dyDescent="0.15">
      <c r="A1710" s="6" t="s">
        <v>2199</v>
      </c>
      <c r="B1710" s="6" t="s">
        <v>2233</v>
      </c>
      <c r="C1710" s="6">
        <v>87</v>
      </c>
      <c r="D1710" s="6" t="str">
        <f>HYPERLINK("https://rmda.kulib.kyoto-u.ac.jp/item/rb00003883#?c=0&amp;m=0&amp;s=0&amp;cv=86")</f>
        <v>https://rmda.kulib.kyoto-u.ac.jp/item/rb00003883#?c=0&amp;m=0&amp;s=0&amp;cv=86</v>
      </c>
      <c r="F1710">
        <v>60</v>
      </c>
    </row>
    <row r="1711" spans="1:6" x14ac:dyDescent="0.15">
      <c r="A1711" s="6" t="s">
        <v>2199</v>
      </c>
      <c r="B1711" s="6" t="s">
        <v>2234</v>
      </c>
      <c r="C1711" s="6">
        <v>88</v>
      </c>
      <c r="D1711" s="6" t="str">
        <f>HYPERLINK("https://rmda.kulib.kyoto-u.ac.jp/item/rb00003883#?c=0&amp;m=0&amp;s=0&amp;cv=87")</f>
        <v>https://rmda.kulib.kyoto-u.ac.jp/item/rb00003883#?c=0&amp;m=0&amp;s=0&amp;cv=87</v>
      </c>
      <c r="F1711">
        <v>61</v>
      </c>
    </row>
    <row r="1712" spans="1:6" x14ac:dyDescent="0.15">
      <c r="A1712" s="6" t="s">
        <v>2199</v>
      </c>
      <c r="B1712" s="6" t="s">
        <v>1609</v>
      </c>
      <c r="C1712" s="6">
        <v>88</v>
      </c>
      <c r="D1712" s="6" t="str">
        <f>HYPERLINK("https://rmda.kulib.kyoto-u.ac.jp/item/rb00003883#?c=0&amp;m=0&amp;s=0&amp;cv=87")</f>
        <v>https://rmda.kulib.kyoto-u.ac.jp/item/rb00003883#?c=0&amp;m=0&amp;s=0&amp;cv=87</v>
      </c>
      <c r="F1712">
        <v>61</v>
      </c>
    </row>
    <row r="1713" spans="1:6" x14ac:dyDescent="0.15">
      <c r="A1713" s="6" t="s">
        <v>2199</v>
      </c>
      <c r="B1713" s="6" t="s">
        <v>1659</v>
      </c>
      <c r="C1713" s="6">
        <v>88</v>
      </c>
      <c r="D1713" s="6" t="str">
        <f>HYPERLINK("https://rmda.kulib.kyoto-u.ac.jp/item/rb00003883#?c=0&amp;m=0&amp;s=0&amp;cv=87")</f>
        <v>https://rmda.kulib.kyoto-u.ac.jp/item/rb00003883#?c=0&amp;m=0&amp;s=0&amp;cv=87</v>
      </c>
      <c r="F1713">
        <v>61</v>
      </c>
    </row>
    <row r="1714" spans="1:6" x14ac:dyDescent="0.15">
      <c r="A1714" s="6" t="s">
        <v>2199</v>
      </c>
      <c r="B1714" s="6" t="s">
        <v>2235</v>
      </c>
      <c r="C1714" s="6">
        <v>89</v>
      </c>
      <c r="D1714" s="6" t="str">
        <f>HYPERLINK("https://rmda.kulib.kyoto-u.ac.jp/item/rb00003883#?c=0&amp;m=0&amp;s=0&amp;cv=88")</f>
        <v>https://rmda.kulib.kyoto-u.ac.jp/item/rb00003883#?c=0&amp;m=0&amp;s=0&amp;cv=88</v>
      </c>
      <c r="F1714">
        <v>62</v>
      </c>
    </row>
    <row r="1715" spans="1:6" x14ac:dyDescent="0.15">
      <c r="A1715" s="6" t="s">
        <v>2199</v>
      </c>
      <c r="B1715" s="6" t="s">
        <v>1663</v>
      </c>
      <c r="C1715" s="6">
        <v>89</v>
      </c>
      <c r="D1715" s="6" t="str">
        <f>HYPERLINK("https://rmda.kulib.kyoto-u.ac.jp/item/rb00003883#?c=0&amp;m=0&amp;s=0&amp;cv=88")</f>
        <v>https://rmda.kulib.kyoto-u.ac.jp/item/rb00003883#?c=0&amp;m=0&amp;s=0&amp;cv=88</v>
      </c>
      <c r="F1715">
        <v>63</v>
      </c>
    </row>
    <row r="1716" spans="1:6" x14ac:dyDescent="0.15">
      <c r="A1716" s="6" t="s">
        <v>2199</v>
      </c>
      <c r="B1716" s="6" t="s">
        <v>2236</v>
      </c>
      <c r="C1716" s="6">
        <v>90</v>
      </c>
      <c r="D1716" s="6" t="str">
        <f>HYPERLINK("https://rmda.kulib.kyoto-u.ac.jp/item/rb00003883#?c=0&amp;m=0&amp;s=0&amp;cv=89")</f>
        <v>https://rmda.kulib.kyoto-u.ac.jp/item/rb00003883#?c=0&amp;m=0&amp;s=0&amp;cv=89</v>
      </c>
      <c r="F1716">
        <v>64</v>
      </c>
    </row>
    <row r="1717" spans="1:6" x14ac:dyDescent="0.15">
      <c r="A1717" s="6" t="s">
        <v>2199</v>
      </c>
      <c r="B1717" s="6" t="s">
        <v>2237</v>
      </c>
      <c r="C1717" s="6">
        <v>90</v>
      </c>
      <c r="D1717" s="6" t="str">
        <f>HYPERLINK("https://rmda.kulib.kyoto-u.ac.jp/item/rb00003883#?c=0&amp;m=0&amp;s=0&amp;cv=89")</f>
        <v>https://rmda.kulib.kyoto-u.ac.jp/item/rb00003883#?c=0&amp;m=0&amp;s=0&amp;cv=89</v>
      </c>
      <c r="F1717">
        <v>64</v>
      </c>
    </row>
    <row r="1718" spans="1:6" x14ac:dyDescent="0.15">
      <c r="A1718" s="6" t="s">
        <v>2199</v>
      </c>
      <c r="B1718" s="6" t="s">
        <v>1932</v>
      </c>
      <c r="C1718" s="6">
        <v>91</v>
      </c>
      <c r="D1718" s="6" t="str">
        <f>HYPERLINK("https://rmda.kulib.kyoto-u.ac.jp/item/rb00003883#?c=0&amp;m=0&amp;s=0&amp;cv=90")</f>
        <v>https://rmda.kulib.kyoto-u.ac.jp/item/rb00003883#?c=0&amp;m=0&amp;s=0&amp;cv=90</v>
      </c>
      <c r="F1718">
        <v>64</v>
      </c>
    </row>
    <row r="1719" spans="1:6" x14ac:dyDescent="0.15">
      <c r="A1719" s="6" t="s">
        <v>2199</v>
      </c>
      <c r="B1719" s="6" t="s">
        <v>1660</v>
      </c>
      <c r="C1719" s="6">
        <v>91</v>
      </c>
      <c r="D1719" s="6" t="str">
        <f>HYPERLINK("https://rmda.kulib.kyoto-u.ac.jp/item/rb00003883#?c=0&amp;m=0&amp;s=0&amp;cv=90")</f>
        <v>https://rmda.kulib.kyoto-u.ac.jp/item/rb00003883#?c=0&amp;m=0&amp;s=0&amp;cv=90</v>
      </c>
      <c r="F1719">
        <v>65</v>
      </c>
    </row>
    <row r="1720" spans="1:6" x14ac:dyDescent="0.15">
      <c r="A1720" s="6" t="s">
        <v>2199</v>
      </c>
      <c r="B1720" s="6" t="s">
        <v>4455</v>
      </c>
      <c r="C1720" s="6">
        <v>91</v>
      </c>
      <c r="D1720" s="6" t="str">
        <f>HYPERLINK("https://rmda.kulib.kyoto-u.ac.jp/item/rb00003883#?c=0&amp;m=0&amp;s=0&amp;cv=90")</f>
        <v>https://rmda.kulib.kyoto-u.ac.jp/item/rb00003883#?c=0&amp;m=0&amp;s=0&amp;cv=90</v>
      </c>
      <c r="F1720">
        <v>65</v>
      </c>
    </row>
    <row r="1721" spans="1:6" x14ac:dyDescent="0.15">
      <c r="A1721" s="6" t="s">
        <v>2199</v>
      </c>
      <c r="B1721" s="6" t="s">
        <v>4456</v>
      </c>
      <c r="C1721" s="6">
        <v>92</v>
      </c>
      <c r="D1721" s="6" t="str">
        <f>HYPERLINK("https://rmda.kulib.kyoto-u.ac.jp/item/rb00003883#?c=0&amp;m=0&amp;s=0&amp;cv=91")</f>
        <v>https://rmda.kulib.kyoto-u.ac.jp/item/rb00003883#?c=0&amp;m=0&amp;s=0&amp;cv=91</v>
      </c>
      <c r="F1721">
        <v>66</v>
      </c>
    </row>
    <row r="1722" spans="1:6" x14ac:dyDescent="0.15">
      <c r="A1722" s="6" t="s">
        <v>2199</v>
      </c>
      <c r="B1722" s="6" t="s">
        <v>2044</v>
      </c>
      <c r="C1722" s="6">
        <v>92</v>
      </c>
      <c r="D1722" s="6" t="str">
        <f>HYPERLINK("https://rmda.kulib.kyoto-u.ac.jp/item/rb00003883#?c=0&amp;m=0&amp;s=0&amp;cv=91")</f>
        <v>https://rmda.kulib.kyoto-u.ac.jp/item/rb00003883#?c=0&amp;m=0&amp;s=0&amp;cv=91</v>
      </c>
      <c r="F1722">
        <v>66</v>
      </c>
    </row>
    <row r="1723" spans="1:6" x14ac:dyDescent="0.15">
      <c r="A1723" s="6" t="s">
        <v>2199</v>
      </c>
      <c r="B1723" s="6" t="s">
        <v>2014</v>
      </c>
      <c r="C1723" s="6">
        <v>92</v>
      </c>
      <c r="D1723" s="6" t="str">
        <f>HYPERLINK("https://rmda.kulib.kyoto-u.ac.jp/item/rb00003883#?c=0&amp;m=0&amp;s=0&amp;cv=91")</f>
        <v>https://rmda.kulib.kyoto-u.ac.jp/item/rb00003883#?c=0&amp;m=0&amp;s=0&amp;cv=91</v>
      </c>
      <c r="F1723">
        <v>66</v>
      </c>
    </row>
    <row r="1724" spans="1:6" x14ac:dyDescent="0.15">
      <c r="A1724" s="6" t="s">
        <v>2199</v>
      </c>
      <c r="B1724" s="6" t="s">
        <v>1688</v>
      </c>
      <c r="C1724" s="6">
        <v>93</v>
      </c>
      <c r="D1724" s="6" t="str">
        <f>HYPERLINK("https://rmda.kulib.kyoto-u.ac.jp/item/rb00003883#?c=0&amp;m=0&amp;s=0&amp;cv=92")</f>
        <v>https://rmda.kulib.kyoto-u.ac.jp/item/rb00003883#?c=0&amp;m=0&amp;s=0&amp;cv=92</v>
      </c>
      <c r="F1724">
        <v>67</v>
      </c>
    </row>
    <row r="1725" spans="1:6" x14ac:dyDescent="0.15">
      <c r="A1725" s="6" t="s">
        <v>2199</v>
      </c>
      <c r="B1725" s="6" t="s">
        <v>1669</v>
      </c>
      <c r="C1725" s="6">
        <v>93</v>
      </c>
      <c r="D1725" s="6" t="str">
        <f>HYPERLINK("https://rmda.kulib.kyoto-u.ac.jp/item/rb00003883#?c=0&amp;m=0&amp;s=0&amp;cv=92")</f>
        <v>https://rmda.kulib.kyoto-u.ac.jp/item/rb00003883#?c=0&amp;m=0&amp;s=0&amp;cv=92</v>
      </c>
      <c r="F1725">
        <v>67</v>
      </c>
    </row>
    <row r="1726" spans="1:6" x14ac:dyDescent="0.15">
      <c r="A1726" s="6" t="s">
        <v>2199</v>
      </c>
      <c r="B1726" s="6" t="s">
        <v>2238</v>
      </c>
      <c r="C1726" s="6">
        <v>94</v>
      </c>
      <c r="D1726" s="6" t="str">
        <f>HYPERLINK("https://rmda.kulib.kyoto-u.ac.jp/item/rb00003883#?c=0&amp;m=0&amp;s=0&amp;cv=93")</f>
        <v>https://rmda.kulib.kyoto-u.ac.jp/item/rb00003883#?c=0&amp;m=0&amp;s=0&amp;cv=93</v>
      </c>
      <c r="F1726">
        <v>68</v>
      </c>
    </row>
    <row r="1727" spans="1:6" x14ac:dyDescent="0.15">
      <c r="A1727" s="6" t="s">
        <v>2199</v>
      </c>
      <c r="B1727" s="6" t="s">
        <v>1725</v>
      </c>
      <c r="C1727" s="6">
        <v>94</v>
      </c>
      <c r="D1727" s="6" t="str">
        <f>HYPERLINK("https://rmda.kulib.kyoto-u.ac.jp/item/rb00003883#?c=0&amp;m=0&amp;s=0&amp;cv=93")</f>
        <v>https://rmda.kulib.kyoto-u.ac.jp/item/rb00003883#?c=0&amp;m=0&amp;s=0&amp;cv=93</v>
      </c>
      <c r="F1727">
        <v>68</v>
      </c>
    </row>
    <row r="1728" spans="1:6" x14ac:dyDescent="0.15">
      <c r="A1728" s="6" t="s">
        <v>2199</v>
      </c>
      <c r="B1728" s="6" t="s">
        <v>4240</v>
      </c>
      <c r="C1728" s="6">
        <v>94</v>
      </c>
      <c r="D1728" s="6" t="str">
        <f>HYPERLINK("https://rmda.kulib.kyoto-u.ac.jp/item/rb00003883#?c=0&amp;m=0&amp;s=0&amp;cv=93")</f>
        <v>https://rmda.kulib.kyoto-u.ac.jp/item/rb00003883#?c=0&amp;m=0&amp;s=0&amp;cv=93</v>
      </c>
      <c r="F1728">
        <v>69</v>
      </c>
    </row>
    <row r="1729" spans="1:6" x14ac:dyDescent="0.15">
      <c r="A1729" s="6" t="s">
        <v>2199</v>
      </c>
      <c r="B1729" s="6" t="s">
        <v>2140</v>
      </c>
      <c r="C1729" s="6">
        <v>95</v>
      </c>
      <c r="D1729" s="6" t="str">
        <f>HYPERLINK("https://rmda.kulib.kyoto-u.ac.jp/item/rb00003883#?c=0&amp;m=0&amp;s=0&amp;cv=94")</f>
        <v>https://rmda.kulib.kyoto-u.ac.jp/item/rb00003883#?c=0&amp;m=0&amp;s=0&amp;cv=94</v>
      </c>
      <c r="F1729">
        <v>69</v>
      </c>
    </row>
    <row r="1730" spans="1:6" x14ac:dyDescent="0.15">
      <c r="A1730" s="6" t="s">
        <v>2199</v>
      </c>
      <c r="B1730" s="6" t="s">
        <v>4457</v>
      </c>
      <c r="C1730" s="6">
        <v>95</v>
      </c>
      <c r="D1730" s="6" t="str">
        <f>HYPERLINK("https://rmda.kulib.kyoto-u.ac.jp/item/rb00003883#?c=0&amp;m=0&amp;s=0&amp;cv=94")</f>
        <v>https://rmda.kulib.kyoto-u.ac.jp/item/rb00003883#?c=0&amp;m=0&amp;s=0&amp;cv=94</v>
      </c>
      <c r="F1730" t="s">
        <v>5523</v>
      </c>
    </row>
    <row r="1731" spans="1:6" x14ac:dyDescent="0.15">
      <c r="A1731" s="6" t="s">
        <v>2199</v>
      </c>
      <c r="B1731" s="6" t="s">
        <v>2007</v>
      </c>
      <c r="C1731" s="6">
        <v>95</v>
      </c>
      <c r="D1731" s="6" t="str">
        <f>HYPERLINK("https://rmda.kulib.kyoto-u.ac.jp/item/rb00003883#?c=0&amp;m=0&amp;s=0&amp;cv=94")</f>
        <v>https://rmda.kulib.kyoto-u.ac.jp/item/rb00003883#?c=0&amp;m=0&amp;s=0&amp;cv=94</v>
      </c>
      <c r="F1731">
        <v>70</v>
      </c>
    </row>
    <row r="1732" spans="1:6" x14ac:dyDescent="0.15">
      <c r="A1732" s="6" t="s">
        <v>2199</v>
      </c>
      <c r="B1732" s="63" t="s">
        <v>5526</v>
      </c>
      <c r="C1732" s="6">
        <v>96</v>
      </c>
      <c r="D1732" s="6" t="str">
        <f>HYPERLINK("https://rmda.kulib.kyoto-u.ac.jp/item/rb00003883#?c=0&amp;m=0&amp;s=0&amp;cv=95")</f>
        <v>https://rmda.kulib.kyoto-u.ac.jp/item/rb00003883#?c=0&amp;m=0&amp;s=0&amp;cv=95</v>
      </c>
      <c r="F1732">
        <v>71</v>
      </c>
    </row>
    <row r="1733" spans="1:6" x14ac:dyDescent="0.15">
      <c r="A1733" s="6" t="s">
        <v>2199</v>
      </c>
      <c r="B1733" s="6" t="s">
        <v>2239</v>
      </c>
      <c r="C1733" s="6">
        <v>96</v>
      </c>
      <c r="D1733" s="6" t="str">
        <f>HYPERLINK("https://rmda.kulib.kyoto-u.ac.jp/item/rb00003883#?c=0&amp;m=0&amp;s=0&amp;cv=95")</f>
        <v>https://rmda.kulib.kyoto-u.ac.jp/item/rb00003883#?c=0&amp;m=0&amp;s=0&amp;cv=95</v>
      </c>
      <c r="F1733">
        <v>71</v>
      </c>
    </row>
    <row r="1734" spans="1:6" x14ac:dyDescent="0.15">
      <c r="A1734" s="6" t="s">
        <v>2199</v>
      </c>
      <c r="B1734" s="6" t="s">
        <v>2240</v>
      </c>
      <c r="C1734" s="6">
        <v>96</v>
      </c>
      <c r="D1734" s="6" t="str">
        <f>HYPERLINK("https://rmda.kulib.kyoto-u.ac.jp/item/rb00003883#?c=0&amp;m=0&amp;s=0&amp;cv=95")</f>
        <v>https://rmda.kulib.kyoto-u.ac.jp/item/rb00003883#?c=0&amp;m=0&amp;s=0&amp;cv=95</v>
      </c>
      <c r="F1734">
        <v>71</v>
      </c>
    </row>
    <row r="1735" spans="1:6" x14ac:dyDescent="0.15">
      <c r="A1735" s="6" t="s">
        <v>2199</v>
      </c>
      <c r="B1735" s="6" t="s">
        <v>2214</v>
      </c>
      <c r="C1735" s="6">
        <v>96</v>
      </c>
      <c r="D1735" s="6" t="str">
        <f>HYPERLINK("https://rmda.kulib.kyoto-u.ac.jp/item/rb00003883#?c=0&amp;m=0&amp;s=0&amp;cv=95")</f>
        <v>https://rmda.kulib.kyoto-u.ac.jp/item/rb00003883#?c=0&amp;m=0&amp;s=0&amp;cv=95</v>
      </c>
      <c r="F1735" t="s">
        <v>5523</v>
      </c>
    </row>
    <row r="1736" spans="1:6" x14ac:dyDescent="0.15">
      <c r="A1736" s="6" t="s">
        <v>2199</v>
      </c>
      <c r="B1736" s="6" t="s">
        <v>4241</v>
      </c>
      <c r="C1736" s="6">
        <v>96</v>
      </c>
      <c r="D1736" s="6" t="str">
        <f>HYPERLINK("https://rmda.kulib.kyoto-u.ac.jp/item/rb00003883#?c=0&amp;m=0&amp;s=0&amp;cv=95")</f>
        <v>https://rmda.kulib.kyoto-u.ac.jp/item/rb00003883#?c=0&amp;m=0&amp;s=0&amp;cv=95</v>
      </c>
      <c r="F1736">
        <v>71</v>
      </c>
    </row>
    <row r="1737" spans="1:6" x14ac:dyDescent="0.15">
      <c r="A1737" s="6" t="s">
        <v>2199</v>
      </c>
      <c r="B1737" s="6" t="s">
        <v>2215</v>
      </c>
      <c r="C1737" s="6">
        <v>97</v>
      </c>
      <c r="D1737" s="6" t="str">
        <f>HYPERLINK("https://rmda.kulib.kyoto-u.ac.jp/item/rb00003883#?c=0&amp;m=0&amp;s=0&amp;cv=96")</f>
        <v>https://rmda.kulib.kyoto-u.ac.jp/item/rb00003883#?c=0&amp;m=0&amp;s=0&amp;cv=96</v>
      </c>
      <c r="F1737">
        <v>72</v>
      </c>
    </row>
    <row r="1738" spans="1:6" x14ac:dyDescent="0.15">
      <c r="A1738" s="6" t="s">
        <v>2199</v>
      </c>
      <c r="B1738" s="6" t="s">
        <v>2241</v>
      </c>
      <c r="C1738" s="6">
        <v>97</v>
      </c>
      <c r="D1738" s="6" t="str">
        <f>HYPERLINK("https://rmda.kulib.kyoto-u.ac.jp/item/rb00003883#?c=0&amp;m=0&amp;s=0&amp;cv=96")</f>
        <v>https://rmda.kulib.kyoto-u.ac.jp/item/rb00003883#?c=0&amp;m=0&amp;s=0&amp;cv=96</v>
      </c>
      <c r="F1738">
        <v>72</v>
      </c>
    </row>
    <row r="1739" spans="1:6" x14ac:dyDescent="0.15">
      <c r="A1739" s="6" t="s">
        <v>2199</v>
      </c>
      <c r="B1739" s="6" t="s">
        <v>2242</v>
      </c>
      <c r="C1739" s="6">
        <v>97</v>
      </c>
      <c r="D1739" s="6" t="str">
        <f>HYPERLINK("https://rmda.kulib.kyoto-u.ac.jp/item/rb00003883#?c=0&amp;m=0&amp;s=0&amp;cv=96")</f>
        <v>https://rmda.kulib.kyoto-u.ac.jp/item/rb00003883#?c=0&amp;m=0&amp;s=0&amp;cv=96</v>
      </c>
      <c r="F1739">
        <v>72</v>
      </c>
    </row>
    <row r="1740" spans="1:6" x14ac:dyDescent="0.15">
      <c r="A1740" s="6" t="s">
        <v>2199</v>
      </c>
      <c r="B1740" s="6" t="s">
        <v>2243</v>
      </c>
      <c r="C1740" s="6">
        <v>98</v>
      </c>
      <c r="D1740" s="6" t="str">
        <f>HYPERLINK("https://rmda.kulib.kyoto-u.ac.jp/item/rb00003883#?c=0&amp;m=0&amp;s=0&amp;cv=97")</f>
        <v>https://rmda.kulib.kyoto-u.ac.jp/item/rb00003883#?c=0&amp;m=0&amp;s=0&amp;cv=97</v>
      </c>
      <c r="F1740">
        <v>73</v>
      </c>
    </row>
    <row r="1741" spans="1:6" x14ac:dyDescent="0.15">
      <c r="A1741" s="6" t="s">
        <v>2199</v>
      </c>
      <c r="B1741" s="6" t="s">
        <v>4458</v>
      </c>
      <c r="C1741" s="6">
        <v>98</v>
      </c>
      <c r="D1741" s="6" t="str">
        <f>HYPERLINK("https://rmda.kulib.kyoto-u.ac.jp/item/rb00003883#?c=0&amp;m=0&amp;s=0&amp;cv=97")</f>
        <v>https://rmda.kulib.kyoto-u.ac.jp/item/rb00003883#?c=0&amp;m=0&amp;s=0&amp;cv=97</v>
      </c>
      <c r="F1741">
        <v>73</v>
      </c>
    </row>
    <row r="1742" spans="1:6" x14ac:dyDescent="0.15">
      <c r="A1742" s="6" t="s">
        <v>2199</v>
      </c>
      <c r="B1742" s="6" t="s">
        <v>4242</v>
      </c>
      <c r="C1742" s="6">
        <v>98</v>
      </c>
      <c r="D1742" s="6" t="str">
        <f>HYPERLINK("https://rmda.kulib.kyoto-u.ac.jp/item/rb00003883#?c=0&amp;m=0&amp;s=0&amp;cv=97")</f>
        <v>https://rmda.kulib.kyoto-u.ac.jp/item/rb00003883#?c=0&amp;m=0&amp;s=0&amp;cv=97</v>
      </c>
      <c r="F1742">
        <v>74</v>
      </c>
    </row>
    <row r="1743" spans="1:6" x14ac:dyDescent="0.15">
      <c r="A1743" s="6" t="s">
        <v>2199</v>
      </c>
      <c r="B1743" s="6" t="s">
        <v>4243</v>
      </c>
      <c r="C1743" s="6">
        <v>99</v>
      </c>
      <c r="D1743" s="6" t="str">
        <f>HYPERLINK("https://rmda.kulib.kyoto-u.ac.jp/item/rb00003883#?c=0&amp;m=0&amp;s=0&amp;cv=98")</f>
        <v>https://rmda.kulib.kyoto-u.ac.jp/item/rb00003883#?c=0&amp;m=0&amp;s=0&amp;cv=98</v>
      </c>
      <c r="F1743">
        <v>74</v>
      </c>
    </row>
    <row r="1744" spans="1:6" x14ac:dyDescent="0.15">
      <c r="A1744" s="6" t="s">
        <v>2199</v>
      </c>
      <c r="B1744" s="63" t="s">
        <v>5527</v>
      </c>
      <c r="C1744" s="6">
        <v>99</v>
      </c>
      <c r="D1744" s="6" t="str">
        <f>HYPERLINK("https://rmda.kulib.kyoto-u.ac.jp/item/rb00003883#?c=0&amp;m=0&amp;s=0&amp;cv=98")</f>
        <v>https://rmda.kulib.kyoto-u.ac.jp/item/rb00003883#?c=0&amp;m=0&amp;s=0&amp;cv=98</v>
      </c>
    </row>
    <row r="1745" spans="1:7" x14ac:dyDescent="0.15">
      <c r="A1745" s="6" t="s">
        <v>2199</v>
      </c>
      <c r="B1745" s="6" t="s">
        <v>2244</v>
      </c>
      <c r="C1745" s="6">
        <v>99</v>
      </c>
      <c r="D1745" s="6" t="str">
        <f>HYPERLINK("https://rmda.kulib.kyoto-u.ac.jp/item/rb00003883#?c=0&amp;m=0&amp;s=0&amp;cv=98")</f>
        <v>https://rmda.kulib.kyoto-u.ac.jp/item/rb00003883#?c=0&amp;m=0&amp;s=0&amp;cv=98</v>
      </c>
      <c r="F1745">
        <v>74</v>
      </c>
    </row>
    <row r="1746" spans="1:7" x14ac:dyDescent="0.15">
      <c r="A1746" s="6" t="s">
        <v>2199</v>
      </c>
      <c r="B1746" s="6" t="s">
        <v>2250</v>
      </c>
      <c r="C1746" s="6">
        <v>99</v>
      </c>
      <c r="D1746" s="6" t="str">
        <f>HYPERLINK("https://rmda.kulib.kyoto-u.ac.jp/item/rb00003883#?c=0&amp;m=0&amp;s=0&amp;cv=98")</f>
        <v>https://rmda.kulib.kyoto-u.ac.jp/item/rb00003883#?c=0&amp;m=0&amp;s=0&amp;cv=98</v>
      </c>
      <c r="F1746">
        <v>75</v>
      </c>
    </row>
    <row r="1747" spans="1:7" x14ac:dyDescent="0.15">
      <c r="A1747" s="6" t="s">
        <v>2199</v>
      </c>
      <c r="B1747" s="6" t="s">
        <v>2249</v>
      </c>
      <c r="C1747" s="6">
        <v>100</v>
      </c>
      <c r="D1747" s="6" t="str">
        <f>HYPERLINK("https://rmda.kulib.kyoto-u.ac.jp/item/rb00003883#?c=0&amp;m=0&amp;s=0&amp;cv=99")</f>
        <v>https://rmda.kulib.kyoto-u.ac.jp/item/rb00003883#?c=0&amp;m=0&amp;s=0&amp;cv=99</v>
      </c>
      <c r="F1747">
        <v>75</v>
      </c>
    </row>
    <row r="1748" spans="1:7" x14ac:dyDescent="0.15">
      <c r="A1748" s="6" t="s">
        <v>2199</v>
      </c>
      <c r="B1748" s="6" t="s">
        <v>2248</v>
      </c>
      <c r="C1748" s="6">
        <v>100</v>
      </c>
      <c r="D1748" s="6" t="str">
        <f>HYPERLINK("https://rmda.kulib.kyoto-u.ac.jp/item/rb00003883#?c=0&amp;m=0&amp;s=0&amp;cv=99")</f>
        <v>https://rmda.kulib.kyoto-u.ac.jp/item/rb00003883#?c=0&amp;m=0&amp;s=0&amp;cv=99</v>
      </c>
      <c r="F1748">
        <v>76</v>
      </c>
    </row>
    <row r="1749" spans="1:7" x14ac:dyDescent="0.15">
      <c r="A1749" s="6" t="s">
        <v>2199</v>
      </c>
      <c r="B1749" s="6" t="s">
        <v>2247</v>
      </c>
      <c r="C1749" s="6">
        <v>100</v>
      </c>
      <c r="D1749" s="6" t="str">
        <f>HYPERLINK("https://rmda.kulib.kyoto-u.ac.jp/item/rb00003883#?c=0&amp;m=0&amp;s=0&amp;cv=99")</f>
        <v>https://rmda.kulib.kyoto-u.ac.jp/item/rb00003883#?c=0&amp;m=0&amp;s=0&amp;cv=99</v>
      </c>
      <c r="F1749">
        <v>76</v>
      </c>
    </row>
    <row r="1750" spans="1:7" x14ac:dyDescent="0.15">
      <c r="A1750" s="6" t="s">
        <v>2199</v>
      </c>
      <c r="B1750" s="6" t="s">
        <v>2246</v>
      </c>
      <c r="C1750" s="6">
        <v>101</v>
      </c>
      <c r="D1750" s="6" t="str">
        <f>HYPERLINK("https://rmda.kulib.kyoto-u.ac.jp/item/rb00003883#?c=0&amp;m=0&amp;s=0&amp;cv=100")</f>
        <v>https://rmda.kulib.kyoto-u.ac.jp/item/rb00003883#?c=0&amp;m=0&amp;s=0&amp;cv=100</v>
      </c>
      <c r="F1750">
        <v>76</v>
      </c>
    </row>
    <row r="1751" spans="1:7" x14ac:dyDescent="0.15">
      <c r="A1751" s="6" t="s">
        <v>2199</v>
      </c>
      <c r="B1751" s="6" t="s">
        <v>2245</v>
      </c>
      <c r="C1751" s="6">
        <v>101</v>
      </c>
      <c r="D1751" s="6" t="str">
        <f>HYPERLINK("https://rmda.kulib.kyoto-u.ac.jp/item/rb00003883#?c=0&amp;m=0&amp;s=0&amp;cv=100")</f>
        <v>https://rmda.kulib.kyoto-u.ac.jp/item/rb00003883#?c=0&amp;m=0&amp;s=0&amp;cv=100</v>
      </c>
      <c r="F1751">
        <v>77</v>
      </c>
    </row>
    <row r="1752" spans="1:7" x14ac:dyDescent="0.15">
      <c r="A1752" s="6" t="s">
        <v>2199</v>
      </c>
      <c r="B1752" s="63" t="s">
        <v>5985</v>
      </c>
      <c r="C1752" s="6">
        <v>101</v>
      </c>
      <c r="D1752" s="6" t="str">
        <f>HYPERLINK("https://rmda.kulib.kyoto-u.ac.jp/item/rb00003883#?c=0&amp;m=0&amp;s=0&amp;cv=100")</f>
        <v>https://rmda.kulib.kyoto-u.ac.jp/item/rb00003883#?c=0&amp;m=0&amp;s=0&amp;cv=100</v>
      </c>
      <c r="G1752" s="63" t="s">
        <v>5975</v>
      </c>
    </row>
    <row r="1753" spans="1:7" x14ac:dyDescent="0.15">
      <c r="A1753" s="6" t="s">
        <v>2199</v>
      </c>
      <c r="B1753" s="6" t="s">
        <v>2251</v>
      </c>
      <c r="C1753" s="6">
        <v>101</v>
      </c>
      <c r="D1753" s="6" t="str">
        <f>HYPERLINK("https://rmda.kulib.kyoto-u.ac.jp/item/rb00003883#?c=0&amp;m=0&amp;s=0&amp;cv=100")</f>
        <v>https://rmda.kulib.kyoto-u.ac.jp/item/rb00003883#?c=0&amp;m=0&amp;s=0&amp;cv=100</v>
      </c>
      <c r="F1753">
        <v>77</v>
      </c>
    </row>
    <row r="1754" spans="1:7" x14ac:dyDescent="0.15">
      <c r="A1754" s="6" t="s">
        <v>2199</v>
      </c>
      <c r="B1754" s="6" t="s">
        <v>1862</v>
      </c>
      <c r="C1754" s="6">
        <v>102</v>
      </c>
      <c r="D1754" s="6" t="str">
        <f>HYPERLINK("https://rmda.kulib.kyoto-u.ac.jp/item/rb00003883#?c=0&amp;m=0&amp;s=0&amp;cv=101")</f>
        <v>https://rmda.kulib.kyoto-u.ac.jp/item/rb00003883#?c=0&amp;m=0&amp;s=0&amp;cv=101</v>
      </c>
      <c r="F1754">
        <v>78</v>
      </c>
    </row>
    <row r="1755" spans="1:7" x14ac:dyDescent="0.15">
      <c r="A1755" s="6" t="s">
        <v>2199</v>
      </c>
      <c r="B1755" s="6" t="s">
        <v>4459</v>
      </c>
      <c r="C1755" s="6">
        <v>103</v>
      </c>
      <c r="D1755" s="6" t="str">
        <f>HYPERLINK("https://rmda.kulib.kyoto-u.ac.jp/item/rb00003883#?c=0&amp;m=0&amp;s=0&amp;cv=102")</f>
        <v>https://rmda.kulib.kyoto-u.ac.jp/item/rb00003883#?c=0&amp;m=0&amp;s=0&amp;cv=102</v>
      </c>
      <c r="F1755">
        <v>79</v>
      </c>
    </row>
    <row r="1756" spans="1:7" x14ac:dyDescent="0.15">
      <c r="A1756" s="6" t="s">
        <v>2199</v>
      </c>
      <c r="B1756" s="63" t="s">
        <v>5524</v>
      </c>
      <c r="C1756" s="6">
        <v>103</v>
      </c>
      <c r="D1756" s="6" t="str">
        <f>HYPERLINK("https://rmda.kulib.kyoto-u.ac.jp/item/rb00003883#?c=0&amp;m=0&amp;s=0&amp;cv=102")</f>
        <v>https://rmda.kulib.kyoto-u.ac.jp/item/rb00003883#?c=0&amp;m=0&amp;s=0&amp;cv=102</v>
      </c>
    </row>
    <row r="1757" spans="1:7" x14ac:dyDescent="0.15">
      <c r="A1757" s="6" t="s">
        <v>2199</v>
      </c>
      <c r="B1757" s="6" t="s">
        <v>2252</v>
      </c>
      <c r="C1757" s="6">
        <v>103</v>
      </c>
      <c r="D1757" s="6" t="str">
        <f>HYPERLINK("https://rmda.kulib.kyoto-u.ac.jp/item/rb00003883#?c=0&amp;m=0&amp;s=0&amp;cv=102")</f>
        <v>https://rmda.kulib.kyoto-u.ac.jp/item/rb00003883#?c=0&amp;m=0&amp;s=0&amp;cv=102</v>
      </c>
      <c r="F1757">
        <v>79</v>
      </c>
    </row>
    <row r="1758" spans="1:7" x14ac:dyDescent="0.15">
      <c r="A1758" s="6" t="s">
        <v>2199</v>
      </c>
      <c r="B1758" s="6" t="s">
        <v>2253</v>
      </c>
      <c r="C1758" s="6">
        <v>104</v>
      </c>
      <c r="D1758" s="6" t="str">
        <f>HYPERLINK("https://rmda.kulib.kyoto-u.ac.jp/item/rb00003883#?c=0&amp;m=0&amp;s=0&amp;cv=103")</f>
        <v>https://rmda.kulib.kyoto-u.ac.jp/item/rb00003883#?c=0&amp;m=0&amp;s=0&amp;cv=103</v>
      </c>
      <c r="F1758">
        <v>80</v>
      </c>
    </row>
    <row r="1759" spans="1:7" x14ac:dyDescent="0.15">
      <c r="A1759" s="6" t="s">
        <v>2199</v>
      </c>
      <c r="B1759" s="6" t="s">
        <v>2254</v>
      </c>
      <c r="C1759" s="6">
        <v>104</v>
      </c>
      <c r="D1759" s="6" t="str">
        <f>HYPERLINK("https://rmda.kulib.kyoto-u.ac.jp/item/rb00003883#?c=0&amp;m=0&amp;s=0&amp;cv=103")</f>
        <v>https://rmda.kulib.kyoto-u.ac.jp/item/rb00003883#?c=0&amp;m=0&amp;s=0&amp;cv=103</v>
      </c>
      <c r="F1759">
        <v>81</v>
      </c>
    </row>
    <row r="1760" spans="1:7" x14ac:dyDescent="0.15">
      <c r="A1760" s="6" t="s">
        <v>2199</v>
      </c>
      <c r="B1760" s="6" t="s">
        <v>4469</v>
      </c>
      <c r="C1760" s="6">
        <v>105</v>
      </c>
      <c r="D1760" s="6" t="str">
        <f>HYPERLINK("https://rmda.kulib.kyoto-u.ac.jp/item/rb00003883#?c=0&amp;m=0&amp;s=0&amp;cv=104")</f>
        <v>https://rmda.kulib.kyoto-u.ac.jp/item/rb00003883#?c=0&amp;m=0&amp;s=0&amp;cv=104</v>
      </c>
      <c r="F1760">
        <v>82</v>
      </c>
    </row>
    <row r="1761" spans="1:6" x14ac:dyDescent="0.15">
      <c r="A1761" s="6" t="s">
        <v>2199</v>
      </c>
      <c r="B1761" s="6" t="s">
        <v>1654</v>
      </c>
      <c r="C1761" s="6">
        <v>105</v>
      </c>
      <c r="D1761" s="6" t="str">
        <f>HYPERLINK("https://rmda.kulib.kyoto-u.ac.jp/item/rb00003883#?c=0&amp;m=0&amp;s=0&amp;cv=104")</f>
        <v>https://rmda.kulib.kyoto-u.ac.jp/item/rb00003883#?c=0&amp;m=0&amp;s=0&amp;cv=104</v>
      </c>
      <c r="F1761">
        <v>82</v>
      </c>
    </row>
    <row r="1762" spans="1:6" x14ac:dyDescent="0.15">
      <c r="A1762" s="6" t="s">
        <v>2199</v>
      </c>
      <c r="B1762" s="6" t="s">
        <v>4244</v>
      </c>
      <c r="C1762" s="6">
        <v>106</v>
      </c>
      <c r="D1762" s="6" t="str">
        <f>HYPERLINK("https://rmda.kulib.kyoto-u.ac.jp/item/rb00003883#?c=0&amp;m=0&amp;s=0&amp;cv=105")</f>
        <v>https://rmda.kulib.kyoto-u.ac.jp/item/rb00003883#?c=0&amp;m=0&amp;s=0&amp;cv=105</v>
      </c>
      <c r="F1762">
        <v>82</v>
      </c>
    </row>
    <row r="1763" spans="1:6" x14ac:dyDescent="0.15">
      <c r="A1763" s="6" t="s">
        <v>2199</v>
      </c>
      <c r="B1763" s="6" t="s">
        <v>2255</v>
      </c>
      <c r="C1763" s="6">
        <v>106</v>
      </c>
      <c r="D1763" s="6" t="str">
        <f>HYPERLINK("https://rmda.kulib.kyoto-u.ac.jp/item/rb00003883#?c=0&amp;m=0&amp;s=0&amp;cv=105")</f>
        <v>https://rmda.kulib.kyoto-u.ac.jp/item/rb00003883#?c=0&amp;m=0&amp;s=0&amp;cv=105</v>
      </c>
      <c r="F1763">
        <v>83</v>
      </c>
    </row>
    <row r="1764" spans="1:6" x14ac:dyDescent="0.15">
      <c r="A1764" s="6" t="s">
        <v>2199</v>
      </c>
      <c r="B1764" s="6" t="s">
        <v>2224</v>
      </c>
      <c r="C1764" s="6">
        <v>106</v>
      </c>
      <c r="D1764" s="6" t="str">
        <f>HYPERLINK("https://rmda.kulib.kyoto-u.ac.jp/item/rb00003883#?c=0&amp;m=0&amp;s=0&amp;cv=105")</f>
        <v>https://rmda.kulib.kyoto-u.ac.jp/item/rb00003883#?c=0&amp;m=0&amp;s=0&amp;cv=105</v>
      </c>
      <c r="F1764">
        <v>83</v>
      </c>
    </row>
    <row r="1765" spans="1:6" x14ac:dyDescent="0.15">
      <c r="A1765" s="6" t="s">
        <v>2199</v>
      </c>
      <c r="B1765" s="6" t="s">
        <v>1691</v>
      </c>
      <c r="C1765" s="6">
        <v>107</v>
      </c>
      <c r="D1765" s="6" t="str">
        <f>HYPERLINK("https://rmda.kulib.kyoto-u.ac.jp/item/rb00003883#?c=0&amp;m=0&amp;s=0&amp;cv=106")</f>
        <v>https://rmda.kulib.kyoto-u.ac.jp/item/rb00003883#?c=0&amp;m=0&amp;s=0&amp;cv=106</v>
      </c>
      <c r="F1765">
        <v>84</v>
      </c>
    </row>
    <row r="1766" spans="1:6" x14ac:dyDescent="0.15">
      <c r="A1766" s="6" t="s">
        <v>2199</v>
      </c>
      <c r="B1766" s="6" t="s">
        <v>2256</v>
      </c>
      <c r="C1766" s="6">
        <v>107</v>
      </c>
      <c r="D1766" s="6" t="str">
        <f>HYPERLINK("https://rmda.kulib.kyoto-u.ac.jp/item/rb00003883#?c=0&amp;m=0&amp;s=0&amp;cv=106")</f>
        <v>https://rmda.kulib.kyoto-u.ac.jp/item/rb00003883#?c=0&amp;m=0&amp;s=0&amp;cv=106</v>
      </c>
      <c r="F1766">
        <v>84</v>
      </c>
    </row>
    <row r="1767" spans="1:6" x14ac:dyDescent="0.15">
      <c r="A1767" s="6" t="s">
        <v>2199</v>
      </c>
      <c r="B1767" s="63" t="s">
        <v>5525</v>
      </c>
      <c r="C1767" s="6">
        <v>107</v>
      </c>
      <c r="D1767" s="6" t="str">
        <f>HYPERLINK("https://rmda.kulib.kyoto-u.ac.jp/item/rb00003883#?c=0&amp;m=0&amp;s=0&amp;cv=106")</f>
        <v>https://rmda.kulib.kyoto-u.ac.jp/item/rb00003883#?c=0&amp;m=0&amp;s=0&amp;cv=106</v>
      </c>
    </row>
    <row r="1768" spans="1:6" x14ac:dyDescent="0.15">
      <c r="A1768" s="6" t="s">
        <v>2199</v>
      </c>
      <c r="B1768" s="6" t="s">
        <v>2257</v>
      </c>
      <c r="C1768" s="6">
        <v>107</v>
      </c>
      <c r="D1768" s="6" t="str">
        <f>HYPERLINK("https://rmda.kulib.kyoto-u.ac.jp/item/rb00003883#?c=0&amp;m=0&amp;s=0&amp;cv=106")</f>
        <v>https://rmda.kulib.kyoto-u.ac.jp/item/rb00003883#?c=0&amp;m=0&amp;s=0&amp;cv=106</v>
      </c>
      <c r="F1768">
        <v>84</v>
      </c>
    </row>
    <row r="1769" spans="1:6" x14ac:dyDescent="0.15">
      <c r="A1769" s="6" t="s">
        <v>2199</v>
      </c>
      <c r="B1769" s="6" t="s">
        <v>2258</v>
      </c>
      <c r="C1769" s="6">
        <v>108</v>
      </c>
      <c r="D1769" s="6" t="str">
        <f>HYPERLINK("https://rmda.kulib.kyoto-u.ac.jp/item/rb00003883#?c=0&amp;m=0&amp;s=0&amp;cv=107")</f>
        <v>https://rmda.kulib.kyoto-u.ac.jp/item/rb00003883#?c=0&amp;m=0&amp;s=0&amp;cv=107</v>
      </c>
      <c r="F1769">
        <v>85</v>
      </c>
    </row>
    <row r="1770" spans="1:6" x14ac:dyDescent="0.15">
      <c r="A1770" s="6" t="s">
        <v>2199</v>
      </c>
      <c r="B1770" s="6" t="s">
        <v>1522</v>
      </c>
      <c r="C1770" s="6">
        <v>108</v>
      </c>
      <c r="D1770" s="6" t="str">
        <f>HYPERLINK("https://rmda.kulib.kyoto-u.ac.jp/item/rb00003883#?c=0&amp;m=0&amp;s=0&amp;cv=107")</f>
        <v>https://rmda.kulib.kyoto-u.ac.jp/item/rb00003883#?c=0&amp;m=0&amp;s=0&amp;cv=107</v>
      </c>
      <c r="F1770">
        <v>86</v>
      </c>
    </row>
    <row r="1771" spans="1:6" x14ac:dyDescent="0.15">
      <c r="A1771" s="6" t="s">
        <v>2199</v>
      </c>
      <c r="B1771" s="6" t="s">
        <v>5976</v>
      </c>
      <c r="C1771" s="6">
        <v>109</v>
      </c>
      <c r="D1771" s="6" t="str">
        <f>HYPERLINK("https://rmda.kulib.kyoto-u.ac.jp/item/rb00003883#?c=0&amp;m=0&amp;s=0&amp;cv=108")</f>
        <v>https://rmda.kulib.kyoto-u.ac.jp/item/rb00003883#?c=0&amp;m=0&amp;s=0&amp;cv=108</v>
      </c>
    </row>
    <row r="1772" spans="1:6" x14ac:dyDescent="0.15">
      <c r="A1772" s="6" t="s">
        <v>2199</v>
      </c>
      <c r="B1772" s="6" t="s">
        <v>2260</v>
      </c>
      <c r="C1772" s="6">
        <v>109</v>
      </c>
      <c r="D1772" s="6" t="str">
        <f>HYPERLINK("https://rmda.kulib.kyoto-u.ac.jp/item/rb00003883#?c=0&amp;m=0&amp;s=0&amp;cv=108")</f>
        <v>https://rmda.kulib.kyoto-u.ac.jp/item/rb00003883#?c=0&amp;m=0&amp;s=0&amp;cv=108</v>
      </c>
      <c r="F1772">
        <v>87</v>
      </c>
    </row>
    <row r="1773" spans="1:6" x14ac:dyDescent="0.15">
      <c r="A1773" s="6" t="s">
        <v>2199</v>
      </c>
      <c r="B1773" s="6" t="s">
        <v>1900</v>
      </c>
      <c r="C1773" s="6">
        <v>109</v>
      </c>
      <c r="D1773" s="6" t="str">
        <f>HYPERLINK("https://rmda.kulib.kyoto-u.ac.jp/item/rb00003883#?c=0&amp;m=0&amp;s=0&amp;cv=108")</f>
        <v>https://rmda.kulib.kyoto-u.ac.jp/item/rb00003883#?c=0&amp;m=0&amp;s=0&amp;cv=108</v>
      </c>
      <c r="F1773">
        <v>87</v>
      </c>
    </row>
    <row r="1774" spans="1:6" x14ac:dyDescent="0.15">
      <c r="A1774" s="6" t="s">
        <v>2199</v>
      </c>
      <c r="B1774" s="6" t="s">
        <v>2261</v>
      </c>
      <c r="C1774" s="6">
        <v>110</v>
      </c>
      <c r="D1774" s="6" t="str">
        <f>HYPERLINK("https://rmda.kulib.kyoto-u.ac.jp/item/rb00003883#?c=0&amp;m=0&amp;s=0&amp;cv=109")</f>
        <v>https://rmda.kulib.kyoto-u.ac.jp/item/rb00003883#?c=0&amp;m=0&amp;s=0&amp;cv=109</v>
      </c>
      <c r="F1774">
        <v>87</v>
      </c>
    </row>
    <row r="1775" spans="1:6" x14ac:dyDescent="0.15">
      <c r="A1775" s="6" t="s">
        <v>2199</v>
      </c>
      <c r="B1775" s="6" t="s">
        <v>2262</v>
      </c>
      <c r="C1775" s="6">
        <v>110</v>
      </c>
      <c r="D1775" s="6" t="str">
        <f>HYPERLINK("https://rmda.kulib.kyoto-u.ac.jp/item/rb00003883#?c=0&amp;m=0&amp;s=0&amp;cv=109")</f>
        <v>https://rmda.kulib.kyoto-u.ac.jp/item/rb00003883#?c=0&amp;m=0&amp;s=0&amp;cv=109</v>
      </c>
      <c r="F1775">
        <v>88</v>
      </c>
    </row>
    <row r="1776" spans="1:6" x14ac:dyDescent="0.15">
      <c r="A1776" s="6" t="s">
        <v>2199</v>
      </c>
      <c r="B1776" s="6" t="s">
        <v>2259</v>
      </c>
      <c r="C1776" s="6">
        <v>111</v>
      </c>
      <c r="D1776" s="6" t="str">
        <f>HYPERLINK("https://rmda.kulib.kyoto-u.ac.jp/item/rb00003883#?c=0&amp;m=0&amp;s=0&amp;cv=110")</f>
        <v>https://rmda.kulib.kyoto-u.ac.jp/item/rb00003883#?c=0&amp;m=0&amp;s=0&amp;cv=110</v>
      </c>
      <c r="F1776">
        <v>88</v>
      </c>
    </row>
    <row r="1777" spans="1:6" x14ac:dyDescent="0.15">
      <c r="A1777" s="6" t="s">
        <v>2199</v>
      </c>
      <c r="B1777" s="6" t="s">
        <v>2049</v>
      </c>
      <c r="C1777" s="6">
        <v>111</v>
      </c>
      <c r="D1777" s="6" t="str">
        <f>HYPERLINK("https://rmda.kulib.kyoto-u.ac.jp/item/rb00003883#?c=0&amp;m=0&amp;s=0&amp;cv=110")</f>
        <v>https://rmda.kulib.kyoto-u.ac.jp/item/rb00003883#?c=0&amp;m=0&amp;s=0&amp;cv=110</v>
      </c>
      <c r="F1777">
        <v>89</v>
      </c>
    </row>
    <row r="1778" spans="1:6" x14ac:dyDescent="0.15">
      <c r="A1778" s="6" t="s">
        <v>2199</v>
      </c>
      <c r="B1778" s="6" t="s">
        <v>1826</v>
      </c>
      <c r="C1778" s="6">
        <v>111</v>
      </c>
      <c r="D1778" s="6" t="str">
        <f>HYPERLINK("https://rmda.kulib.kyoto-u.ac.jp/item/rb00003883#?c=0&amp;m=0&amp;s=0&amp;cv=110")</f>
        <v>https://rmda.kulib.kyoto-u.ac.jp/item/rb00003883#?c=0&amp;m=0&amp;s=0&amp;cv=110</v>
      </c>
      <c r="F1778">
        <v>89</v>
      </c>
    </row>
    <row r="1779" spans="1:6" x14ac:dyDescent="0.15">
      <c r="A1779" s="6" t="s">
        <v>2199</v>
      </c>
      <c r="B1779" s="6" t="s">
        <v>5977</v>
      </c>
      <c r="C1779" s="6">
        <v>112</v>
      </c>
      <c r="D1779" s="6" t="str">
        <f>HYPERLINK("https://rmda.kulib.kyoto-u.ac.jp/item/rb00003883#?c=0&amp;m=0&amp;s=0&amp;cv=111")</f>
        <v>https://rmda.kulib.kyoto-u.ac.jp/item/rb00003883#?c=0&amp;m=0&amp;s=0&amp;cv=111</v>
      </c>
    </row>
    <row r="1780" spans="1:6" x14ac:dyDescent="0.15">
      <c r="A1780" s="6" t="s">
        <v>2199</v>
      </c>
      <c r="B1780" s="72" t="s">
        <v>2125</v>
      </c>
      <c r="C1780" s="6">
        <v>116</v>
      </c>
      <c r="D1780" s="6" t="str">
        <f>HYPERLINK("https://rmda.kulib.kyoto-u.ac.jp/item/rb00003883#?c=0&amp;m=0&amp;s=0&amp;cv=115")</f>
        <v>https://rmda.kulib.kyoto-u.ac.jp/item/rb00003883#?c=0&amp;m=0&amp;s=0&amp;cv=115</v>
      </c>
      <c r="F1780">
        <v>93</v>
      </c>
    </row>
    <row r="1781" spans="1:6" x14ac:dyDescent="0.15">
      <c r="A1781" s="6" t="s">
        <v>2199</v>
      </c>
      <c r="B1781" s="63" t="s">
        <v>5550</v>
      </c>
      <c r="C1781" s="6">
        <v>116</v>
      </c>
      <c r="D1781" s="6" t="str">
        <f>HYPERLINK("https://rmda.kulib.kyoto-u.ac.jp/item/rb00003883#?c=0&amp;m=0&amp;s=0&amp;cv=115")</f>
        <v>https://rmda.kulib.kyoto-u.ac.jp/item/rb00003883#?c=0&amp;m=0&amp;s=0&amp;cv=115</v>
      </c>
      <c r="F1781">
        <v>93</v>
      </c>
    </row>
    <row r="1782" spans="1:6" x14ac:dyDescent="0.15">
      <c r="A1782" s="6" t="s">
        <v>2199</v>
      </c>
      <c r="B1782" s="6" t="s">
        <v>4245</v>
      </c>
      <c r="C1782" s="6">
        <v>116</v>
      </c>
      <c r="D1782" s="6" t="str">
        <f>HYPERLINK("https://rmda.kulib.kyoto-u.ac.jp/item/rb00003883#?c=0&amp;m=0&amp;s=0&amp;cv=115")</f>
        <v>https://rmda.kulib.kyoto-u.ac.jp/item/rb00003883#?c=0&amp;m=0&amp;s=0&amp;cv=115</v>
      </c>
      <c r="F1782">
        <v>93</v>
      </c>
    </row>
    <row r="1783" spans="1:6" x14ac:dyDescent="0.15">
      <c r="A1783" s="6" t="s">
        <v>2199</v>
      </c>
      <c r="B1783" s="6" t="s">
        <v>4246</v>
      </c>
      <c r="C1783" s="6">
        <v>117</v>
      </c>
      <c r="D1783" s="6" t="str">
        <f>HYPERLINK("https://rmda.kulib.kyoto-u.ac.jp/item/rb00003883#?c=0&amp;m=0&amp;s=0&amp;cv=116")</f>
        <v>https://rmda.kulib.kyoto-u.ac.jp/item/rb00003883#?c=0&amp;m=0&amp;s=0&amp;cv=116</v>
      </c>
      <c r="F1783">
        <v>94</v>
      </c>
    </row>
    <row r="1784" spans="1:6" x14ac:dyDescent="0.15">
      <c r="A1784" s="6" t="s">
        <v>2199</v>
      </c>
      <c r="B1784" s="6" t="s">
        <v>4247</v>
      </c>
      <c r="C1784" s="6">
        <v>118</v>
      </c>
      <c r="D1784" s="6" t="str">
        <f>HYPERLINK("https://rmda.kulib.kyoto-u.ac.jp/item/rb00003883#?c=0&amp;m=0&amp;s=0&amp;cv=117")</f>
        <v>https://rmda.kulib.kyoto-u.ac.jp/item/rb00003883#?c=0&amp;m=0&amp;s=0&amp;cv=117</v>
      </c>
      <c r="F1784">
        <v>95</v>
      </c>
    </row>
    <row r="1785" spans="1:6" x14ac:dyDescent="0.15">
      <c r="A1785" s="6" t="s">
        <v>2199</v>
      </c>
      <c r="B1785" s="6" t="s">
        <v>4248</v>
      </c>
      <c r="C1785" s="6">
        <v>118</v>
      </c>
      <c r="D1785" s="6" t="str">
        <f>HYPERLINK("https://rmda.kulib.kyoto-u.ac.jp/item/rb00003883#?c=0&amp;m=0&amp;s=0&amp;cv=117")</f>
        <v>https://rmda.kulib.kyoto-u.ac.jp/item/rb00003883#?c=0&amp;m=0&amp;s=0&amp;cv=117</v>
      </c>
      <c r="F1785">
        <v>96</v>
      </c>
    </row>
    <row r="1786" spans="1:6" x14ac:dyDescent="0.15">
      <c r="A1786" s="6" t="s">
        <v>2199</v>
      </c>
      <c r="B1786" s="6" t="s">
        <v>4249</v>
      </c>
      <c r="C1786" s="6">
        <v>119</v>
      </c>
      <c r="D1786" s="6" t="str">
        <f>HYPERLINK("https://rmda.kulib.kyoto-u.ac.jp/item/rb00003883#?c=0&amp;m=0&amp;s=0&amp;cv=118")</f>
        <v>https://rmda.kulib.kyoto-u.ac.jp/item/rb00003883#?c=0&amp;m=0&amp;s=0&amp;cv=118</v>
      </c>
      <c r="F1786">
        <v>96</v>
      </c>
    </row>
    <row r="1787" spans="1:6" x14ac:dyDescent="0.15">
      <c r="A1787" s="6" t="s">
        <v>2199</v>
      </c>
      <c r="B1787" s="6" t="s">
        <v>4250</v>
      </c>
      <c r="C1787" s="6">
        <v>119</v>
      </c>
      <c r="D1787" s="6" t="str">
        <f>HYPERLINK("https://rmda.kulib.kyoto-u.ac.jp/item/rb00003883#?c=0&amp;m=0&amp;s=0&amp;cv=118")</f>
        <v>https://rmda.kulib.kyoto-u.ac.jp/item/rb00003883#?c=0&amp;m=0&amp;s=0&amp;cv=118</v>
      </c>
      <c r="F1787">
        <v>97</v>
      </c>
    </row>
    <row r="1788" spans="1:6" x14ac:dyDescent="0.15">
      <c r="A1788" s="6" t="s">
        <v>2199</v>
      </c>
      <c r="B1788" s="6" t="s">
        <v>4251</v>
      </c>
      <c r="C1788" s="6">
        <v>120</v>
      </c>
      <c r="D1788" s="6" t="str">
        <f>HYPERLINK("https://rmda.kulib.kyoto-u.ac.jp/item/rb00003883#?c=0&amp;m=0&amp;s=0&amp;cv=119")</f>
        <v>https://rmda.kulib.kyoto-u.ac.jp/item/rb00003883#?c=0&amp;m=0&amp;s=0&amp;cv=119</v>
      </c>
      <c r="F1788">
        <v>97</v>
      </c>
    </row>
    <row r="1789" spans="1:6" x14ac:dyDescent="0.15">
      <c r="A1789" s="6" t="s">
        <v>2199</v>
      </c>
      <c r="B1789" s="6" t="s">
        <v>4252</v>
      </c>
      <c r="C1789" s="6">
        <v>120</v>
      </c>
      <c r="D1789" s="6" t="str">
        <f>HYPERLINK("https://rmda.kulib.kyoto-u.ac.jp/item/rb00003883#?c=0&amp;m=0&amp;s=0&amp;cv=119")</f>
        <v>https://rmda.kulib.kyoto-u.ac.jp/item/rb00003883#?c=0&amp;m=0&amp;s=0&amp;cv=119</v>
      </c>
      <c r="F1789">
        <v>98</v>
      </c>
    </row>
    <row r="1790" spans="1:6" x14ac:dyDescent="0.15">
      <c r="A1790" s="6" t="s">
        <v>2199</v>
      </c>
      <c r="B1790" s="6" t="s">
        <v>4253</v>
      </c>
      <c r="C1790" s="6">
        <v>121</v>
      </c>
      <c r="D1790" s="6" t="str">
        <f>HYPERLINK("https://rmda.kulib.kyoto-u.ac.jp/item/rb00003883#?c=0&amp;m=0&amp;s=0&amp;cv=120")</f>
        <v>https://rmda.kulib.kyoto-u.ac.jp/item/rb00003883#?c=0&amp;m=0&amp;s=0&amp;cv=120</v>
      </c>
      <c r="F1790">
        <v>98</v>
      </c>
    </row>
    <row r="1791" spans="1:6" x14ac:dyDescent="0.15">
      <c r="A1791" s="6" t="s">
        <v>2199</v>
      </c>
      <c r="B1791" s="6" t="s">
        <v>1759</v>
      </c>
      <c r="C1791" s="6">
        <v>121</v>
      </c>
      <c r="D1791" s="6" t="str">
        <f>HYPERLINK("https://rmda.kulib.kyoto-u.ac.jp/item/rb00003883#?c=0&amp;m=0&amp;s=0&amp;cv=120")</f>
        <v>https://rmda.kulib.kyoto-u.ac.jp/item/rb00003883#?c=0&amp;m=0&amp;s=0&amp;cv=120</v>
      </c>
      <c r="F1791">
        <v>99</v>
      </c>
    </row>
    <row r="1792" spans="1:6" x14ac:dyDescent="0.15">
      <c r="A1792" s="6" t="s">
        <v>2199</v>
      </c>
      <c r="B1792" s="6" t="s">
        <v>1773</v>
      </c>
      <c r="C1792" s="6">
        <v>122</v>
      </c>
      <c r="D1792" s="6" t="str">
        <f>HYPERLINK("https://rmda.kulib.kyoto-u.ac.jp/item/rb00003883#?c=0&amp;m=0&amp;s=0&amp;cv=121")</f>
        <v>https://rmda.kulib.kyoto-u.ac.jp/item/rb00003883#?c=0&amp;m=0&amp;s=0&amp;cv=121</v>
      </c>
      <c r="F1792">
        <v>100</v>
      </c>
    </row>
    <row r="1793" spans="1:6" x14ac:dyDescent="0.15">
      <c r="A1793" s="6" t="s">
        <v>2199</v>
      </c>
      <c r="B1793" s="6" t="s">
        <v>2263</v>
      </c>
      <c r="C1793" s="6">
        <v>122</v>
      </c>
      <c r="D1793" s="6" t="str">
        <f>HYPERLINK("https://rmda.kulib.kyoto-u.ac.jp/item/rb00003883#?c=0&amp;m=0&amp;s=0&amp;cv=121")</f>
        <v>https://rmda.kulib.kyoto-u.ac.jp/item/rb00003883#?c=0&amp;m=0&amp;s=0&amp;cv=121</v>
      </c>
      <c r="F1793">
        <v>100</v>
      </c>
    </row>
    <row r="1794" spans="1:6" x14ac:dyDescent="0.15">
      <c r="A1794" s="6" t="s">
        <v>2199</v>
      </c>
      <c r="B1794" s="6" t="s">
        <v>2264</v>
      </c>
      <c r="C1794" s="6">
        <v>123</v>
      </c>
      <c r="D1794" s="6" t="str">
        <f>HYPERLINK("https://rmda.kulib.kyoto-u.ac.jp/item/rb00003883#?c=0&amp;m=0&amp;s=0&amp;cv=122")</f>
        <v>https://rmda.kulib.kyoto-u.ac.jp/item/rb00003883#?c=0&amp;m=0&amp;s=0&amp;cv=122</v>
      </c>
      <c r="F1794">
        <v>101</v>
      </c>
    </row>
    <row r="1795" spans="1:6" x14ac:dyDescent="0.15">
      <c r="A1795" s="6" t="s">
        <v>2199</v>
      </c>
      <c r="B1795" s="6" t="s">
        <v>2265</v>
      </c>
      <c r="C1795" s="6">
        <v>123</v>
      </c>
      <c r="D1795" s="6" t="str">
        <f>HYPERLINK("https://rmda.kulib.kyoto-u.ac.jp/item/rb00003883#?c=0&amp;m=0&amp;s=0&amp;cv=122")</f>
        <v>https://rmda.kulib.kyoto-u.ac.jp/item/rb00003883#?c=0&amp;m=0&amp;s=0&amp;cv=122</v>
      </c>
      <c r="F1795">
        <v>101</v>
      </c>
    </row>
    <row r="1796" spans="1:6" x14ac:dyDescent="0.15">
      <c r="A1796" s="6" t="s">
        <v>2199</v>
      </c>
      <c r="B1796" s="6" t="s">
        <v>2266</v>
      </c>
      <c r="C1796" s="6">
        <v>123</v>
      </c>
      <c r="D1796" s="6" t="str">
        <f>HYPERLINK("https://rmda.kulib.kyoto-u.ac.jp/item/rb00003883#?c=0&amp;m=0&amp;s=0&amp;cv=122")</f>
        <v>https://rmda.kulib.kyoto-u.ac.jp/item/rb00003883#?c=0&amp;m=0&amp;s=0&amp;cv=122</v>
      </c>
      <c r="F1796">
        <v>102</v>
      </c>
    </row>
    <row r="1797" spans="1:6" x14ac:dyDescent="0.15">
      <c r="A1797" s="6" t="s">
        <v>2199</v>
      </c>
      <c r="B1797" s="6" t="s">
        <v>2267</v>
      </c>
      <c r="C1797" s="6">
        <v>124</v>
      </c>
      <c r="D1797" s="6" t="str">
        <f>HYPERLINK("https://rmda.kulib.kyoto-u.ac.jp/item/rb00003883#?c=0&amp;m=0&amp;s=0&amp;cv=123")</f>
        <v>https://rmda.kulib.kyoto-u.ac.jp/item/rb00003883#?c=0&amp;m=0&amp;s=0&amp;cv=123</v>
      </c>
      <c r="F1797">
        <v>102</v>
      </c>
    </row>
    <row r="1798" spans="1:6" x14ac:dyDescent="0.15">
      <c r="A1798" s="6" t="s">
        <v>2199</v>
      </c>
      <c r="B1798" s="6" t="s">
        <v>2268</v>
      </c>
      <c r="C1798" s="6">
        <v>124</v>
      </c>
      <c r="D1798" s="6" t="str">
        <f>HYPERLINK("https://rmda.kulib.kyoto-u.ac.jp/item/rb00003883#?c=0&amp;m=0&amp;s=0&amp;cv=123")</f>
        <v>https://rmda.kulib.kyoto-u.ac.jp/item/rb00003883#?c=0&amp;m=0&amp;s=0&amp;cv=123</v>
      </c>
      <c r="F1798">
        <v>103</v>
      </c>
    </row>
    <row r="1799" spans="1:6" x14ac:dyDescent="0.15">
      <c r="A1799" s="6" t="s">
        <v>2199</v>
      </c>
      <c r="B1799" s="6" t="s">
        <v>1733</v>
      </c>
      <c r="C1799" s="6">
        <v>125</v>
      </c>
      <c r="D1799" s="6" t="str">
        <f>HYPERLINK("https://rmda.kulib.kyoto-u.ac.jp/item/rb00003883#?c=0&amp;m=0&amp;s=0&amp;cv=124")</f>
        <v>https://rmda.kulib.kyoto-u.ac.jp/item/rb00003883#?c=0&amp;m=0&amp;s=0&amp;cv=124</v>
      </c>
      <c r="F1799">
        <v>103</v>
      </c>
    </row>
    <row r="1800" spans="1:6" x14ac:dyDescent="0.15">
      <c r="A1800" s="6" t="s">
        <v>2199</v>
      </c>
      <c r="B1800" s="6" t="s">
        <v>2269</v>
      </c>
      <c r="C1800" s="6">
        <v>125</v>
      </c>
      <c r="D1800" s="6" t="str">
        <f>HYPERLINK("https://rmda.kulib.kyoto-u.ac.jp/item/rb00003883#?c=0&amp;m=0&amp;s=0&amp;cv=124")</f>
        <v>https://rmda.kulib.kyoto-u.ac.jp/item/rb00003883#?c=0&amp;m=0&amp;s=0&amp;cv=124</v>
      </c>
      <c r="F1800">
        <v>104</v>
      </c>
    </row>
    <row r="1801" spans="1:6" x14ac:dyDescent="0.15">
      <c r="A1801" s="6" t="s">
        <v>2199</v>
      </c>
      <c r="B1801" s="6" t="s">
        <v>1755</v>
      </c>
      <c r="C1801" s="6">
        <v>126</v>
      </c>
      <c r="D1801" s="6" t="str">
        <f>HYPERLINK("https://rmda.kulib.kyoto-u.ac.jp/item/rb00003883#?c=0&amp;m=0&amp;s=0&amp;cv=125")</f>
        <v>https://rmda.kulib.kyoto-u.ac.jp/item/rb00003883#?c=0&amp;m=0&amp;s=0&amp;cv=125</v>
      </c>
      <c r="F1801">
        <v>104</v>
      </c>
    </row>
    <row r="1802" spans="1:6" x14ac:dyDescent="0.15">
      <c r="A1802" s="6" t="s">
        <v>2199</v>
      </c>
      <c r="B1802" s="6" t="s">
        <v>2270</v>
      </c>
      <c r="C1802" s="6">
        <v>126</v>
      </c>
      <c r="D1802" s="6" t="str">
        <f>HYPERLINK("https://rmda.kulib.kyoto-u.ac.jp/item/rb00003883#?c=0&amp;m=0&amp;s=0&amp;cv=125")</f>
        <v>https://rmda.kulib.kyoto-u.ac.jp/item/rb00003883#?c=0&amp;m=0&amp;s=0&amp;cv=125</v>
      </c>
      <c r="F1802">
        <v>105</v>
      </c>
    </row>
    <row r="1803" spans="1:6" x14ac:dyDescent="0.15">
      <c r="A1803" s="6" t="s">
        <v>2199</v>
      </c>
      <c r="B1803" s="6" t="s">
        <v>2271</v>
      </c>
      <c r="C1803" s="6">
        <v>126</v>
      </c>
      <c r="D1803" s="6" t="str">
        <f>HYPERLINK("https://rmda.kulib.kyoto-u.ac.jp/item/rb00003883#?c=0&amp;m=0&amp;s=0&amp;cv=125")</f>
        <v>https://rmda.kulib.kyoto-u.ac.jp/item/rb00003883#?c=0&amp;m=0&amp;s=0&amp;cv=125</v>
      </c>
      <c r="F1803">
        <v>105</v>
      </c>
    </row>
    <row r="1804" spans="1:6" x14ac:dyDescent="0.15">
      <c r="A1804" s="6" t="s">
        <v>2199</v>
      </c>
      <c r="B1804" s="6" t="s">
        <v>4460</v>
      </c>
      <c r="C1804" s="6">
        <v>126</v>
      </c>
      <c r="D1804" s="6" t="str">
        <f>HYPERLINK("https://rmda.kulib.kyoto-u.ac.jp/item/rb00003883#?c=0&amp;m=0&amp;s=0&amp;cv=125")</f>
        <v>https://rmda.kulib.kyoto-u.ac.jp/item/rb00003883#?c=0&amp;m=0&amp;s=0&amp;cv=125</v>
      </c>
      <c r="F1804">
        <v>105</v>
      </c>
    </row>
    <row r="1805" spans="1:6" x14ac:dyDescent="0.15">
      <c r="A1805" s="6" t="s">
        <v>2199</v>
      </c>
      <c r="B1805" s="6" t="s">
        <v>4254</v>
      </c>
      <c r="C1805" s="6">
        <v>127</v>
      </c>
      <c r="D1805" s="6" t="str">
        <f>HYPERLINK("https://rmda.kulib.kyoto-u.ac.jp/item/rb00003883#?c=0&amp;m=0&amp;s=0&amp;cv=126")</f>
        <v>https://rmda.kulib.kyoto-u.ac.jp/item/rb00003883#?c=0&amp;m=0&amp;s=0&amp;cv=126</v>
      </c>
      <c r="F1805">
        <v>105</v>
      </c>
    </row>
    <row r="1806" spans="1:6" x14ac:dyDescent="0.15">
      <c r="A1806" s="6" t="s">
        <v>2199</v>
      </c>
      <c r="B1806" s="6" t="s">
        <v>4255</v>
      </c>
      <c r="C1806" s="6">
        <v>127</v>
      </c>
      <c r="D1806" s="6" t="str">
        <f>HYPERLINK("https://rmda.kulib.kyoto-u.ac.jp/item/rb00003883#?c=0&amp;m=0&amp;s=0&amp;cv=126")</f>
        <v>https://rmda.kulib.kyoto-u.ac.jp/item/rb00003883#?c=0&amp;m=0&amp;s=0&amp;cv=126</v>
      </c>
      <c r="F1806">
        <v>106</v>
      </c>
    </row>
    <row r="1807" spans="1:6" x14ac:dyDescent="0.15">
      <c r="A1807" s="6" t="s">
        <v>2199</v>
      </c>
      <c r="B1807" s="6" t="s">
        <v>4256</v>
      </c>
      <c r="C1807" s="6">
        <v>128</v>
      </c>
      <c r="D1807" s="6" t="str">
        <f>HYPERLINK("https://rmda.kulib.kyoto-u.ac.jp/item/rb00003883#?c=0&amp;m=0&amp;s=0&amp;cv=127")</f>
        <v>https://rmda.kulib.kyoto-u.ac.jp/item/rb00003883#?c=0&amp;m=0&amp;s=0&amp;cv=127</v>
      </c>
      <c r="F1807">
        <v>107</v>
      </c>
    </row>
    <row r="1808" spans="1:6" x14ac:dyDescent="0.15">
      <c r="A1808" s="6" t="s">
        <v>2199</v>
      </c>
      <c r="B1808" s="6" t="s">
        <v>4461</v>
      </c>
      <c r="C1808" s="6">
        <v>128</v>
      </c>
      <c r="D1808" s="6" t="str">
        <f>HYPERLINK("https://rmda.kulib.kyoto-u.ac.jp/item/rb00003883#?c=0&amp;m=0&amp;s=0&amp;cv=127")</f>
        <v>https://rmda.kulib.kyoto-u.ac.jp/item/rb00003883#?c=0&amp;m=0&amp;s=0&amp;cv=127</v>
      </c>
      <c r="F1808">
        <v>107</v>
      </c>
    </row>
    <row r="1809" spans="1:6" x14ac:dyDescent="0.15">
      <c r="A1809" s="6" t="s">
        <v>2199</v>
      </c>
      <c r="B1809" s="6" t="s">
        <v>4257</v>
      </c>
      <c r="C1809" s="6">
        <v>129</v>
      </c>
      <c r="D1809" s="6" t="str">
        <f>HYPERLINK("https://rmda.kulib.kyoto-u.ac.jp/item/rb00003883#?c=0&amp;m=0&amp;s=0&amp;cv=128")</f>
        <v>https://rmda.kulib.kyoto-u.ac.jp/item/rb00003883#?c=0&amp;m=0&amp;s=0&amp;cv=128</v>
      </c>
      <c r="F1809">
        <v>108</v>
      </c>
    </row>
    <row r="1810" spans="1:6" x14ac:dyDescent="0.15">
      <c r="A1810" s="6" t="s">
        <v>2199</v>
      </c>
      <c r="B1810" s="6" t="s">
        <v>4258</v>
      </c>
      <c r="C1810" s="6">
        <v>129</v>
      </c>
      <c r="D1810" s="6" t="str">
        <f>HYPERLINK("https://rmda.kulib.kyoto-u.ac.jp/item/rb00003883#?c=0&amp;m=0&amp;s=0&amp;cv=128")</f>
        <v>https://rmda.kulib.kyoto-u.ac.jp/item/rb00003883#?c=0&amp;m=0&amp;s=0&amp;cv=128</v>
      </c>
      <c r="F1810">
        <v>108</v>
      </c>
    </row>
    <row r="1811" spans="1:6" x14ac:dyDescent="0.15">
      <c r="A1811" s="6" t="s">
        <v>2199</v>
      </c>
      <c r="B1811" s="6" t="s">
        <v>4259</v>
      </c>
      <c r="C1811" s="6">
        <v>129</v>
      </c>
      <c r="D1811" s="6" t="str">
        <f>HYPERLINK("https://rmda.kulib.kyoto-u.ac.jp/item/rb00003883#?c=0&amp;m=0&amp;s=0&amp;cv=128")</f>
        <v>https://rmda.kulib.kyoto-u.ac.jp/item/rb00003883#?c=0&amp;m=0&amp;s=0&amp;cv=128</v>
      </c>
      <c r="F1811">
        <v>109</v>
      </c>
    </row>
    <row r="1812" spans="1:6" x14ac:dyDescent="0.15">
      <c r="A1812" s="6" t="s">
        <v>2199</v>
      </c>
      <c r="B1812" s="6" t="s">
        <v>4260</v>
      </c>
      <c r="C1812" s="6">
        <v>130</v>
      </c>
      <c r="D1812" s="6" t="str">
        <f>HYPERLINK("https://rmda.kulib.kyoto-u.ac.jp/item/rb00003883#?c=0&amp;m=0&amp;s=0&amp;cv=129")</f>
        <v>https://rmda.kulib.kyoto-u.ac.jp/item/rb00003883#?c=0&amp;m=0&amp;s=0&amp;cv=129</v>
      </c>
      <c r="F1812">
        <v>109</v>
      </c>
    </row>
    <row r="1813" spans="1:6" x14ac:dyDescent="0.15">
      <c r="A1813" s="6" t="s">
        <v>2199</v>
      </c>
      <c r="B1813" s="6" t="s">
        <v>4261</v>
      </c>
      <c r="C1813" s="6">
        <v>130</v>
      </c>
      <c r="D1813" s="6" t="str">
        <f>HYPERLINK("https://rmda.kulib.kyoto-u.ac.jp/item/rb00003883#?c=0&amp;m=0&amp;s=0&amp;cv=129")</f>
        <v>https://rmda.kulib.kyoto-u.ac.jp/item/rb00003883#?c=0&amp;m=0&amp;s=0&amp;cv=129</v>
      </c>
      <c r="F1813">
        <v>110</v>
      </c>
    </row>
    <row r="1814" spans="1:6" x14ac:dyDescent="0.15">
      <c r="A1814" s="6" t="s">
        <v>2199</v>
      </c>
      <c r="B1814" s="6" t="s">
        <v>2272</v>
      </c>
      <c r="C1814" s="6">
        <v>131</v>
      </c>
      <c r="D1814" s="6" t="str">
        <f>HYPERLINK("https://rmda.kulib.kyoto-u.ac.jp/item/rb00003883#?c=0&amp;m=0&amp;s=0&amp;cv=130")</f>
        <v>https://rmda.kulib.kyoto-u.ac.jp/item/rb00003883#?c=0&amp;m=0&amp;s=0&amp;cv=130</v>
      </c>
      <c r="F1814">
        <v>111</v>
      </c>
    </row>
    <row r="1815" spans="1:6" x14ac:dyDescent="0.15">
      <c r="A1815" s="6" t="s">
        <v>2199</v>
      </c>
      <c r="B1815" s="63" t="s">
        <v>5528</v>
      </c>
      <c r="C1815" s="6">
        <v>131</v>
      </c>
      <c r="D1815" s="6" t="str">
        <f>HYPERLINK("https://rmda.kulib.kyoto-u.ac.jp/item/rb00003883#?c=0&amp;m=0&amp;s=0&amp;cv=130")</f>
        <v>https://rmda.kulib.kyoto-u.ac.jp/item/rb00003883#?c=0&amp;m=0&amp;s=0&amp;cv=130</v>
      </c>
    </row>
    <row r="1816" spans="1:6" x14ac:dyDescent="0.15">
      <c r="A1816" s="6" t="s">
        <v>2199</v>
      </c>
      <c r="B1816" s="6" t="s">
        <v>1920</v>
      </c>
      <c r="C1816" s="6">
        <v>131</v>
      </c>
      <c r="D1816" s="6" t="str">
        <f>HYPERLINK("https://rmda.kulib.kyoto-u.ac.jp/item/rb00003883#?c=0&amp;m=0&amp;s=0&amp;cv=130")</f>
        <v>https://rmda.kulib.kyoto-u.ac.jp/item/rb00003883#?c=0&amp;m=0&amp;s=0&amp;cv=130</v>
      </c>
      <c r="F1816">
        <v>111</v>
      </c>
    </row>
    <row r="1817" spans="1:6" x14ac:dyDescent="0.15">
      <c r="A1817" s="6" t="s">
        <v>2199</v>
      </c>
      <c r="B1817" s="6" t="s">
        <v>2273</v>
      </c>
      <c r="C1817" s="6">
        <v>131</v>
      </c>
      <c r="D1817" s="6" t="str">
        <f>HYPERLINK("https://rmda.kulib.kyoto-u.ac.jp/item/rb00003883#?c=0&amp;m=0&amp;s=0&amp;cv=130")</f>
        <v>https://rmda.kulib.kyoto-u.ac.jp/item/rb00003883#?c=0&amp;m=0&amp;s=0&amp;cv=130</v>
      </c>
      <c r="F1817">
        <v>111</v>
      </c>
    </row>
    <row r="1818" spans="1:6" x14ac:dyDescent="0.15">
      <c r="A1818" s="6" t="s">
        <v>2199</v>
      </c>
      <c r="B1818" s="6" t="s">
        <v>2274</v>
      </c>
      <c r="C1818" s="6">
        <v>132</v>
      </c>
      <c r="D1818" s="6" t="str">
        <f>HYPERLINK("https://rmda.kulib.kyoto-u.ac.jp/item/rb00003883#?c=0&amp;m=0&amp;s=0&amp;cv=131")</f>
        <v>https://rmda.kulib.kyoto-u.ac.jp/item/rb00003883#?c=0&amp;m=0&amp;s=0&amp;cv=131</v>
      </c>
      <c r="F1818">
        <v>112</v>
      </c>
    </row>
    <row r="1819" spans="1:6" x14ac:dyDescent="0.15">
      <c r="A1819" s="6" t="s">
        <v>2199</v>
      </c>
      <c r="B1819" s="6" t="s">
        <v>4262</v>
      </c>
      <c r="C1819" s="6">
        <v>132</v>
      </c>
      <c r="D1819" s="6" t="str">
        <f>HYPERLINK("https://rmda.kulib.kyoto-u.ac.jp/item/rb00003883#?c=0&amp;m=0&amp;s=0&amp;cv=131")</f>
        <v>https://rmda.kulib.kyoto-u.ac.jp/item/rb00003883#?c=0&amp;m=0&amp;s=0&amp;cv=131</v>
      </c>
      <c r="F1819">
        <v>112</v>
      </c>
    </row>
    <row r="1820" spans="1:6" x14ac:dyDescent="0.15">
      <c r="A1820" s="6" t="s">
        <v>2199</v>
      </c>
      <c r="B1820" s="6" t="s">
        <v>4263</v>
      </c>
      <c r="C1820" s="6">
        <v>133</v>
      </c>
      <c r="D1820" s="6" t="str">
        <f>HYPERLINK("https://rmda.kulib.kyoto-u.ac.jp/item/rb00003883#?c=0&amp;m=0&amp;s=0&amp;cv=132")</f>
        <v>https://rmda.kulib.kyoto-u.ac.jp/item/rb00003883#?c=0&amp;m=0&amp;s=0&amp;cv=132</v>
      </c>
      <c r="F1820">
        <v>113</v>
      </c>
    </row>
    <row r="1821" spans="1:6" x14ac:dyDescent="0.15">
      <c r="A1821" s="6" t="s">
        <v>2199</v>
      </c>
      <c r="B1821" s="6" t="s">
        <v>2275</v>
      </c>
      <c r="C1821" s="6">
        <v>133</v>
      </c>
      <c r="D1821" s="6" t="str">
        <f>HYPERLINK("https://rmda.kulib.kyoto-u.ac.jp/item/rb00003883#?c=0&amp;m=0&amp;s=0&amp;cv=132")</f>
        <v>https://rmda.kulib.kyoto-u.ac.jp/item/rb00003883#?c=0&amp;m=0&amp;s=0&amp;cv=132</v>
      </c>
      <c r="F1821">
        <v>113</v>
      </c>
    </row>
    <row r="1822" spans="1:6" x14ac:dyDescent="0.15">
      <c r="A1822" s="6" t="s">
        <v>2199</v>
      </c>
      <c r="B1822" s="6" t="s">
        <v>2276</v>
      </c>
      <c r="C1822" s="6">
        <v>134</v>
      </c>
      <c r="D1822" s="6" t="str">
        <f>HYPERLINK("https://rmda.kulib.kyoto-u.ac.jp/item/rb00003883#?c=0&amp;m=0&amp;s=0&amp;cv=133")</f>
        <v>https://rmda.kulib.kyoto-u.ac.jp/item/rb00003883#?c=0&amp;m=0&amp;s=0&amp;cv=133</v>
      </c>
      <c r="F1822">
        <v>114</v>
      </c>
    </row>
    <row r="1823" spans="1:6" x14ac:dyDescent="0.15">
      <c r="A1823" s="6" t="s">
        <v>2199</v>
      </c>
      <c r="B1823" s="6" t="s">
        <v>4264</v>
      </c>
      <c r="C1823" s="6">
        <v>134</v>
      </c>
      <c r="D1823" s="6" t="str">
        <f>HYPERLINK("https://rmda.kulib.kyoto-u.ac.jp/item/rb00003883#?c=0&amp;m=0&amp;s=0&amp;cv=133")</f>
        <v>https://rmda.kulib.kyoto-u.ac.jp/item/rb00003883#?c=0&amp;m=0&amp;s=0&amp;cv=133</v>
      </c>
      <c r="F1823">
        <v>114</v>
      </c>
    </row>
    <row r="1824" spans="1:6" x14ac:dyDescent="0.15">
      <c r="A1824" s="6" t="s">
        <v>2199</v>
      </c>
      <c r="B1824" s="6" t="s">
        <v>4265</v>
      </c>
      <c r="C1824" s="6">
        <v>134</v>
      </c>
      <c r="D1824" s="6" t="str">
        <f>HYPERLINK("https://rmda.kulib.kyoto-u.ac.jp/item/rb00003883#?c=0&amp;m=0&amp;s=0&amp;cv=133")</f>
        <v>https://rmda.kulib.kyoto-u.ac.jp/item/rb00003883#?c=0&amp;m=0&amp;s=0&amp;cv=133</v>
      </c>
      <c r="F1824">
        <v>115</v>
      </c>
    </row>
    <row r="1825" spans="1:6" x14ac:dyDescent="0.15">
      <c r="A1825" s="6" t="s">
        <v>2199</v>
      </c>
      <c r="B1825" s="6" t="s">
        <v>4266</v>
      </c>
      <c r="C1825" s="6">
        <v>135</v>
      </c>
      <c r="D1825" s="6" t="str">
        <f>HYPERLINK("https://rmda.kulib.kyoto-u.ac.jp/item/rb00003883#?c=0&amp;m=0&amp;s=0&amp;cv=134")</f>
        <v>https://rmda.kulib.kyoto-u.ac.jp/item/rb00003883#?c=0&amp;m=0&amp;s=0&amp;cv=134</v>
      </c>
      <c r="F1825">
        <v>116</v>
      </c>
    </row>
    <row r="1826" spans="1:6" x14ac:dyDescent="0.15">
      <c r="A1826" s="6" t="s">
        <v>2199</v>
      </c>
      <c r="B1826" s="6" t="s">
        <v>4267</v>
      </c>
      <c r="C1826" s="6">
        <v>136</v>
      </c>
      <c r="D1826" s="6" t="str">
        <f>HYPERLINK("https://rmda.kulib.kyoto-u.ac.jp/item/rb00003883#?c=0&amp;m=0&amp;s=0&amp;cv=135")</f>
        <v>https://rmda.kulib.kyoto-u.ac.jp/item/rb00003883#?c=0&amp;m=0&amp;s=0&amp;cv=135</v>
      </c>
      <c r="F1826">
        <v>117</v>
      </c>
    </row>
    <row r="1827" spans="1:6" x14ac:dyDescent="0.15">
      <c r="A1827" s="6" t="s">
        <v>2199</v>
      </c>
      <c r="B1827" s="6" t="s">
        <v>4268</v>
      </c>
      <c r="C1827" s="6">
        <v>136</v>
      </c>
      <c r="D1827" s="6" t="str">
        <f>HYPERLINK("https://rmda.kulib.kyoto-u.ac.jp/item/rb00003883#?c=0&amp;m=0&amp;s=0&amp;cv=135")</f>
        <v>https://rmda.kulib.kyoto-u.ac.jp/item/rb00003883#?c=0&amp;m=0&amp;s=0&amp;cv=135</v>
      </c>
      <c r="F1827">
        <v>117</v>
      </c>
    </row>
    <row r="1828" spans="1:6" x14ac:dyDescent="0.15">
      <c r="A1828" s="6" t="s">
        <v>2199</v>
      </c>
      <c r="B1828" s="6" t="s">
        <v>4269</v>
      </c>
      <c r="C1828" s="6">
        <v>137</v>
      </c>
      <c r="D1828" s="6" t="str">
        <f>HYPERLINK("https://rmda.kulib.kyoto-u.ac.jp/item/rb00003883#?c=0&amp;m=0&amp;s=0&amp;cv=136")</f>
        <v>https://rmda.kulib.kyoto-u.ac.jp/item/rb00003883#?c=0&amp;m=0&amp;s=0&amp;cv=136</v>
      </c>
      <c r="F1828">
        <v>118</v>
      </c>
    </row>
    <row r="1829" spans="1:6" x14ac:dyDescent="0.15">
      <c r="A1829" s="6" t="s">
        <v>2199</v>
      </c>
      <c r="B1829" s="6" t="s">
        <v>4462</v>
      </c>
      <c r="C1829" s="6">
        <v>137</v>
      </c>
      <c r="D1829" s="6" t="str">
        <f>HYPERLINK("https://rmda.kulib.kyoto-u.ac.jp/item/rb00003883#?c=0&amp;m=0&amp;s=0&amp;cv=136")</f>
        <v>https://rmda.kulib.kyoto-u.ac.jp/item/rb00003883#?c=0&amp;m=0&amp;s=0&amp;cv=136</v>
      </c>
      <c r="F1829">
        <v>118</v>
      </c>
    </row>
    <row r="1830" spans="1:6" x14ac:dyDescent="0.15">
      <c r="A1830" s="6" t="s">
        <v>2199</v>
      </c>
      <c r="B1830" s="6" t="s">
        <v>2277</v>
      </c>
      <c r="C1830" s="6">
        <v>137</v>
      </c>
      <c r="D1830" s="6" t="str">
        <f>HYPERLINK("https://rmda.kulib.kyoto-u.ac.jp/item/rb00003883#?c=0&amp;m=0&amp;s=0&amp;cv=136")</f>
        <v>https://rmda.kulib.kyoto-u.ac.jp/item/rb00003883#?c=0&amp;m=0&amp;s=0&amp;cv=136</v>
      </c>
      <c r="F1830">
        <v>119</v>
      </c>
    </row>
    <row r="1831" spans="1:6" x14ac:dyDescent="0.15">
      <c r="A1831" s="6" t="s">
        <v>2199</v>
      </c>
      <c r="B1831" s="6" t="s">
        <v>2278</v>
      </c>
      <c r="C1831" s="6">
        <v>138</v>
      </c>
      <c r="D1831" s="6" t="str">
        <f>HYPERLINK("https://rmda.kulib.kyoto-u.ac.jp/item/rb00003883#?c=0&amp;m=0&amp;s=0&amp;cv=137")</f>
        <v>https://rmda.kulib.kyoto-u.ac.jp/item/rb00003883#?c=0&amp;m=0&amp;s=0&amp;cv=137</v>
      </c>
      <c r="F1831">
        <v>119</v>
      </c>
    </row>
    <row r="1832" spans="1:6" x14ac:dyDescent="0.15">
      <c r="A1832" s="6" t="s">
        <v>2199</v>
      </c>
      <c r="B1832" s="6" t="s">
        <v>2279</v>
      </c>
      <c r="C1832" s="6">
        <v>138</v>
      </c>
      <c r="D1832" s="6" t="str">
        <f>HYPERLINK("https://rmda.kulib.kyoto-u.ac.jp/item/rb00003883#?c=0&amp;m=0&amp;s=0&amp;cv=137")</f>
        <v>https://rmda.kulib.kyoto-u.ac.jp/item/rb00003883#?c=0&amp;m=0&amp;s=0&amp;cv=137</v>
      </c>
      <c r="F1832">
        <v>119</v>
      </c>
    </row>
    <row r="1833" spans="1:6" x14ac:dyDescent="0.15">
      <c r="A1833" s="6" t="s">
        <v>2199</v>
      </c>
      <c r="B1833" s="6" t="s">
        <v>1714</v>
      </c>
      <c r="C1833" s="6">
        <v>138</v>
      </c>
      <c r="D1833" s="6" t="str">
        <f>HYPERLINK("https://rmda.kulib.kyoto-u.ac.jp/item/rb00003883#?c=0&amp;m=0&amp;s=0&amp;cv=137")</f>
        <v>https://rmda.kulib.kyoto-u.ac.jp/item/rb00003883#?c=0&amp;m=0&amp;s=0&amp;cv=137</v>
      </c>
      <c r="F1833">
        <v>120</v>
      </c>
    </row>
    <row r="1834" spans="1:6" x14ac:dyDescent="0.15">
      <c r="A1834" s="6" t="s">
        <v>2199</v>
      </c>
      <c r="B1834" s="6" t="s">
        <v>4270</v>
      </c>
      <c r="C1834" s="6">
        <v>139</v>
      </c>
      <c r="D1834" s="6" t="str">
        <f>HYPERLINK("https://rmda.kulib.kyoto-u.ac.jp/item/rb00003883#?c=0&amp;m=0&amp;s=0&amp;cv=138")</f>
        <v>https://rmda.kulib.kyoto-u.ac.jp/item/rb00003883#?c=0&amp;m=0&amp;s=0&amp;cv=138</v>
      </c>
      <c r="F1834">
        <v>120</v>
      </c>
    </row>
    <row r="1835" spans="1:6" x14ac:dyDescent="0.15">
      <c r="A1835" s="6" t="s">
        <v>2199</v>
      </c>
      <c r="B1835" s="6" t="s">
        <v>4271</v>
      </c>
      <c r="C1835" s="6">
        <v>139</v>
      </c>
      <c r="D1835" s="6" t="str">
        <f>HYPERLINK("https://rmda.kulib.kyoto-u.ac.jp/item/rb00003883#?c=0&amp;m=0&amp;s=0&amp;cv=138")</f>
        <v>https://rmda.kulib.kyoto-u.ac.jp/item/rb00003883#?c=0&amp;m=0&amp;s=0&amp;cv=138</v>
      </c>
      <c r="F1835">
        <v>121</v>
      </c>
    </row>
    <row r="1836" spans="1:6" x14ac:dyDescent="0.15">
      <c r="A1836" s="6" t="s">
        <v>2199</v>
      </c>
      <c r="B1836" s="6" t="s">
        <v>2280</v>
      </c>
      <c r="C1836" s="6">
        <v>139</v>
      </c>
      <c r="D1836" s="6" t="str">
        <f>HYPERLINK("https://rmda.kulib.kyoto-u.ac.jp/item/rb00003883#?c=0&amp;m=0&amp;s=0&amp;cv=138")</f>
        <v>https://rmda.kulib.kyoto-u.ac.jp/item/rb00003883#?c=0&amp;m=0&amp;s=0&amp;cv=138</v>
      </c>
      <c r="F1836">
        <v>121</v>
      </c>
    </row>
    <row r="1837" spans="1:6" x14ac:dyDescent="0.15">
      <c r="A1837" s="6" t="s">
        <v>2199</v>
      </c>
      <c r="B1837" s="6" t="s">
        <v>4272</v>
      </c>
      <c r="C1837" s="6">
        <v>140</v>
      </c>
      <c r="D1837" s="6" t="str">
        <f>HYPERLINK("https://rmda.kulib.kyoto-u.ac.jp/item/rb00003883#?c=0&amp;m=0&amp;s=0&amp;cv=139")</f>
        <v>https://rmda.kulib.kyoto-u.ac.jp/item/rb00003883#?c=0&amp;m=0&amp;s=0&amp;cv=139</v>
      </c>
      <c r="F1837">
        <v>122</v>
      </c>
    </row>
    <row r="1838" spans="1:6" x14ac:dyDescent="0.15">
      <c r="A1838" s="6" t="s">
        <v>2199</v>
      </c>
      <c r="B1838" s="63" t="s">
        <v>5527</v>
      </c>
      <c r="C1838" s="6">
        <v>140</v>
      </c>
      <c r="D1838" s="6" t="str">
        <f>HYPERLINK("https://rmda.kulib.kyoto-u.ac.jp/item/rb00003883#?c=0&amp;m=0&amp;s=0&amp;cv=139")</f>
        <v>https://rmda.kulib.kyoto-u.ac.jp/item/rb00003883#?c=0&amp;m=0&amp;s=0&amp;cv=139</v>
      </c>
    </row>
    <row r="1839" spans="1:6" x14ac:dyDescent="0.15">
      <c r="A1839" s="6" t="s">
        <v>2199</v>
      </c>
      <c r="B1839" s="6" t="s">
        <v>2281</v>
      </c>
      <c r="C1839" s="6">
        <v>140</v>
      </c>
      <c r="D1839" s="6" t="str">
        <f>HYPERLINK("https://rmda.kulib.kyoto-u.ac.jp/item/rb00003883#?c=0&amp;m=0&amp;s=0&amp;cv=139")</f>
        <v>https://rmda.kulib.kyoto-u.ac.jp/item/rb00003883#?c=0&amp;m=0&amp;s=0&amp;cv=139</v>
      </c>
      <c r="F1839">
        <v>122</v>
      </c>
    </row>
    <row r="1840" spans="1:6" x14ac:dyDescent="0.15">
      <c r="A1840" s="6" t="s">
        <v>2199</v>
      </c>
      <c r="B1840" s="6" t="s">
        <v>1735</v>
      </c>
      <c r="C1840" s="6">
        <v>141</v>
      </c>
      <c r="D1840" s="6" t="str">
        <f>HYPERLINK("https://rmda.kulib.kyoto-u.ac.jp/item/rb00003883#?c=0&amp;m=0&amp;s=0&amp;cv=140")</f>
        <v>https://rmda.kulib.kyoto-u.ac.jp/item/rb00003883#?c=0&amp;m=0&amp;s=0&amp;cv=140</v>
      </c>
      <c r="F1840">
        <v>122</v>
      </c>
    </row>
    <row r="1841" spans="1:6" x14ac:dyDescent="0.15">
      <c r="A1841" s="6" t="s">
        <v>2199</v>
      </c>
      <c r="B1841" s="6" t="s">
        <v>2282</v>
      </c>
      <c r="C1841" s="6">
        <v>141</v>
      </c>
      <c r="D1841" s="6" t="str">
        <f>HYPERLINK("https://rmda.kulib.kyoto-u.ac.jp/item/rb00003883#?c=0&amp;m=0&amp;s=0&amp;cv=140")</f>
        <v>https://rmda.kulib.kyoto-u.ac.jp/item/rb00003883#?c=0&amp;m=0&amp;s=0&amp;cv=140</v>
      </c>
      <c r="F1841">
        <v>123</v>
      </c>
    </row>
    <row r="1842" spans="1:6" x14ac:dyDescent="0.15">
      <c r="A1842" s="6" t="s">
        <v>2199</v>
      </c>
      <c r="B1842" s="6" t="s">
        <v>2283</v>
      </c>
      <c r="C1842" s="6">
        <v>142</v>
      </c>
      <c r="D1842" s="6" t="str">
        <f>HYPERLINK("https://rmda.kulib.kyoto-u.ac.jp/item/rb00003883#?c=0&amp;m=0&amp;s=0&amp;cv=141")</f>
        <v>https://rmda.kulib.kyoto-u.ac.jp/item/rb00003883#?c=0&amp;m=0&amp;s=0&amp;cv=141</v>
      </c>
      <c r="F1842">
        <v>124</v>
      </c>
    </row>
    <row r="1843" spans="1:6" x14ac:dyDescent="0.15">
      <c r="A1843" s="6" t="s">
        <v>2199</v>
      </c>
      <c r="B1843" s="6" t="s">
        <v>4273</v>
      </c>
      <c r="C1843" s="6">
        <v>142</v>
      </c>
      <c r="D1843" s="6" t="str">
        <f>HYPERLINK("https://rmda.kulib.kyoto-u.ac.jp/item/rb00003883#?c=0&amp;m=0&amp;s=0&amp;cv=141")</f>
        <v>https://rmda.kulib.kyoto-u.ac.jp/item/rb00003883#?c=0&amp;m=0&amp;s=0&amp;cv=141</v>
      </c>
      <c r="F1843">
        <v>124</v>
      </c>
    </row>
    <row r="1844" spans="1:6" x14ac:dyDescent="0.15">
      <c r="A1844" s="6" t="s">
        <v>2199</v>
      </c>
      <c r="B1844" s="6" t="s">
        <v>2284</v>
      </c>
      <c r="C1844" s="6">
        <v>143</v>
      </c>
      <c r="D1844" s="6" t="str">
        <f>HYPERLINK("https://rmda.kulib.kyoto-u.ac.jp/item/rb00003883#?c=0&amp;m=0&amp;s=0&amp;cv=142")</f>
        <v>https://rmda.kulib.kyoto-u.ac.jp/item/rb00003883#?c=0&amp;m=0&amp;s=0&amp;cv=142</v>
      </c>
      <c r="F1844">
        <v>125</v>
      </c>
    </row>
    <row r="1845" spans="1:6" x14ac:dyDescent="0.15">
      <c r="A1845" s="6" t="s">
        <v>2199</v>
      </c>
      <c r="B1845" s="6" t="s">
        <v>4274</v>
      </c>
      <c r="C1845" s="6">
        <v>144</v>
      </c>
      <c r="D1845" s="6" t="str">
        <f>HYPERLINK("https://rmda.kulib.kyoto-u.ac.jp/item/rb00003883#?c=0&amp;m=0&amp;s=0&amp;cv=143")</f>
        <v>https://rmda.kulib.kyoto-u.ac.jp/item/rb00003883#?c=0&amp;m=0&amp;s=0&amp;cv=143</v>
      </c>
      <c r="F1845">
        <v>126</v>
      </c>
    </row>
    <row r="1846" spans="1:6" x14ac:dyDescent="0.15">
      <c r="A1846" s="6" t="s">
        <v>2199</v>
      </c>
      <c r="B1846" s="6" t="s">
        <v>2285</v>
      </c>
      <c r="C1846" s="6">
        <v>144</v>
      </c>
      <c r="D1846" s="6" t="str">
        <f>HYPERLINK("https://rmda.kulib.kyoto-u.ac.jp/item/rb00003883#?c=0&amp;m=0&amp;s=0&amp;cv=143")</f>
        <v>https://rmda.kulib.kyoto-u.ac.jp/item/rb00003883#?c=0&amp;m=0&amp;s=0&amp;cv=143</v>
      </c>
      <c r="F1846">
        <v>127</v>
      </c>
    </row>
    <row r="1847" spans="1:6" x14ac:dyDescent="0.15">
      <c r="A1847" s="6" t="s">
        <v>2199</v>
      </c>
      <c r="B1847" s="6" t="s">
        <v>2286</v>
      </c>
      <c r="C1847" s="6">
        <v>145</v>
      </c>
      <c r="D1847" s="6" t="str">
        <f>HYPERLINK("https://rmda.kulib.kyoto-u.ac.jp/item/rb00003883#?c=0&amp;m=0&amp;s=0&amp;cv=144")</f>
        <v>https://rmda.kulib.kyoto-u.ac.jp/item/rb00003883#?c=0&amp;m=0&amp;s=0&amp;cv=144</v>
      </c>
      <c r="F1847">
        <v>127</v>
      </c>
    </row>
    <row r="1848" spans="1:6" x14ac:dyDescent="0.15">
      <c r="A1848" s="6" t="s">
        <v>2199</v>
      </c>
      <c r="B1848" s="6" t="s">
        <v>2287</v>
      </c>
      <c r="C1848" s="6">
        <v>145</v>
      </c>
      <c r="D1848" s="6" t="str">
        <f>HYPERLINK("https://rmda.kulib.kyoto-u.ac.jp/item/rb00003883#?c=0&amp;m=0&amp;s=0&amp;cv=144")</f>
        <v>https://rmda.kulib.kyoto-u.ac.jp/item/rb00003883#?c=0&amp;m=0&amp;s=0&amp;cv=144</v>
      </c>
      <c r="F1848">
        <v>128</v>
      </c>
    </row>
    <row r="1849" spans="1:6" x14ac:dyDescent="0.15">
      <c r="A1849" s="6" t="s">
        <v>2199</v>
      </c>
      <c r="B1849" s="6" t="s">
        <v>4463</v>
      </c>
      <c r="C1849" s="6">
        <v>145</v>
      </c>
      <c r="D1849" s="6" t="str">
        <f>HYPERLINK("https://rmda.kulib.kyoto-u.ac.jp/item/rb00003883#?c=0&amp;m=0&amp;s=0&amp;cv=144")</f>
        <v>https://rmda.kulib.kyoto-u.ac.jp/item/rb00003883#?c=0&amp;m=0&amp;s=0&amp;cv=144</v>
      </c>
      <c r="F1849">
        <v>128</v>
      </c>
    </row>
    <row r="1850" spans="1:6" x14ac:dyDescent="0.15">
      <c r="A1850" s="6" t="s">
        <v>2199</v>
      </c>
      <c r="B1850" s="6" t="s">
        <v>2288</v>
      </c>
      <c r="C1850" s="6">
        <v>145</v>
      </c>
      <c r="D1850" s="6" t="str">
        <f>HYPERLINK("https://rmda.kulib.kyoto-u.ac.jp/item/rb00003883#?c=0&amp;m=0&amp;s=0&amp;cv=144")</f>
        <v>https://rmda.kulib.kyoto-u.ac.jp/item/rb00003883#?c=0&amp;m=0&amp;s=0&amp;cv=144</v>
      </c>
      <c r="F1850">
        <v>128</v>
      </c>
    </row>
    <row r="1851" spans="1:6" x14ac:dyDescent="0.15">
      <c r="A1851" s="6" t="s">
        <v>2199</v>
      </c>
      <c r="B1851" s="6" t="s">
        <v>4275</v>
      </c>
      <c r="C1851" s="6">
        <v>146</v>
      </c>
      <c r="D1851" s="6" t="str">
        <f>HYPERLINK("https://rmda.kulib.kyoto-u.ac.jp/item/rb00003883#?c=0&amp;m=0&amp;s=0&amp;cv=145")</f>
        <v>https://rmda.kulib.kyoto-u.ac.jp/item/rb00003883#?c=0&amp;m=0&amp;s=0&amp;cv=145</v>
      </c>
      <c r="F1851">
        <v>129</v>
      </c>
    </row>
    <row r="1852" spans="1:6" x14ac:dyDescent="0.15">
      <c r="A1852" s="6" t="s">
        <v>2199</v>
      </c>
      <c r="B1852" s="6" t="s">
        <v>1662</v>
      </c>
      <c r="C1852" s="6">
        <v>146</v>
      </c>
      <c r="D1852" s="6" t="str">
        <f>HYPERLINK("https://rmda.kulib.kyoto-u.ac.jp/item/rb00003883#?c=0&amp;m=0&amp;s=0&amp;cv=145")</f>
        <v>https://rmda.kulib.kyoto-u.ac.jp/item/rb00003883#?c=0&amp;m=0&amp;s=0&amp;cv=145</v>
      </c>
      <c r="F1852">
        <v>130</v>
      </c>
    </row>
    <row r="1853" spans="1:6" x14ac:dyDescent="0.15">
      <c r="A1853" s="6" t="s">
        <v>2199</v>
      </c>
      <c r="B1853" s="63" t="s">
        <v>5985</v>
      </c>
      <c r="C1853" s="6">
        <v>147</v>
      </c>
      <c r="D1853" s="6" t="str">
        <f>HYPERLINK("https://rmda.kulib.kyoto-u.ac.jp/item/rb00003883#?c=0&amp;m=0&amp;s=0&amp;cv=146")</f>
        <v>https://rmda.kulib.kyoto-u.ac.jp/item/rb00003883#?c=0&amp;m=0&amp;s=0&amp;cv=146</v>
      </c>
    </row>
    <row r="1854" spans="1:6" x14ac:dyDescent="0.15">
      <c r="A1854" s="6" t="s">
        <v>2199</v>
      </c>
      <c r="B1854" s="6" t="s">
        <v>4276</v>
      </c>
      <c r="C1854" s="6">
        <v>147</v>
      </c>
      <c r="D1854" s="6" t="str">
        <f>HYPERLINK("https://rmda.kulib.kyoto-u.ac.jp/item/rb00003883#?c=0&amp;m=0&amp;s=0&amp;cv=146")</f>
        <v>https://rmda.kulib.kyoto-u.ac.jp/item/rb00003883#?c=0&amp;m=0&amp;s=0&amp;cv=146</v>
      </c>
      <c r="F1854">
        <v>130</v>
      </c>
    </row>
    <row r="1855" spans="1:6" x14ac:dyDescent="0.15">
      <c r="A1855" s="6" t="s">
        <v>2199</v>
      </c>
      <c r="B1855" s="6" t="s">
        <v>2138</v>
      </c>
      <c r="C1855" s="6">
        <v>147</v>
      </c>
      <c r="D1855" s="6" t="str">
        <f>HYPERLINK("https://rmda.kulib.kyoto-u.ac.jp/item/rb00003883#?c=0&amp;m=0&amp;s=0&amp;cv=146")</f>
        <v>https://rmda.kulib.kyoto-u.ac.jp/item/rb00003883#?c=0&amp;m=0&amp;s=0&amp;cv=146</v>
      </c>
      <c r="F1855">
        <v>130</v>
      </c>
    </row>
    <row r="1856" spans="1:6" x14ac:dyDescent="0.15">
      <c r="A1856" s="6" t="s">
        <v>2199</v>
      </c>
      <c r="B1856" s="6" t="s">
        <v>2289</v>
      </c>
      <c r="C1856" s="6">
        <v>147</v>
      </c>
      <c r="D1856" s="6" t="str">
        <f>HYPERLINK("https://rmda.kulib.kyoto-u.ac.jp/item/rb00003883#?c=0&amp;m=0&amp;s=0&amp;cv=146")</f>
        <v>https://rmda.kulib.kyoto-u.ac.jp/item/rb00003883#?c=0&amp;m=0&amp;s=0&amp;cv=146</v>
      </c>
      <c r="F1856">
        <v>130</v>
      </c>
    </row>
    <row r="1857" spans="1:6" x14ac:dyDescent="0.15">
      <c r="A1857" s="6" t="s">
        <v>2199</v>
      </c>
      <c r="B1857" s="63" t="s">
        <v>5524</v>
      </c>
      <c r="C1857" s="6">
        <v>147</v>
      </c>
      <c r="D1857" s="6" t="str">
        <f>HYPERLINK("https://rmda.kulib.kyoto-u.ac.jp/item/rb00003883#?c=0&amp;m=0&amp;s=0&amp;cv=146")</f>
        <v>https://rmda.kulib.kyoto-u.ac.jp/item/rb00003883#?c=0&amp;m=0&amp;s=0&amp;cv=146</v>
      </c>
    </row>
    <row r="1858" spans="1:6" x14ac:dyDescent="0.15">
      <c r="A1858" s="6" t="s">
        <v>2199</v>
      </c>
      <c r="B1858" s="6" t="s">
        <v>2290</v>
      </c>
      <c r="C1858" s="6">
        <v>148</v>
      </c>
      <c r="D1858" s="6" t="str">
        <f>HYPERLINK("https://rmda.kulib.kyoto-u.ac.jp/item/rb00003883#?c=0&amp;m=0&amp;s=0&amp;cv=147")</f>
        <v>https://rmda.kulib.kyoto-u.ac.jp/item/rb00003883#?c=0&amp;m=0&amp;s=0&amp;cv=147</v>
      </c>
      <c r="F1858">
        <v>131</v>
      </c>
    </row>
    <row r="1859" spans="1:6" x14ac:dyDescent="0.15">
      <c r="A1859" s="6" t="s">
        <v>2199</v>
      </c>
      <c r="B1859" s="6" t="s">
        <v>1790</v>
      </c>
      <c r="C1859" s="6">
        <v>148</v>
      </c>
      <c r="D1859" s="6" t="str">
        <f>HYPERLINK("https://rmda.kulib.kyoto-u.ac.jp/item/rb00003883#?c=0&amp;m=0&amp;s=0&amp;cv=147")</f>
        <v>https://rmda.kulib.kyoto-u.ac.jp/item/rb00003883#?c=0&amp;m=0&amp;s=0&amp;cv=147</v>
      </c>
      <c r="F1859">
        <v>131</v>
      </c>
    </row>
    <row r="1860" spans="1:6" x14ac:dyDescent="0.15">
      <c r="A1860" s="6" t="s">
        <v>2199</v>
      </c>
      <c r="B1860" s="6" t="s">
        <v>4277</v>
      </c>
      <c r="C1860" s="6">
        <v>148</v>
      </c>
      <c r="D1860" s="6" t="str">
        <f>HYPERLINK("https://rmda.kulib.kyoto-u.ac.jp/item/rb00003883#?c=0&amp;m=0&amp;s=0&amp;cv=147")</f>
        <v>https://rmda.kulib.kyoto-u.ac.jp/item/rb00003883#?c=0&amp;m=0&amp;s=0&amp;cv=147</v>
      </c>
      <c r="F1860">
        <v>132</v>
      </c>
    </row>
    <row r="1861" spans="1:6" x14ac:dyDescent="0.15">
      <c r="A1861" s="6" t="s">
        <v>2199</v>
      </c>
      <c r="B1861" s="6" t="s">
        <v>4278</v>
      </c>
      <c r="C1861" s="6">
        <v>148</v>
      </c>
      <c r="D1861" s="6" t="str">
        <f>HYPERLINK("https://rmda.kulib.kyoto-u.ac.jp/item/rb00003883#?c=0&amp;m=0&amp;s=0&amp;cv=147")</f>
        <v>https://rmda.kulib.kyoto-u.ac.jp/item/rb00003883#?c=0&amp;m=0&amp;s=0&amp;cv=147</v>
      </c>
      <c r="F1861">
        <v>132</v>
      </c>
    </row>
    <row r="1862" spans="1:6" x14ac:dyDescent="0.15">
      <c r="A1862" s="6" t="s">
        <v>2199</v>
      </c>
      <c r="B1862" s="6" t="s">
        <v>4464</v>
      </c>
      <c r="C1862" s="6">
        <v>149</v>
      </c>
      <c r="D1862" s="6" t="str">
        <f>HYPERLINK("https://rmda.kulib.kyoto-u.ac.jp/item/rb00003883#?c=0&amp;m=0&amp;s=0&amp;cv=148")</f>
        <v>https://rmda.kulib.kyoto-u.ac.jp/item/rb00003883#?c=0&amp;m=0&amp;s=0&amp;cv=148</v>
      </c>
      <c r="F1862">
        <v>133</v>
      </c>
    </row>
    <row r="1863" spans="1:6" x14ac:dyDescent="0.15">
      <c r="A1863" s="6" t="s">
        <v>2199</v>
      </c>
      <c r="B1863" s="6" t="s">
        <v>2291</v>
      </c>
      <c r="C1863" s="6">
        <v>150</v>
      </c>
      <c r="D1863" s="6" t="str">
        <f>HYPERLINK("https://rmda.kulib.kyoto-u.ac.jp/item/rb00003883#?c=0&amp;m=0&amp;s=0&amp;cv=149")</f>
        <v>https://rmda.kulib.kyoto-u.ac.jp/item/rb00003883#?c=0&amp;m=0&amp;s=0&amp;cv=149</v>
      </c>
      <c r="F1863" t="s">
        <v>5523</v>
      </c>
    </row>
    <row r="1864" spans="1:6" x14ac:dyDescent="0.15">
      <c r="A1864" s="6" t="s">
        <v>2199</v>
      </c>
      <c r="B1864" s="6" t="s">
        <v>2292</v>
      </c>
      <c r="C1864" s="6">
        <v>150</v>
      </c>
      <c r="D1864" s="6" t="str">
        <f>HYPERLINK("https://rmda.kulib.kyoto-u.ac.jp/item/rb00003883#?c=0&amp;m=0&amp;s=0&amp;cv=149")</f>
        <v>https://rmda.kulib.kyoto-u.ac.jp/item/rb00003883#?c=0&amp;m=0&amp;s=0&amp;cv=149</v>
      </c>
      <c r="F1864">
        <v>133</v>
      </c>
    </row>
    <row r="1865" spans="1:6" x14ac:dyDescent="0.15">
      <c r="A1865" s="6" t="s">
        <v>2199</v>
      </c>
      <c r="B1865" s="6" t="s">
        <v>4279</v>
      </c>
      <c r="C1865" s="6">
        <v>150</v>
      </c>
      <c r="D1865" s="6" t="str">
        <f>HYPERLINK("https://rmda.kulib.kyoto-u.ac.jp/item/rb00003883#?c=0&amp;m=0&amp;s=0&amp;cv=149")</f>
        <v>https://rmda.kulib.kyoto-u.ac.jp/item/rb00003883#?c=0&amp;m=0&amp;s=0&amp;cv=149</v>
      </c>
      <c r="F1865">
        <v>134</v>
      </c>
    </row>
    <row r="1866" spans="1:6" x14ac:dyDescent="0.15">
      <c r="A1866" s="6" t="s">
        <v>2199</v>
      </c>
      <c r="B1866" s="6" t="s">
        <v>4280</v>
      </c>
      <c r="C1866" s="6">
        <v>151</v>
      </c>
      <c r="D1866" s="6" t="str">
        <f>HYPERLINK("https://rmda.kulib.kyoto-u.ac.jp/item/rb00003883#?c=0&amp;m=0&amp;s=0&amp;cv=150")</f>
        <v>https://rmda.kulib.kyoto-u.ac.jp/item/rb00003883#?c=0&amp;m=0&amp;s=0&amp;cv=150</v>
      </c>
      <c r="F1866">
        <v>134</v>
      </c>
    </row>
    <row r="1867" spans="1:6" x14ac:dyDescent="0.15">
      <c r="A1867" s="6" t="s">
        <v>2199</v>
      </c>
      <c r="B1867" s="6" t="s">
        <v>4281</v>
      </c>
      <c r="C1867" s="6">
        <v>151</v>
      </c>
      <c r="D1867" s="6" t="str">
        <f>HYPERLINK("https://rmda.kulib.kyoto-u.ac.jp/item/rb00003883#?c=0&amp;m=0&amp;s=0&amp;cv=150")</f>
        <v>https://rmda.kulib.kyoto-u.ac.jp/item/rb00003883#?c=0&amp;m=0&amp;s=0&amp;cv=150</v>
      </c>
      <c r="F1867">
        <v>135</v>
      </c>
    </row>
    <row r="1868" spans="1:6" x14ac:dyDescent="0.15">
      <c r="A1868" s="6" t="s">
        <v>2199</v>
      </c>
      <c r="B1868" s="6" t="s">
        <v>2293</v>
      </c>
      <c r="C1868" s="6">
        <v>151</v>
      </c>
      <c r="D1868" s="6" t="str">
        <f>HYPERLINK("https://rmda.kulib.kyoto-u.ac.jp/item/rb00003883#?c=0&amp;m=0&amp;s=0&amp;cv=150")</f>
        <v>https://rmda.kulib.kyoto-u.ac.jp/item/rb00003883#?c=0&amp;m=0&amp;s=0&amp;cv=150</v>
      </c>
      <c r="F1868">
        <v>135</v>
      </c>
    </row>
    <row r="1869" spans="1:6" x14ac:dyDescent="0.15">
      <c r="A1869" s="6" t="s">
        <v>2199</v>
      </c>
      <c r="B1869" s="6" t="s">
        <v>4465</v>
      </c>
      <c r="C1869" s="6">
        <v>152</v>
      </c>
      <c r="D1869" s="6" t="str">
        <f>HYPERLINK("https://rmda.kulib.kyoto-u.ac.jp/item/rb00003883#?c=0&amp;m=0&amp;s=0&amp;cv=151")</f>
        <v>https://rmda.kulib.kyoto-u.ac.jp/item/rb00003883#?c=0&amp;m=0&amp;s=0&amp;cv=151</v>
      </c>
      <c r="F1869">
        <v>136</v>
      </c>
    </row>
    <row r="1870" spans="1:6" x14ac:dyDescent="0.15">
      <c r="A1870" s="6" t="s">
        <v>2199</v>
      </c>
      <c r="B1870" s="6" t="s">
        <v>4466</v>
      </c>
      <c r="C1870" s="6">
        <v>152</v>
      </c>
      <c r="D1870" s="6" t="str">
        <f>HYPERLINK("https://rmda.kulib.kyoto-u.ac.jp/item/rb00003883#?c=0&amp;m=0&amp;s=0&amp;cv=151")</f>
        <v>https://rmda.kulib.kyoto-u.ac.jp/item/rb00003883#?c=0&amp;m=0&amp;s=0&amp;cv=151</v>
      </c>
      <c r="F1870">
        <v>136</v>
      </c>
    </row>
    <row r="1871" spans="1:6" x14ac:dyDescent="0.15">
      <c r="A1871" s="6" t="s">
        <v>2199</v>
      </c>
      <c r="B1871" s="6" t="s">
        <v>4282</v>
      </c>
      <c r="C1871" s="6">
        <v>152</v>
      </c>
      <c r="D1871" s="6" t="str">
        <f>HYPERLINK("https://rmda.kulib.kyoto-u.ac.jp/item/rb00003883#?c=0&amp;m=0&amp;s=0&amp;cv=151")</f>
        <v>https://rmda.kulib.kyoto-u.ac.jp/item/rb00003883#?c=0&amp;m=0&amp;s=0&amp;cv=151</v>
      </c>
      <c r="F1871">
        <v>136</v>
      </c>
    </row>
    <row r="1872" spans="1:6" x14ac:dyDescent="0.15">
      <c r="A1872" s="6" t="s">
        <v>2199</v>
      </c>
      <c r="B1872" s="6" t="s">
        <v>4283</v>
      </c>
      <c r="C1872" s="6">
        <v>153</v>
      </c>
      <c r="D1872" s="6" t="str">
        <f>HYPERLINK("https://rmda.kulib.kyoto-u.ac.jp/item/rb00003883#?c=0&amp;m=0&amp;s=0&amp;cv=152")</f>
        <v>https://rmda.kulib.kyoto-u.ac.jp/item/rb00003883#?c=0&amp;m=0&amp;s=0&amp;cv=152</v>
      </c>
      <c r="F1872">
        <v>137</v>
      </c>
    </row>
    <row r="1873" spans="1:6" x14ac:dyDescent="0.15">
      <c r="A1873" s="6" t="s">
        <v>2199</v>
      </c>
      <c r="B1873" s="63" t="s">
        <v>5529</v>
      </c>
      <c r="C1873" s="6">
        <v>153</v>
      </c>
      <c r="D1873" s="6" t="str">
        <f>HYPERLINK("https://rmda.kulib.kyoto-u.ac.jp/item/rb00003883#?c=0&amp;m=0&amp;s=0&amp;cv=152")</f>
        <v>https://rmda.kulib.kyoto-u.ac.jp/item/rb00003883#?c=0&amp;m=0&amp;s=0&amp;cv=152</v>
      </c>
    </row>
    <row r="1874" spans="1:6" x14ac:dyDescent="0.15">
      <c r="A1874" s="6" t="s">
        <v>2199</v>
      </c>
      <c r="B1874" s="6" t="s">
        <v>2282</v>
      </c>
      <c r="C1874" s="6">
        <v>153</v>
      </c>
      <c r="D1874" s="6" t="str">
        <f>HYPERLINK("https://rmda.kulib.kyoto-u.ac.jp/item/rb00003883#?c=0&amp;m=0&amp;s=0&amp;cv=152")</f>
        <v>https://rmda.kulib.kyoto-u.ac.jp/item/rb00003883#?c=0&amp;m=0&amp;s=0&amp;cv=152</v>
      </c>
      <c r="F1874">
        <v>138</v>
      </c>
    </row>
    <row r="1875" spans="1:6" x14ac:dyDescent="0.15">
      <c r="A1875" s="6" t="s">
        <v>2199</v>
      </c>
      <c r="B1875" s="6" t="s">
        <v>4274</v>
      </c>
      <c r="C1875" s="6">
        <v>154</v>
      </c>
      <c r="D1875" s="6" t="str">
        <f>HYPERLINK("https://rmda.kulib.kyoto-u.ac.jp/item/rb00003883#?c=0&amp;m=0&amp;s=0&amp;cv=153")</f>
        <v>https://rmda.kulib.kyoto-u.ac.jp/item/rb00003883#?c=0&amp;m=0&amp;s=0&amp;cv=153</v>
      </c>
      <c r="F1875">
        <v>138</v>
      </c>
    </row>
    <row r="1876" spans="1:6" x14ac:dyDescent="0.15">
      <c r="A1876" s="6" t="s">
        <v>2199</v>
      </c>
      <c r="B1876" s="6" t="s">
        <v>1745</v>
      </c>
      <c r="C1876" s="6">
        <v>154</v>
      </c>
      <c r="D1876" s="6" t="str">
        <f>HYPERLINK("https://rmda.kulib.kyoto-u.ac.jp/item/rb00003883#?c=0&amp;m=0&amp;s=0&amp;cv=153")</f>
        <v>https://rmda.kulib.kyoto-u.ac.jp/item/rb00003883#?c=0&amp;m=0&amp;s=0&amp;cv=153</v>
      </c>
      <c r="F1876">
        <v>138</v>
      </c>
    </row>
    <row r="1877" spans="1:6" x14ac:dyDescent="0.15">
      <c r="A1877" s="6" t="s">
        <v>2199</v>
      </c>
      <c r="B1877" s="6" t="s">
        <v>4467</v>
      </c>
      <c r="C1877" s="6">
        <v>154</v>
      </c>
      <c r="D1877" s="6" t="str">
        <f>HYPERLINK("https://rmda.kulib.kyoto-u.ac.jp/item/rb00003883#?c=0&amp;m=0&amp;s=0&amp;cv=153")</f>
        <v>https://rmda.kulib.kyoto-u.ac.jp/item/rb00003883#?c=0&amp;m=0&amp;s=0&amp;cv=153</v>
      </c>
      <c r="F1877">
        <v>139</v>
      </c>
    </row>
    <row r="1878" spans="1:6" x14ac:dyDescent="0.15">
      <c r="A1878" s="6" t="s">
        <v>2199</v>
      </c>
      <c r="B1878" s="6" t="s">
        <v>4284</v>
      </c>
      <c r="C1878" s="6">
        <v>155</v>
      </c>
      <c r="D1878" s="6" t="str">
        <f>HYPERLINK("https://rmda.kulib.kyoto-u.ac.jp/item/rb00003883#?c=0&amp;m=0&amp;s=0&amp;cv=154")</f>
        <v>https://rmda.kulib.kyoto-u.ac.jp/item/rb00003883#?c=0&amp;m=0&amp;s=0&amp;cv=154</v>
      </c>
      <c r="F1878">
        <v>139</v>
      </c>
    </row>
    <row r="1879" spans="1:6" x14ac:dyDescent="0.15">
      <c r="A1879" s="6" t="s">
        <v>2199</v>
      </c>
      <c r="B1879" s="6" t="s">
        <v>4468</v>
      </c>
      <c r="C1879" s="6">
        <v>155</v>
      </c>
      <c r="D1879" s="6" t="str">
        <f>HYPERLINK("https://rmda.kulib.kyoto-u.ac.jp/item/rb00003883#?c=0&amp;m=0&amp;s=0&amp;cv=154")</f>
        <v>https://rmda.kulib.kyoto-u.ac.jp/item/rb00003883#?c=0&amp;m=0&amp;s=0&amp;cv=154</v>
      </c>
      <c r="F1879">
        <v>140</v>
      </c>
    </row>
    <row r="1880" spans="1:6" x14ac:dyDescent="0.15">
      <c r="A1880" s="6" t="s">
        <v>2199</v>
      </c>
      <c r="B1880" s="6" t="s">
        <v>2170</v>
      </c>
      <c r="C1880" s="6">
        <v>156</v>
      </c>
      <c r="D1880" s="6" t="str">
        <f>HYPERLINK("https://rmda.kulib.kyoto-u.ac.jp/item/rb00003883#?c=0&amp;m=0&amp;s=0&amp;cv=155")</f>
        <v>https://rmda.kulib.kyoto-u.ac.jp/item/rb00003883#?c=0&amp;m=0&amp;s=0&amp;cv=155</v>
      </c>
      <c r="F1880">
        <v>141</v>
      </c>
    </row>
    <row r="1881" spans="1:6" x14ac:dyDescent="0.15">
      <c r="A1881" s="6" t="s">
        <v>2199</v>
      </c>
      <c r="B1881" s="6" t="s">
        <v>2294</v>
      </c>
      <c r="C1881" s="6">
        <v>156</v>
      </c>
      <c r="D1881" s="6" t="str">
        <f>HYPERLINK("https://rmda.kulib.kyoto-u.ac.jp/item/rb00003883#?c=0&amp;m=0&amp;s=0&amp;cv=155")</f>
        <v>https://rmda.kulib.kyoto-u.ac.jp/item/rb00003883#?c=0&amp;m=0&amp;s=0&amp;cv=155</v>
      </c>
      <c r="F1881">
        <v>141</v>
      </c>
    </row>
    <row r="1882" spans="1:6" x14ac:dyDescent="0.15">
      <c r="A1882" s="6" t="s">
        <v>2199</v>
      </c>
      <c r="B1882" s="6" t="s">
        <v>2288</v>
      </c>
      <c r="C1882" s="6">
        <v>156</v>
      </c>
      <c r="D1882" s="6" t="str">
        <f>HYPERLINK("https://rmda.kulib.kyoto-u.ac.jp/item/rb00003883#?c=0&amp;m=0&amp;s=0&amp;cv=155")</f>
        <v>https://rmda.kulib.kyoto-u.ac.jp/item/rb00003883#?c=0&amp;m=0&amp;s=0&amp;cv=155</v>
      </c>
      <c r="F1882">
        <v>141</v>
      </c>
    </row>
    <row r="1883" spans="1:6" x14ac:dyDescent="0.15">
      <c r="A1883" s="6" t="s">
        <v>2199</v>
      </c>
      <c r="B1883" s="6" t="s">
        <v>4285</v>
      </c>
      <c r="C1883" s="6">
        <v>157</v>
      </c>
      <c r="D1883" s="6" t="str">
        <f>HYPERLINK("https://rmda.kulib.kyoto-u.ac.jp/item/rb00003883#?c=0&amp;m=0&amp;s=0&amp;cv=156")</f>
        <v>https://rmda.kulib.kyoto-u.ac.jp/item/rb00003883#?c=0&amp;m=0&amp;s=0&amp;cv=156</v>
      </c>
      <c r="F1883">
        <v>142</v>
      </c>
    </row>
    <row r="1884" spans="1:6" x14ac:dyDescent="0.15">
      <c r="A1884" s="6" t="s">
        <v>2199</v>
      </c>
      <c r="B1884" s="6" t="s">
        <v>2295</v>
      </c>
      <c r="C1884" s="6">
        <v>157</v>
      </c>
      <c r="D1884" s="6" t="str">
        <f>HYPERLINK("https://rmda.kulib.kyoto-u.ac.jp/item/rb00003883#?c=0&amp;m=0&amp;s=0&amp;cv=156")</f>
        <v>https://rmda.kulib.kyoto-u.ac.jp/item/rb00003883#?c=0&amp;m=0&amp;s=0&amp;cv=156</v>
      </c>
      <c r="F1884">
        <v>142</v>
      </c>
    </row>
    <row r="1885" spans="1:6" x14ac:dyDescent="0.15">
      <c r="A1885" s="6" t="s">
        <v>2199</v>
      </c>
      <c r="B1885" s="6" t="s">
        <v>2296</v>
      </c>
      <c r="C1885" s="6">
        <v>158</v>
      </c>
      <c r="D1885" s="6" t="str">
        <f>HYPERLINK("https://rmda.kulib.kyoto-u.ac.jp/item/rb00003883#?c=0&amp;m=0&amp;s=0&amp;cv=157")</f>
        <v>https://rmda.kulib.kyoto-u.ac.jp/item/rb00003883#?c=0&amp;m=0&amp;s=0&amp;cv=157</v>
      </c>
      <c r="F1885">
        <v>143</v>
      </c>
    </row>
    <row r="1886" spans="1:6" x14ac:dyDescent="0.15">
      <c r="A1886" s="6" t="s">
        <v>2199</v>
      </c>
      <c r="B1886" s="6" t="s">
        <v>2297</v>
      </c>
      <c r="C1886" s="6">
        <v>158</v>
      </c>
      <c r="D1886" s="6" t="str">
        <f>HYPERLINK("https://rmda.kulib.kyoto-u.ac.jp/item/rb00003883#?c=0&amp;m=0&amp;s=0&amp;cv=157")</f>
        <v>https://rmda.kulib.kyoto-u.ac.jp/item/rb00003883#?c=0&amp;m=0&amp;s=0&amp;cv=157</v>
      </c>
      <c r="F1886">
        <v>144</v>
      </c>
    </row>
    <row r="1887" spans="1:6" x14ac:dyDescent="0.15">
      <c r="A1887" s="6" t="s">
        <v>2199</v>
      </c>
      <c r="B1887" s="6" t="s">
        <v>4286</v>
      </c>
      <c r="C1887" s="6">
        <v>159</v>
      </c>
      <c r="D1887" s="6" t="str">
        <f>HYPERLINK("https://rmda.kulib.kyoto-u.ac.jp/item/rb00003883#?c=0&amp;m=0&amp;s=0&amp;cv=158")</f>
        <v>https://rmda.kulib.kyoto-u.ac.jp/item/rb00003883#?c=0&amp;m=0&amp;s=0&amp;cv=158</v>
      </c>
      <c r="F1887">
        <v>144</v>
      </c>
    </row>
    <row r="1888" spans="1:6" x14ac:dyDescent="0.15">
      <c r="A1888" s="6" t="s">
        <v>2199</v>
      </c>
      <c r="B1888" s="6" t="s">
        <v>2298</v>
      </c>
      <c r="C1888" s="6">
        <v>160</v>
      </c>
      <c r="D1888" s="6" t="str">
        <f>HYPERLINK("https://rmda.kulib.kyoto-u.ac.jp/item/rb00003883#?c=0&amp;m=0&amp;s=0&amp;cv=159")</f>
        <v>https://rmda.kulib.kyoto-u.ac.jp/item/rb00003883#?c=0&amp;m=0&amp;s=0&amp;cv=159</v>
      </c>
      <c r="F1888">
        <v>145</v>
      </c>
    </row>
    <row r="1889" spans="1:6" x14ac:dyDescent="0.15">
      <c r="A1889" s="6" t="s">
        <v>2199</v>
      </c>
      <c r="B1889" s="6" t="s">
        <v>2300</v>
      </c>
      <c r="C1889" s="6">
        <v>160</v>
      </c>
      <c r="D1889" s="6" t="str">
        <f>HYPERLINK("https://rmda.kulib.kyoto-u.ac.jp/item/rb00003883#?c=0&amp;m=0&amp;s=0&amp;cv=159")</f>
        <v>https://rmda.kulib.kyoto-u.ac.jp/item/rb00003883#?c=0&amp;m=0&amp;s=0&amp;cv=159</v>
      </c>
      <c r="F1889">
        <v>146</v>
      </c>
    </row>
    <row r="1890" spans="1:6" x14ac:dyDescent="0.15">
      <c r="A1890" s="6" t="s">
        <v>2199</v>
      </c>
      <c r="B1890" s="6" t="s">
        <v>2299</v>
      </c>
      <c r="C1890" s="6">
        <v>160</v>
      </c>
      <c r="D1890" s="6" t="str">
        <f>HYPERLINK("https://rmda.kulib.kyoto-u.ac.jp/item/rb00003883#?c=0&amp;m=0&amp;s=0&amp;cv=159")</f>
        <v>https://rmda.kulib.kyoto-u.ac.jp/item/rb00003883#?c=0&amp;m=0&amp;s=0&amp;cv=159</v>
      </c>
      <c r="F1890">
        <v>146</v>
      </c>
    </row>
    <row r="1891" spans="1:6" x14ac:dyDescent="0.15">
      <c r="A1891" s="6" t="s">
        <v>2199</v>
      </c>
      <c r="B1891" s="6" t="s">
        <v>4287</v>
      </c>
      <c r="C1891" s="6">
        <v>161</v>
      </c>
      <c r="D1891" s="6" t="str">
        <f>HYPERLINK("https://rmda.kulib.kyoto-u.ac.jp/item/rb00003883#?c=0&amp;m=0&amp;s=0&amp;cv=160")</f>
        <v>https://rmda.kulib.kyoto-u.ac.jp/item/rb00003883#?c=0&amp;m=0&amp;s=0&amp;cv=160</v>
      </c>
      <c r="F1891" t="s">
        <v>5523</v>
      </c>
    </row>
    <row r="1892" spans="1:6" x14ac:dyDescent="0.15">
      <c r="A1892" s="6" t="s">
        <v>2199</v>
      </c>
      <c r="B1892" s="6" t="s">
        <v>4288</v>
      </c>
      <c r="C1892" s="6">
        <v>161</v>
      </c>
      <c r="D1892" s="6" t="str">
        <f>HYPERLINK("https://rmda.kulib.kyoto-u.ac.jp/item/rb00003883#?c=0&amp;m=0&amp;s=0&amp;cv=160")</f>
        <v>https://rmda.kulib.kyoto-u.ac.jp/item/rb00003883#?c=0&amp;m=0&amp;s=0&amp;cv=160</v>
      </c>
      <c r="F1892">
        <v>147</v>
      </c>
    </row>
    <row r="1893" spans="1:6" x14ac:dyDescent="0.15">
      <c r="A1893" s="6" t="s">
        <v>2199</v>
      </c>
      <c r="B1893" s="6" t="s">
        <v>2144</v>
      </c>
      <c r="C1893" s="6">
        <v>161</v>
      </c>
      <c r="D1893" s="6" t="str">
        <f>HYPERLINK("https://rmda.kulib.kyoto-u.ac.jp/item/rb00003883#?c=0&amp;m=0&amp;s=0&amp;cv=160")</f>
        <v>https://rmda.kulib.kyoto-u.ac.jp/item/rb00003883#?c=0&amp;m=0&amp;s=0&amp;cv=160</v>
      </c>
      <c r="F1893">
        <v>147</v>
      </c>
    </row>
    <row r="1894" spans="1:6" x14ac:dyDescent="0.15">
      <c r="A1894" s="6" t="s">
        <v>2199</v>
      </c>
      <c r="B1894" s="6" t="s">
        <v>4471</v>
      </c>
      <c r="C1894" s="6">
        <v>161</v>
      </c>
      <c r="D1894" s="6" t="str">
        <f>HYPERLINK("https://rmda.kulib.kyoto-u.ac.jp/item/rb00003883#?c=0&amp;m=0&amp;s=0&amp;cv=160")</f>
        <v>https://rmda.kulib.kyoto-u.ac.jp/item/rb00003883#?c=0&amp;m=0&amp;s=0&amp;cv=160</v>
      </c>
      <c r="F1894">
        <v>147</v>
      </c>
    </row>
    <row r="1895" spans="1:6" x14ac:dyDescent="0.15">
      <c r="A1895" s="6" t="s">
        <v>2199</v>
      </c>
      <c r="B1895" s="72" t="s">
        <v>2301</v>
      </c>
      <c r="C1895" s="6">
        <v>165</v>
      </c>
      <c r="D1895" s="6" t="str">
        <f>HYPERLINK("https://rmda.kulib.kyoto-u.ac.jp/item/rb00003883#?c=0&amp;m=0&amp;s=0&amp;cv=164")</f>
        <v>https://rmda.kulib.kyoto-u.ac.jp/item/rb00003883#?c=0&amp;m=0&amp;s=0&amp;cv=164</v>
      </c>
      <c r="F1895">
        <v>151</v>
      </c>
    </row>
    <row r="1896" spans="1:6" x14ac:dyDescent="0.15">
      <c r="A1896" s="6" t="s">
        <v>2199</v>
      </c>
      <c r="B1896" s="63" t="s">
        <v>4483</v>
      </c>
      <c r="C1896" s="6">
        <v>165</v>
      </c>
      <c r="D1896" s="6" t="str">
        <f>HYPERLINK("https://rmda.kulib.kyoto-u.ac.jp/item/rb00003883#?c=0&amp;m=0&amp;s=0&amp;cv=164")</f>
        <v>https://rmda.kulib.kyoto-u.ac.jp/item/rb00003883#?c=0&amp;m=0&amp;s=0&amp;cv=164</v>
      </c>
      <c r="F1896">
        <v>151</v>
      </c>
    </row>
    <row r="1897" spans="1:6" x14ac:dyDescent="0.15">
      <c r="A1897" s="6" t="s">
        <v>2199</v>
      </c>
      <c r="B1897" s="6" t="s">
        <v>4472</v>
      </c>
      <c r="C1897" s="6">
        <v>165</v>
      </c>
      <c r="D1897" s="6" t="str">
        <f>HYPERLINK("https://rmda.kulib.kyoto-u.ac.jp/item/rb00003883#?c=0&amp;m=0&amp;s=0&amp;cv=164")</f>
        <v>https://rmda.kulib.kyoto-u.ac.jp/item/rb00003883#?c=0&amp;m=0&amp;s=0&amp;cv=164</v>
      </c>
      <c r="F1897">
        <v>151</v>
      </c>
    </row>
    <row r="1898" spans="1:6" x14ac:dyDescent="0.15">
      <c r="A1898" s="6" t="s">
        <v>2199</v>
      </c>
      <c r="B1898" s="6" t="s">
        <v>4289</v>
      </c>
      <c r="C1898" s="6">
        <v>166</v>
      </c>
      <c r="D1898" s="6" t="str">
        <f>HYPERLINK("https://rmda.kulib.kyoto-u.ac.jp/item/rb00003883#?c=0&amp;m=0&amp;s=0&amp;cv=165")</f>
        <v>https://rmda.kulib.kyoto-u.ac.jp/item/rb00003883#?c=0&amp;m=0&amp;s=0&amp;cv=165</v>
      </c>
      <c r="F1898">
        <v>152</v>
      </c>
    </row>
    <row r="1899" spans="1:6" x14ac:dyDescent="0.15">
      <c r="A1899" s="6" t="s">
        <v>2199</v>
      </c>
      <c r="B1899" s="6" t="s">
        <v>4290</v>
      </c>
      <c r="C1899" s="6">
        <v>166</v>
      </c>
      <c r="D1899" s="6" t="str">
        <f>HYPERLINK("https://rmda.kulib.kyoto-u.ac.jp/item/rb00003883#?c=0&amp;m=0&amp;s=0&amp;cv=165")</f>
        <v>https://rmda.kulib.kyoto-u.ac.jp/item/rb00003883#?c=0&amp;m=0&amp;s=0&amp;cv=165</v>
      </c>
      <c r="F1899">
        <v>152</v>
      </c>
    </row>
    <row r="1900" spans="1:6" x14ac:dyDescent="0.15">
      <c r="A1900" s="6" t="s">
        <v>2199</v>
      </c>
      <c r="B1900" s="6" t="s">
        <v>4291</v>
      </c>
      <c r="C1900" s="6">
        <v>166</v>
      </c>
      <c r="D1900" s="6" t="str">
        <f>HYPERLINK("https://rmda.kulib.kyoto-u.ac.jp/item/rb00003883#?c=0&amp;m=0&amp;s=0&amp;cv=165")</f>
        <v>https://rmda.kulib.kyoto-u.ac.jp/item/rb00003883#?c=0&amp;m=0&amp;s=0&amp;cv=165</v>
      </c>
      <c r="F1900">
        <v>152</v>
      </c>
    </row>
    <row r="1901" spans="1:6" x14ac:dyDescent="0.15">
      <c r="A1901" s="6" t="s">
        <v>2199</v>
      </c>
      <c r="B1901" s="6" t="s">
        <v>4292</v>
      </c>
      <c r="C1901" s="6">
        <v>167</v>
      </c>
      <c r="D1901" s="6" t="str">
        <f>HYPERLINK("https://rmda.kulib.kyoto-u.ac.jp/item/rb00003883#?c=0&amp;m=0&amp;s=0&amp;cv=166")</f>
        <v>https://rmda.kulib.kyoto-u.ac.jp/item/rb00003883#?c=0&amp;m=0&amp;s=0&amp;cv=166</v>
      </c>
      <c r="F1901">
        <v>153</v>
      </c>
    </row>
    <row r="1902" spans="1:6" x14ac:dyDescent="0.15">
      <c r="A1902" s="6" t="s">
        <v>2199</v>
      </c>
      <c r="B1902" s="6" t="s">
        <v>4293</v>
      </c>
      <c r="C1902" s="6">
        <v>167</v>
      </c>
      <c r="D1902" s="6" t="str">
        <f>HYPERLINK("https://rmda.kulib.kyoto-u.ac.jp/item/rb00003883#?c=0&amp;m=0&amp;s=0&amp;cv=166")</f>
        <v>https://rmda.kulib.kyoto-u.ac.jp/item/rb00003883#?c=0&amp;m=0&amp;s=0&amp;cv=166</v>
      </c>
      <c r="F1902">
        <v>153</v>
      </c>
    </row>
    <row r="1903" spans="1:6" x14ac:dyDescent="0.15">
      <c r="A1903" s="6" t="s">
        <v>2199</v>
      </c>
      <c r="B1903" s="6" t="s">
        <v>4294</v>
      </c>
      <c r="C1903" s="6">
        <v>167</v>
      </c>
      <c r="D1903" s="6" t="str">
        <f>HYPERLINK("https://rmda.kulib.kyoto-u.ac.jp/item/rb00003883#?c=0&amp;m=0&amp;s=0&amp;cv=166")</f>
        <v>https://rmda.kulib.kyoto-u.ac.jp/item/rb00003883#?c=0&amp;m=0&amp;s=0&amp;cv=166</v>
      </c>
      <c r="F1903">
        <v>153</v>
      </c>
    </row>
    <row r="1904" spans="1:6" x14ac:dyDescent="0.15">
      <c r="A1904" s="6" t="s">
        <v>2199</v>
      </c>
      <c r="B1904" s="6" t="s">
        <v>2056</v>
      </c>
      <c r="C1904" s="6">
        <v>167</v>
      </c>
      <c r="D1904" s="6" t="str">
        <f>HYPERLINK("https://rmda.kulib.kyoto-u.ac.jp/item/rb00003883#?c=0&amp;m=0&amp;s=0&amp;cv=166")</f>
        <v>https://rmda.kulib.kyoto-u.ac.jp/item/rb00003883#?c=0&amp;m=0&amp;s=0&amp;cv=166</v>
      </c>
      <c r="F1904">
        <v>154</v>
      </c>
    </row>
    <row r="1905" spans="1:6" x14ac:dyDescent="0.15">
      <c r="A1905" s="6" t="s">
        <v>2199</v>
      </c>
      <c r="B1905" s="6" t="s">
        <v>4295</v>
      </c>
      <c r="C1905" s="6">
        <v>168</v>
      </c>
      <c r="D1905" s="6" t="str">
        <f>HYPERLINK("https://rmda.kulib.kyoto-u.ac.jp/item/rb00003883#?c=0&amp;m=0&amp;s=0&amp;cv=167")</f>
        <v>https://rmda.kulib.kyoto-u.ac.jp/item/rb00003883#?c=0&amp;m=0&amp;s=0&amp;cv=167</v>
      </c>
      <c r="F1905">
        <v>154</v>
      </c>
    </row>
    <row r="1906" spans="1:6" x14ac:dyDescent="0.15">
      <c r="A1906" s="6" t="s">
        <v>2199</v>
      </c>
      <c r="B1906" s="6" t="s">
        <v>4296</v>
      </c>
      <c r="C1906" s="6">
        <v>168</v>
      </c>
      <c r="D1906" s="6" t="str">
        <f>HYPERLINK("https://rmda.kulib.kyoto-u.ac.jp/item/rb00003883#?c=0&amp;m=0&amp;s=0&amp;cv=167")</f>
        <v>https://rmda.kulib.kyoto-u.ac.jp/item/rb00003883#?c=0&amp;m=0&amp;s=0&amp;cv=167</v>
      </c>
      <c r="F1906">
        <v>154</v>
      </c>
    </row>
    <row r="1907" spans="1:6" x14ac:dyDescent="0.15">
      <c r="A1907" s="6" t="s">
        <v>2199</v>
      </c>
      <c r="B1907" s="6" t="s">
        <v>4297</v>
      </c>
      <c r="C1907" s="6">
        <v>168</v>
      </c>
      <c r="D1907" s="6" t="str">
        <f>HYPERLINK("https://rmda.kulib.kyoto-u.ac.jp/item/rb00003883#?c=0&amp;m=0&amp;s=0&amp;cv=167")</f>
        <v>https://rmda.kulib.kyoto-u.ac.jp/item/rb00003883#?c=0&amp;m=0&amp;s=0&amp;cv=167</v>
      </c>
      <c r="F1907">
        <v>155</v>
      </c>
    </row>
    <row r="1908" spans="1:6" x14ac:dyDescent="0.15">
      <c r="A1908" s="6" t="s">
        <v>2199</v>
      </c>
      <c r="B1908" s="6" t="s">
        <v>4298</v>
      </c>
      <c r="C1908" s="6">
        <v>169</v>
      </c>
      <c r="D1908" s="6" t="str">
        <f>HYPERLINK("https://rmda.kulib.kyoto-u.ac.jp/item/rb00003883#?c=0&amp;m=0&amp;s=0&amp;cv=168")</f>
        <v>https://rmda.kulib.kyoto-u.ac.jp/item/rb00003883#?c=0&amp;m=0&amp;s=0&amp;cv=168</v>
      </c>
      <c r="F1908">
        <v>155</v>
      </c>
    </row>
    <row r="1909" spans="1:6" x14ac:dyDescent="0.15">
      <c r="A1909" s="6" t="s">
        <v>2199</v>
      </c>
      <c r="B1909" s="6" t="s">
        <v>1859</v>
      </c>
      <c r="C1909" s="6">
        <v>169</v>
      </c>
      <c r="D1909" s="6" t="str">
        <f>HYPERLINK("https://rmda.kulib.kyoto-u.ac.jp/item/rb00003883#?c=0&amp;m=0&amp;s=0&amp;cv=168")</f>
        <v>https://rmda.kulib.kyoto-u.ac.jp/item/rb00003883#?c=0&amp;m=0&amp;s=0&amp;cv=168</v>
      </c>
      <c r="F1909">
        <v>156</v>
      </c>
    </row>
    <row r="1910" spans="1:6" x14ac:dyDescent="0.15">
      <c r="A1910" s="6" t="s">
        <v>2199</v>
      </c>
      <c r="B1910" s="6" t="s">
        <v>5978</v>
      </c>
      <c r="C1910" s="6">
        <v>170</v>
      </c>
      <c r="D1910" s="6" t="str">
        <f>HYPERLINK("https://rmda.kulib.kyoto-u.ac.jp/item/rb00003883#?c=0&amp;m=0&amp;s=0&amp;cv=169")</f>
        <v>https://rmda.kulib.kyoto-u.ac.jp/item/rb00003883#?c=0&amp;m=0&amp;s=0&amp;cv=169</v>
      </c>
      <c r="F1910">
        <v>156</v>
      </c>
    </row>
    <row r="1911" spans="1:6" x14ac:dyDescent="0.15">
      <c r="A1911" s="6" t="s">
        <v>2199</v>
      </c>
      <c r="B1911" s="6" t="s">
        <v>1857</v>
      </c>
      <c r="C1911" s="6">
        <v>170</v>
      </c>
      <c r="D1911" s="6" t="str">
        <f>HYPERLINK("https://rmda.kulib.kyoto-u.ac.jp/item/rb00003883#?c=0&amp;m=0&amp;s=0&amp;cv=169")</f>
        <v>https://rmda.kulib.kyoto-u.ac.jp/item/rb00003883#?c=0&amp;m=0&amp;s=0&amp;cv=169</v>
      </c>
      <c r="F1911">
        <v>157</v>
      </c>
    </row>
    <row r="1912" spans="1:6" x14ac:dyDescent="0.15">
      <c r="A1912" s="6" t="s">
        <v>2199</v>
      </c>
      <c r="B1912" s="6" t="s">
        <v>4299</v>
      </c>
      <c r="C1912" s="6">
        <v>170</v>
      </c>
      <c r="D1912" s="6" t="str">
        <f>HYPERLINK("https://rmda.kulib.kyoto-u.ac.jp/item/rb00003883#?c=0&amp;m=0&amp;s=0&amp;cv=169")</f>
        <v>https://rmda.kulib.kyoto-u.ac.jp/item/rb00003883#?c=0&amp;m=0&amp;s=0&amp;cv=169</v>
      </c>
      <c r="F1912">
        <v>157</v>
      </c>
    </row>
    <row r="1913" spans="1:6" x14ac:dyDescent="0.15">
      <c r="A1913" s="6" t="s">
        <v>2199</v>
      </c>
      <c r="B1913" s="6" t="s">
        <v>1575</v>
      </c>
      <c r="C1913" s="6">
        <v>171</v>
      </c>
      <c r="D1913" s="6" t="str">
        <f>HYPERLINK("https://rmda.kulib.kyoto-u.ac.jp/item/rb00003883#?c=0&amp;m=0&amp;s=0&amp;cv=170")</f>
        <v>https://rmda.kulib.kyoto-u.ac.jp/item/rb00003883#?c=0&amp;m=0&amp;s=0&amp;cv=170</v>
      </c>
      <c r="F1913">
        <v>157</v>
      </c>
    </row>
    <row r="1914" spans="1:6" x14ac:dyDescent="0.15">
      <c r="A1914" s="6" t="s">
        <v>2199</v>
      </c>
      <c r="B1914" s="63" t="s">
        <v>5528</v>
      </c>
      <c r="C1914" s="6">
        <v>171</v>
      </c>
      <c r="D1914" s="6" t="str">
        <f>HYPERLINK("https://rmda.kulib.kyoto-u.ac.jp/item/rb00003883#?c=0&amp;m=0&amp;s=0&amp;cv=170")</f>
        <v>https://rmda.kulib.kyoto-u.ac.jp/item/rb00003883#?c=0&amp;m=0&amp;s=0&amp;cv=170</v>
      </c>
    </row>
    <row r="1915" spans="1:6" x14ac:dyDescent="0.15">
      <c r="A1915" s="6" t="s">
        <v>2199</v>
      </c>
      <c r="B1915" s="6" t="s">
        <v>2302</v>
      </c>
      <c r="C1915" s="6">
        <v>171</v>
      </c>
      <c r="D1915" s="6" t="str">
        <f>HYPERLINK("https://rmda.kulib.kyoto-u.ac.jp/item/rb00003883#?c=0&amp;m=0&amp;s=0&amp;cv=170")</f>
        <v>https://rmda.kulib.kyoto-u.ac.jp/item/rb00003883#?c=0&amp;m=0&amp;s=0&amp;cv=170</v>
      </c>
      <c r="F1915">
        <v>158</v>
      </c>
    </row>
    <row r="1916" spans="1:6" x14ac:dyDescent="0.15">
      <c r="A1916" s="6" t="s">
        <v>2199</v>
      </c>
      <c r="B1916" s="6" t="s">
        <v>2303</v>
      </c>
      <c r="C1916" s="6">
        <v>171</v>
      </c>
      <c r="D1916" s="6" t="str">
        <f>HYPERLINK("https://rmda.kulib.kyoto-u.ac.jp/item/rb00003883#?c=0&amp;m=0&amp;s=0&amp;cv=170")</f>
        <v>https://rmda.kulib.kyoto-u.ac.jp/item/rb00003883#?c=0&amp;m=0&amp;s=0&amp;cv=170</v>
      </c>
      <c r="F1916">
        <v>158</v>
      </c>
    </row>
    <row r="1917" spans="1:6" x14ac:dyDescent="0.15">
      <c r="A1917" s="6" t="s">
        <v>2199</v>
      </c>
      <c r="B1917" s="63" t="s">
        <v>5530</v>
      </c>
      <c r="C1917" s="6">
        <v>171</v>
      </c>
      <c r="D1917" s="6" t="str">
        <f>HYPERLINK("https://rmda.kulib.kyoto-u.ac.jp/item/rb00003883#?c=0&amp;m=0&amp;s=0&amp;cv=170")</f>
        <v>https://rmda.kulib.kyoto-u.ac.jp/item/rb00003883#?c=0&amp;m=0&amp;s=0&amp;cv=170</v>
      </c>
    </row>
    <row r="1918" spans="1:6" x14ac:dyDescent="0.15">
      <c r="A1918" s="6" t="s">
        <v>2199</v>
      </c>
      <c r="B1918" s="6" t="s">
        <v>2005</v>
      </c>
      <c r="C1918" s="6">
        <v>172</v>
      </c>
      <c r="D1918" s="6" t="str">
        <f>HYPERLINK("https://rmda.kulib.kyoto-u.ac.jp/item/rb00003883#?c=0&amp;m=0&amp;s=0&amp;cv=171")</f>
        <v>https://rmda.kulib.kyoto-u.ac.jp/item/rb00003883#?c=0&amp;m=0&amp;s=0&amp;cv=171</v>
      </c>
      <c r="F1918">
        <v>158</v>
      </c>
    </row>
    <row r="1919" spans="1:6" x14ac:dyDescent="0.15">
      <c r="A1919" s="6" t="s">
        <v>2199</v>
      </c>
      <c r="B1919" s="6" t="s">
        <v>4300</v>
      </c>
      <c r="C1919" s="6">
        <v>172</v>
      </c>
      <c r="D1919" s="6" t="str">
        <f>HYPERLINK("https://rmda.kulib.kyoto-u.ac.jp/item/rb00003883#?c=0&amp;m=0&amp;s=0&amp;cv=171")</f>
        <v>https://rmda.kulib.kyoto-u.ac.jp/item/rb00003883#?c=0&amp;m=0&amp;s=0&amp;cv=171</v>
      </c>
      <c r="F1919">
        <v>159</v>
      </c>
    </row>
    <row r="1920" spans="1:6" x14ac:dyDescent="0.15">
      <c r="A1920" s="6" t="s">
        <v>2199</v>
      </c>
      <c r="B1920" s="6" t="s">
        <v>4301</v>
      </c>
      <c r="C1920" s="6">
        <v>172</v>
      </c>
      <c r="D1920" s="6" t="str">
        <f>HYPERLINK("https://rmda.kulib.kyoto-u.ac.jp/item/rb00003883#?c=0&amp;m=0&amp;s=0&amp;cv=171")</f>
        <v>https://rmda.kulib.kyoto-u.ac.jp/item/rb00003883#?c=0&amp;m=0&amp;s=0&amp;cv=171</v>
      </c>
      <c r="F1920">
        <v>159</v>
      </c>
    </row>
    <row r="1921" spans="1:6" x14ac:dyDescent="0.15">
      <c r="A1921" s="6" t="s">
        <v>2199</v>
      </c>
      <c r="B1921" s="6" t="s">
        <v>4302</v>
      </c>
      <c r="C1921" s="6">
        <v>173</v>
      </c>
      <c r="D1921" s="6" t="str">
        <f>HYPERLINK("https://rmda.kulib.kyoto-u.ac.jp/item/rb00003883#?c=0&amp;m=0&amp;s=0&amp;cv=172")</f>
        <v>https://rmda.kulib.kyoto-u.ac.jp/item/rb00003883#?c=0&amp;m=0&amp;s=0&amp;cv=172</v>
      </c>
      <c r="F1921">
        <v>160</v>
      </c>
    </row>
    <row r="1922" spans="1:6" x14ac:dyDescent="0.15">
      <c r="A1922" s="6" t="s">
        <v>2199</v>
      </c>
      <c r="B1922" s="63" t="s">
        <v>5985</v>
      </c>
      <c r="C1922" s="6">
        <v>173</v>
      </c>
      <c r="D1922" s="6" t="str">
        <f>HYPERLINK("https://rmda.kulib.kyoto-u.ac.jp/item/rb00003883#?c=0&amp;m=0&amp;s=0&amp;cv=172")</f>
        <v>https://rmda.kulib.kyoto-u.ac.jp/item/rb00003883#?c=0&amp;m=0&amp;s=0&amp;cv=172</v>
      </c>
    </row>
    <row r="1923" spans="1:6" x14ac:dyDescent="0.15">
      <c r="A1923" s="6" t="s">
        <v>2199</v>
      </c>
      <c r="B1923" s="6" t="s">
        <v>2287</v>
      </c>
      <c r="C1923" s="6">
        <v>173</v>
      </c>
      <c r="D1923" s="6" t="str">
        <f>HYPERLINK("https://rmda.kulib.kyoto-u.ac.jp/item/rb00003883#?c=0&amp;m=0&amp;s=0&amp;cv=172")</f>
        <v>https://rmda.kulib.kyoto-u.ac.jp/item/rb00003883#?c=0&amp;m=0&amp;s=0&amp;cv=172</v>
      </c>
      <c r="F1923">
        <v>160</v>
      </c>
    </row>
    <row r="1924" spans="1:6" x14ac:dyDescent="0.15">
      <c r="A1924" s="6" t="s">
        <v>2199</v>
      </c>
      <c r="B1924" s="6" t="s">
        <v>4303</v>
      </c>
      <c r="C1924" s="6">
        <v>173</v>
      </c>
      <c r="D1924" s="6" t="str">
        <f>HYPERLINK("https://rmda.kulib.kyoto-u.ac.jp/item/rb00003883#?c=0&amp;m=0&amp;s=0&amp;cv=172")</f>
        <v>https://rmda.kulib.kyoto-u.ac.jp/item/rb00003883#?c=0&amp;m=0&amp;s=0&amp;cv=172</v>
      </c>
      <c r="F1924">
        <v>161</v>
      </c>
    </row>
    <row r="1925" spans="1:6" x14ac:dyDescent="0.15">
      <c r="A1925" s="6" t="s">
        <v>2199</v>
      </c>
      <c r="B1925" s="6" t="s">
        <v>4304</v>
      </c>
      <c r="C1925" s="6">
        <v>174</v>
      </c>
      <c r="D1925" s="6" t="str">
        <f>HYPERLINK("https://rmda.kulib.kyoto-u.ac.jp/item/rb00003883#?c=0&amp;m=0&amp;s=0&amp;cv=173")</f>
        <v>https://rmda.kulib.kyoto-u.ac.jp/item/rb00003883#?c=0&amp;m=0&amp;s=0&amp;cv=173</v>
      </c>
      <c r="F1925">
        <v>161</v>
      </c>
    </row>
    <row r="1926" spans="1:6" x14ac:dyDescent="0.15">
      <c r="A1926" s="6" t="s">
        <v>2199</v>
      </c>
      <c r="B1926" s="6" t="s">
        <v>4305</v>
      </c>
      <c r="C1926" s="6">
        <v>174</v>
      </c>
      <c r="D1926" s="6" t="str">
        <f>HYPERLINK("https://rmda.kulib.kyoto-u.ac.jp/item/rb00003883#?c=0&amp;m=0&amp;s=0&amp;cv=173")</f>
        <v>https://rmda.kulib.kyoto-u.ac.jp/item/rb00003883#?c=0&amp;m=0&amp;s=0&amp;cv=173</v>
      </c>
      <c r="F1926">
        <v>162</v>
      </c>
    </row>
    <row r="1927" spans="1:6" x14ac:dyDescent="0.15">
      <c r="A1927" s="6" t="s">
        <v>2199</v>
      </c>
      <c r="B1927" s="6" t="s">
        <v>4306</v>
      </c>
      <c r="C1927" s="6">
        <v>174</v>
      </c>
      <c r="D1927" s="6" t="str">
        <f>HYPERLINK("https://rmda.kulib.kyoto-u.ac.jp/item/rb00003883#?c=0&amp;m=0&amp;s=0&amp;cv=173")</f>
        <v>https://rmda.kulib.kyoto-u.ac.jp/item/rb00003883#?c=0&amp;m=0&amp;s=0&amp;cv=173</v>
      </c>
      <c r="F1927">
        <v>162</v>
      </c>
    </row>
    <row r="1928" spans="1:6" x14ac:dyDescent="0.15">
      <c r="A1928" s="6" t="s">
        <v>2199</v>
      </c>
      <c r="B1928" s="63" t="s">
        <v>5524</v>
      </c>
      <c r="C1928" s="6">
        <v>175</v>
      </c>
      <c r="D1928" s="6" t="str">
        <f>HYPERLINK("https://rmda.kulib.kyoto-u.ac.jp/item/rb00003883#?c=0&amp;m=0&amp;s=0&amp;cv=174")</f>
        <v>https://rmda.kulib.kyoto-u.ac.jp/item/rb00003883#?c=0&amp;m=0&amp;s=0&amp;cv=174</v>
      </c>
    </row>
    <row r="1929" spans="1:6" x14ac:dyDescent="0.15">
      <c r="A1929" s="6" t="s">
        <v>2199</v>
      </c>
      <c r="B1929" s="6" t="s">
        <v>4302</v>
      </c>
      <c r="C1929" s="6">
        <v>175</v>
      </c>
      <c r="D1929" s="6" t="str">
        <f>HYPERLINK("https://rmda.kulib.kyoto-u.ac.jp/item/rb00003883#?c=0&amp;m=0&amp;s=0&amp;cv=174")</f>
        <v>https://rmda.kulib.kyoto-u.ac.jp/item/rb00003883#?c=0&amp;m=0&amp;s=0&amp;cv=174</v>
      </c>
      <c r="F1929">
        <v>162</v>
      </c>
    </row>
    <row r="1930" spans="1:6" x14ac:dyDescent="0.15">
      <c r="A1930" s="6" t="s">
        <v>2199</v>
      </c>
      <c r="B1930" s="6" t="s">
        <v>2304</v>
      </c>
      <c r="C1930" s="6">
        <v>175</v>
      </c>
      <c r="D1930" s="6" t="str">
        <f>HYPERLINK("https://rmda.kulib.kyoto-u.ac.jp/item/rb00003883#?c=0&amp;m=0&amp;s=0&amp;cv=174")</f>
        <v>https://rmda.kulib.kyoto-u.ac.jp/item/rb00003883#?c=0&amp;m=0&amp;s=0&amp;cv=174</v>
      </c>
      <c r="F1930">
        <v>162</v>
      </c>
    </row>
    <row r="1931" spans="1:6" x14ac:dyDescent="0.15">
      <c r="A1931" s="6" t="s">
        <v>2199</v>
      </c>
      <c r="B1931" s="6" t="s">
        <v>2305</v>
      </c>
      <c r="C1931" s="6">
        <v>175</v>
      </c>
      <c r="D1931" s="6" t="str">
        <f>HYPERLINK("https://rmda.kulib.kyoto-u.ac.jp/item/rb00003883#?c=0&amp;m=0&amp;s=0&amp;cv=174")</f>
        <v>https://rmda.kulib.kyoto-u.ac.jp/item/rb00003883#?c=0&amp;m=0&amp;s=0&amp;cv=174</v>
      </c>
      <c r="F1931">
        <v>163</v>
      </c>
    </row>
    <row r="1932" spans="1:6" x14ac:dyDescent="0.15">
      <c r="A1932" s="6" t="s">
        <v>2199</v>
      </c>
      <c r="B1932" s="6" t="s">
        <v>2306</v>
      </c>
      <c r="C1932" s="6">
        <v>175</v>
      </c>
      <c r="D1932" s="6" t="str">
        <f>HYPERLINK("https://rmda.kulib.kyoto-u.ac.jp/item/rb00003883#?c=0&amp;m=0&amp;s=0&amp;cv=174")</f>
        <v>https://rmda.kulib.kyoto-u.ac.jp/item/rb00003883#?c=0&amp;m=0&amp;s=0&amp;cv=174</v>
      </c>
      <c r="F1932">
        <v>163</v>
      </c>
    </row>
    <row r="1933" spans="1:6" x14ac:dyDescent="0.15">
      <c r="A1933" s="6" t="s">
        <v>2199</v>
      </c>
      <c r="B1933" s="63" t="s">
        <v>5525</v>
      </c>
      <c r="C1933" s="6">
        <v>176</v>
      </c>
      <c r="D1933" s="6" t="str">
        <f>HYPERLINK("https://rmda.kulib.kyoto-u.ac.jp/item/rb00003883#?c=0&amp;m=0&amp;s=0&amp;cv=175")</f>
        <v>https://rmda.kulib.kyoto-u.ac.jp/item/rb00003883#?c=0&amp;m=0&amp;s=0&amp;cv=175</v>
      </c>
    </row>
    <row r="1934" spans="1:6" x14ac:dyDescent="0.15">
      <c r="A1934" s="6" t="s">
        <v>2199</v>
      </c>
      <c r="B1934" s="6" t="s">
        <v>4307</v>
      </c>
      <c r="C1934" s="6">
        <v>176</v>
      </c>
      <c r="D1934" s="6" t="str">
        <f>HYPERLINK("https://rmda.kulib.kyoto-u.ac.jp/item/rb00003883#?c=0&amp;m=0&amp;s=0&amp;cv=175")</f>
        <v>https://rmda.kulib.kyoto-u.ac.jp/item/rb00003883#?c=0&amp;m=0&amp;s=0&amp;cv=175</v>
      </c>
      <c r="F1934">
        <v>163</v>
      </c>
    </row>
    <row r="1935" spans="1:6" x14ac:dyDescent="0.15">
      <c r="A1935" s="6" t="s">
        <v>2199</v>
      </c>
      <c r="B1935" s="6" t="s">
        <v>2307</v>
      </c>
      <c r="C1935" s="6">
        <v>176</v>
      </c>
      <c r="D1935" s="6" t="str">
        <f>HYPERLINK("https://rmda.kulib.kyoto-u.ac.jp/item/rb00003883#?c=0&amp;m=0&amp;s=0&amp;cv=175")</f>
        <v>https://rmda.kulib.kyoto-u.ac.jp/item/rb00003883#?c=0&amp;m=0&amp;s=0&amp;cv=175</v>
      </c>
      <c r="F1935">
        <v>164</v>
      </c>
    </row>
    <row r="1936" spans="1:6" x14ac:dyDescent="0.15">
      <c r="A1936" s="6" t="s">
        <v>2199</v>
      </c>
      <c r="B1936" s="6" t="s">
        <v>2308</v>
      </c>
      <c r="C1936" s="6">
        <v>176</v>
      </c>
      <c r="D1936" s="6" t="str">
        <f>HYPERLINK("https://rmda.kulib.kyoto-u.ac.jp/item/rb00003883#?c=0&amp;m=0&amp;s=0&amp;cv=175")</f>
        <v>https://rmda.kulib.kyoto-u.ac.jp/item/rb00003883#?c=0&amp;m=0&amp;s=0&amp;cv=175</v>
      </c>
      <c r="F1936">
        <v>164</v>
      </c>
    </row>
    <row r="1937" spans="1:6" x14ac:dyDescent="0.15">
      <c r="A1937" s="6" t="s">
        <v>2199</v>
      </c>
      <c r="B1937" s="6" t="s">
        <v>2287</v>
      </c>
      <c r="C1937" s="6">
        <v>177</v>
      </c>
      <c r="D1937" s="6" t="str">
        <f>HYPERLINK("https://rmda.kulib.kyoto-u.ac.jp/item/rb00003883#?c=0&amp;m=0&amp;s=0&amp;cv=176")</f>
        <v>https://rmda.kulib.kyoto-u.ac.jp/item/rb00003883#?c=0&amp;m=0&amp;s=0&amp;cv=176</v>
      </c>
      <c r="F1937">
        <v>165</v>
      </c>
    </row>
    <row r="1938" spans="1:6" x14ac:dyDescent="0.15">
      <c r="A1938" s="6" t="s">
        <v>2199</v>
      </c>
      <c r="B1938" s="6" t="s">
        <v>2309</v>
      </c>
      <c r="C1938" s="6">
        <v>177</v>
      </c>
      <c r="D1938" s="6" t="str">
        <f>HYPERLINK("https://rmda.kulib.kyoto-u.ac.jp/item/rb00003883#?c=0&amp;m=0&amp;s=0&amp;cv=176")</f>
        <v>https://rmda.kulib.kyoto-u.ac.jp/item/rb00003883#?c=0&amp;m=0&amp;s=0&amp;cv=176</v>
      </c>
      <c r="F1938">
        <v>165</v>
      </c>
    </row>
    <row r="1939" spans="1:6" x14ac:dyDescent="0.15">
      <c r="A1939" s="6" t="s">
        <v>2199</v>
      </c>
      <c r="B1939" s="6" t="s">
        <v>2310</v>
      </c>
      <c r="C1939" s="6">
        <v>177</v>
      </c>
      <c r="D1939" s="6" t="str">
        <f>HYPERLINK("https://rmda.kulib.kyoto-u.ac.jp/item/rb00003883#?c=0&amp;m=0&amp;s=0&amp;cv=176")</f>
        <v>https://rmda.kulib.kyoto-u.ac.jp/item/rb00003883#?c=0&amp;m=0&amp;s=0&amp;cv=176</v>
      </c>
      <c r="F1939">
        <v>166</v>
      </c>
    </row>
    <row r="1940" spans="1:6" x14ac:dyDescent="0.15">
      <c r="A1940" s="6" t="s">
        <v>2199</v>
      </c>
      <c r="B1940" s="6" t="s">
        <v>2311</v>
      </c>
      <c r="C1940" s="6">
        <v>178</v>
      </c>
      <c r="D1940" s="6" t="str">
        <f>HYPERLINK("https://rmda.kulib.kyoto-u.ac.jp/item/rb00003883#?c=0&amp;m=0&amp;s=0&amp;cv=177")</f>
        <v>https://rmda.kulib.kyoto-u.ac.jp/item/rb00003883#?c=0&amp;m=0&amp;s=0&amp;cv=177</v>
      </c>
      <c r="F1940">
        <v>166</v>
      </c>
    </row>
    <row r="1941" spans="1:6" x14ac:dyDescent="0.15">
      <c r="A1941" s="6" t="s">
        <v>2199</v>
      </c>
      <c r="B1941" s="6" t="s">
        <v>2312</v>
      </c>
      <c r="C1941" s="6">
        <v>178</v>
      </c>
      <c r="D1941" s="6" t="str">
        <f>HYPERLINK("https://rmda.kulib.kyoto-u.ac.jp/item/rb00003883#?c=0&amp;m=0&amp;s=0&amp;cv=177")</f>
        <v>https://rmda.kulib.kyoto-u.ac.jp/item/rb00003883#?c=0&amp;m=0&amp;s=0&amp;cv=177</v>
      </c>
      <c r="F1941">
        <v>166</v>
      </c>
    </row>
    <row r="1942" spans="1:6" x14ac:dyDescent="0.15">
      <c r="A1942" s="6" t="s">
        <v>2199</v>
      </c>
      <c r="B1942" s="6" t="s">
        <v>4308</v>
      </c>
      <c r="C1942" s="6">
        <v>178</v>
      </c>
      <c r="D1942" s="6" t="str">
        <f>HYPERLINK("https://rmda.kulib.kyoto-u.ac.jp/item/rb00003883#?c=0&amp;m=0&amp;s=0&amp;cv=177")</f>
        <v>https://rmda.kulib.kyoto-u.ac.jp/item/rb00003883#?c=0&amp;m=0&amp;s=0&amp;cv=177</v>
      </c>
      <c r="F1942">
        <v>167</v>
      </c>
    </row>
    <row r="1943" spans="1:6" x14ac:dyDescent="0.15">
      <c r="A1943" s="6" t="s">
        <v>2199</v>
      </c>
      <c r="B1943" s="6" t="s">
        <v>1864</v>
      </c>
      <c r="C1943" s="6">
        <v>179</v>
      </c>
      <c r="D1943" s="6" t="str">
        <f>HYPERLINK("https://rmda.kulib.kyoto-u.ac.jp/item/rb00003883#?c=0&amp;m=0&amp;s=0&amp;cv=178")</f>
        <v>https://rmda.kulib.kyoto-u.ac.jp/item/rb00003883#?c=0&amp;m=0&amp;s=0&amp;cv=178</v>
      </c>
      <c r="F1943">
        <v>167</v>
      </c>
    </row>
    <row r="1944" spans="1:6" x14ac:dyDescent="0.15">
      <c r="A1944" s="6" t="s">
        <v>2199</v>
      </c>
      <c r="B1944" s="6" t="s">
        <v>1655</v>
      </c>
      <c r="C1944" s="6">
        <v>179</v>
      </c>
      <c r="D1944" s="6" t="str">
        <f>HYPERLINK("https://rmda.kulib.kyoto-u.ac.jp/item/rb00003883#?c=0&amp;m=0&amp;s=0&amp;cv=178")</f>
        <v>https://rmda.kulib.kyoto-u.ac.jp/item/rb00003883#?c=0&amp;m=0&amp;s=0&amp;cv=178</v>
      </c>
      <c r="F1944">
        <v>167</v>
      </c>
    </row>
    <row r="1945" spans="1:6" x14ac:dyDescent="0.15">
      <c r="A1945" s="6" t="s">
        <v>2199</v>
      </c>
      <c r="B1945" s="6" t="s">
        <v>2139</v>
      </c>
      <c r="C1945" s="6">
        <v>180</v>
      </c>
      <c r="D1945" s="6" t="str">
        <f>HYPERLINK("https://rmda.kulib.kyoto-u.ac.jp/item/rb00003883#?c=0&amp;m=0&amp;s=0&amp;cv=179")</f>
        <v>https://rmda.kulib.kyoto-u.ac.jp/item/rb00003883#?c=0&amp;m=0&amp;s=0&amp;cv=179</v>
      </c>
      <c r="F1945">
        <v>168</v>
      </c>
    </row>
    <row r="1946" spans="1:6" x14ac:dyDescent="0.15">
      <c r="A1946" s="6" t="s">
        <v>2199</v>
      </c>
      <c r="B1946" s="72" t="s">
        <v>2313</v>
      </c>
      <c r="C1946" s="6">
        <v>181</v>
      </c>
      <c r="D1946" s="6" t="str">
        <f>HYPERLINK("https://rmda.kulib.kyoto-u.ac.jp/item/rb00003883#?c=0&amp;m=0&amp;s=0&amp;cv=180")</f>
        <v>https://rmda.kulib.kyoto-u.ac.jp/item/rb00003883#?c=0&amp;m=0&amp;s=0&amp;cv=180</v>
      </c>
      <c r="F1946">
        <v>174</v>
      </c>
    </row>
    <row r="1947" spans="1:6" x14ac:dyDescent="0.15">
      <c r="A1947" s="6" t="s">
        <v>2199</v>
      </c>
      <c r="B1947" s="63" t="s">
        <v>5551</v>
      </c>
      <c r="C1947" s="6">
        <v>181</v>
      </c>
      <c r="D1947" s="6" t="str">
        <f>HYPERLINK("https://rmda.kulib.kyoto-u.ac.jp/item/rb00003883#?c=0&amp;m=0&amp;s=0&amp;cv=180")</f>
        <v>https://rmda.kulib.kyoto-u.ac.jp/item/rb00003883#?c=0&amp;m=0&amp;s=0&amp;cv=180</v>
      </c>
      <c r="F1947">
        <v>174</v>
      </c>
    </row>
    <row r="1948" spans="1:6" x14ac:dyDescent="0.15">
      <c r="A1948" s="6" t="s">
        <v>2199</v>
      </c>
      <c r="B1948" s="6" t="s">
        <v>4309</v>
      </c>
      <c r="C1948" s="6">
        <v>181</v>
      </c>
      <c r="D1948" s="6" t="str">
        <f>HYPERLINK("https://rmda.kulib.kyoto-u.ac.jp/item/rb00003883#?c=0&amp;m=0&amp;s=0&amp;cv=180")</f>
        <v>https://rmda.kulib.kyoto-u.ac.jp/item/rb00003883#?c=0&amp;m=0&amp;s=0&amp;cv=180</v>
      </c>
      <c r="F1948">
        <v>174</v>
      </c>
    </row>
    <row r="1949" spans="1:6" x14ac:dyDescent="0.15">
      <c r="A1949" s="6" t="s">
        <v>2199</v>
      </c>
      <c r="B1949" s="6" t="s">
        <v>4473</v>
      </c>
      <c r="C1949" s="6">
        <v>182</v>
      </c>
      <c r="D1949" s="6" t="str">
        <f>HYPERLINK("https://rmda.kulib.kyoto-u.ac.jp/item/rb00003883#?c=0&amp;m=0&amp;s=0&amp;cv=181")</f>
        <v>https://rmda.kulib.kyoto-u.ac.jp/item/rb00003883#?c=0&amp;m=0&amp;s=0&amp;cv=181</v>
      </c>
      <c r="F1949">
        <v>175</v>
      </c>
    </row>
    <row r="1950" spans="1:6" x14ac:dyDescent="0.15">
      <c r="A1950" s="6" t="s">
        <v>2199</v>
      </c>
      <c r="B1950" s="6" t="s">
        <v>4310</v>
      </c>
      <c r="C1950" s="6">
        <v>183</v>
      </c>
      <c r="D1950" s="6" t="str">
        <f>HYPERLINK("https://rmda.kulib.kyoto-u.ac.jp/item/rb00003883#?c=0&amp;m=0&amp;s=0&amp;cv=182")</f>
        <v>https://rmda.kulib.kyoto-u.ac.jp/item/rb00003883#?c=0&amp;m=0&amp;s=0&amp;cv=182</v>
      </c>
      <c r="F1950">
        <v>176</v>
      </c>
    </row>
    <row r="1951" spans="1:6" x14ac:dyDescent="0.15">
      <c r="A1951" s="6" t="s">
        <v>2199</v>
      </c>
      <c r="B1951" s="6" t="s">
        <v>4311</v>
      </c>
      <c r="C1951" s="6">
        <v>184</v>
      </c>
      <c r="D1951" s="6" t="str">
        <f>HYPERLINK("https://rmda.kulib.kyoto-u.ac.jp/item/rb00003883#?c=0&amp;m=0&amp;s=0&amp;cv=183")</f>
        <v>https://rmda.kulib.kyoto-u.ac.jp/item/rb00003883#?c=0&amp;m=0&amp;s=0&amp;cv=183</v>
      </c>
      <c r="F1951">
        <v>177</v>
      </c>
    </row>
    <row r="1952" spans="1:6" x14ac:dyDescent="0.15">
      <c r="A1952" s="6" t="s">
        <v>2199</v>
      </c>
      <c r="B1952" s="6" t="s">
        <v>4312</v>
      </c>
      <c r="C1952" s="6">
        <v>184</v>
      </c>
      <c r="D1952" s="6" t="str">
        <f>HYPERLINK("https://rmda.kulib.kyoto-u.ac.jp/item/rb00003883#?c=0&amp;m=0&amp;s=0&amp;cv=183")</f>
        <v>https://rmda.kulib.kyoto-u.ac.jp/item/rb00003883#?c=0&amp;m=0&amp;s=0&amp;cv=183</v>
      </c>
      <c r="F1952">
        <v>178</v>
      </c>
    </row>
    <row r="1953" spans="1:6" x14ac:dyDescent="0.15">
      <c r="A1953" s="6" t="s">
        <v>2199</v>
      </c>
      <c r="B1953" s="6" t="s">
        <v>4313</v>
      </c>
      <c r="C1953" s="6">
        <v>185</v>
      </c>
      <c r="D1953" s="6" t="str">
        <f>HYPERLINK("https://rmda.kulib.kyoto-u.ac.jp/item/rb00003883#?c=0&amp;m=0&amp;s=0&amp;cv=184")</f>
        <v>https://rmda.kulib.kyoto-u.ac.jp/item/rb00003883#?c=0&amp;m=0&amp;s=0&amp;cv=184</v>
      </c>
      <c r="F1953">
        <v>178</v>
      </c>
    </row>
    <row r="1954" spans="1:6" x14ac:dyDescent="0.15">
      <c r="A1954" s="6" t="s">
        <v>2199</v>
      </c>
      <c r="B1954" s="6" t="s">
        <v>4474</v>
      </c>
      <c r="C1954" s="6">
        <v>185</v>
      </c>
      <c r="D1954" s="6" t="str">
        <f>HYPERLINK("https://rmda.kulib.kyoto-u.ac.jp/item/rb00003883#?c=0&amp;m=0&amp;s=0&amp;cv=184")</f>
        <v>https://rmda.kulib.kyoto-u.ac.jp/item/rb00003883#?c=0&amp;m=0&amp;s=0&amp;cv=184</v>
      </c>
      <c r="F1954">
        <v>179</v>
      </c>
    </row>
    <row r="1955" spans="1:6" x14ac:dyDescent="0.15">
      <c r="A1955" s="6" t="s">
        <v>2199</v>
      </c>
      <c r="B1955" s="6" t="s">
        <v>4314</v>
      </c>
      <c r="C1955" s="6">
        <v>186</v>
      </c>
      <c r="D1955" s="6" t="str">
        <f>HYPERLINK("https://rmda.kulib.kyoto-u.ac.jp/item/rb00003883#?c=0&amp;m=0&amp;s=0&amp;cv=185")</f>
        <v>https://rmda.kulib.kyoto-u.ac.jp/item/rb00003883#?c=0&amp;m=0&amp;s=0&amp;cv=185</v>
      </c>
      <c r="F1955">
        <v>179</v>
      </c>
    </row>
    <row r="1956" spans="1:6" x14ac:dyDescent="0.15">
      <c r="A1956" s="6" t="s">
        <v>2199</v>
      </c>
      <c r="B1956" s="6" t="s">
        <v>4315</v>
      </c>
      <c r="C1956" s="6">
        <v>186</v>
      </c>
      <c r="D1956" s="6" t="str">
        <f>HYPERLINK("https://rmda.kulib.kyoto-u.ac.jp/item/rb00003883#?c=0&amp;m=0&amp;s=0&amp;cv=185")</f>
        <v>https://rmda.kulib.kyoto-u.ac.jp/item/rb00003883#?c=0&amp;m=0&amp;s=0&amp;cv=185</v>
      </c>
      <c r="F1956">
        <v>180</v>
      </c>
    </row>
    <row r="1957" spans="1:6" x14ac:dyDescent="0.15">
      <c r="A1957" s="6" t="s">
        <v>2199</v>
      </c>
      <c r="B1957" s="6" t="s">
        <v>4316</v>
      </c>
      <c r="C1957" s="6">
        <v>186</v>
      </c>
      <c r="D1957" s="6" t="str">
        <f>HYPERLINK("https://rmda.kulib.kyoto-u.ac.jp/item/rb00003883#?c=0&amp;m=0&amp;s=0&amp;cv=185")</f>
        <v>https://rmda.kulib.kyoto-u.ac.jp/item/rb00003883#?c=0&amp;m=0&amp;s=0&amp;cv=185</v>
      </c>
      <c r="F1957">
        <v>180</v>
      </c>
    </row>
    <row r="1958" spans="1:6" x14ac:dyDescent="0.15">
      <c r="A1958" s="6" t="s">
        <v>2199</v>
      </c>
      <c r="B1958" s="6" t="s">
        <v>4317</v>
      </c>
      <c r="C1958" s="6">
        <v>187</v>
      </c>
      <c r="D1958" s="6" t="str">
        <f>HYPERLINK("https://rmda.kulib.kyoto-u.ac.jp/item/rb00003883#?c=0&amp;m=0&amp;s=0&amp;cv=186")</f>
        <v>https://rmda.kulib.kyoto-u.ac.jp/item/rb00003883#?c=0&amp;m=0&amp;s=0&amp;cv=186</v>
      </c>
      <c r="F1958">
        <v>181</v>
      </c>
    </row>
    <row r="1959" spans="1:6" x14ac:dyDescent="0.15">
      <c r="A1959" s="6" t="s">
        <v>2199</v>
      </c>
      <c r="B1959" s="6" t="s">
        <v>4318</v>
      </c>
      <c r="C1959" s="6">
        <v>188</v>
      </c>
      <c r="D1959" s="6" t="str">
        <f>HYPERLINK("https://rmda.kulib.kyoto-u.ac.jp/item/rb00003883#?c=0&amp;m=0&amp;s=0&amp;cv=187")</f>
        <v>https://rmda.kulib.kyoto-u.ac.jp/item/rb00003883#?c=0&amp;m=0&amp;s=0&amp;cv=187</v>
      </c>
      <c r="F1959">
        <v>182</v>
      </c>
    </row>
    <row r="1960" spans="1:6" x14ac:dyDescent="0.15">
      <c r="A1960" s="6" t="s">
        <v>2199</v>
      </c>
      <c r="B1960" s="6" t="s">
        <v>4475</v>
      </c>
      <c r="C1960" s="6">
        <v>188</v>
      </c>
      <c r="D1960" s="6" t="str">
        <f>HYPERLINK("https://rmda.kulib.kyoto-u.ac.jp/item/rb00003883#?c=0&amp;m=0&amp;s=0&amp;cv=187")</f>
        <v>https://rmda.kulib.kyoto-u.ac.jp/item/rb00003883#?c=0&amp;m=0&amp;s=0&amp;cv=187</v>
      </c>
      <c r="F1960">
        <v>182</v>
      </c>
    </row>
    <row r="1961" spans="1:6" x14ac:dyDescent="0.15">
      <c r="A1961" s="6" t="s">
        <v>2199</v>
      </c>
      <c r="B1961" s="6" t="s">
        <v>4476</v>
      </c>
      <c r="C1961" s="6">
        <v>188</v>
      </c>
      <c r="D1961" s="6" t="str">
        <f>HYPERLINK("https://rmda.kulib.kyoto-u.ac.jp/item/rb00003883#?c=0&amp;m=0&amp;s=0&amp;cv=187")</f>
        <v>https://rmda.kulib.kyoto-u.ac.jp/item/rb00003883#?c=0&amp;m=0&amp;s=0&amp;cv=187</v>
      </c>
      <c r="F1961">
        <v>183</v>
      </c>
    </row>
    <row r="1962" spans="1:6" x14ac:dyDescent="0.15">
      <c r="A1962" s="6" t="s">
        <v>2199</v>
      </c>
      <c r="B1962" s="6" t="s">
        <v>5980</v>
      </c>
      <c r="C1962" s="6">
        <v>189</v>
      </c>
      <c r="D1962" s="6" t="str">
        <f>HYPERLINK("https://rmda.kulib.kyoto-u.ac.jp/item/rb00003883#?c=0&amp;m=0&amp;s=0&amp;cv=188")</f>
        <v>https://rmda.kulib.kyoto-u.ac.jp/item/rb00003883#?c=0&amp;m=0&amp;s=0&amp;cv=188</v>
      </c>
      <c r="F1962">
        <v>183</v>
      </c>
    </row>
    <row r="1963" spans="1:6" x14ac:dyDescent="0.15">
      <c r="A1963" s="6" t="s">
        <v>2199</v>
      </c>
      <c r="B1963" s="6" t="s">
        <v>4319</v>
      </c>
      <c r="C1963" s="6">
        <v>190</v>
      </c>
      <c r="D1963" s="6" t="str">
        <f>HYPERLINK("https://rmda.kulib.kyoto-u.ac.jp/item/rb00003883#?c=0&amp;m=0&amp;s=0&amp;cv=189")</f>
        <v>https://rmda.kulib.kyoto-u.ac.jp/item/rb00003883#?c=0&amp;m=0&amp;s=0&amp;cv=189</v>
      </c>
      <c r="F1963">
        <v>185</v>
      </c>
    </row>
    <row r="1964" spans="1:6" x14ac:dyDescent="0.15">
      <c r="A1964" s="6" t="s">
        <v>2199</v>
      </c>
      <c r="B1964" s="6" t="s">
        <v>4320</v>
      </c>
      <c r="C1964" s="6">
        <v>191</v>
      </c>
      <c r="D1964" s="6" t="str">
        <f>HYPERLINK("https://rmda.kulib.kyoto-u.ac.jp/item/rb00003883#?c=0&amp;m=0&amp;s=0&amp;cv=190")</f>
        <v>https://rmda.kulib.kyoto-u.ac.jp/item/rb00003883#?c=0&amp;m=0&amp;s=0&amp;cv=190</v>
      </c>
      <c r="F1964">
        <v>185</v>
      </c>
    </row>
    <row r="1965" spans="1:6" x14ac:dyDescent="0.15">
      <c r="A1965" s="6" t="s">
        <v>2199</v>
      </c>
      <c r="B1965" s="63" t="s">
        <v>5528</v>
      </c>
      <c r="C1965" s="6">
        <v>191</v>
      </c>
      <c r="D1965" s="6" t="str">
        <f>HYPERLINK("https://rmda.kulib.kyoto-u.ac.jp/item/rb00003883#?c=0&amp;m=0&amp;s=0&amp;cv=190")</f>
        <v>https://rmda.kulib.kyoto-u.ac.jp/item/rb00003883#?c=0&amp;m=0&amp;s=0&amp;cv=190</v>
      </c>
    </row>
    <row r="1966" spans="1:6" x14ac:dyDescent="0.15">
      <c r="A1966" s="6" t="s">
        <v>2199</v>
      </c>
      <c r="B1966" s="6" t="s">
        <v>4321</v>
      </c>
      <c r="C1966" s="6">
        <v>191</v>
      </c>
      <c r="D1966" s="6" t="str">
        <f>HYPERLINK("https://rmda.kulib.kyoto-u.ac.jp/item/rb00003883#?c=0&amp;m=0&amp;s=0&amp;cv=190")</f>
        <v>https://rmda.kulib.kyoto-u.ac.jp/item/rb00003883#?c=0&amp;m=0&amp;s=0&amp;cv=190</v>
      </c>
      <c r="F1966">
        <v>186</v>
      </c>
    </row>
    <row r="1967" spans="1:6" x14ac:dyDescent="0.15">
      <c r="A1967" s="6" t="s">
        <v>2199</v>
      </c>
      <c r="B1967" s="6" t="s">
        <v>4322</v>
      </c>
      <c r="C1967" s="6">
        <v>192</v>
      </c>
      <c r="D1967" s="6" t="str">
        <f>HYPERLINK("https://rmda.kulib.kyoto-u.ac.jp/item/rb00003883#?c=0&amp;m=0&amp;s=0&amp;cv=191")</f>
        <v>https://rmda.kulib.kyoto-u.ac.jp/item/rb00003883#?c=0&amp;m=0&amp;s=0&amp;cv=191</v>
      </c>
      <c r="F1967">
        <v>186</v>
      </c>
    </row>
    <row r="1968" spans="1:6" x14ac:dyDescent="0.15">
      <c r="A1968" s="6" t="s">
        <v>2199</v>
      </c>
      <c r="B1968" s="6" t="s">
        <v>2010</v>
      </c>
      <c r="C1968" s="6">
        <v>192</v>
      </c>
      <c r="D1968" s="6" t="str">
        <f>HYPERLINK("https://rmda.kulib.kyoto-u.ac.jp/item/rb00003883#?c=0&amp;m=0&amp;s=0&amp;cv=191")</f>
        <v>https://rmda.kulib.kyoto-u.ac.jp/item/rb00003883#?c=0&amp;m=0&amp;s=0&amp;cv=191</v>
      </c>
      <c r="F1968">
        <v>187</v>
      </c>
    </row>
    <row r="1969" spans="1:6" x14ac:dyDescent="0.15">
      <c r="A1969" s="6" t="s">
        <v>2199</v>
      </c>
      <c r="B1969" s="63" t="s">
        <v>5530</v>
      </c>
      <c r="C1969" s="6">
        <v>192</v>
      </c>
      <c r="D1969" s="6" t="str">
        <f>HYPERLINK("https://rmda.kulib.kyoto-u.ac.jp/item/rb00003883#?c=0&amp;m=0&amp;s=0&amp;cv=191")</f>
        <v>https://rmda.kulib.kyoto-u.ac.jp/item/rb00003883#?c=0&amp;m=0&amp;s=0&amp;cv=191</v>
      </c>
    </row>
    <row r="1970" spans="1:6" x14ac:dyDescent="0.15">
      <c r="A1970" s="6" t="s">
        <v>2199</v>
      </c>
      <c r="B1970" s="6" t="s">
        <v>2314</v>
      </c>
      <c r="C1970" s="6">
        <v>193</v>
      </c>
      <c r="D1970" s="6" t="str">
        <f>HYPERLINK("https://rmda.kulib.kyoto-u.ac.jp/item/rb00003883#?c=0&amp;m=0&amp;s=0&amp;cv=192")</f>
        <v>https://rmda.kulib.kyoto-u.ac.jp/item/rb00003883#?c=0&amp;m=0&amp;s=0&amp;cv=192</v>
      </c>
      <c r="F1970">
        <v>187</v>
      </c>
    </row>
    <row r="1971" spans="1:6" x14ac:dyDescent="0.15">
      <c r="A1971" s="6" t="s">
        <v>2199</v>
      </c>
      <c r="B1971" s="6" t="s">
        <v>4323</v>
      </c>
      <c r="C1971" s="6">
        <v>194</v>
      </c>
      <c r="D1971" s="6" t="str">
        <f>HYPERLINK("https://rmda.kulib.kyoto-u.ac.jp/item/rb00003883#?c=0&amp;m=0&amp;s=0&amp;cv=193")</f>
        <v>https://rmda.kulib.kyoto-u.ac.jp/item/rb00003883#?c=0&amp;m=0&amp;s=0&amp;cv=193</v>
      </c>
      <c r="F1971">
        <v>189</v>
      </c>
    </row>
    <row r="1972" spans="1:6" x14ac:dyDescent="0.15">
      <c r="A1972" s="6" t="s">
        <v>2199</v>
      </c>
      <c r="B1972" s="6" t="s">
        <v>2315</v>
      </c>
      <c r="C1972" s="6">
        <v>194</v>
      </c>
      <c r="D1972" s="6" t="str">
        <f>HYPERLINK("https://rmda.kulib.kyoto-u.ac.jp/item/rb00003883#?c=0&amp;m=0&amp;s=0&amp;cv=193")</f>
        <v>https://rmda.kulib.kyoto-u.ac.jp/item/rb00003883#?c=0&amp;m=0&amp;s=0&amp;cv=193</v>
      </c>
      <c r="F1972">
        <v>190</v>
      </c>
    </row>
    <row r="1973" spans="1:6" x14ac:dyDescent="0.15">
      <c r="A1973" s="6" t="s">
        <v>2199</v>
      </c>
      <c r="B1973" s="6" t="s">
        <v>2316</v>
      </c>
      <c r="C1973" s="6">
        <v>195</v>
      </c>
      <c r="D1973" s="6" t="str">
        <f>HYPERLINK("https://rmda.kulib.kyoto-u.ac.jp/item/rb00003883#?c=0&amp;m=0&amp;s=0&amp;cv=194")</f>
        <v>https://rmda.kulib.kyoto-u.ac.jp/item/rb00003883#?c=0&amp;m=0&amp;s=0&amp;cv=194</v>
      </c>
      <c r="F1973">
        <v>190</v>
      </c>
    </row>
    <row r="1974" spans="1:6" x14ac:dyDescent="0.15">
      <c r="A1974" s="6" t="s">
        <v>2199</v>
      </c>
      <c r="B1974" s="6" t="s">
        <v>2317</v>
      </c>
      <c r="C1974" s="6">
        <v>195</v>
      </c>
      <c r="D1974" s="6" t="str">
        <f>HYPERLINK("https://rmda.kulib.kyoto-u.ac.jp/item/rb00003883#?c=0&amp;m=0&amp;s=0&amp;cv=194")</f>
        <v>https://rmda.kulib.kyoto-u.ac.jp/item/rb00003883#?c=0&amp;m=0&amp;s=0&amp;cv=194</v>
      </c>
      <c r="F1974">
        <v>191</v>
      </c>
    </row>
    <row r="1975" spans="1:6" x14ac:dyDescent="0.15">
      <c r="A1975" s="6" t="s">
        <v>2199</v>
      </c>
      <c r="B1975" s="6" t="s">
        <v>2318</v>
      </c>
      <c r="C1975" s="6">
        <v>196</v>
      </c>
      <c r="D1975" s="6" t="str">
        <f>HYPERLINK("https://rmda.kulib.kyoto-u.ac.jp/item/rb00003883#?c=0&amp;m=0&amp;s=0&amp;cv=195")</f>
        <v>https://rmda.kulib.kyoto-u.ac.jp/item/rb00003883#?c=0&amp;m=0&amp;s=0&amp;cv=195</v>
      </c>
      <c r="F1975">
        <v>191</v>
      </c>
    </row>
    <row r="1976" spans="1:6" x14ac:dyDescent="0.15">
      <c r="A1976" s="6" t="s">
        <v>2199</v>
      </c>
      <c r="B1976" s="6" t="s">
        <v>4324</v>
      </c>
      <c r="C1976" s="6">
        <v>196</v>
      </c>
      <c r="D1976" s="6" t="str">
        <f>HYPERLINK("https://rmda.kulib.kyoto-u.ac.jp/item/rb00003883#?c=0&amp;m=0&amp;s=0&amp;cv=195")</f>
        <v>https://rmda.kulib.kyoto-u.ac.jp/item/rb00003883#?c=0&amp;m=0&amp;s=0&amp;cv=195</v>
      </c>
      <c r="F1976">
        <v>192</v>
      </c>
    </row>
    <row r="1977" spans="1:6" x14ac:dyDescent="0.15">
      <c r="A1977" s="6" t="s">
        <v>2199</v>
      </c>
      <c r="B1977" s="6" t="s">
        <v>4477</v>
      </c>
      <c r="C1977" s="6">
        <v>197</v>
      </c>
      <c r="D1977" s="6" t="str">
        <f>HYPERLINK("https://rmda.kulib.kyoto-u.ac.jp/item/rb00003883#?c=0&amp;m=0&amp;s=0&amp;cv=196")</f>
        <v>https://rmda.kulib.kyoto-u.ac.jp/item/rb00003883#?c=0&amp;m=0&amp;s=0&amp;cv=196</v>
      </c>
      <c r="F1977">
        <v>192</v>
      </c>
    </row>
    <row r="1978" spans="1:6" x14ac:dyDescent="0.15">
      <c r="A1978" s="6" t="s">
        <v>2199</v>
      </c>
      <c r="B1978" s="6" t="s">
        <v>4236</v>
      </c>
      <c r="C1978" s="6">
        <v>197</v>
      </c>
      <c r="D1978" s="6" t="str">
        <f>HYPERLINK("https://rmda.kulib.kyoto-u.ac.jp/item/rb00003883#?c=0&amp;m=0&amp;s=0&amp;cv=196")</f>
        <v>https://rmda.kulib.kyoto-u.ac.jp/item/rb00003883#?c=0&amp;m=0&amp;s=0&amp;cv=196</v>
      </c>
      <c r="F1978">
        <v>193</v>
      </c>
    </row>
    <row r="1979" spans="1:6" x14ac:dyDescent="0.15">
      <c r="A1979" s="6" t="s">
        <v>2199</v>
      </c>
      <c r="B1979" s="6" t="s">
        <v>4325</v>
      </c>
      <c r="C1979" s="6">
        <v>197</v>
      </c>
      <c r="D1979" s="6" t="str">
        <f>HYPERLINK("https://rmda.kulib.kyoto-u.ac.jp/item/rb00003883#?c=0&amp;m=0&amp;s=0&amp;cv=196")</f>
        <v>https://rmda.kulib.kyoto-u.ac.jp/item/rb00003883#?c=0&amp;m=0&amp;s=0&amp;cv=196</v>
      </c>
      <c r="F1979">
        <v>193</v>
      </c>
    </row>
    <row r="1980" spans="1:6" x14ac:dyDescent="0.15">
      <c r="A1980" s="6" t="s">
        <v>2199</v>
      </c>
      <c r="B1980" s="6" t="s">
        <v>4326</v>
      </c>
      <c r="C1980" s="6">
        <v>198</v>
      </c>
      <c r="D1980" s="6" t="str">
        <f>HYPERLINK("https://rmda.kulib.kyoto-u.ac.jp/item/rb00003883#?c=0&amp;m=0&amp;s=0&amp;cv=197")</f>
        <v>https://rmda.kulib.kyoto-u.ac.jp/item/rb00003883#?c=0&amp;m=0&amp;s=0&amp;cv=197</v>
      </c>
      <c r="F1980">
        <v>194</v>
      </c>
    </row>
    <row r="1981" spans="1:6" x14ac:dyDescent="0.15">
      <c r="A1981" s="6" t="s">
        <v>2199</v>
      </c>
      <c r="B1981" s="63" t="s">
        <v>5985</v>
      </c>
      <c r="C1981" s="6">
        <v>198</v>
      </c>
      <c r="D1981" s="6" t="str">
        <f>HYPERLINK("https://rmda.kulib.kyoto-u.ac.jp/item/rb00003883#?c=0&amp;m=0&amp;s=0&amp;cv=197")</f>
        <v>https://rmda.kulib.kyoto-u.ac.jp/item/rb00003883#?c=0&amp;m=0&amp;s=0&amp;cv=197</v>
      </c>
    </row>
    <row r="1982" spans="1:6" x14ac:dyDescent="0.15">
      <c r="A1982" s="6" t="s">
        <v>2199</v>
      </c>
      <c r="B1982" s="6" t="s">
        <v>2319</v>
      </c>
      <c r="C1982" s="6">
        <v>198</v>
      </c>
      <c r="D1982" s="6" t="str">
        <f>HYPERLINK("https://rmda.kulib.kyoto-u.ac.jp/item/rb00003883#?c=0&amp;m=0&amp;s=0&amp;cv=197")</f>
        <v>https://rmda.kulib.kyoto-u.ac.jp/item/rb00003883#?c=0&amp;m=0&amp;s=0&amp;cv=197</v>
      </c>
      <c r="F1982">
        <v>194</v>
      </c>
    </row>
    <row r="1983" spans="1:6" x14ac:dyDescent="0.15">
      <c r="A1983" s="6" t="s">
        <v>2199</v>
      </c>
      <c r="B1983" s="6" t="s">
        <v>2001</v>
      </c>
      <c r="C1983" s="6">
        <v>199</v>
      </c>
      <c r="D1983" s="6" t="str">
        <f>HYPERLINK("https://rmda.kulib.kyoto-u.ac.jp/item/rb00003883#?c=0&amp;m=0&amp;s=0&amp;cv=198")</f>
        <v>https://rmda.kulib.kyoto-u.ac.jp/item/rb00003883#?c=0&amp;m=0&amp;s=0&amp;cv=198</v>
      </c>
      <c r="F1983">
        <v>195</v>
      </c>
    </row>
    <row r="1984" spans="1:6" x14ac:dyDescent="0.15">
      <c r="A1984" s="6" t="s">
        <v>2199</v>
      </c>
      <c r="B1984" s="6" t="s">
        <v>2320</v>
      </c>
      <c r="C1984" s="6">
        <v>199</v>
      </c>
      <c r="D1984" s="6" t="str">
        <f>HYPERLINK("https://rmda.kulib.kyoto-u.ac.jp/item/rb00003883#?c=0&amp;m=0&amp;s=0&amp;cv=198")</f>
        <v>https://rmda.kulib.kyoto-u.ac.jp/item/rb00003883#?c=0&amp;m=0&amp;s=0&amp;cv=198</v>
      </c>
      <c r="F1984">
        <v>195</v>
      </c>
    </row>
    <row r="1985" spans="1:7" x14ac:dyDescent="0.15">
      <c r="A1985" s="6" t="s">
        <v>2199</v>
      </c>
      <c r="B1985" s="6" t="s">
        <v>2321</v>
      </c>
      <c r="C1985" s="6">
        <v>199</v>
      </c>
      <c r="D1985" s="6" t="str">
        <f>HYPERLINK("https://rmda.kulib.kyoto-u.ac.jp/item/rb00003883#?c=0&amp;m=0&amp;s=0&amp;cv=198")</f>
        <v>https://rmda.kulib.kyoto-u.ac.jp/item/rb00003883#?c=0&amp;m=0&amp;s=0&amp;cv=198</v>
      </c>
      <c r="F1985">
        <v>195</v>
      </c>
    </row>
    <row r="1986" spans="1:7" x14ac:dyDescent="0.15">
      <c r="A1986" s="6" t="s">
        <v>2199</v>
      </c>
      <c r="B1986" s="6" t="s">
        <v>4327</v>
      </c>
      <c r="C1986" s="6">
        <v>200</v>
      </c>
      <c r="D1986" s="6" t="str">
        <f>HYPERLINK("https://rmda.kulib.kyoto-u.ac.jp/item/rb00003883#?c=0&amp;m=0&amp;s=0&amp;cv=199")</f>
        <v>https://rmda.kulib.kyoto-u.ac.jp/item/rb00003883#?c=0&amp;m=0&amp;s=0&amp;cv=199</v>
      </c>
      <c r="F1986">
        <v>196</v>
      </c>
    </row>
    <row r="1987" spans="1:7" x14ac:dyDescent="0.15">
      <c r="A1987" s="6" t="s">
        <v>2199</v>
      </c>
      <c r="B1987" s="63" t="s">
        <v>5524</v>
      </c>
      <c r="C1987" s="6">
        <v>200</v>
      </c>
      <c r="D1987" s="6" t="str">
        <f>HYPERLINK("https://rmda.kulib.kyoto-u.ac.jp/item/rb00003883#?c=0&amp;m=0&amp;s=0&amp;cv=199")</f>
        <v>https://rmda.kulib.kyoto-u.ac.jp/item/rb00003883#?c=0&amp;m=0&amp;s=0&amp;cv=199</v>
      </c>
    </row>
    <row r="1988" spans="1:7" x14ac:dyDescent="0.15">
      <c r="A1988" s="6" t="s">
        <v>2199</v>
      </c>
      <c r="B1988" s="6" t="s">
        <v>4328</v>
      </c>
      <c r="C1988" s="6">
        <v>200</v>
      </c>
      <c r="D1988" s="6" t="str">
        <f>HYPERLINK("https://rmda.kulib.kyoto-u.ac.jp/item/rb00003883#?c=0&amp;m=0&amp;s=0&amp;cv=199")</f>
        <v>https://rmda.kulib.kyoto-u.ac.jp/item/rb00003883#?c=0&amp;m=0&amp;s=0&amp;cv=199</v>
      </c>
      <c r="F1988">
        <v>196</v>
      </c>
    </row>
    <row r="1989" spans="1:7" x14ac:dyDescent="0.15">
      <c r="A1989" s="6" t="s">
        <v>2199</v>
      </c>
      <c r="B1989" s="6" t="s">
        <v>5979</v>
      </c>
      <c r="C1989" s="6">
        <v>200</v>
      </c>
      <c r="D1989" s="6" t="str">
        <f>HYPERLINK("https://rmda.kulib.kyoto-u.ac.jp/item/rb00003883#?c=0&amp;m=0&amp;s=0&amp;cv=199")</f>
        <v>https://rmda.kulib.kyoto-u.ac.jp/item/rb00003883#?c=0&amp;m=0&amp;s=0&amp;cv=199</v>
      </c>
      <c r="F1989">
        <v>197</v>
      </c>
      <c r="G1989" s="6" t="s">
        <v>5979</v>
      </c>
    </row>
    <row r="1990" spans="1:7" x14ac:dyDescent="0.15">
      <c r="A1990" s="6" t="s">
        <v>2199</v>
      </c>
      <c r="B1990" s="6" t="s">
        <v>2322</v>
      </c>
      <c r="C1990" s="6">
        <v>201</v>
      </c>
      <c r="D1990" s="6" t="str">
        <f>HYPERLINK("https://rmda.kulib.kyoto-u.ac.jp/item/rb00003883#?c=0&amp;m=0&amp;s=0&amp;cv=200")</f>
        <v>https://rmda.kulib.kyoto-u.ac.jp/item/rb00003883#?c=0&amp;m=0&amp;s=0&amp;cv=200</v>
      </c>
      <c r="F1990">
        <v>197</v>
      </c>
    </row>
    <row r="1991" spans="1:7" x14ac:dyDescent="0.15">
      <c r="A1991" s="6" t="s">
        <v>2199</v>
      </c>
      <c r="B1991" s="6" t="s">
        <v>2323</v>
      </c>
      <c r="C1991" s="6">
        <v>202</v>
      </c>
      <c r="D1991" s="6" t="str">
        <f>HYPERLINK("https://rmda.kulib.kyoto-u.ac.jp/item/rb00003883#?c=0&amp;m=0&amp;s=0&amp;cv=201")</f>
        <v>https://rmda.kulib.kyoto-u.ac.jp/item/rb00003883#?c=0&amp;m=0&amp;s=0&amp;cv=201</v>
      </c>
      <c r="F1991">
        <v>198</v>
      </c>
    </row>
    <row r="1992" spans="1:7" x14ac:dyDescent="0.15">
      <c r="A1992" s="6" t="s">
        <v>2199</v>
      </c>
      <c r="B1992" s="6" t="s">
        <v>4478</v>
      </c>
      <c r="C1992" s="6">
        <v>202</v>
      </c>
      <c r="D1992" s="6" t="str">
        <f>HYPERLINK("https://rmda.kulib.kyoto-u.ac.jp/item/rb00003883#?c=0&amp;m=0&amp;s=0&amp;cv=201")</f>
        <v>https://rmda.kulib.kyoto-u.ac.jp/item/rb00003883#?c=0&amp;m=0&amp;s=0&amp;cv=201</v>
      </c>
      <c r="F1992">
        <v>199</v>
      </c>
    </row>
    <row r="1993" spans="1:7" x14ac:dyDescent="0.15">
      <c r="A1993" s="6" t="s">
        <v>2199</v>
      </c>
      <c r="B1993" s="6" t="s">
        <v>2324</v>
      </c>
      <c r="C1993" s="6">
        <v>203</v>
      </c>
      <c r="D1993" s="6" t="str">
        <f>HYPERLINK("https://rmda.kulib.kyoto-u.ac.jp/item/rb00003883#?c=0&amp;m=0&amp;s=0&amp;cv=202")</f>
        <v>https://rmda.kulib.kyoto-u.ac.jp/item/rb00003883#?c=0&amp;m=0&amp;s=0&amp;cv=202</v>
      </c>
      <c r="F1993">
        <v>199</v>
      </c>
    </row>
    <row r="1994" spans="1:7" x14ac:dyDescent="0.15">
      <c r="A1994" s="6" t="s">
        <v>2199</v>
      </c>
      <c r="B1994" s="6" t="s">
        <v>2325</v>
      </c>
      <c r="C1994" s="6">
        <v>203</v>
      </c>
      <c r="D1994" s="6" t="str">
        <f>HYPERLINK("https://rmda.kulib.kyoto-u.ac.jp/item/rb00003883#?c=0&amp;m=0&amp;s=0&amp;cv=202")</f>
        <v>https://rmda.kulib.kyoto-u.ac.jp/item/rb00003883#?c=0&amp;m=0&amp;s=0&amp;cv=202</v>
      </c>
      <c r="F1994">
        <v>200</v>
      </c>
    </row>
    <row r="1995" spans="1:7" x14ac:dyDescent="0.15">
      <c r="A1995" s="6" t="s">
        <v>2199</v>
      </c>
      <c r="B1995" s="6" t="s">
        <v>4479</v>
      </c>
      <c r="C1995" s="6">
        <v>204</v>
      </c>
      <c r="D1995" s="6" t="str">
        <f>HYPERLINK("https://rmda.kulib.kyoto-u.ac.jp/item/rb00003883#?c=0&amp;m=0&amp;s=0&amp;cv=203")</f>
        <v>https://rmda.kulib.kyoto-u.ac.jp/item/rb00003883#?c=0&amp;m=0&amp;s=0&amp;cv=203</v>
      </c>
      <c r="F1995">
        <v>201</v>
      </c>
    </row>
    <row r="1996" spans="1:7" x14ac:dyDescent="0.15">
      <c r="A1996" s="6" t="s">
        <v>2199</v>
      </c>
      <c r="B1996" s="63" t="s">
        <v>5525</v>
      </c>
      <c r="C1996" s="6">
        <v>204</v>
      </c>
      <c r="D1996" s="6" t="str">
        <f>HYPERLINK("https://rmda.kulib.kyoto-u.ac.jp/item/rb00003883#?c=0&amp;m=0&amp;s=0&amp;cv=203")</f>
        <v>https://rmda.kulib.kyoto-u.ac.jp/item/rb00003883#?c=0&amp;m=0&amp;s=0&amp;cv=203</v>
      </c>
    </row>
    <row r="1997" spans="1:7" x14ac:dyDescent="0.15">
      <c r="A1997" s="6" t="s">
        <v>2199</v>
      </c>
      <c r="B1997" s="6" t="s">
        <v>4329</v>
      </c>
      <c r="C1997" s="6">
        <v>204</v>
      </c>
      <c r="D1997" s="6" t="str">
        <f>HYPERLINK("https://rmda.kulib.kyoto-u.ac.jp/item/rb00003883#?c=0&amp;m=0&amp;s=0&amp;cv=203")</f>
        <v>https://rmda.kulib.kyoto-u.ac.jp/item/rb00003883#?c=0&amp;m=0&amp;s=0&amp;cv=203</v>
      </c>
      <c r="F1997">
        <v>201</v>
      </c>
    </row>
    <row r="1998" spans="1:7" x14ac:dyDescent="0.15">
      <c r="A1998" s="6" t="s">
        <v>2199</v>
      </c>
      <c r="B1998" s="6" t="s">
        <v>4330</v>
      </c>
      <c r="C1998" s="6">
        <v>205</v>
      </c>
      <c r="D1998" s="6" t="str">
        <f>HYPERLINK("https://rmda.kulib.kyoto-u.ac.jp/item/rb00003883#?c=0&amp;m=0&amp;s=0&amp;cv=204")</f>
        <v>https://rmda.kulib.kyoto-u.ac.jp/item/rb00003883#?c=0&amp;m=0&amp;s=0&amp;cv=204</v>
      </c>
      <c r="F1998">
        <v>202</v>
      </c>
    </row>
    <row r="1999" spans="1:7" x14ac:dyDescent="0.15">
      <c r="A1999" s="6" t="s">
        <v>2199</v>
      </c>
      <c r="B1999" s="6" t="s">
        <v>2317</v>
      </c>
      <c r="C1999" s="6">
        <v>205</v>
      </c>
      <c r="D1999" s="6" t="str">
        <f>HYPERLINK("https://rmda.kulib.kyoto-u.ac.jp/item/rb00003883#?c=0&amp;m=0&amp;s=0&amp;cv=204")</f>
        <v>https://rmda.kulib.kyoto-u.ac.jp/item/rb00003883#?c=0&amp;m=0&amp;s=0&amp;cv=204</v>
      </c>
      <c r="F1999">
        <v>202</v>
      </c>
    </row>
    <row r="2000" spans="1:7" x14ac:dyDescent="0.15">
      <c r="A2000" s="6" t="s">
        <v>2199</v>
      </c>
      <c r="B2000" s="6" t="s">
        <v>4326</v>
      </c>
      <c r="C2000" s="6">
        <v>206</v>
      </c>
      <c r="D2000" s="6" t="str">
        <f>HYPERLINK("https://rmda.kulib.kyoto-u.ac.jp/item/rb00003883#?c=0&amp;m=0&amp;s=0&amp;cv=205")</f>
        <v>https://rmda.kulib.kyoto-u.ac.jp/item/rb00003883#?c=0&amp;m=0&amp;s=0&amp;cv=205</v>
      </c>
      <c r="F2000">
        <v>203</v>
      </c>
    </row>
    <row r="2001" spans="1:6" x14ac:dyDescent="0.15">
      <c r="A2001" s="6" t="s">
        <v>2199</v>
      </c>
      <c r="B2001" s="6" t="s">
        <v>4331</v>
      </c>
      <c r="C2001" s="6">
        <v>206</v>
      </c>
      <c r="D2001" s="6" t="str">
        <f>HYPERLINK("https://rmda.kulib.kyoto-u.ac.jp/item/rb00003883#?c=0&amp;m=0&amp;s=0&amp;cv=205")</f>
        <v>https://rmda.kulib.kyoto-u.ac.jp/item/rb00003883#?c=0&amp;m=0&amp;s=0&amp;cv=205</v>
      </c>
      <c r="F2001">
        <v>203</v>
      </c>
    </row>
    <row r="2002" spans="1:6" x14ac:dyDescent="0.15">
      <c r="A2002" s="6" t="s">
        <v>2199</v>
      </c>
      <c r="B2002" s="6" t="s">
        <v>4332</v>
      </c>
      <c r="C2002" s="6">
        <v>206</v>
      </c>
      <c r="D2002" s="6" t="str">
        <f>HYPERLINK("https://rmda.kulib.kyoto-u.ac.jp/item/rb00003883#?c=0&amp;m=0&amp;s=0&amp;cv=205")</f>
        <v>https://rmda.kulib.kyoto-u.ac.jp/item/rb00003883#?c=0&amp;m=0&amp;s=0&amp;cv=205</v>
      </c>
      <c r="F2002">
        <v>203</v>
      </c>
    </row>
    <row r="2003" spans="1:6" x14ac:dyDescent="0.15">
      <c r="A2003" s="6" t="s">
        <v>2199</v>
      </c>
      <c r="B2003" s="6" t="s">
        <v>4333</v>
      </c>
      <c r="C2003" s="6">
        <v>206</v>
      </c>
      <c r="D2003" s="6" t="str">
        <f>HYPERLINK("https://rmda.kulib.kyoto-u.ac.jp/item/rb00003883#?c=0&amp;m=0&amp;s=0&amp;cv=205")</f>
        <v>https://rmda.kulib.kyoto-u.ac.jp/item/rb00003883#?c=0&amp;m=0&amp;s=0&amp;cv=205</v>
      </c>
      <c r="F2003">
        <v>204</v>
      </c>
    </row>
    <row r="2004" spans="1:6" x14ac:dyDescent="0.15">
      <c r="A2004" s="6" t="s">
        <v>2199</v>
      </c>
      <c r="B2004" s="6" t="s">
        <v>2145</v>
      </c>
      <c r="C2004" s="6">
        <v>207</v>
      </c>
      <c r="D2004" s="6" t="str">
        <f>HYPERLINK("https://rmda.kulib.kyoto-u.ac.jp/item/rb00003883#?c=0&amp;m=0&amp;s=0&amp;cv=206")</f>
        <v>https://rmda.kulib.kyoto-u.ac.jp/item/rb00003883#?c=0&amp;m=0&amp;s=0&amp;cv=206</v>
      </c>
      <c r="F2004">
        <v>204</v>
      </c>
    </row>
    <row r="2005" spans="1:6" x14ac:dyDescent="0.15">
      <c r="A2005" s="6" t="s">
        <v>2199</v>
      </c>
      <c r="B2005" s="6" t="s">
        <v>2326</v>
      </c>
      <c r="C2005" s="6">
        <v>207</v>
      </c>
      <c r="D2005" s="6" t="str">
        <f>HYPERLINK("https://rmda.kulib.kyoto-u.ac.jp/item/rb00003883#?c=0&amp;m=0&amp;s=0&amp;cv=206")</f>
        <v>https://rmda.kulib.kyoto-u.ac.jp/item/rb00003883#?c=0&amp;m=0&amp;s=0&amp;cv=206</v>
      </c>
      <c r="F2005">
        <v>204</v>
      </c>
    </row>
    <row r="2006" spans="1:6" x14ac:dyDescent="0.15">
      <c r="A2006" s="6" t="s">
        <v>2199</v>
      </c>
      <c r="B2006" s="6" t="s">
        <v>2327</v>
      </c>
      <c r="C2006" s="6">
        <v>207</v>
      </c>
      <c r="D2006" s="6" t="str">
        <f>HYPERLINK("https://rmda.kulib.kyoto-u.ac.jp/item/rb00003883#?c=0&amp;m=0&amp;s=0&amp;cv=206")</f>
        <v>https://rmda.kulib.kyoto-u.ac.jp/item/rb00003883#?c=0&amp;m=0&amp;s=0&amp;cv=206</v>
      </c>
      <c r="F2006">
        <v>205</v>
      </c>
    </row>
    <row r="2007" spans="1:6" x14ac:dyDescent="0.15">
      <c r="A2007" s="6" t="s">
        <v>2199</v>
      </c>
      <c r="B2007" s="6" t="s">
        <v>1766</v>
      </c>
      <c r="C2007" s="6">
        <v>208</v>
      </c>
      <c r="D2007" s="6" t="str">
        <f>HYPERLINK("https://rmda.kulib.kyoto-u.ac.jp/item/rb00003883#?c=0&amp;m=0&amp;s=0&amp;cv=207")</f>
        <v>https://rmda.kulib.kyoto-u.ac.jp/item/rb00003883#?c=0&amp;m=0&amp;s=0&amp;cv=207</v>
      </c>
      <c r="F2007">
        <v>206</v>
      </c>
    </row>
    <row r="2008" spans="1:6" x14ac:dyDescent="0.15">
      <c r="A2008" s="6" t="s">
        <v>2199</v>
      </c>
      <c r="B2008" s="6" t="s">
        <v>4334</v>
      </c>
      <c r="C2008" s="6">
        <v>209</v>
      </c>
      <c r="D2008" s="6" t="str">
        <f>HYPERLINK("https://rmda.kulib.kyoto-u.ac.jp/item/rb00003883#?c=0&amp;m=0&amp;s=0&amp;cv=208")</f>
        <v>https://rmda.kulib.kyoto-u.ac.jp/item/rb00003883#?c=0&amp;m=0&amp;s=0&amp;cv=208</v>
      </c>
      <c r="F2008">
        <v>206</v>
      </c>
    </row>
    <row r="2009" spans="1:6" x14ac:dyDescent="0.15">
      <c r="A2009" s="6" t="s">
        <v>2199</v>
      </c>
      <c r="B2009" s="6" t="s">
        <v>2328</v>
      </c>
      <c r="C2009" s="6">
        <v>209</v>
      </c>
      <c r="D2009" s="6" t="str">
        <f>HYPERLINK("https://rmda.kulib.kyoto-u.ac.jp/item/rb00003883#?c=0&amp;m=0&amp;s=0&amp;cv=208")</f>
        <v>https://rmda.kulib.kyoto-u.ac.jp/item/rb00003883#?c=0&amp;m=0&amp;s=0&amp;cv=208</v>
      </c>
      <c r="F2009">
        <v>207</v>
      </c>
    </row>
    <row r="2010" spans="1:6" x14ac:dyDescent="0.15">
      <c r="A2010" s="6" t="s">
        <v>2199</v>
      </c>
      <c r="B2010" s="6" t="s">
        <v>2329</v>
      </c>
      <c r="C2010" s="6">
        <v>209</v>
      </c>
      <c r="D2010" s="6" t="str">
        <f>HYPERLINK("https://rmda.kulib.kyoto-u.ac.jp/item/rb00003883#?c=0&amp;m=0&amp;s=0&amp;cv=208")</f>
        <v>https://rmda.kulib.kyoto-u.ac.jp/item/rb00003883#?c=0&amp;m=0&amp;s=0&amp;cv=208</v>
      </c>
      <c r="F2010">
        <v>207</v>
      </c>
    </row>
    <row r="2011" spans="1:6" x14ac:dyDescent="0.15">
      <c r="A2011" s="6" t="s">
        <v>2199</v>
      </c>
      <c r="B2011" s="6" t="s">
        <v>4335</v>
      </c>
      <c r="C2011" s="6">
        <v>210</v>
      </c>
      <c r="D2011" s="6" t="str">
        <f>HYPERLINK("https://rmda.kulib.kyoto-u.ac.jp/item/rb00003883#?c=0&amp;m=0&amp;s=0&amp;cv=209")</f>
        <v>https://rmda.kulib.kyoto-u.ac.jp/item/rb00003883#?c=0&amp;m=0&amp;s=0&amp;cv=209</v>
      </c>
      <c r="F2011">
        <v>208</v>
      </c>
    </row>
    <row r="2012" spans="1:6" x14ac:dyDescent="0.15">
      <c r="A2012" s="6" t="s">
        <v>2199</v>
      </c>
      <c r="B2012" s="6" t="s">
        <v>4336</v>
      </c>
      <c r="C2012" s="6">
        <v>210</v>
      </c>
      <c r="D2012" s="6" t="str">
        <f>HYPERLINK("https://rmda.kulib.kyoto-u.ac.jp/item/rb00003883#?c=0&amp;m=0&amp;s=0&amp;cv=209")</f>
        <v>https://rmda.kulib.kyoto-u.ac.jp/item/rb00003883#?c=0&amp;m=0&amp;s=0&amp;cv=209</v>
      </c>
      <c r="F2012">
        <v>208</v>
      </c>
    </row>
    <row r="2013" spans="1:6" x14ac:dyDescent="0.15">
      <c r="A2013" s="6" t="s">
        <v>2199</v>
      </c>
      <c r="B2013" s="6" t="s">
        <v>4337</v>
      </c>
      <c r="C2013" s="6">
        <v>210</v>
      </c>
      <c r="D2013" s="6" t="str">
        <f>HYPERLINK("https://rmda.kulib.kyoto-u.ac.jp/item/rb00003883#?c=0&amp;m=0&amp;s=0&amp;cv=209")</f>
        <v>https://rmda.kulib.kyoto-u.ac.jp/item/rb00003883#?c=0&amp;m=0&amp;s=0&amp;cv=209</v>
      </c>
      <c r="F2013">
        <v>209</v>
      </c>
    </row>
    <row r="2014" spans="1:6" x14ac:dyDescent="0.15">
      <c r="A2014" s="6" t="s">
        <v>2199</v>
      </c>
      <c r="B2014" s="6" t="s">
        <v>5981</v>
      </c>
      <c r="C2014" s="6">
        <v>211</v>
      </c>
      <c r="D2014" s="6" t="str">
        <f>HYPERLINK("https://rmda.kulib.kyoto-u.ac.jp/item/rb00003883#?c=0&amp;m=0&amp;s=0&amp;cv=210")</f>
        <v>https://rmda.kulib.kyoto-u.ac.jp/item/rb00003883#?c=0&amp;m=0&amp;s=0&amp;cv=210</v>
      </c>
      <c r="F2014">
        <v>209</v>
      </c>
    </row>
    <row r="2015" spans="1:6" x14ac:dyDescent="0.15">
      <c r="A2015" s="6" t="s">
        <v>2199</v>
      </c>
      <c r="B2015" s="6" t="s">
        <v>2330</v>
      </c>
      <c r="C2015" s="6">
        <v>211</v>
      </c>
      <c r="D2015" s="6" t="str">
        <f>HYPERLINK("https://rmda.kulib.kyoto-u.ac.jp/item/rb00003883#?c=0&amp;m=0&amp;s=0&amp;cv=210")</f>
        <v>https://rmda.kulib.kyoto-u.ac.jp/item/rb00003883#?c=0&amp;m=0&amp;s=0&amp;cv=210</v>
      </c>
      <c r="F2015">
        <v>210</v>
      </c>
    </row>
    <row r="2016" spans="1:6" x14ac:dyDescent="0.15">
      <c r="A2016" s="6" t="s">
        <v>2199</v>
      </c>
      <c r="B2016" s="6" t="s">
        <v>2331</v>
      </c>
      <c r="C2016" s="6">
        <v>211</v>
      </c>
      <c r="D2016" s="6" t="str">
        <f>HYPERLINK("https://rmda.kulib.kyoto-u.ac.jp/item/rb00003883#?c=0&amp;m=0&amp;s=0&amp;cv=210")</f>
        <v>https://rmda.kulib.kyoto-u.ac.jp/item/rb00003883#?c=0&amp;m=0&amp;s=0&amp;cv=210</v>
      </c>
      <c r="F2016">
        <v>210</v>
      </c>
    </row>
    <row r="2017" spans="1:6" x14ac:dyDescent="0.15">
      <c r="A2017" s="6" t="s">
        <v>2199</v>
      </c>
      <c r="B2017" s="63" t="s">
        <v>5552</v>
      </c>
      <c r="C2017" s="6">
        <v>212</v>
      </c>
      <c r="D2017" s="6" t="str">
        <f>HYPERLINK("https://rmda.kulib.kyoto-u.ac.jp/item/rb00003883#?c=0&amp;m=0&amp;s=0&amp;cv=211")</f>
        <v>https://rmda.kulib.kyoto-u.ac.jp/item/rb00003883#?c=0&amp;m=0&amp;s=0&amp;cv=211</v>
      </c>
      <c r="F2017">
        <v>211</v>
      </c>
    </row>
    <row r="2018" spans="1:6" x14ac:dyDescent="0.15">
      <c r="A2018" s="6" t="s">
        <v>2199</v>
      </c>
      <c r="B2018" s="6" t="s">
        <v>2332</v>
      </c>
      <c r="C2018" s="6">
        <v>212</v>
      </c>
      <c r="D2018" s="6" t="str">
        <f>HYPERLINK("https://rmda.kulib.kyoto-u.ac.jp/item/rb00003883#?c=0&amp;m=0&amp;s=0&amp;cv=211")</f>
        <v>https://rmda.kulib.kyoto-u.ac.jp/item/rb00003883#?c=0&amp;m=0&amp;s=0&amp;cv=211</v>
      </c>
      <c r="F2018">
        <v>211</v>
      </c>
    </row>
    <row r="2019" spans="1:6" x14ac:dyDescent="0.15">
      <c r="A2019" s="6" t="s">
        <v>2199</v>
      </c>
      <c r="B2019" s="6" t="s">
        <v>4338</v>
      </c>
      <c r="C2019" s="6">
        <v>212</v>
      </c>
      <c r="D2019" s="6" t="str">
        <f>HYPERLINK("https://rmda.kulib.kyoto-u.ac.jp/item/rb00003883#?c=0&amp;m=0&amp;s=0&amp;cv=211")</f>
        <v>https://rmda.kulib.kyoto-u.ac.jp/item/rb00003883#?c=0&amp;m=0&amp;s=0&amp;cv=211</v>
      </c>
      <c r="F2019">
        <v>211</v>
      </c>
    </row>
    <row r="2020" spans="1:6" x14ac:dyDescent="0.15">
      <c r="A2020" s="6" t="s">
        <v>2199</v>
      </c>
      <c r="B2020" s="6" t="s">
        <v>5982</v>
      </c>
      <c r="C2020" s="6">
        <v>213</v>
      </c>
      <c r="D2020" s="6" t="str">
        <f>HYPERLINK("https://rmda.kulib.kyoto-u.ac.jp/item/rb00003883#?c=0&amp;m=0&amp;s=0&amp;cv=212")</f>
        <v>https://rmda.kulib.kyoto-u.ac.jp/item/rb00003883#?c=0&amp;m=0&amp;s=0&amp;cv=212</v>
      </c>
      <c r="F2020">
        <v>211</v>
      </c>
    </row>
    <row r="2021" spans="1:6" x14ac:dyDescent="0.15">
      <c r="A2021" s="6" t="s">
        <v>2199</v>
      </c>
      <c r="B2021" s="6" t="s">
        <v>1738</v>
      </c>
      <c r="C2021" s="6">
        <v>213</v>
      </c>
      <c r="D2021" s="6" t="str">
        <f>HYPERLINK("https://rmda.kulib.kyoto-u.ac.jp/item/rb00003883#?c=0&amp;m=0&amp;s=0&amp;cv=212")</f>
        <v>https://rmda.kulib.kyoto-u.ac.jp/item/rb00003883#?c=0&amp;m=0&amp;s=0&amp;cv=212</v>
      </c>
      <c r="F2021">
        <v>212</v>
      </c>
    </row>
    <row r="2022" spans="1:6" x14ac:dyDescent="0.15">
      <c r="A2022" s="6" t="s">
        <v>2199</v>
      </c>
      <c r="B2022" s="6" t="s">
        <v>4339</v>
      </c>
      <c r="C2022" s="6">
        <v>214</v>
      </c>
      <c r="D2022" s="6" t="str">
        <f>HYPERLINK("https://rmda.kulib.kyoto-u.ac.jp/item/rb00003883#?c=0&amp;m=0&amp;s=0&amp;cv=213")</f>
        <v>https://rmda.kulib.kyoto-u.ac.jp/item/rb00003883#?c=0&amp;m=0&amp;s=0&amp;cv=213</v>
      </c>
      <c r="F2022">
        <v>213</v>
      </c>
    </row>
    <row r="2023" spans="1:6" x14ac:dyDescent="0.15">
      <c r="A2023" s="6" t="s">
        <v>2199</v>
      </c>
      <c r="B2023" s="6" t="s">
        <v>4340</v>
      </c>
      <c r="C2023" s="6">
        <v>214</v>
      </c>
      <c r="D2023" s="6" t="str">
        <f>HYPERLINK("https://rmda.kulib.kyoto-u.ac.jp/item/rb00003883#?c=0&amp;m=0&amp;s=0&amp;cv=213")</f>
        <v>https://rmda.kulib.kyoto-u.ac.jp/item/rb00003883#?c=0&amp;m=0&amp;s=0&amp;cv=213</v>
      </c>
      <c r="F2023">
        <v>214</v>
      </c>
    </row>
    <row r="2024" spans="1:6" x14ac:dyDescent="0.15">
      <c r="A2024" s="6" t="s">
        <v>2199</v>
      </c>
      <c r="B2024" s="6" t="s">
        <v>4341</v>
      </c>
      <c r="C2024" s="6">
        <v>215</v>
      </c>
      <c r="D2024" s="6" t="str">
        <f>HYPERLINK("https://rmda.kulib.kyoto-u.ac.jp/item/rb00003883#?c=0&amp;m=0&amp;s=0&amp;cv=214")</f>
        <v>https://rmda.kulib.kyoto-u.ac.jp/item/rb00003883#?c=0&amp;m=0&amp;s=0&amp;cv=214</v>
      </c>
      <c r="F2024">
        <v>214</v>
      </c>
    </row>
    <row r="2025" spans="1:6" x14ac:dyDescent="0.15">
      <c r="A2025" s="6" t="s">
        <v>2199</v>
      </c>
      <c r="B2025" s="63" t="s">
        <v>5528</v>
      </c>
      <c r="C2025" s="6">
        <v>215</v>
      </c>
      <c r="D2025" s="6" t="str">
        <f>HYPERLINK("https://rmda.kulib.kyoto-u.ac.jp/item/rb00003883#?c=0&amp;m=0&amp;s=0&amp;cv=214")</f>
        <v>https://rmda.kulib.kyoto-u.ac.jp/item/rb00003883#?c=0&amp;m=0&amp;s=0&amp;cv=214</v>
      </c>
    </row>
    <row r="2026" spans="1:6" x14ac:dyDescent="0.15">
      <c r="A2026" s="6" t="s">
        <v>2199</v>
      </c>
      <c r="B2026" s="6" t="s">
        <v>2333</v>
      </c>
      <c r="C2026" s="6">
        <v>215</v>
      </c>
      <c r="D2026" s="6" t="str">
        <f>HYPERLINK("https://rmda.kulib.kyoto-u.ac.jp/item/rb00003883#?c=0&amp;m=0&amp;s=0&amp;cv=214")</f>
        <v>https://rmda.kulib.kyoto-u.ac.jp/item/rb00003883#?c=0&amp;m=0&amp;s=0&amp;cv=214</v>
      </c>
      <c r="F2026">
        <v>215</v>
      </c>
    </row>
    <row r="2027" spans="1:6" x14ac:dyDescent="0.15">
      <c r="A2027" s="6" t="s">
        <v>2199</v>
      </c>
      <c r="B2027" s="63" t="s">
        <v>5527</v>
      </c>
      <c r="C2027" s="6">
        <v>216</v>
      </c>
      <c r="D2027" s="6" t="str">
        <f>HYPERLINK("https://rmda.kulib.kyoto-u.ac.jp/item/rb00003883#?c=0&amp;m=0&amp;s=0&amp;cv=215")</f>
        <v>https://rmda.kulib.kyoto-u.ac.jp/item/rb00003883#?c=0&amp;m=0&amp;s=0&amp;cv=215</v>
      </c>
    </row>
    <row r="2028" spans="1:6" x14ac:dyDescent="0.15">
      <c r="A2028" s="6" t="s">
        <v>2199</v>
      </c>
      <c r="B2028" s="6" t="s">
        <v>2334</v>
      </c>
      <c r="C2028" s="6">
        <v>216</v>
      </c>
      <c r="D2028" s="6" t="str">
        <f>HYPERLINK("https://rmda.kulib.kyoto-u.ac.jp/item/rb00003883#?c=0&amp;m=0&amp;s=0&amp;cv=215")</f>
        <v>https://rmda.kulib.kyoto-u.ac.jp/item/rb00003883#?c=0&amp;m=0&amp;s=0&amp;cv=215</v>
      </c>
      <c r="F2028">
        <v>215</v>
      </c>
    </row>
    <row r="2029" spans="1:6" x14ac:dyDescent="0.15">
      <c r="A2029" s="6" t="s">
        <v>2199</v>
      </c>
      <c r="B2029" s="6" t="s">
        <v>1649</v>
      </c>
      <c r="C2029" s="6">
        <v>216</v>
      </c>
      <c r="D2029" s="6" t="str">
        <f>HYPERLINK("https://rmda.kulib.kyoto-u.ac.jp/item/rb00003883#?c=0&amp;m=0&amp;s=0&amp;cv=215")</f>
        <v>https://rmda.kulib.kyoto-u.ac.jp/item/rb00003883#?c=0&amp;m=0&amp;s=0&amp;cv=215</v>
      </c>
      <c r="F2029">
        <v>216</v>
      </c>
    </row>
    <row r="2030" spans="1:6" x14ac:dyDescent="0.15">
      <c r="A2030" s="6" t="s">
        <v>2199</v>
      </c>
      <c r="B2030" s="63" t="s">
        <v>5985</v>
      </c>
      <c r="C2030" s="6">
        <v>217</v>
      </c>
      <c r="D2030" s="6" t="str">
        <f>HYPERLINK("https://rmda.kulib.kyoto-u.ac.jp/item/rb00003883#?c=0&amp;m=0&amp;s=0&amp;cv=216")</f>
        <v>https://rmda.kulib.kyoto-u.ac.jp/item/rb00003883#?c=0&amp;m=0&amp;s=0&amp;cv=216</v>
      </c>
    </row>
    <row r="2031" spans="1:6" x14ac:dyDescent="0.15">
      <c r="A2031" s="6" t="s">
        <v>2199</v>
      </c>
      <c r="B2031" s="6" t="s">
        <v>2335</v>
      </c>
      <c r="C2031" s="6">
        <v>217</v>
      </c>
      <c r="D2031" s="6" t="str">
        <f>HYPERLINK("https://rmda.kulib.kyoto-u.ac.jp/item/rb00003883#?c=0&amp;m=0&amp;s=0&amp;cv=216")</f>
        <v>https://rmda.kulib.kyoto-u.ac.jp/item/rb00003883#?c=0&amp;m=0&amp;s=0&amp;cv=216</v>
      </c>
      <c r="F2031">
        <v>216</v>
      </c>
    </row>
    <row r="2032" spans="1:6" x14ac:dyDescent="0.15">
      <c r="A2032" s="6" t="s">
        <v>2199</v>
      </c>
      <c r="B2032" s="6" t="s">
        <v>2336</v>
      </c>
      <c r="C2032" s="6">
        <v>217</v>
      </c>
      <c r="D2032" s="6" t="str">
        <f>HYPERLINK("https://rmda.kulib.kyoto-u.ac.jp/item/rb00003883#?c=0&amp;m=0&amp;s=0&amp;cv=216")</f>
        <v>https://rmda.kulib.kyoto-u.ac.jp/item/rb00003883#?c=0&amp;m=0&amp;s=0&amp;cv=216</v>
      </c>
      <c r="F2032">
        <v>217</v>
      </c>
    </row>
    <row r="2033" spans="1:6" x14ac:dyDescent="0.15">
      <c r="A2033" s="6" t="s">
        <v>2199</v>
      </c>
      <c r="B2033" s="6" t="s">
        <v>2337</v>
      </c>
      <c r="C2033" s="6">
        <v>218</v>
      </c>
      <c r="D2033" s="6" t="str">
        <f>HYPERLINK("https://rmda.kulib.kyoto-u.ac.jp/item/rb00003883#?c=0&amp;m=0&amp;s=0&amp;cv=217")</f>
        <v>https://rmda.kulib.kyoto-u.ac.jp/item/rb00003883#?c=0&amp;m=0&amp;s=0&amp;cv=217</v>
      </c>
      <c r="F2033">
        <v>218</v>
      </c>
    </row>
    <row r="2034" spans="1:6" x14ac:dyDescent="0.15">
      <c r="A2034" s="6" t="s">
        <v>2199</v>
      </c>
      <c r="B2034" s="6" t="s">
        <v>1874</v>
      </c>
      <c r="C2034" s="6">
        <v>218</v>
      </c>
      <c r="D2034" s="6" t="str">
        <f>HYPERLINK("https://rmda.kulib.kyoto-u.ac.jp/item/rb00003883#?c=0&amp;m=0&amp;s=0&amp;cv=217")</f>
        <v>https://rmda.kulib.kyoto-u.ac.jp/item/rb00003883#?c=0&amp;m=0&amp;s=0&amp;cv=217</v>
      </c>
      <c r="F2034">
        <v>218</v>
      </c>
    </row>
    <row r="2035" spans="1:6" x14ac:dyDescent="0.15">
      <c r="A2035" s="6" t="s">
        <v>2199</v>
      </c>
      <c r="B2035" s="63" t="s">
        <v>5524</v>
      </c>
      <c r="C2035" s="6">
        <v>219</v>
      </c>
      <c r="D2035" s="6" t="str">
        <f>HYPERLINK("https://rmda.kulib.kyoto-u.ac.jp/item/rb00003883#?c=0&amp;m=0&amp;s=0&amp;cv=218")</f>
        <v>https://rmda.kulib.kyoto-u.ac.jp/item/rb00003883#?c=0&amp;m=0&amp;s=0&amp;cv=218</v>
      </c>
    </row>
    <row r="2036" spans="1:6" x14ac:dyDescent="0.15">
      <c r="A2036" s="6" t="s">
        <v>2199</v>
      </c>
      <c r="B2036" s="6" t="s">
        <v>1739</v>
      </c>
      <c r="C2036" s="6">
        <v>219</v>
      </c>
      <c r="D2036" s="6" t="str">
        <f>HYPERLINK("https://rmda.kulib.kyoto-u.ac.jp/item/rb00003883#?c=0&amp;m=0&amp;s=0&amp;cv=218")</f>
        <v>https://rmda.kulib.kyoto-u.ac.jp/item/rb00003883#?c=0&amp;m=0&amp;s=0&amp;cv=218</v>
      </c>
      <c r="F2036">
        <v>218</v>
      </c>
    </row>
    <row r="2037" spans="1:6" x14ac:dyDescent="0.15">
      <c r="A2037" s="6" t="s">
        <v>2199</v>
      </c>
      <c r="B2037" s="6" t="s">
        <v>2015</v>
      </c>
      <c r="C2037" s="6">
        <v>219</v>
      </c>
      <c r="D2037" s="6" t="str">
        <f>HYPERLINK("https://rmda.kulib.kyoto-u.ac.jp/item/rb00003883#?c=0&amp;m=0&amp;s=0&amp;cv=218")</f>
        <v>https://rmda.kulib.kyoto-u.ac.jp/item/rb00003883#?c=0&amp;m=0&amp;s=0&amp;cv=218</v>
      </c>
      <c r="F2037">
        <v>219</v>
      </c>
    </row>
    <row r="2038" spans="1:6" x14ac:dyDescent="0.15">
      <c r="A2038" s="6" t="s">
        <v>2199</v>
      </c>
      <c r="B2038" s="6" t="s">
        <v>2004</v>
      </c>
      <c r="C2038" s="6">
        <v>220</v>
      </c>
      <c r="D2038" s="6" t="str">
        <f>HYPERLINK("https://rmda.kulib.kyoto-u.ac.jp/item/rb00003883#?c=0&amp;m=0&amp;s=0&amp;cv=219")</f>
        <v>https://rmda.kulib.kyoto-u.ac.jp/item/rb00003883#?c=0&amp;m=0&amp;s=0&amp;cv=219</v>
      </c>
      <c r="F2038">
        <v>220</v>
      </c>
    </row>
    <row r="2039" spans="1:6" x14ac:dyDescent="0.15">
      <c r="A2039" s="6" t="s">
        <v>2199</v>
      </c>
      <c r="B2039" s="6" t="s">
        <v>1728</v>
      </c>
      <c r="C2039" s="6">
        <v>221</v>
      </c>
      <c r="D2039" s="6" t="str">
        <f>HYPERLINK("https://rmda.kulib.kyoto-u.ac.jp/item/rb00003883#?c=0&amp;m=0&amp;s=0&amp;cv=220")</f>
        <v>https://rmda.kulib.kyoto-u.ac.jp/item/rb00003883#?c=0&amp;m=0&amp;s=0&amp;cv=220</v>
      </c>
      <c r="F2039">
        <v>221</v>
      </c>
    </row>
    <row r="2040" spans="1:6" x14ac:dyDescent="0.15">
      <c r="A2040" s="6" t="s">
        <v>2199</v>
      </c>
      <c r="B2040" s="6" t="s">
        <v>2338</v>
      </c>
      <c r="C2040" s="6">
        <v>222</v>
      </c>
      <c r="D2040" s="6" t="str">
        <f>HYPERLINK("https://rmda.kulib.kyoto-u.ac.jp/item/rb00003883#?c=0&amp;m=0&amp;s=0&amp;cv=221")</f>
        <v>https://rmda.kulib.kyoto-u.ac.jp/item/rb00003883#?c=0&amp;m=0&amp;s=0&amp;cv=221</v>
      </c>
      <c r="F2040">
        <v>223</v>
      </c>
    </row>
    <row r="2041" spans="1:6" x14ac:dyDescent="0.15">
      <c r="A2041" s="6" t="s">
        <v>2199</v>
      </c>
      <c r="B2041" s="63" t="s">
        <v>5525</v>
      </c>
      <c r="C2041" s="6">
        <v>223</v>
      </c>
      <c r="D2041" s="6" t="str">
        <f>HYPERLINK("https://rmda.kulib.kyoto-u.ac.jp/item/rb00003883#?c=0&amp;m=0&amp;s=0&amp;cv=222")</f>
        <v>https://rmda.kulib.kyoto-u.ac.jp/item/rb00003883#?c=0&amp;m=0&amp;s=0&amp;cv=222</v>
      </c>
    </row>
    <row r="2042" spans="1:6" x14ac:dyDescent="0.15">
      <c r="A2042" s="6" t="s">
        <v>2199</v>
      </c>
      <c r="B2042" s="6" t="s">
        <v>2339</v>
      </c>
      <c r="C2042" s="6">
        <v>223</v>
      </c>
      <c r="D2042" s="6" t="str">
        <f>HYPERLINK("https://rmda.kulib.kyoto-u.ac.jp/item/rb00003883#?c=0&amp;m=0&amp;s=0&amp;cv=222")</f>
        <v>https://rmda.kulib.kyoto-u.ac.jp/item/rb00003883#?c=0&amp;m=0&amp;s=0&amp;cv=222</v>
      </c>
      <c r="F2042">
        <v>223</v>
      </c>
    </row>
    <row r="2043" spans="1:6" x14ac:dyDescent="0.15">
      <c r="A2043" s="6" t="s">
        <v>2199</v>
      </c>
      <c r="B2043" s="6" t="s">
        <v>2340</v>
      </c>
      <c r="C2043" s="6">
        <v>223</v>
      </c>
      <c r="D2043" s="6" t="str">
        <f>HYPERLINK("https://rmda.kulib.kyoto-u.ac.jp/item/rb00003883#?c=0&amp;m=0&amp;s=0&amp;cv=222")</f>
        <v>https://rmda.kulib.kyoto-u.ac.jp/item/rb00003883#?c=0&amp;m=0&amp;s=0&amp;cv=222</v>
      </c>
      <c r="F2043">
        <v>224</v>
      </c>
    </row>
    <row r="2044" spans="1:6" x14ac:dyDescent="0.15">
      <c r="A2044" s="6" t="s">
        <v>2199</v>
      </c>
      <c r="B2044" s="6" t="s">
        <v>4342</v>
      </c>
      <c r="C2044" s="6">
        <v>224</v>
      </c>
      <c r="D2044" s="6" t="str">
        <f>HYPERLINK("https://rmda.kulib.kyoto-u.ac.jp/item/rb00003883#?c=0&amp;m=0&amp;s=0&amp;cv=223")</f>
        <v>https://rmda.kulib.kyoto-u.ac.jp/item/rb00003883#?c=0&amp;m=0&amp;s=0&amp;cv=223</v>
      </c>
      <c r="F2044">
        <v>224</v>
      </c>
    </row>
    <row r="2045" spans="1:6" x14ac:dyDescent="0.15">
      <c r="A2045" s="6" t="s">
        <v>2199</v>
      </c>
      <c r="B2045" s="6" t="s">
        <v>4343</v>
      </c>
      <c r="C2045" s="6">
        <v>224</v>
      </c>
      <c r="D2045" s="6" t="str">
        <f>HYPERLINK("https://rmda.kulib.kyoto-u.ac.jp/item/rb00003883#?c=0&amp;m=0&amp;s=0&amp;cv=223")</f>
        <v>https://rmda.kulib.kyoto-u.ac.jp/item/rb00003883#?c=0&amp;m=0&amp;s=0&amp;cv=223</v>
      </c>
      <c r="F2045">
        <v>225</v>
      </c>
    </row>
    <row r="2046" spans="1:6" x14ac:dyDescent="0.15">
      <c r="A2046" s="6" t="s">
        <v>2199</v>
      </c>
      <c r="B2046" s="6" t="s">
        <v>1803</v>
      </c>
      <c r="C2046" s="6">
        <v>224</v>
      </c>
      <c r="D2046" s="6" t="str">
        <f>HYPERLINK("https://rmda.kulib.kyoto-u.ac.jp/item/rb00003883#?c=0&amp;m=0&amp;s=0&amp;cv=223")</f>
        <v>https://rmda.kulib.kyoto-u.ac.jp/item/rb00003883#?c=0&amp;m=0&amp;s=0&amp;cv=223</v>
      </c>
      <c r="F2046">
        <v>225</v>
      </c>
    </row>
    <row r="2047" spans="1:6" x14ac:dyDescent="0.15">
      <c r="A2047" s="6" t="s">
        <v>2199</v>
      </c>
      <c r="B2047" s="6" t="s">
        <v>4480</v>
      </c>
      <c r="C2047" s="6">
        <v>225</v>
      </c>
      <c r="D2047" s="6" t="str">
        <f>HYPERLINK("https://rmda.kulib.kyoto-u.ac.jp/item/rb00003883#?c=0&amp;m=0&amp;s=0&amp;cv=224")</f>
        <v>https://rmda.kulib.kyoto-u.ac.jp/item/rb00003883#?c=0&amp;m=0&amp;s=0&amp;cv=224</v>
      </c>
      <c r="F2047">
        <v>226</v>
      </c>
    </row>
    <row r="2048" spans="1:6" x14ac:dyDescent="0.15">
      <c r="A2048" s="6" t="s">
        <v>2199</v>
      </c>
      <c r="B2048" s="72" t="s">
        <v>4481</v>
      </c>
      <c r="C2048" s="6">
        <v>229</v>
      </c>
      <c r="D2048" s="6" t="str">
        <f>HYPERLINK("https://rmda.kulib.kyoto-u.ac.jp/item/rb00003883#?c=0&amp;m=0&amp;s=0&amp;cv=228")</f>
        <v>https://rmda.kulib.kyoto-u.ac.jp/item/rb00003883#?c=0&amp;m=0&amp;s=0&amp;cv=228</v>
      </c>
      <c r="F2048">
        <v>230</v>
      </c>
    </row>
    <row r="2049" spans="1:6" x14ac:dyDescent="0.15">
      <c r="A2049" s="6" t="s">
        <v>2199</v>
      </c>
      <c r="B2049" s="63" t="s">
        <v>5553</v>
      </c>
      <c r="C2049" s="6">
        <v>229</v>
      </c>
      <c r="D2049" s="6" t="str">
        <f>HYPERLINK("https://rmda.kulib.kyoto-u.ac.jp/item/rb00003883#?c=0&amp;m=0&amp;s=0&amp;cv=228")</f>
        <v>https://rmda.kulib.kyoto-u.ac.jp/item/rb00003883#?c=0&amp;m=0&amp;s=0&amp;cv=228</v>
      </c>
      <c r="F2049">
        <v>230</v>
      </c>
    </row>
    <row r="2050" spans="1:6" x14ac:dyDescent="0.15">
      <c r="A2050" s="6" t="s">
        <v>2199</v>
      </c>
      <c r="B2050" s="6" t="s">
        <v>2341</v>
      </c>
      <c r="C2050" s="6">
        <v>229</v>
      </c>
      <c r="D2050" s="6" t="str">
        <f>HYPERLINK("https://rmda.kulib.kyoto-u.ac.jp/item/rb00003883#?c=0&amp;m=0&amp;s=0&amp;cv=228")</f>
        <v>https://rmda.kulib.kyoto-u.ac.jp/item/rb00003883#?c=0&amp;m=0&amp;s=0&amp;cv=228</v>
      </c>
      <c r="F2050">
        <v>230</v>
      </c>
    </row>
    <row r="2051" spans="1:6" x14ac:dyDescent="0.15">
      <c r="A2051" s="6" t="s">
        <v>2199</v>
      </c>
      <c r="B2051" s="6" t="s">
        <v>2342</v>
      </c>
      <c r="C2051" s="6">
        <v>230</v>
      </c>
      <c r="D2051" s="6" t="str">
        <f>HYPERLINK("https://rmda.kulib.kyoto-u.ac.jp/item/rb00003883#?c=0&amp;m=0&amp;s=0&amp;cv=229")</f>
        <v>https://rmda.kulib.kyoto-u.ac.jp/item/rb00003883#?c=0&amp;m=0&amp;s=0&amp;cv=229</v>
      </c>
      <c r="F2051">
        <v>231</v>
      </c>
    </row>
    <row r="2052" spans="1:6" x14ac:dyDescent="0.15">
      <c r="A2052" s="6" t="s">
        <v>2199</v>
      </c>
      <c r="B2052" s="6" t="s">
        <v>1740</v>
      </c>
      <c r="C2052" s="6">
        <v>231</v>
      </c>
      <c r="D2052" s="6" t="str">
        <f>HYPERLINK("https://rmda.kulib.kyoto-u.ac.jp/item/rb00003883#?c=0&amp;m=0&amp;s=0&amp;cv=230")</f>
        <v>https://rmda.kulib.kyoto-u.ac.jp/item/rb00003883#?c=0&amp;m=0&amp;s=0&amp;cv=230</v>
      </c>
      <c r="F2052">
        <v>232</v>
      </c>
    </row>
    <row r="2053" spans="1:6" x14ac:dyDescent="0.15">
      <c r="A2053" s="6" t="s">
        <v>2199</v>
      </c>
      <c r="B2053" s="6" t="s">
        <v>1741</v>
      </c>
      <c r="C2053" s="6">
        <v>231</v>
      </c>
      <c r="D2053" s="6" t="str">
        <f>HYPERLINK("https://rmda.kulib.kyoto-u.ac.jp/item/rb00003883#?c=0&amp;m=0&amp;s=0&amp;cv=230")</f>
        <v>https://rmda.kulib.kyoto-u.ac.jp/item/rb00003883#?c=0&amp;m=0&amp;s=0&amp;cv=230</v>
      </c>
      <c r="F2053">
        <v>233</v>
      </c>
    </row>
    <row r="2054" spans="1:6" x14ac:dyDescent="0.15">
      <c r="A2054" s="6" t="s">
        <v>2199</v>
      </c>
      <c r="B2054" s="6" t="s">
        <v>2042</v>
      </c>
      <c r="C2054" s="6">
        <v>232</v>
      </c>
      <c r="D2054" s="6" t="str">
        <f>HYPERLINK("https://rmda.kulib.kyoto-u.ac.jp/item/rb00003883#?c=0&amp;m=0&amp;s=0&amp;cv=231")</f>
        <v>https://rmda.kulib.kyoto-u.ac.jp/item/rb00003883#?c=0&amp;m=0&amp;s=0&amp;cv=231</v>
      </c>
      <c r="F2054">
        <v>233</v>
      </c>
    </row>
    <row r="2055" spans="1:6" x14ac:dyDescent="0.15">
      <c r="A2055" s="6" t="s">
        <v>2199</v>
      </c>
      <c r="B2055" s="6" t="s">
        <v>2343</v>
      </c>
      <c r="C2055" s="6">
        <v>232</v>
      </c>
      <c r="D2055" s="6" t="str">
        <f>HYPERLINK("https://rmda.kulib.kyoto-u.ac.jp/item/rb00003883#?c=0&amp;m=0&amp;s=0&amp;cv=231")</f>
        <v>https://rmda.kulib.kyoto-u.ac.jp/item/rb00003883#?c=0&amp;m=0&amp;s=0&amp;cv=231</v>
      </c>
      <c r="F2055">
        <v>234</v>
      </c>
    </row>
    <row r="2056" spans="1:6" x14ac:dyDescent="0.15">
      <c r="A2056" s="6" t="s">
        <v>2199</v>
      </c>
      <c r="B2056" s="6" t="s">
        <v>4344</v>
      </c>
      <c r="C2056" s="6">
        <v>233</v>
      </c>
      <c r="D2056" s="6" t="str">
        <f>HYPERLINK("https://rmda.kulib.kyoto-u.ac.jp/item/rb00003883#?c=0&amp;m=0&amp;s=0&amp;cv=232")</f>
        <v>https://rmda.kulib.kyoto-u.ac.jp/item/rb00003883#?c=0&amp;m=0&amp;s=0&amp;cv=232</v>
      </c>
      <c r="F2056">
        <v>234</v>
      </c>
    </row>
    <row r="2057" spans="1:6" x14ac:dyDescent="0.15">
      <c r="A2057" s="6" t="s">
        <v>2199</v>
      </c>
      <c r="B2057" s="6" t="s">
        <v>4503</v>
      </c>
      <c r="C2057" s="6">
        <v>233</v>
      </c>
      <c r="D2057" s="6" t="str">
        <f>HYPERLINK("https://rmda.kulib.kyoto-u.ac.jp/item/rb00003883#?c=0&amp;m=0&amp;s=0&amp;cv=232")</f>
        <v>https://rmda.kulib.kyoto-u.ac.jp/item/rb00003883#?c=0&amp;m=0&amp;s=0&amp;cv=232</v>
      </c>
      <c r="F2057">
        <v>235</v>
      </c>
    </row>
    <row r="2058" spans="1:6" x14ac:dyDescent="0.15">
      <c r="A2058" s="6" t="s">
        <v>2199</v>
      </c>
      <c r="B2058" s="6" t="s">
        <v>4345</v>
      </c>
      <c r="C2058" s="6">
        <v>234</v>
      </c>
      <c r="D2058" s="6" t="str">
        <f>HYPERLINK("https://rmda.kulib.kyoto-u.ac.jp/item/rb00003883#?c=0&amp;m=0&amp;s=0&amp;cv=233")</f>
        <v>https://rmda.kulib.kyoto-u.ac.jp/item/rb00003883#?c=0&amp;m=0&amp;s=0&amp;cv=233</v>
      </c>
      <c r="F2058">
        <v>236</v>
      </c>
    </row>
    <row r="2059" spans="1:6" x14ac:dyDescent="0.15">
      <c r="A2059" s="6" t="s">
        <v>2199</v>
      </c>
      <c r="B2059" s="6" t="s">
        <v>4346</v>
      </c>
      <c r="C2059" s="6">
        <v>234</v>
      </c>
      <c r="D2059" s="6" t="str">
        <f>HYPERLINK("https://rmda.kulib.kyoto-u.ac.jp/item/rb00003883#?c=0&amp;m=0&amp;s=0&amp;cv=233")</f>
        <v>https://rmda.kulib.kyoto-u.ac.jp/item/rb00003883#?c=0&amp;m=0&amp;s=0&amp;cv=233</v>
      </c>
      <c r="F2059">
        <v>236</v>
      </c>
    </row>
    <row r="2060" spans="1:6" x14ac:dyDescent="0.15">
      <c r="A2060" s="6" t="s">
        <v>2199</v>
      </c>
      <c r="B2060" s="6" t="s">
        <v>4347</v>
      </c>
      <c r="C2060" s="6">
        <v>235</v>
      </c>
      <c r="D2060" s="6" t="str">
        <f>HYPERLINK("https://rmda.kulib.kyoto-u.ac.jp/item/rb00003883#?c=0&amp;m=0&amp;s=0&amp;cv=234")</f>
        <v>https://rmda.kulib.kyoto-u.ac.jp/item/rb00003883#?c=0&amp;m=0&amp;s=0&amp;cv=234</v>
      </c>
      <c r="F2060">
        <v>237</v>
      </c>
    </row>
    <row r="2061" spans="1:6" x14ac:dyDescent="0.15">
      <c r="A2061" s="6" t="s">
        <v>2199</v>
      </c>
      <c r="B2061" s="63" t="s">
        <v>5531</v>
      </c>
      <c r="C2061" s="6">
        <v>235</v>
      </c>
      <c r="D2061" s="6" t="str">
        <f>HYPERLINK("https://rmda.kulib.kyoto-u.ac.jp/item/rb00003883#?c=0&amp;m=0&amp;s=0&amp;cv=234")</f>
        <v>https://rmda.kulib.kyoto-u.ac.jp/item/rb00003883#?c=0&amp;m=0&amp;s=0&amp;cv=234</v>
      </c>
    </row>
    <row r="2062" spans="1:6" x14ac:dyDescent="0.15">
      <c r="A2062" s="6" t="s">
        <v>2199</v>
      </c>
      <c r="B2062" s="6" t="s">
        <v>2344</v>
      </c>
      <c r="C2062" s="6">
        <v>235</v>
      </c>
      <c r="D2062" s="6" t="str">
        <f>HYPERLINK("https://rmda.kulib.kyoto-u.ac.jp/item/rb00003883#?c=0&amp;m=0&amp;s=0&amp;cv=234")</f>
        <v>https://rmda.kulib.kyoto-u.ac.jp/item/rb00003883#?c=0&amp;m=0&amp;s=0&amp;cv=234</v>
      </c>
      <c r="F2062">
        <v>237</v>
      </c>
    </row>
    <row r="2063" spans="1:6" x14ac:dyDescent="0.15">
      <c r="A2063" s="6" t="s">
        <v>2199</v>
      </c>
      <c r="B2063" s="6" t="s">
        <v>4348</v>
      </c>
      <c r="C2063" s="6">
        <v>236</v>
      </c>
      <c r="D2063" s="6" t="str">
        <f t="shared" ref="D2063:D2068" si="1">HYPERLINK("https://rmda.kulib.kyoto-u.ac.jp/item/rb00003883#?c=0&amp;m=0&amp;s=0&amp;cv=235")</f>
        <v>https://rmda.kulib.kyoto-u.ac.jp/item/rb00003883#?c=0&amp;m=0&amp;s=0&amp;cv=235</v>
      </c>
      <c r="F2063" t="s">
        <v>5523</v>
      </c>
    </row>
    <row r="2064" spans="1:6" x14ac:dyDescent="0.15">
      <c r="A2064" s="6" t="s">
        <v>2199</v>
      </c>
      <c r="B2064" s="63" t="s">
        <v>5530</v>
      </c>
      <c r="C2064" s="6">
        <v>236</v>
      </c>
      <c r="D2064" s="6" t="str">
        <f t="shared" si="1"/>
        <v>https://rmda.kulib.kyoto-u.ac.jp/item/rb00003883#?c=0&amp;m=0&amp;s=0&amp;cv=235</v>
      </c>
    </row>
    <row r="2065" spans="1:6" x14ac:dyDescent="0.15">
      <c r="A2065" s="6" t="s">
        <v>2199</v>
      </c>
      <c r="B2065" s="6" t="s">
        <v>2345</v>
      </c>
      <c r="C2065" s="6">
        <v>236</v>
      </c>
      <c r="D2065" s="6" t="str">
        <f t="shared" si="1"/>
        <v>https://rmda.kulib.kyoto-u.ac.jp/item/rb00003883#?c=0&amp;m=0&amp;s=0&amp;cv=235</v>
      </c>
      <c r="F2065">
        <v>238</v>
      </c>
    </row>
    <row r="2066" spans="1:6" x14ac:dyDescent="0.15">
      <c r="A2066" s="6" t="s">
        <v>2199</v>
      </c>
      <c r="B2066" s="6" t="s">
        <v>4349</v>
      </c>
      <c r="C2066" s="6">
        <v>236</v>
      </c>
      <c r="D2066" s="6" t="str">
        <f t="shared" si="1"/>
        <v>https://rmda.kulib.kyoto-u.ac.jp/item/rb00003883#?c=0&amp;m=0&amp;s=0&amp;cv=235</v>
      </c>
      <c r="F2066">
        <v>238</v>
      </c>
    </row>
    <row r="2067" spans="1:6" x14ac:dyDescent="0.15">
      <c r="A2067" s="6" t="s">
        <v>2199</v>
      </c>
      <c r="B2067" s="63" t="s">
        <v>5985</v>
      </c>
      <c r="C2067" s="6">
        <v>236</v>
      </c>
      <c r="D2067" s="6" t="str">
        <f t="shared" si="1"/>
        <v>https://rmda.kulib.kyoto-u.ac.jp/item/rb00003883#?c=0&amp;m=0&amp;s=0&amp;cv=235</v>
      </c>
    </row>
    <row r="2068" spans="1:6" x14ac:dyDescent="0.15">
      <c r="A2068" s="6" t="s">
        <v>2199</v>
      </c>
      <c r="B2068" s="6" t="s">
        <v>1519</v>
      </c>
      <c r="C2068" s="6">
        <v>236</v>
      </c>
      <c r="D2068" s="6" t="str">
        <f t="shared" si="1"/>
        <v>https://rmda.kulib.kyoto-u.ac.jp/item/rb00003883#?c=0&amp;m=0&amp;s=0&amp;cv=235</v>
      </c>
      <c r="F2068">
        <v>239</v>
      </c>
    </row>
    <row r="2069" spans="1:6" x14ac:dyDescent="0.15">
      <c r="A2069" s="6" t="s">
        <v>2199</v>
      </c>
      <c r="B2069" s="63" t="s">
        <v>5524</v>
      </c>
      <c r="C2069" s="6">
        <v>237</v>
      </c>
      <c r="D2069" s="6" t="str">
        <f>HYPERLINK("https://rmda.kulib.kyoto-u.ac.jp/item/rb00003883#?c=0&amp;m=0&amp;s=0&amp;cv=236")</f>
        <v>https://rmda.kulib.kyoto-u.ac.jp/item/rb00003883#?c=0&amp;m=0&amp;s=0&amp;cv=236</v>
      </c>
    </row>
    <row r="2070" spans="1:6" x14ac:dyDescent="0.15">
      <c r="A2070" s="6" t="s">
        <v>2199</v>
      </c>
      <c r="B2070" s="6" t="s">
        <v>4350</v>
      </c>
      <c r="C2070" s="6">
        <v>237</v>
      </c>
      <c r="D2070" s="6" t="str">
        <f>HYPERLINK("https://rmda.kulib.kyoto-u.ac.jp/item/rb00003883#?c=0&amp;m=0&amp;s=0&amp;cv=236")</f>
        <v>https://rmda.kulib.kyoto-u.ac.jp/item/rb00003883#?c=0&amp;m=0&amp;s=0&amp;cv=236</v>
      </c>
      <c r="F2070">
        <v>239</v>
      </c>
    </row>
    <row r="2071" spans="1:6" x14ac:dyDescent="0.15">
      <c r="A2071" s="6" t="s">
        <v>2199</v>
      </c>
      <c r="B2071" s="6" t="s">
        <v>2346</v>
      </c>
      <c r="C2071" s="6">
        <v>237</v>
      </c>
      <c r="D2071" s="6" t="str">
        <f>HYPERLINK("https://rmda.kulib.kyoto-u.ac.jp/item/rb00003883#?c=0&amp;m=0&amp;s=0&amp;cv=236")</f>
        <v>https://rmda.kulib.kyoto-u.ac.jp/item/rb00003883#?c=0&amp;m=0&amp;s=0&amp;cv=236</v>
      </c>
      <c r="F2071">
        <v>239</v>
      </c>
    </row>
    <row r="2072" spans="1:6" x14ac:dyDescent="0.15">
      <c r="A2072" s="6" t="s">
        <v>2199</v>
      </c>
      <c r="B2072" s="63" t="s">
        <v>5525</v>
      </c>
      <c r="C2072" s="6">
        <v>237</v>
      </c>
      <c r="D2072" s="6" t="str">
        <f>HYPERLINK("https://rmda.kulib.kyoto-u.ac.jp/item/rb00003883#?c=0&amp;m=0&amp;s=0&amp;cv=236")</f>
        <v>https://rmda.kulib.kyoto-u.ac.jp/item/rb00003883#?c=0&amp;m=0&amp;s=0&amp;cv=236</v>
      </c>
    </row>
    <row r="2073" spans="1:6" x14ac:dyDescent="0.15">
      <c r="A2073" s="6" t="s">
        <v>2199</v>
      </c>
      <c r="B2073" s="6" t="s">
        <v>2347</v>
      </c>
      <c r="C2073" s="6">
        <v>237</v>
      </c>
      <c r="D2073" s="6" t="str">
        <f>HYPERLINK("https://rmda.kulib.kyoto-u.ac.jp/item/rb00003883#?c=0&amp;m=0&amp;s=0&amp;cv=236")</f>
        <v>https://rmda.kulib.kyoto-u.ac.jp/item/rb00003883#?c=0&amp;m=0&amp;s=0&amp;cv=236</v>
      </c>
      <c r="F2073">
        <v>240</v>
      </c>
    </row>
    <row r="2074" spans="1:6" x14ac:dyDescent="0.15">
      <c r="A2074" s="6" t="s">
        <v>2199</v>
      </c>
      <c r="B2074" s="6" t="s">
        <v>2348</v>
      </c>
      <c r="C2074" s="6">
        <v>238</v>
      </c>
      <c r="D2074" s="6" t="str">
        <f>HYPERLINK("https://rmda.kulib.kyoto-u.ac.jp/item/rb00003883#?c=0&amp;m=0&amp;s=0&amp;cv=237")</f>
        <v>https://rmda.kulib.kyoto-u.ac.jp/item/rb00003883#?c=0&amp;m=0&amp;s=0&amp;cv=237</v>
      </c>
      <c r="F2074">
        <v>240</v>
      </c>
    </row>
    <row r="2075" spans="1:6" x14ac:dyDescent="0.15">
      <c r="A2075" s="6" t="s">
        <v>2199</v>
      </c>
      <c r="B2075" s="6" t="s">
        <v>4351</v>
      </c>
      <c r="C2075" s="6">
        <v>238</v>
      </c>
      <c r="D2075" s="6" t="str">
        <f>HYPERLINK("https://rmda.kulib.kyoto-u.ac.jp/item/rb00003883#?c=0&amp;m=0&amp;s=0&amp;cv=237")</f>
        <v>https://rmda.kulib.kyoto-u.ac.jp/item/rb00003883#?c=0&amp;m=0&amp;s=0&amp;cv=237</v>
      </c>
      <c r="F2075">
        <v>241</v>
      </c>
    </row>
    <row r="2076" spans="1:6" x14ac:dyDescent="0.15">
      <c r="A2076" s="6" t="s">
        <v>2199</v>
      </c>
      <c r="B2076" s="6" t="s">
        <v>2345</v>
      </c>
      <c r="C2076" s="6">
        <v>239</v>
      </c>
      <c r="D2076" s="6" t="str">
        <f>HYPERLINK("https://rmda.kulib.kyoto-u.ac.jp/item/rb00003883#?c=0&amp;m=0&amp;s=0&amp;cv=238")</f>
        <v>https://rmda.kulib.kyoto-u.ac.jp/item/rb00003883#?c=0&amp;m=0&amp;s=0&amp;cv=238</v>
      </c>
      <c r="F2076">
        <v>241</v>
      </c>
    </row>
    <row r="2077" spans="1:6" x14ac:dyDescent="0.15">
      <c r="A2077" s="6" t="s">
        <v>2199</v>
      </c>
      <c r="B2077" s="6" t="s">
        <v>2018</v>
      </c>
      <c r="C2077" s="6">
        <v>239</v>
      </c>
      <c r="D2077" s="6" t="str">
        <f>HYPERLINK("https://rmda.kulib.kyoto-u.ac.jp/item/rb00003883#?c=0&amp;m=0&amp;s=0&amp;cv=238")</f>
        <v>https://rmda.kulib.kyoto-u.ac.jp/item/rb00003883#?c=0&amp;m=0&amp;s=0&amp;cv=238</v>
      </c>
      <c r="F2077">
        <v>241</v>
      </c>
    </row>
    <row r="2078" spans="1:6" x14ac:dyDescent="0.15">
      <c r="A2078" s="6" t="s">
        <v>2199</v>
      </c>
      <c r="B2078" s="6" t="s">
        <v>1823</v>
      </c>
      <c r="C2078" s="6">
        <v>239</v>
      </c>
      <c r="D2078" s="6" t="str">
        <f>HYPERLINK("https://rmda.kulib.kyoto-u.ac.jp/item/rb00003883#?c=0&amp;m=0&amp;s=0&amp;cv=238")</f>
        <v>https://rmda.kulib.kyoto-u.ac.jp/item/rb00003883#?c=0&amp;m=0&amp;s=0&amp;cv=238</v>
      </c>
      <c r="F2078">
        <v>242</v>
      </c>
    </row>
    <row r="2079" spans="1:6" x14ac:dyDescent="0.15">
      <c r="A2079" s="6" t="s">
        <v>2199</v>
      </c>
      <c r="B2079" s="6" t="s">
        <v>2349</v>
      </c>
      <c r="C2079" s="6">
        <v>239</v>
      </c>
      <c r="D2079" s="6" t="str">
        <f>HYPERLINK("https://rmda.kulib.kyoto-u.ac.jp/item/rb00003883#?c=0&amp;m=0&amp;s=0&amp;cv=238")</f>
        <v>https://rmda.kulib.kyoto-u.ac.jp/item/rb00003883#?c=0&amp;m=0&amp;s=0&amp;cv=238</v>
      </c>
      <c r="F2079">
        <v>242</v>
      </c>
    </row>
    <row r="2080" spans="1:6" x14ac:dyDescent="0.15">
      <c r="A2080" s="6" t="s">
        <v>2199</v>
      </c>
      <c r="B2080" s="63" t="s">
        <v>5554</v>
      </c>
      <c r="C2080" s="6">
        <v>240</v>
      </c>
      <c r="D2080" s="6" t="str">
        <f>HYPERLINK("https://rmda.kulib.kyoto-u.ac.jp/item/rb00003883#?c=0&amp;m=0&amp;s=0&amp;cv=239")</f>
        <v>https://rmda.kulib.kyoto-u.ac.jp/item/rb00003883#?c=0&amp;m=0&amp;s=0&amp;cv=239</v>
      </c>
    </row>
    <row r="2081" spans="1:6" x14ac:dyDescent="0.15">
      <c r="A2081" s="6" t="s">
        <v>2199</v>
      </c>
      <c r="B2081" s="6" t="s">
        <v>5532</v>
      </c>
      <c r="C2081" s="6">
        <v>240</v>
      </c>
      <c r="D2081" s="6" t="str">
        <f>HYPERLINK("https://rmda.kulib.kyoto-u.ac.jp/item/rb00003883#?c=0&amp;m=0&amp;s=0&amp;cv=239")</f>
        <v>https://rmda.kulib.kyoto-u.ac.jp/item/rb00003883#?c=0&amp;m=0&amp;s=0&amp;cv=239</v>
      </c>
      <c r="F2081">
        <v>243</v>
      </c>
    </row>
    <row r="2082" spans="1:6" x14ac:dyDescent="0.15">
      <c r="A2082" s="6" t="s">
        <v>2199</v>
      </c>
      <c r="B2082" s="6" t="s">
        <v>2351</v>
      </c>
      <c r="C2082" s="6">
        <v>240</v>
      </c>
      <c r="D2082" s="6" t="str">
        <f>HYPERLINK("https://rmda.kulib.kyoto-u.ac.jp/item/rb00003883#?c=0&amp;m=0&amp;s=0&amp;cv=239")</f>
        <v>https://rmda.kulib.kyoto-u.ac.jp/item/rb00003883#?c=0&amp;m=0&amp;s=0&amp;cv=239</v>
      </c>
      <c r="F2082">
        <v>243</v>
      </c>
    </row>
    <row r="2083" spans="1:6" x14ac:dyDescent="0.15">
      <c r="A2083" s="6" t="s">
        <v>2199</v>
      </c>
      <c r="B2083" s="6" t="s">
        <v>4352</v>
      </c>
      <c r="C2083" s="6">
        <v>240</v>
      </c>
      <c r="D2083" s="6" t="str">
        <f>HYPERLINK("https://rmda.kulib.kyoto-u.ac.jp/item/rb00003883#?c=0&amp;m=0&amp;s=0&amp;cv=239")</f>
        <v>https://rmda.kulib.kyoto-u.ac.jp/item/rb00003883#?c=0&amp;m=0&amp;s=0&amp;cv=239</v>
      </c>
      <c r="F2083">
        <v>243</v>
      </c>
    </row>
    <row r="2084" spans="1:6" x14ac:dyDescent="0.15">
      <c r="A2084" s="6" t="s">
        <v>2199</v>
      </c>
      <c r="B2084" s="6" t="s">
        <v>4353</v>
      </c>
      <c r="C2084" s="6">
        <v>241</v>
      </c>
      <c r="D2084" s="6" t="str">
        <f>HYPERLINK("https://rmda.kulib.kyoto-u.ac.jp/item/rb00003883#?c=0&amp;m=0&amp;s=0&amp;cv=240")</f>
        <v>https://rmda.kulib.kyoto-u.ac.jp/item/rb00003883#?c=0&amp;m=0&amp;s=0&amp;cv=240</v>
      </c>
      <c r="F2084">
        <v>244</v>
      </c>
    </row>
    <row r="2085" spans="1:6" x14ac:dyDescent="0.15">
      <c r="A2085" s="6" t="s">
        <v>2199</v>
      </c>
      <c r="B2085" s="6" t="s">
        <v>4354</v>
      </c>
      <c r="C2085" s="6">
        <v>241</v>
      </c>
      <c r="D2085" s="6" t="str">
        <f>HYPERLINK("https://rmda.kulib.kyoto-u.ac.jp/item/rb00003883#?c=0&amp;m=0&amp;s=0&amp;cv=240")</f>
        <v>https://rmda.kulib.kyoto-u.ac.jp/item/rb00003883#?c=0&amp;m=0&amp;s=0&amp;cv=240</v>
      </c>
      <c r="F2085">
        <v>244</v>
      </c>
    </row>
    <row r="2086" spans="1:6" x14ac:dyDescent="0.15">
      <c r="A2086" s="6" t="s">
        <v>2199</v>
      </c>
      <c r="B2086" s="6" t="s">
        <v>4355</v>
      </c>
      <c r="C2086" s="6">
        <v>241</v>
      </c>
      <c r="D2086" s="6" t="str">
        <f>HYPERLINK("https://rmda.kulib.kyoto-u.ac.jp/item/rb00003883#?c=0&amp;m=0&amp;s=0&amp;cv=240")</f>
        <v>https://rmda.kulib.kyoto-u.ac.jp/item/rb00003883#?c=0&amp;m=0&amp;s=0&amp;cv=240</v>
      </c>
      <c r="F2086">
        <v>245</v>
      </c>
    </row>
    <row r="2087" spans="1:6" x14ac:dyDescent="0.15">
      <c r="A2087" s="6" t="s">
        <v>2199</v>
      </c>
      <c r="B2087" s="6" t="s">
        <v>4356</v>
      </c>
      <c r="C2087" s="6">
        <v>242</v>
      </c>
      <c r="D2087" s="6" t="str">
        <f>HYPERLINK("https://rmda.kulib.kyoto-u.ac.jp/item/rb00003883#?c=0&amp;m=0&amp;s=0&amp;cv=241")</f>
        <v>https://rmda.kulib.kyoto-u.ac.jp/item/rb00003883#?c=0&amp;m=0&amp;s=0&amp;cv=241</v>
      </c>
      <c r="F2087">
        <v>245</v>
      </c>
    </row>
    <row r="2088" spans="1:6" x14ac:dyDescent="0.15">
      <c r="A2088" s="6" t="s">
        <v>2199</v>
      </c>
      <c r="B2088" s="6" t="s">
        <v>4357</v>
      </c>
      <c r="C2088" s="6">
        <v>242</v>
      </c>
      <c r="D2088" s="6" t="str">
        <f>HYPERLINK("https://rmda.kulib.kyoto-u.ac.jp/item/rb00003883#?c=0&amp;m=0&amp;s=0&amp;cv=241")</f>
        <v>https://rmda.kulib.kyoto-u.ac.jp/item/rb00003883#?c=0&amp;m=0&amp;s=0&amp;cv=241</v>
      </c>
      <c r="F2088">
        <v>245</v>
      </c>
    </row>
    <row r="2089" spans="1:6" x14ac:dyDescent="0.15">
      <c r="A2089" s="6" t="s">
        <v>2199</v>
      </c>
      <c r="B2089" s="6" t="s">
        <v>2008</v>
      </c>
      <c r="C2089" s="6">
        <v>242</v>
      </c>
      <c r="D2089" s="6" t="str">
        <f>HYPERLINK("https://rmda.kulib.kyoto-u.ac.jp/item/rb00003883#?c=0&amp;m=0&amp;s=0&amp;cv=241")</f>
        <v>https://rmda.kulib.kyoto-u.ac.jp/item/rb00003883#?c=0&amp;m=0&amp;s=0&amp;cv=241</v>
      </c>
      <c r="F2089">
        <v>245</v>
      </c>
    </row>
    <row r="2090" spans="1:6" x14ac:dyDescent="0.15">
      <c r="A2090" s="6" t="s">
        <v>2199</v>
      </c>
      <c r="B2090" s="6" t="s">
        <v>4358</v>
      </c>
      <c r="C2090" s="6">
        <v>243</v>
      </c>
      <c r="D2090" s="6" t="str">
        <f>HYPERLINK("https://rmda.kulib.kyoto-u.ac.jp/item/rb00003883#?c=0&amp;m=0&amp;s=0&amp;cv=242")</f>
        <v>https://rmda.kulib.kyoto-u.ac.jp/item/rb00003883#?c=0&amp;m=0&amp;s=0&amp;cv=242</v>
      </c>
      <c r="F2090">
        <v>246</v>
      </c>
    </row>
    <row r="2091" spans="1:6" x14ac:dyDescent="0.15">
      <c r="A2091" s="6" t="s">
        <v>2199</v>
      </c>
      <c r="B2091" s="6" t="s">
        <v>2352</v>
      </c>
      <c r="C2091" s="6">
        <v>243</v>
      </c>
      <c r="D2091" s="6" t="str">
        <f>HYPERLINK("https://rmda.kulib.kyoto-u.ac.jp/item/rb00003883#?c=0&amp;m=0&amp;s=0&amp;cv=242")</f>
        <v>https://rmda.kulib.kyoto-u.ac.jp/item/rb00003883#?c=0&amp;m=0&amp;s=0&amp;cv=242</v>
      </c>
      <c r="F2091">
        <v>246</v>
      </c>
    </row>
    <row r="2092" spans="1:6" x14ac:dyDescent="0.15">
      <c r="A2092" s="6" t="s">
        <v>2199</v>
      </c>
      <c r="B2092" s="6" t="s">
        <v>1984</v>
      </c>
      <c r="C2092" s="6">
        <v>243</v>
      </c>
      <c r="D2092" s="6" t="str">
        <f>HYPERLINK("https://rmda.kulib.kyoto-u.ac.jp/item/rb00003883#?c=0&amp;m=0&amp;s=0&amp;cv=242")</f>
        <v>https://rmda.kulib.kyoto-u.ac.jp/item/rb00003883#?c=0&amp;m=0&amp;s=0&amp;cv=242</v>
      </c>
      <c r="F2092">
        <v>247</v>
      </c>
    </row>
    <row r="2093" spans="1:6" x14ac:dyDescent="0.15">
      <c r="A2093" s="6" t="s">
        <v>2199</v>
      </c>
      <c r="B2093" s="6" t="s">
        <v>4359</v>
      </c>
      <c r="C2093" s="6">
        <v>244</v>
      </c>
      <c r="D2093" s="6" t="str">
        <f>HYPERLINK("https://rmda.kulib.kyoto-u.ac.jp/item/rb00003883#?c=0&amp;m=0&amp;s=0&amp;cv=243")</f>
        <v>https://rmda.kulib.kyoto-u.ac.jp/item/rb00003883#?c=0&amp;m=0&amp;s=0&amp;cv=243</v>
      </c>
      <c r="F2093">
        <v>247</v>
      </c>
    </row>
    <row r="2094" spans="1:6" x14ac:dyDescent="0.15">
      <c r="A2094" s="6" t="s">
        <v>2199</v>
      </c>
      <c r="B2094" s="6" t="s">
        <v>4360</v>
      </c>
      <c r="C2094" s="6">
        <v>244</v>
      </c>
      <c r="D2094" s="6" t="str">
        <f>HYPERLINK("https://rmda.kulib.kyoto-u.ac.jp/item/rb00003883#?c=0&amp;m=0&amp;s=0&amp;cv=243")</f>
        <v>https://rmda.kulib.kyoto-u.ac.jp/item/rb00003883#?c=0&amp;m=0&amp;s=0&amp;cv=243</v>
      </c>
      <c r="F2094">
        <v>248</v>
      </c>
    </row>
    <row r="2095" spans="1:6" x14ac:dyDescent="0.15">
      <c r="A2095" s="6" t="s">
        <v>2199</v>
      </c>
      <c r="B2095" s="6" t="s">
        <v>4361</v>
      </c>
      <c r="C2095" s="6">
        <v>244</v>
      </c>
      <c r="D2095" s="6" t="str">
        <f>HYPERLINK("https://rmda.kulib.kyoto-u.ac.jp/item/rb00003883#?c=0&amp;m=0&amp;s=0&amp;cv=243")</f>
        <v>https://rmda.kulib.kyoto-u.ac.jp/item/rb00003883#?c=0&amp;m=0&amp;s=0&amp;cv=243</v>
      </c>
      <c r="F2095">
        <v>248</v>
      </c>
    </row>
    <row r="2096" spans="1:6" x14ac:dyDescent="0.15">
      <c r="A2096" s="6" t="s">
        <v>2199</v>
      </c>
      <c r="B2096" s="6" t="s">
        <v>4362</v>
      </c>
      <c r="C2096" s="6">
        <v>245</v>
      </c>
      <c r="D2096" s="6" t="str">
        <f>HYPERLINK("https://rmda.kulib.kyoto-u.ac.jp/item/rb00003883#?c=0&amp;m=0&amp;s=0&amp;cv=244")</f>
        <v>https://rmda.kulib.kyoto-u.ac.jp/item/rb00003883#?c=0&amp;m=0&amp;s=0&amp;cv=244</v>
      </c>
      <c r="F2096">
        <v>249</v>
      </c>
    </row>
    <row r="2097" spans="1:6" x14ac:dyDescent="0.15">
      <c r="A2097" s="6" t="s">
        <v>2199</v>
      </c>
      <c r="B2097" s="6" t="s">
        <v>4363</v>
      </c>
      <c r="C2097" s="6">
        <v>245</v>
      </c>
      <c r="D2097" s="6" t="str">
        <f>HYPERLINK("https://rmda.kulib.kyoto-u.ac.jp/item/rb00003883#?c=0&amp;m=0&amp;s=0&amp;cv=244")</f>
        <v>https://rmda.kulib.kyoto-u.ac.jp/item/rb00003883#?c=0&amp;m=0&amp;s=0&amp;cv=244</v>
      </c>
      <c r="F2097">
        <v>249</v>
      </c>
    </row>
    <row r="2098" spans="1:6" x14ac:dyDescent="0.15">
      <c r="A2098" s="6" t="s">
        <v>2199</v>
      </c>
      <c r="B2098" s="6" t="s">
        <v>1713</v>
      </c>
      <c r="C2098" s="6">
        <v>246</v>
      </c>
      <c r="D2098" s="6" t="str">
        <f>HYPERLINK("https://rmda.kulib.kyoto-u.ac.jp/item/rb00003883#?c=0&amp;m=0&amp;s=0&amp;cv=245")</f>
        <v>https://rmda.kulib.kyoto-u.ac.jp/item/rb00003883#?c=0&amp;m=0&amp;s=0&amp;cv=245</v>
      </c>
      <c r="F2098">
        <v>250</v>
      </c>
    </row>
    <row r="2099" spans="1:6" x14ac:dyDescent="0.15">
      <c r="A2099" s="6" t="s">
        <v>2199</v>
      </c>
      <c r="B2099" s="6" t="s">
        <v>1781</v>
      </c>
      <c r="C2099" s="6">
        <v>246</v>
      </c>
      <c r="D2099" s="6" t="str">
        <f>HYPERLINK("https://rmda.kulib.kyoto-u.ac.jp/item/rb00003883#?c=0&amp;m=0&amp;s=0&amp;cv=245")</f>
        <v>https://rmda.kulib.kyoto-u.ac.jp/item/rb00003883#?c=0&amp;m=0&amp;s=0&amp;cv=245</v>
      </c>
      <c r="F2099">
        <v>250</v>
      </c>
    </row>
    <row r="2100" spans="1:6" x14ac:dyDescent="0.15">
      <c r="A2100" s="6" t="s">
        <v>2199</v>
      </c>
      <c r="B2100" s="6" t="s">
        <v>4364</v>
      </c>
      <c r="C2100" s="6">
        <v>246</v>
      </c>
      <c r="D2100" s="6" t="str">
        <f>HYPERLINK("https://rmda.kulib.kyoto-u.ac.jp/item/rb00003883#?c=0&amp;m=0&amp;s=0&amp;cv=245")</f>
        <v>https://rmda.kulib.kyoto-u.ac.jp/item/rb00003883#?c=0&amp;m=0&amp;s=0&amp;cv=245</v>
      </c>
      <c r="F2100">
        <v>250</v>
      </c>
    </row>
    <row r="2101" spans="1:6" x14ac:dyDescent="0.15">
      <c r="A2101" s="6" t="s">
        <v>2199</v>
      </c>
      <c r="B2101" s="6" t="s">
        <v>2166</v>
      </c>
      <c r="C2101" s="6">
        <v>246</v>
      </c>
      <c r="D2101" s="6" t="str">
        <f>HYPERLINK("https://rmda.kulib.kyoto-u.ac.jp/item/rb00003883#?c=0&amp;m=0&amp;s=0&amp;cv=245")</f>
        <v>https://rmda.kulib.kyoto-u.ac.jp/item/rb00003883#?c=0&amp;m=0&amp;s=0&amp;cv=245</v>
      </c>
      <c r="F2101">
        <v>251</v>
      </c>
    </row>
    <row r="2102" spans="1:6" x14ac:dyDescent="0.15">
      <c r="A2102" s="6" t="s">
        <v>2199</v>
      </c>
      <c r="B2102" s="63" t="s">
        <v>5533</v>
      </c>
      <c r="C2102" s="6">
        <v>247</v>
      </c>
      <c r="D2102" s="6" t="str">
        <f t="shared" ref="D2102:D2107" si="2">HYPERLINK("https://rmda.kulib.kyoto-u.ac.jp/item/rb00003883#?c=0&amp;m=0&amp;s=0&amp;cv=246")</f>
        <v>https://rmda.kulib.kyoto-u.ac.jp/item/rb00003883#?c=0&amp;m=0&amp;s=0&amp;cv=246</v>
      </c>
    </row>
    <row r="2103" spans="1:6" x14ac:dyDescent="0.15">
      <c r="A2103" s="6" t="s">
        <v>2199</v>
      </c>
      <c r="B2103" s="6" t="s">
        <v>4504</v>
      </c>
      <c r="C2103" s="6">
        <v>247</v>
      </c>
      <c r="D2103" s="6" t="str">
        <f t="shared" si="2"/>
        <v>https://rmda.kulib.kyoto-u.ac.jp/item/rb00003883#?c=0&amp;m=0&amp;s=0&amp;cv=246</v>
      </c>
      <c r="F2103">
        <v>251</v>
      </c>
    </row>
    <row r="2104" spans="1:6" x14ac:dyDescent="0.15">
      <c r="A2104" s="6" t="s">
        <v>2199</v>
      </c>
      <c r="B2104" s="6" t="s">
        <v>4265</v>
      </c>
      <c r="C2104" s="6">
        <v>247</v>
      </c>
      <c r="D2104" s="6" t="str">
        <f t="shared" si="2"/>
        <v>https://rmda.kulib.kyoto-u.ac.jp/item/rb00003883#?c=0&amp;m=0&amp;s=0&amp;cv=246</v>
      </c>
      <c r="F2104" t="s">
        <v>5523</v>
      </c>
    </row>
    <row r="2105" spans="1:6" x14ac:dyDescent="0.15">
      <c r="A2105" s="6" t="s">
        <v>2199</v>
      </c>
      <c r="B2105" s="6" t="s">
        <v>4241</v>
      </c>
      <c r="C2105" s="6">
        <v>247</v>
      </c>
      <c r="D2105" s="6" t="str">
        <f t="shared" si="2"/>
        <v>https://rmda.kulib.kyoto-u.ac.jp/item/rb00003883#?c=0&amp;m=0&amp;s=0&amp;cv=246</v>
      </c>
      <c r="F2105" t="s">
        <v>5523</v>
      </c>
    </row>
    <row r="2106" spans="1:6" x14ac:dyDescent="0.15">
      <c r="A2106" s="6" t="s">
        <v>2199</v>
      </c>
      <c r="B2106" s="63" t="s">
        <v>5534</v>
      </c>
      <c r="C2106" s="6">
        <v>247</v>
      </c>
      <c r="D2106" s="6" t="str">
        <f t="shared" si="2"/>
        <v>https://rmda.kulib.kyoto-u.ac.jp/item/rb00003883#?c=0&amp;m=0&amp;s=0&amp;cv=246</v>
      </c>
    </row>
    <row r="2107" spans="1:6" x14ac:dyDescent="0.15">
      <c r="A2107" s="6" t="s">
        <v>2199</v>
      </c>
      <c r="B2107" s="6" t="s">
        <v>2353</v>
      </c>
      <c r="C2107" s="6">
        <v>247</v>
      </c>
      <c r="D2107" s="6" t="str">
        <f t="shared" si="2"/>
        <v>https://rmda.kulib.kyoto-u.ac.jp/item/rb00003883#?c=0&amp;m=0&amp;s=0&amp;cv=246</v>
      </c>
      <c r="F2107">
        <v>252</v>
      </c>
    </row>
    <row r="2108" spans="1:6" x14ac:dyDescent="0.15">
      <c r="A2108" s="6" t="s">
        <v>2199</v>
      </c>
      <c r="B2108" s="6" t="s">
        <v>2165</v>
      </c>
      <c r="C2108" s="6">
        <v>248</v>
      </c>
      <c r="D2108" s="6" t="str">
        <f>HYPERLINK("https://rmda.kulib.kyoto-u.ac.jp/item/rb00003883#?c=0&amp;m=0&amp;s=0&amp;cv=247")</f>
        <v>https://rmda.kulib.kyoto-u.ac.jp/item/rb00003883#?c=0&amp;m=0&amp;s=0&amp;cv=247</v>
      </c>
      <c r="F2108">
        <v>252</v>
      </c>
    </row>
    <row r="2109" spans="1:6" x14ac:dyDescent="0.15">
      <c r="A2109" s="6" t="s">
        <v>2199</v>
      </c>
      <c r="B2109" s="6" t="s">
        <v>2354</v>
      </c>
      <c r="C2109" s="6">
        <v>248</v>
      </c>
      <c r="D2109" s="6" t="str">
        <f>HYPERLINK("https://rmda.kulib.kyoto-u.ac.jp/item/rb00003883#?c=0&amp;m=0&amp;s=0&amp;cv=247")</f>
        <v>https://rmda.kulib.kyoto-u.ac.jp/item/rb00003883#?c=0&amp;m=0&amp;s=0&amp;cv=247</v>
      </c>
      <c r="F2109">
        <v>252</v>
      </c>
    </row>
    <row r="2110" spans="1:6" x14ac:dyDescent="0.15">
      <c r="A2110" s="6" t="s">
        <v>2199</v>
      </c>
      <c r="B2110" s="6" t="s">
        <v>4365</v>
      </c>
      <c r="C2110" s="6">
        <v>248</v>
      </c>
      <c r="D2110" s="6" t="str">
        <f>HYPERLINK("https://rmda.kulib.kyoto-u.ac.jp/item/rb00003883#?c=0&amp;m=0&amp;s=0&amp;cv=247")</f>
        <v>https://rmda.kulib.kyoto-u.ac.jp/item/rb00003883#?c=0&amp;m=0&amp;s=0&amp;cv=247</v>
      </c>
      <c r="F2110">
        <v>253</v>
      </c>
    </row>
    <row r="2111" spans="1:6" x14ac:dyDescent="0.15">
      <c r="A2111" s="6" t="s">
        <v>2199</v>
      </c>
      <c r="B2111" s="6" t="s">
        <v>2146</v>
      </c>
      <c r="C2111" s="6">
        <v>249</v>
      </c>
      <c r="D2111" s="6" t="str">
        <f>HYPERLINK("https://rmda.kulib.kyoto-u.ac.jp/item/rb00003883#?c=0&amp;m=0&amp;s=0&amp;cv=248")</f>
        <v>https://rmda.kulib.kyoto-u.ac.jp/item/rb00003883#?c=0&amp;m=0&amp;s=0&amp;cv=248</v>
      </c>
      <c r="F2111">
        <v>253</v>
      </c>
    </row>
    <row r="2112" spans="1:6" x14ac:dyDescent="0.15">
      <c r="A2112" s="6" t="s">
        <v>2199</v>
      </c>
      <c r="B2112" s="6" t="s">
        <v>2355</v>
      </c>
      <c r="C2112" s="6">
        <v>249</v>
      </c>
      <c r="D2112" s="6" t="str">
        <f>HYPERLINK("https://rmda.kulib.kyoto-u.ac.jp/item/rb00003883#?c=0&amp;m=0&amp;s=0&amp;cv=248")</f>
        <v>https://rmda.kulib.kyoto-u.ac.jp/item/rb00003883#?c=0&amp;m=0&amp;s=0&amp;cv=248</v>
      </c>
      <c r="F2112">
        <v>254</v>
      </c>
    </row>
    <row r="2113" spans="1:6" x14ac:dyDescent="0.15">
      <c r="A2113" s="6" t="s">
        <v>2199</v>
      </c>
      <c r="B2113" s="6" t="s">
        <v>4366</v>
      </c>
      <c r="C2113" s="6">
        <v>249</v>
      </c>
      <c r="D2113" s="6" t="str">
        <f>HYPERLINK("https://rmda.kulib.kyoto-u.ac.jp/item/rb00003883#?c=0&amp;m=0&amp;s=0&amp;cv=248")</f>
        <v>https://rmda.kulib.kyoto-u.ac.jp/item/rb00003883#?c=0&amp;m=0&amp;s=0&amp;cv=248</v>
      </c>
      <c r="F2113">
        <v>254</v>
      </c>
    </row>
    <row r="2114" spans="1:6" x14ac:dyDescent="0.15">
      <c r="A2114" s="6" t="s">
        <v>2199</v>
      </c>
      <c r="B2114" s="63" t="s">
        <v>5985</v>
      </c>
      <c r="C2114" s="6">
        <v>249</v>
      </c>
      <c r="D2114" s="6" t="str">
        <f>HYPERLINK("https://rmda.kulib.kyoto-u.ac.jp/item/rb00003883#?c=0&amp;m=0&amp;s=0&amp;cv=248")</f>
        <v>https://rmda.kulib.kyoto-u.ac.jp/item/rb00003883#?c=0&amp;m=0&amp;s=0&amp;cv=248</v>
      </c>
    </row>
    <row r="2115" spans="1:6" x14ac:dyDescent="0.15">
      <c r="A2115" s="6" t="s">
        <v>2199</v>
      </c>
      <c r="B2115" s="6" t="s">
        <v>4367</v>
      </c>
      <c r="C2115" s="6">
        <v>250</v>
      </c>
      <c r="D2115" s="6" t="str">
        <f>HYPERLINK("https://rmda.kulib.kyoto-u.ac.jp/item/rb00003883#?c=0&amp;m=0&amp;s=0&amp;cv=249")</f>
        <v>https://rmda.kulib.kyoto-u.ac.jp/item/rb00003883#?c=0&amp;m=0&amp;s=0&amp;cv=249</v>
      </c>
      <c r="F2115">
        <v>254</v>
      </c>
    </row>
    <row r="2116" spans="1:6" x14ac:dyDescent="0.15">
      <c r="A2116" s="6" t="s">
        <v>2199</v>
      </c>
      <c r="B2116" s="6" t="s">
        <v>4368</v>
      </c>
      <c r="C2116" s="6">
        <v>250</v>
      </c>
      <c r="D2116" s="6" t="str">
        <f>HYPERLINK("https://rmda.kulib.kyoto-u.ac.jp/item/rb00003883#?c=0&amp;m=0&amp;s=0&amp;cv=249")</f>
        <v>https://rmda.kulib.kyoto-u.ac.jp/item/rb00003883#?c=0&amp;m=0&amp;s=0&amp;cv=249</v>
      </c>
      <c r="F2116">
        <v>255</v>
      </c>
    </row>
    <row r="2117" spans="1:6" x14ac:dyDescent="0.15">
      <c r="A2117" s="6" t="s">
        <v>2199</v>
      </c>
      <c r="B2117" s="63" t="s">
        <v>5524</v>
      </c>
      <c r="C2117" s="6">
        <v>250</v>
      </c>
      <c r="D2117" s="6" t="str">
        <f>HYPERLINK("https://rmda.kulib.kyoto-u.ac.jp/item/rb00003883#?c=0&amp;m=0&amp;s=0&amp;cv=249")</f>
        <v>https://rmda.kulib.kyoto-u.ac.jp/item/rb00003883#?c=0&amp;m=0&amp;s=0&amp;cv=249</v>
      </c>
    </row>
    <row r="2118" spans="1:6" x14ac:dyDescent="0.15">
      <c r="A2118" s="6" t="s">
        <v>2199</v>
      </c>
      <c r="B2118" s="6" t="s">
        <v>4366</v>
      </c>
      <c r="C2118" s="6">
        <v>250</v>
      </c>
      <c r="D2118" s="6" t="str">
        <f>HYPERLINK("https://rmda.kulib.kyoto-u.ac.jp/item/rb00003883#?c=0&amp;m=0&amp;s=0&amp;cv=249")</f>
        <v>https://rmda.kulib.kyoto-u.ac.jp/item/rb00003883#?c=0&amp;m=0&amp;s=0&amp;cv=249</v>
      </c>
      <c r="F2118">
        <v>255</v>
      </c>
    </row>
    <row r="2119" spans="1:6" x14ac:dyDescent="0.15">
      <c r="A2119" s="6" t="s">
        <v>2199</v>
      </c>
      <c r="B2119" s="6" t="s">
        <v>4369</v>
      </c>
      <c r="C2119" s="6">
        <v>250</v>
      </c>
      <c r="D2119" s="6" t="str">
        <f>HYPERLINK("https://rmda.kulib.kyoto-u.ac.jp/item/rb00003883#?c=0&amp;m=0&amp;s=0&amp;cv=249")</f>
        <v>https://rmda.kulib.kyoto-u.ac.jp/item/rb00003883#?c=0&amp;m=0&amp;s=0&amp;cv=249</v>
      </c>
      <c r="F2119">
        <v>255</v>
      </c>
    </row>
    <row r="2120" spans="1:6" x14ac:dyDescent="0.15">
      <c r="A2120" s="6" t="s">
        <v>2199</v>
      </c>
      <c r="B2120" s="6" t="s">
        <v>4370</v>
      </c>
      <c r="C2120" s="6">
        <v>251</v>
      </c>
      <c r="D2120" s="6" t="str">
        <f>HYPERLINK("https://rmda.kulib.kyoto-u.ac.jp/item/rb00003883#?c=0&amp;m=0&amp;s=0&amp;cv=250")</f>
        <v>https://rmda.kulib.kyoto-u.ac.jp/item/rb00003883#?c=0&amp;m=0&amp;s=0&amp;cv=250</v>
      </c>
      <c r="F2120">
        <v>256</v>
      </c>
    </row>
    <row r="2121" spans="1:6" x14ac:dyDescent="0.15">
      <c r="A2121" s="6" t="s">
        <v>2199</v>
      </c>
      <c r="B2121" s="6" t="s">
        <v>2356</v>
      </c>
      <c r="C2121" s="6">
        <v>251</v>
      </c>
      <c r="D2121" s="6" t="str">
        <f>HYPERLINK("https://rmda.kulib.kyoto-u.ac.jp/item/rb00003883#?c=0&amp;m=0&amp;s=0&amp;cv=250")</f>
        <v>https://rmda.kulib.kyoto-u.ac.jp/item/rb00003883#?c=0&amp;m=0&amp;s=0&amp;cv=250</v>
      </c>
      <c r="F2121">
        <v>256</v>
      </c>
    </row>
    <row r="2122" spans="1:6" x14ac:dyDescent="0.15">
      <c r="A2122" s="6" t="s">
        <v>2199</v>
      </c>
      <c r="B2122" s="6" t="s">
        <v>4371</v>
      </c>
      <c r="C2122" s="6">
        <v>251</v>
      </c>
      <c r="D2122" s="6" t="str">
        <f>HYPERLINK("https://rmda.kulib.kyoto-u.ac.jp/item/rb00003883#?c=0&amp;m=0&amp;s=0&amp;cv=250")</f>
        <v>https://rmda.kulib.kyoto-u.ac.jp/item/rb00003883#?c=0&amp;m=0&amp;s=0&amp;cv=250</v>
      </c>
      <c r="F2122">
        <v>256</v>
      </c>
    </row>
    <row r="2123" spans="1:6" x14ac:dyDescent="0.15">
      <c r="A2123" s="6" t="s">
        <v>2199</v>
      </c>
      <c r="B2123" s="6" t="s">
        <v>4372</v>
      </c>
      <c r="C2123" s="6">
        <v>251</v>
      </c>
      <c r="D2123" s="6" t="str">
        <f>HYPERLINK("https://rmda.kulib.kyoto-u.ac.jp/item/rb00003883#?c=0&amp;m=0&amp;s=0&amp;cv=250")</f>
        <v>https://rmda.kulib.kyoto-u.ac.jp/item/rb00003883#?c=0&amp;m=0&amp;s=0&amp;cv=250</v>
      </c>
      <c r="F2123">
        <v>257</v>
      </c>
    </row>
    <row r="2124" spans="1:6" x14ac:dyDescent="0.15">
      <c r="A2124" s="6" t="s">
        <v>2199</v>
      </c>
      <c r="B2124" s="6" t="s">
        <v>2357</v>
      </c>
      <c r="C2124" s="6">
        <v>252</v>
      </c>
      <c r="D2124" s="6" t="str">
        <f>HYPERLINK("https://rmda.kulib.kyoto-u.ac.jp/item/rb00003883#?c=0&amp;m=0&amp;s=0&amp;cv=251")</f>
        <v>https://rmda.kulib.kyoto-u.ac.jp/item/rb00003883#?c=0&amp;m=0&amp;s=0&amp;cv=251</v>
      </c>
      <c r="F2124">
        <v>257</v>
      </c>
    </row>
    <row r="2125" spans="1:6" x14ac:dyDescent="0.15">
      <c r="A2125" s="6" t="s">
        <v>2199</v>
      </c>
      <c r="B2125" s="6" t="s">
        <v>2358</v>
      </c>
      <c r="C2125" s="6">
        <v>252</v>
      </c>
      <c r="D2125" s="6" t="str">
        <f>HYPERLINK("https://rmda.kulib.kyoto-u.ac.jp/item/rb00003883#?c=0&amp;m=0&amp;s=0&amp;cv=251")</f>
        <v>https://rmda.kulib.kyoto-u.ac.jp/item/rb00003883#?c=0&amp;m=0&amp;s=0&amp;cv=251</v>
      </c>
      <c r="F2125">
        <v>257</v>
      </c>
    </row>
    <row r="2126" spans="1:6" x14ac:dyDescent="0.15">
      <c r="A2126" s="6" t="s">
        <v>2199</v>
      </c>
      <c r="B2126" s="6" t="s">
        <v>2359</v>
      </c>
      <c r="C2126" s="6">
        <v>253</v>
      </c>
      <c r="D2126" s="6" t="str">
        <f>HYPERLINK("https://rmda.kulib.kyoto-u.ac.jp/item/rb00003883#?c=0&amp;m=0&amp;s=0&amp;cv=252")</f>
        <v>https://rmda.kulib.kyoto-u.ac.jp/item/rb00003883#?c=0&amp;m=0&amp;s=0&amp;cv=252</v>
      </c>
      <c r="F2126">
        <v>258</v>
      </c>
    </row>
    <row r="2127" spans="1:6" x14ac:dyDescent="0.15">
      <c r="A2127" s="6" t="s">
        <v>2199</v>
      </c>
      <c r="B2127" s="6" t="s">
        <v>2360</v>
      </c>
      <c r="C2127" s="6">
        <v>253</v>
      </c>
      <c r="D2127" s="6" t="str">
        <f>HYPERLINK("https://rmda.kulib.kyoto-u.ac.jp/item/rb00003883#?c=0&amp;m=0&amp;s=0&amp;cv=252")</f>
        <v>https://rmda.kulib.kyoto-u.ac.jp/item/rb00003883#?c=0&amp;m=0&amp;s=0&amp;cv=252</v>
      </c>
      <c r="F2127">
        <v>258</v>
      </c>
    </row>
    <row r="2128" spans="1:6" x14ac:dyDescent="0.15">
      <c r="A2128" s="6" t="s">
        <v>2199</v>
      </c>
      <c r="B2128" s="6" t="s">
        <v>5535</v>
      </c>
      <c r="C2128" s="6">
        <v>253</v>
      </c>
      <c r="D2128" s="6" t="str">
        <f>HYPERLINK("https://rmda.kulib.kyoto-u.ac.jp/item/rb00003883#?c=0&amp;m=0&amp;s=0&amp;cv=252")</f>
        <v>https://rmda.kulib.kyoto-u.ac.jp/item/rb00003883#?c=0&amp;m=0&amp;s=0&amp;cv=252</v>
      </c>
      <c r="F2128">
        <v>259</v>
      </c>
    </row>
    <row r="2129" spans="1:6" x14ac:dyDescent="0.15">
      <c r="A2129" s="6" t="s">
        <v>2199</v>
      </c>
      <c r="B2129" s="6" t="s">
        <v>2006</v>
      </c>
      <c r="C2129" s="6">
        <v>254</v>
      </c>
      <c r="D2129" s="6" t="str">
        <f>HYPERLINK("https://rmda.kulib.kyoto-u.ac.jp/item/rb00003883#?c=0&amp;m=0&amp;s=0&amp;cv=253")</f>
        <v>https://rmda.kulib.kyoto-u.ac.jp/item/rb00003883#?c=0&amp;m=0&amp;s=0&amp;cv=253</v>
      </c>
      <c r="F2129">
        <v>259</v>
      </c>
    </row>
    <row r="2130" spans="1:6" x14ac:dyDescent="0.15">
      <c r="A2130" s="6" t="s">
        <v>2199</v>
      </c>
      <c r="B2130" s="6" t="s">
        <v>4373</v>
      </c>
      <c r="C2130" s="6">
        <v>254</v>
      </c>
      <c r="D2130" s="6" t="str">
        <f>HYPERLINK("https://rmda.kulib.kyoto-u.ac.jp/item/rb00003883#?c=0&amp;m=0&amp;s=0&amp;cv=253")</f>
        <v>https://rmda.kulib.kyoto-u.ac.jp/item/rb00003883#?c=0&amp;m=0&amp;s=0&amp;cv=253</v>
      </c>
      <c r="F2130">
        <v>260</v>
      </c>
    </row>
    <row r="2131" spans="1:6" x14ac:dyDescent="0.15">
      <c r="A2131" s="6" t="s">
        <v>2199</v>
      </c>
      <c r="B2131" s="6" t="s">
        <v>2361</v>
      </c>
      <c r="C2131" s="6">
        <v>254</v>
      </c>
      <c r="D2131" s="6" t="str">
        <f>HYPERLINK("https://rmda.kulib.kyoto-u.ac.jp/item/rb00003883#?c=0&amp;m=0&amp;s=0&amp;cv=253")</f>
        <v>https://rmda.kulib.kyoto-u.ac.jp/item/rb00003883#?c=0&amp;m=0&amp;s=0&amp;cv=253</v>
      </c>
      <c r="F2131">
        <v>260</v>
      </c>
    </row>
    <row r="2132" spans="1:6" x14ac:dyDescent="0.15">
      <c r="A2132" s="6" t="s">
        <v>2199</v>
      </c>
      <c r="B2132" s="6" t="s">
        <v>4374</v>
      </c>
      <c r="C2132" s="6">
        <v>255</v>
      </c>
      <c r="D2132" s="6" t="str">
        <f>HYPERLINK("https://rmda.kulib.kyoto-u.ac.jp/item/rb00003883#?c=0&amp;m=0&amp;s=0&amp;cv=254")</f>
        <v>https://rmda.kulib.kyoto-u.ac.jp/item/rb00003883#?c=0&amp;m=0&amp;s=0&amp;cv=254</v>
      </c>
      <c r="F2132">
        <v>260</v>
      </c>
    </row>
    <row r="2133" spans="1:6" x14ac:dyDescent="0.15">
      <c r="A2133" s="6" t="s">
        <v>2199</v>
      </c>
      <c r="B2133" s="63" t="s">
        <v>5525</v>
      </c>
      <c r="C2133" s="6">
        <v>255</v>
      </c>
      <c r="D2133" s="6" t="str">
        <f>HYPERLINK("https://rmda.kulib.kyoto-u.ac.jp/item/rb00003883#?c=0&amp;m=0&amp;s=0&amp;cv=254")</f>
        <v>https://rmda.kulib.kyoto-u.ac.jp/item/rb00003883#?c=0&amp;m=0&amp;s=0&amp;cv=254</v>
      </c>
    </row>
    <row r="2134" spans="1:6" x14ac:dyDescent="0.15">
      <c r="A2134" s="6" t="s">
        <v>2199</v>
      </c>
      <c r="B2134" s="6" t="s">
        <v>2165</v>
      </c>
      <c r="C2134" s="6">
        <v>255</v>
      </c>
      <c r="D2134" s="6" t="str">
        <f>HYPERLINK("https://rmda.kulib.kyoto-u.ac.jp/item/rb00003883#?c=0&amp;m=0&amp;s=0&amp;cv=254")</f>
        <v>https://rmda.kulib.kyoto-u.ac.jp/item/rb00003883#?c=0&amp;m=0&amp;s=0&amp;cv=254</v>
      </c>
      <c r="F2134">
        <v>261</v>
      </c>
    </row>
    <row r="2135" spans="1:6" x14ac:dyDescent="0.15">
      <c r="A2135" s="6" t="s">
        <v>2199</v>
      </c>
      <c r="B2135" s="6" t="s">
        <v>2362</v>
      </c>
      <c r="C2135" s="6">
        <v>255</v>
      </c>
      <c r="D2135" s="6" t="str">
        <f>HYPERLINK("https://rmda.kulib.kyoto-u.ac.jp/item/rb00003883#?c=0&amp;m=0&amp;s=0&amp;cv=254")</f>
        <v>https://rmda.kulib.kyoto-u.ac.jp/item/rb00003883#?c=0&amp;m=0&amp;s=0&amp;cv=254</v>
      </c>
      <c r="F2135">
        <v>261</v>
      </c>
    </row>
    <row r="2136" spans="1:6" x14ac:dyDescent="0.15">
      <c r="A2136" s="6" t="s">
        <v>2199</v>
      </c>
      <c r="B2136" s="6" t="s">
        <v>4507</v>
      </c>
      <c r="C2136" s="6">
        <v>256</v>
      </c>
      <c r="D2136" s="6" t="str">
        <f>HYPERLINK("https://rmda.kulib.kyoto-u.ac.jp/item/rb00003883#?c=0&amp;m=0&amp;s=0&amp;cv=255")</f>
        <v>https://rmda.kulib.kyoto-u.ac.jp/item/rb00003883#?c=0&amp;m=0&amp;s=0&amp;cv=255</v>
      </c>
      <c r="F2136">
        <v>262</v>
      </c>
    </row>
    <row r="2137" spans="1:6" x14ac:dyDescent="0.15">
      <c r="A2137" s="6" t="s">
        <v>2199</v>
      </c>
      <c r="B2137" s="6" t="s">
        <v>2363</v>
      </c>
      <c r="C2137" s="6">
        <v>256</v>
      </c>
      <c r="D2137" s="6" t="str">
        <f>HYPERLINK("https://rmda.kulib.kyoto-u.ac.jp/item/rb00003883#?c=0&amp;m=0&amp;s=0&amp;cv=255")</f>
        <v>https://rmda.kulib.kyoto-u.ac.jp/item/rb00003883#?c=0&amp;m=0&amp;s=0&amp;cv=255</v>
      </c>
      <c r="F2137">
        <v>262</v>
      </c>
    </row>
    <row r="2138" spans="1:6" x14ac:dyDescent="0.15">
      <c r="A2138" s="6" t="s">
        <v>2199</v>
      </c>
      <c r="B2138" s="6" t="s">
        <v>4375</v>
      </c>
      <c r="C2138" s="6">
        <v>256</v>
      </c>
      <c r="D2138" s="6" t="str">
        <f>HYPERLINK("https://rmda.kulib.kyoto-u.ac.jp/item/rb00003883#?c=0&amp;m=0&amp;s=0&amp;cv=255")</f>
        <v>https://rmda.kulib.kyoto-u.ac.jp/item/rb00003883#?c=0&amp;m=0&amp;s=0&amp;cv=255</v>
      </c>
      <c r="F2138">
        <v>263</v>
      </c>
    </row>
    <row r="2139" spans="1:6" x14ac:dyDescent="0.15">
      <c r="A2139" s="6" t="s">
        <v>2199</v>
      </c>
      <c r="B2139" s="6" t="s">
        <v>2364</v>
      </c>
      <c r="C2139" s="6">
        <v>257</v>
      </c>
      <c r="D2139" s="6" t="str">
        <f>HYPERLINK("https://rmda.kulib.kyoto-u.ac.jp/item/rb00003883#?c=0&amp;m=0&amp;s=0&amp;cv=256")</f>
        <v>https://rmda.kulib.kyoto-u.ac.jp/item/rb00003883#?c=0&amp;m=0&amp;s=0&amp;cv=256</v>
      </c>
      <c r="F2139">
        <v>263</v>
      </c>
    </row>
    <row r="2140" spans="1:6" x14ac:dyDescent="0.15">
      <c r="A2140" s="6" t="s">
        <v>2199</v>
      </c>
      <c r="B2140" s="6" t="s">
        <v>4508</v>
      </c>
      <c r="C2140" s="6">
        <v>257</v>
      </c>
      <c r="D2140" s="6" t="str">
        <f>HYPERLINK("https://rmda.kulib.kyoto-u.ac.jp/item/rb00003883#?c=0&amp;m=0&amp;s=0&amp;cv=256")</f>
        <v>https://rmda.kulib.kyoto-u.ac.jp/item/rb00003883#?c=0&amp;m=0&amp;s=0&amp;cv=256</v>
      </c>
      <c r="F2140">
        <v>263</v>
      </c>
    </row>
    <row r="2141" spans="1:6" x14ac:dyDescent="0.15">
      <c r="A2141" s="6" t="s">
        <v>2199</v>
      </c>
      <c r="B2141" s="6" t="s">
        <v>2356</v>
      </c>
      <c r="C2141" s="6">
        <v>257</v>
      </c>
      <c r="D2141" s="6" t="str">
        <f>HYPERLINK("https://rmda.kulib.kyoto-u.ac.jp/item/rb00003883#?c=0&amp;m=0&amp;s=0&amp;cv=256")</f>
        <v>https://rmda.kulib.kyoto-u.ac.jp/item/rb00003883#?c=0&amp;m=0&amp;s=0&amp;cv=256</v>
      </c>
      <c r="F2141" t="s">
        <v>5523</v>
      </c>
    </row>
    <row r="2142" spans="1:6" x14ac:dyDescent="0.15">
      <c r="A2142" s="6" t="s">
        <v>2199</v>
      </c>
      <c r="B2142" s="72" t="s">
        <v>4484</v>
      </c>
      <c r="C2142" s="6">
        <v>262</v>
      </c>
      <c r="D2142" s="6" t="str">
        <f>HYPERLINK("https://rmda.kulib.kyoto-u.ac.jp/item/rb00003883#?c=0&amp;m=0&amp;s=0&amp;cv=261")</f>
        <v>https://rmda.kulib.kyoto-u.ac.jp/item/rb00003883#?c=0&amp;m=0&amp;s=0&amp;cv=261</v>
      </c>
      <c r="F2142">
        <v>267</v>
      </c>
    </row>
    <row r="2143" spans="1:6" x14ac:dyDescent="0.15">
      <c r="A2143" s="6" t="s">
        <v>2199</v>
      </c>
      <c r="B2143" s="63" t="s">
        <v>5555</v>
      </c>
      <c r="C2143" s="6">
        <v>262</v>
      </c>
      <c r="D2143" s="6" t="str">
        <f>HYPERLINK("https://rmda.kulib.kyoto-u.ac.jp/item/rb00003883#?c=0&amp;m=0&amp;s=0&amp;cv=261")</f>
        <v>https://rmda.kulib.kyoto-u.ac.jp/item/rb00003883#?c=0&amp;m=0&amp;s=0&amp;cv=261</v>
      </c>
      <c r="F2143">
        <v>267</v>
      </c>
    </row>
    <row r="2144" spans="1:6" x14ac:dyDescent="0.15">
      <c r="A2144" s="6" t="s">
        <v>2199</v>
      </c>
      <c r="B2144" s="6" t="s">
        <v>4376</v>
      </c>
      <c r="C2144" s="6">
        <v>262</v>
      </c>
      <c r="D2144" s="6" t="str">
        <f>HYPERLINK("https://rmda.kulib.kyoto-u.ac.jp/item/rb00003883#?c=0&amp;m=0&amp;s=0&amp;cv=261")</f>
        <v>https://rmda.kulib.kyoto-u.ac.jp/item/rb00003883#?c=0&amp;m=0&amp;s=0&amp;cv=261</v>
      </c>
      <c r="F2144">
        <v>267</v>
      </c>
    </row>
    <row r="2145" spans="1:6" x14ac:dyDescent="0.15">
      <c r="A2145" s="6" t="s">
        <v>2199</v>
      </c>
      <c r="B2145" s="6" t="s">
        <v>4377</v>
      </c>
      <c r="C2145" s="6">
        <v>263</v>
      </c>
      <c r="D2145" s="6" t="str">
        <f>HYPERLINK("https://rmda.kulib.kyoto-u.ac.jp/item/rb00003883#?c=0&amp;m=0&amp;s=0&amp;cv=262")</f>
        <v>https://rmda.kulib.kyoto-u.ac.jp/item/rb00003883#?c=0&amp;m=0&amp;s=0&amp;cv=262</v>
      </c>
      <c r="F2145">
        <v>268</v>
      </c>
    </row>
    <row r="2146" spans="1:6" x14ac:dyDescent="0.15">
      <c r="A2146" s="6" t="s">
        <v>2199</v>
      </c>
      <c r="B2146" s="6" t="s">
        <v>2365</v>
      </c>
      <c r="C2146" s="6">
        <v>263</v>
      </c>
      <c r="D2146" s="6" t="str">
        <f>HYPERLINK("https://rmda.kulib.kyoto-u.ac.jp/item/rb00003883#?c=0&amp;m=0&amp;s=0&amp;cv=262")</f>
        <v>https://rmda.kulib.kyoto-u.ac.jp/item/rb00003883#?c=0&amp;m=0&amp;s=0&amp;cv=262</v>
      </c>
      <c r="F2146">
        <v>268</v>
      </c>
    </row>
    <row r="2147" spans="1:6" x14ac:dyDescent="0.15">
      <c r="A2147" s="6" t="s">
        <v>2199</v>
      </c>
      <c r="B2147" s="6" t="s">
        <v>2003</v>
      </c>
      <c r="C2147" s="6">
        <v>263</v>
      </c>
      <c r="D2147" s="6" t="str">
        <f>HYPERLINK("https://rmda.kulib.kyoto-u.ac.jp/item/rb00003883#?c=0&amp;m=0&amp;s=0&amp;cv=262")</f>
        <v>https://rmda.kulib.kyoto-u.ac.jp/item/rb00003883#?c=0&amp;m=0&amp;s=0&amp;cv=262</v>
      </c>
      <c r="F2147">
        <v>268</v>
      </c>
    </row>
    <row r="2148" spans="1:6" x14ac:dyDescent="0.15">
      <c r="A2148" s="6" t="s">
        <v>2199</v>
      </c>
      <c r="B2148" s="6" t="s">
        <v>2366</v>
      </c>
      <c r="C2148" s="6">
        <v>264</v>
      </c>
      <c r="D2148" s="6" t="str">
        <f>HYPERLINK("https://rmda.kulib.kyoto-u.ac.jp/item/rb00003883#?c=0&amp;m=0&amp;s=0&amp;cv=263")</f>
        <v>https://rmda.kulib.kyoto-u.ac.jp/item/rb00003883#?c=0&amp;m=0&amp;s=0&amp;cv=263</v>
      </c>
      <c r="F2148">
        <v>269</v>
      </c>
    </row>
    <row r="2149" spans="1:6" x14ac:dyDescent="0.15">
      <c r="A2149" s="6" t="s">
        <v>2199</v>
      </c>
      <c r="B2149" s="6" t="s">
        <v>4378</v>
      </c>
      <c r="C2149" s="6">
        <v>264</v>
      </c>
      <c r="D2149" s="6" t="str">
        <f>HYPERLINK("https://rmda.kulib.kyoto-u.ac.jp/item/rb00003883#?c=0&amp;m=0&amp;s=0&amp;cv=263")</f>
        <v>https://rmda.kulib.kyoto-u.ac.jp/item/rb00003883#?c=0&amp;m=0&amp;s=0&amp;cv=263</v>
      </c>
      <c r="F2149">
        <v>269</v>
      </c>
    </row>
    <row r="2150" spans="1:6" x14ac:dyDescent="0.15">
      <c r="A2150" s="6" t="s">
        <v>2199</v>
      </c>
      <c r="B2150" s="6" t="s">
        <v>4379</v>
      </c>
      <c r="C2150" s="6">
        <v>264</v>
      </c>
      <c r="D2150" s="6" t="str">
        <f>HYPERLINK("https://rmda.kulib.kyoto-u.ac.jp/item/rb00003883#?c=0&amp;m=0&amp;s=0&amp;cv=263")</f>
        <v>https://rmda.kulib.kyoto-u.ac.jp/item/rb00003883#?c=0&amp;m=0&amp;s=0&amp;cv=263</v>
      </c>
      <c r="F2150">
        <v>270</v>
      </c>
    </row>
    <row r="2151" spans="1:6" x14ac:dyDescent="0.15">
      <c r="A2151" s="6" t="s">
        <v>2199</v>
      </c>
      <c r="B2151" s="63" t="s">
        <v>5533</v>
      </c>
      <c r="C2151" s="6">
        <v>265</v>
      </c>
      <c r="D2151" s="6" t="str">
        <f>HYPERLINK("https://rmda.kulib.kyoto-u.ac.jp/item/rb00003883#?c=0&amp;m=0&amp;s=0&amp;cv=264")</f>
        <v>https://rmda.kulib.kyoto-u.ac.jp/item/rb00003883#?c=0&amp;m=0&amp;s=0&amp;cv=264</v>
      </c>
    </row>
    <row r="2152" spans="1:6" x14ac:dyDescent="0.15">
      <c r="A2152" s="6" t="s">
        <v>2199</v>
      </c>
      <c r="B2152" s="6" t="s">
        <v>2367</v>
      </c>
      <c r="C2152" s="6">
        <v>265</v>
      </c>
      <c r="D2152" s="6" t="str">
        <f>HYPERLINK("https://rmda.kulib.kyoto-u.ac.jp/item/rb00003883#?c=0&amp;m=0&amp;s=0&amp;cv=264")</f>
        <v>https://rmda.kulib.kyoto-u.ac.jp/item/rb00003883#?c=0&amp;m=0&amp;s=0&amp;cv=264</v>
      </c>
      <c r="F2152">
        <v>270</v>
      </c>
    </row>
    <row r="2153" spans="1:6" x14ac:dyDescent="0.15">
      <c r="A2153" s="6" t="s">
        <v>2199</v>
      </c>
      <c r="B2153" s="6" t="s">
        <v>2368</v>
      </c>
      <c r="C2153" s="6">
        <v>265</v>
      </c>
      <c r="D2153" s="6" t="str">
        <f>HYPERLINK("https://rmda.kulib.kyoto-u.ac.jp/item/rb00003883#?c=0&amp;m=0&amp;s=0&amp;cv=264")</f>
        <v>https://rmda.kulib.kyoto-u.ac.jp/item/rb00003883#?c=0&amp;m=0&amp;s=0&amp;cv=264</v>
      </c>
      <c r="F2153">
        <v>270</v>
      </c>
    </row>
    <row r="2154" spans="1:6" x14ac:dyDescent="0.15">
      <c r="A2154" s="6" t="s">
        <v>2199</v>
      </c>
      <c r="B2154" s="63" t="s">
        <v>5534</v>
      </c>
      <c r="C2154" s="6">
        <v>265</v>
      </c>
      <c r="D2154" s="6" t="str">
        <f>HYPERLINK("https://rmda.kulib.kyoto-u.ac.jp/item/rb00003883#?c=0&amp;m=0&amp;s=0&amp;cv=264")</f>
        <v>https://rmda.kulib.kyoto-u.ac.jp/item/rb00003883#?c=0&amp;m=0&amp;s=0&amp;cv=264</v>
      </c>
    </row>
    <row r="2155" spans="1:6" x14ac:dyDescent="0.15">
      <c r="A2155" s="6" t="s">
        <v>2199</v>
      </c>
      <c r="B2155" s="6" t="s">
        <v>2369</v>
      </c>
      <c r="C2155" s="6">
        <v>265</v>
      </c>
      <c r="D2155" s="6" t="str">
        <f>HYPERLINK("https://rmda.kulib.kyoto-u.ac.jp/item/rb00003883#?c=0&amp;m=0&amp;s=0&amp;cv=264")</f>
        <v>https://rmda.kulib.kyoto-u.ac.jp/item/rb00003883#?c=0&amp;m=0&amp;s=0&amp;cv=264</v>
      </c>
      <c r="F2155">
        <v>271</v>
      </c>
    </row>
    <row r="2156" spans="1:6" x14ac:dyDescent="0.15">
      <c r="A2156" s="6" t="s">
        <v>2199</v>
      </c>
      <c r="B2156" s="6" t="s">
        <v>5987</v>
      </c>
      <c r="C2156" s="6">
        <v>266</v>
      </c>
      <c r="D2156" s="6" t="str">
        <f>HYPERLINK("https://rmda.kulib.kyoto-u.ac.jp/item/rb00003883#?c=0&amp;m=0&amp;s=0&amp;cv=265")</f>
        <v>https://rmda.kulib.kyoto-u.ac.jp/item/rb00003883#?c=0&amp;m=0&amp;s=0&amp;cv=265</v>
      </c>
      <c r="F2156">
        <v>271</v>
      </c>
    </row>
    <row r="2157" spans="1:6" x14ac:dyDescent="0.15">
      <c r="A2157" s="6" t="s">
        <v>2199</v>
      </c>
      <c r="B2157" s="63" t="s">
        <v>5985</v>
      </c>
      <c r="C2157" s="6">
        <v>266</v>
      </c>
      <c r="D2157" s="6" t="str">
        <f>HYPERLINK("https://rmda.kulib.kyoto-u.ac.jp/item/rb00003883#?c=0&amp;m=0&amp;s=0&amp;cv=265")</f>
        <v>https://rmda.kulib.kyoto-u.ac.jp/item/rb00003883#?c=0&amp;m=0&amp;s=0&amp;cv=265</v>
      </c>
    </row>
    <row r="2158" spans="1:6" x14ac:dyDescent="0.15">
      <c r="A2158" s="6" t="s">
        <v>2199</v>
      </c>
      <c r="B2158" s="6" t="s">
        <v>2370</v>
      </c>
      <c r="C2158" s="6">
        <v>266</v>
      </c>
      <c r="D2158" s="6" t="str">
        <f>HYPERLINK("https://rmda.kulib.kyoto-u.ac.jp/item/rb00003883#?c=0&amp;m=0&amp;s=0&amp;cv=265")</f>
        <v>https://rmda.kulib.kyoto-u.ac.jp/item/rb00003883#?c=0&amp;m=0&amp;s=0&amp;cv=265</v>
      </c>
      <c r="F2158">
        <v>271</v>
      </c>
    </row>
    <row r="2159" spans="1:6" x14ac:dyDescent="0.15">
      <c r="A2159" s="6" t="s">
        <v>2199</v>
      </c>
      <c r="B2159" s="63" t="s">
        <v>5524</v>
      </c>
      <c r="C2159" s="6">
        <v>266</v>
      </c>
      <c r="D2159" s="6" t="str">
        <f>HYPERLINK("https://rmda.kulib.kyoto-u.ac.jp/item/rb00003883#?c=0&amp;m=0&amp;s=0&amp;cv=265")</f>
        <v>https://rmda.kulib.kyoto-u.ac.jp/item/rb00003883#?c=0&amp;m=0&amp;s=0&amp;cv=265</v>
      </c>
    </row>
    <row r="2160" spans="1:6" x14ac:dyDescent="0.15">
      <c r="A2160" s="6" t="s">
        <v>2199</v>
      </c>
      <c r="B2160" s="6" t="s">
        <v>2371</v>
      </c>
      <c r="C2160" s="6">
        <v>266</v>
      </c>
      <c r="D2160" s="6" t="str">
        <f>HYPERLINK("https://rmda.kulib.kyoto-u.ac.jp/item/rb00003883#?c=0&amp;m=0&amp;s=0&amp;cv=265")</f>
        <v>https://rmda.kulib.kyoto-u.ac.jp/item/rb00003883#?c=0&amp;m=0&amp;s=0&amp;cv=265</v>
      </c>
      <c r="F2160">
        <v>272</v>
      </c>
    </row>
    <row r="2161" spans="1:6" x14ac:dyDescent="0.15">
      <c r="A2161" s="6" t="s">
        <v>2199</v>
      </c>
      <c r="B2161" s="6" t="s">
        <v>1923</v>
      </c>
      <c r="C2161" s="6">
        <v>267</v>
      </c>
      <c r="D2161" s="6" t="str">
        <f>HYPERLINK("https://rmda.kulib.kyoto-u.ac.jp/item/rb00003883#?c=0&amp;m=0&amp;s=0&amp;cv=266")</f>
        <v>https://rmda.kulib.kyoto-u.ac.jp/item/rb00003883#?c=0&amp;m=0&amp;s=0&amp;cv=266</v>
      </c>
      <c r="F2161">
        <v>272</v>
      </c>
    </row>
    <row r="2162" spans="1:6" x14ac:dyDescent="0.15">
      <c r="A2162" s="6" t="s">
        <v>2199</v>
      </c>
      <c r="B2162" s="6" t="s">
        <v>2011</v>
      </c>
      <c r="C2162" s="6">
        <v>267</v>
      </c>
      <c r="D2162" s="6" t="str">
        <f>HYPERLINK("https://rmda.kulib.kyoto-u.ac.jp/item/rb00003883#?c=0&amp;m=0&amp;s=0&amp;cv=266")</f>
        <v>https://rmda.kulib.kyoto-u.ac.jp/item/rb00003883#?c=0&amp;m=0&amp;s=0&amp;cv=266</v>
      </c>
      <c r="F2162">
        <v>273</v>
      </c>
    </row>
    <row r="2163" spans="1:6" x14ac:dyDescent="0.15">
      <c r="A2163" s="6" t="s">
        <v>2199</v>
      </c>
      <c r="B2163" s="6" t="s">
        <v>2372</v>
      </c>
      <c r="C2163" s="6">
        <v>267</v>
      </c>
      <c r="D2163" s="6" t="str">
        <f>HYPERLINK("https://rmda.kulib.kyoto-u.ac.jp/item/rb00003883#?c=0&amp;m=0&amp;s=0&amp;cv=266")</f>
        <v>https://rmda.kulib.kyoto-u.ac.jp/item/rb00003883#?c=0&amp;m=0&amp;s=0&amp;cv=266</v>
      </c>
      <c r="F2163">
        <v>273</v>
      </c>
    </row>
    <row r="2164" spans="1:6" x14ac:dyDescent="0.15">
      <c r="A2164" s="6" t="s">
        <v>2199</v>
      </c>
      <c r="B2164" s="63" t="s">
        <v>5525</v>
      </c>
      <c r="C2164" s="6">
        <v>268</v>
      </c>
      <c r="D2164" s="6" t="str">
        <f>HYPERLINK("https://rmda.kulib.kyoto-u.ac.jp/item/rb00003883#?c=0&amp;m=0&amp;s=0&amp;cv=267")</f>
        <v>https://rmda.kulib.kyoto-u.ac.jp/item/rb00003883#?c=0&amp;m=0&amp;s=0&amp;cv=267</v>
      </c>
    </row>
    <row r="2165" spans="1:6" x14ac:dyDescent="0.15">
      <c r="A2165" s="6" t="s">
        <v>2199</v>
      </c>
      <c r="B2165" s="6" t="s">
        <v>5989</v>
      </c>
      <c r="C2165" s="6">
        <v>268</v>
      </c>
      <c r="D2165" s="6" t="str">
        <f>HYPERLINK("https://rmda.kulib.kyoto-u.ac.jp/item/rb00003883#?c=0&amp;m=0&amp;s=0&amp;cv=267")</f>
        <v>https://rmda.kulib.kyoto-u.ac.jp/item/rb00003883#?c=0&amp;m=0&amp;s=0&amp;cv=267</v>
      </c>
      <c r="F2165">
        <v>273</v>
      </c>
    </row>
    <row r="2166" spans="1:6" x14ac:dyDescent="0.15">
      <c r="A2166" s="6" t="s">
        <v>2199</v>
      </c>
      <c r="B2166" s="6" t="s">
        <v>5986</v>
      </c>
      <c r="C2166" s="6">
        <v>268</v>
      </c>
      <c r="D2166" s="6" t="str">
        <f>HYPERLINK("https://rmda.kulib.kyoto-u.ac.jp/item/rb00003883#?c=0&amp;m=0&amp;s=0&amp;cv=267")</f>
        <v>https://rmda.kulib.kyoto-u.ac.jp/item/rb00003883#?c=0&amp;m=0&amp;s=0&amp;cv=267</v>
      </c>
      <c r="F2166">
        <v>274</v>
      </c>
    </row>
    <row r="2167" spans="1:6" x14ac:dyDescent="0.15">
      <c r="A2167" s="6" t="s">
        <v>2199</v>
      </c>
      <c r="B2167" s="6" t="s">
        <v>2373</v>
      </c>
      <c r="C2167" s="6">
        <v>269</v>
      </c>
      <c r="D2167" s="6" t="str">
        <f>HYPERLINK("https://rmda.kulib.kyoto-u.ac.jp/item/rb00003883#?c=0&amp;m=0&amp;s=0&amp;cv=268")</f>
        <v>https://rmda.kulib.kyoto-u.ac.jp/item/rb00003883#?c=0&amp;m=0&amp;s=0&amp;cv=268</v>
      </c>
      <c r="F2167">
        <v>275</v>
      </c>
    </row>
    <row r="2168" spans="1:6" x14ac:dyDescent="0.15">
      <c r="A2168" s="6" t="s">
        <v>2199</v>
      </c>
      <c r="B2168" s="6" t="s">
        <v>2369</v>
      </c>
      <c r="C2168" s="6">
        <v>269</v>
      </c>
      <c r="D2168" s="6" t="str">
        <f>HYPERLINK("https://rmda.kulib.kyoto-u.ac.jp/item/rb00003883#?c=0&amp;m=0&amp;s=0&amp;cv=268")</f>
        <v>https://rmda.kulib.kyoto-u.ac.jp/item/rb00003883#?c=0&amp;m=0&amp;s=0&amp;cv=268</v>
      </c>
      <c r="F2168">
        <v>275</v>
      </c>
    </row>
    <row r="2169" spans="1:6" x14ac:dyDescent="0.15">
      <c r="A2169" s="6" t="s">
        <v>2199</v>
      </c>
      <c r="B2169" s="6" t="s">
        <v>2374</v>
      </c>
      <c r="C2169" s="6">
        <v>270</v>
      </c>
      <c r="D2169" s="6" t="str">
        <f>HYPERLINK("https://rmda.kulib.kyoto-u.ac.jp/item/rb00003883#?c=0&amp;m=0&amp;s=0&amp;cv=269")</f>
        <v>https://rmda.kulib.kyoto-u.ac.jp/item/rb00003883#?c=0&amp;m=0&amp;s=0&amp;cv=269</v>
      </c>
      <c r="F2169">
        <v>276</v>
      </c>
    </row>
    <row r="2170" spans="1:6" x14ac:dyDescent="0.15">
      <c r="A2170" s="6" t="s">
        <v>2199</v>
      </c>
      <c r="B2170" s="6" t="s">
        <v>4380</v>
      </c>
      <c r="C2170" s="6">
        <v>270</v>
      </c>
      <c r="D2170" s="6" t="str">
        <f>HYPERLINK("https://rmda.kulib.kyoto-u.ac.jp/item/rb00003883#?c=0&amp;m=0&amp;s=0&amp;cv=269")</f>
        <v>https://rmda.kulib.kyoto-u.ac.jp/item/rb00003883#?c=0&amp;m=0&amp;s=0&amp;cv=269</v>
      </c>
      <c r="F2170">
        <v>276</v>
      </c>
    </row>
    <row r="2171" spans="1:6" x14ac:dyDescent="0.15">
      <c r="A2171" s="6" t="s">
        <v>2199</v>
      </c>
      <c r="B2171" s="6" t="s">
        <v>4497</v>
      </c>
      <c r="C2171" s="6">
        <v>270</v>
      </c>
      <c r="D2171" s="6" t="str">
        <f>HYPERLINK("https://rmda.kulib.kyoto-u.ac.jp/item/rb00003883#?c=0&amp;m=0&amp;s=0&amp;cv=269")</f>
        <v>https://rmda.kulib.kyoto-u.ac.jp/item/rb00003883#?c=0&amp;m=0&amp;s=0&amp;cv=269</v>
      </c>
      <c r="F2171">
        <v>276</v>
      </c>
    </row>
    <row r="2172" spans="1:6" x14ac:dyDescent="0.15">
      <c r="A2172" s="6" t="s">
        <v>2199</v>
      </c>
      <c r="B2172" s="6" t="s">
        <v>4381</v>
      </c>
      <c r="C2172" s="6">
        <v>270</v>
      </c>
      <c r="D2172" s="6" t="str">
        <f>HYPERLINK("https://rmda.kulib.kyoto-u.ac.jp/item/rb00003883#?c=0&amp;m=0&amp;s=0&amp;cv=269")</f>
        <v>https://rmda.kulib.kyoto-u.ac.jp/item/rb00003883#?c=0&amp;m=0&amp;s=0&amp;cv=269</v>
      </c>
      <c r="F2172">
        <v>277</v>
      </c>
    </row>
    <row r="2173" spans="1:6" x14ac:dyDescent="0.15">
      <c r="A2173" s="6" t="s">
        <v>2199</v>
      </c>
      <c r="B2173" s="63" t="s">
        <v>5556</v>
      </c>
      <c r="C2173" s="6">
        <v>271</v>
      </c>
      <c r="D2173" s="6" t="str">
        <f>HYPERLINK("https://rmda.kulib.kyoto-u.ac.jp/item/rb00003883#?c=0&amp;m=0&amp;s=0&amp;cv=270")</f>
        <v>https://rmda.kulib.kyoto-u.ac.jp/item/rb00003883#?c=0&amp;m=0&amp;s=0&amp;cv=270</v>
      </c>
    </row>
    <row r="2174" spans="1:6" x14ac:dyDescent="0.15">
      <c r="A2174" s="6" t="s">
        <v>2199</v>
      </c>
      <c r="B2174" s="6" t="s">
        <v>1927</v>
      </c>
      <c r="C2174" s="6">
        <v>271</v>
      </c>
      <c r="D2174" s="6" t="str">
        <f>HYPERLINK("https://rmda.kulib.kyoto-u.ac.jp/item/rb00003883#?c=0&amp;m=0&amp;s=0&amp;cv=270")</f>
        <v>https://rmda.kulib.kyoto-u.ac.jp/item/rb00003883#?c=0&amp;m=0&amp;s=0&amp;cv=270</v>
      </c>
      <c r="F2174">
        <v>277</v>
      </c>
    </row>
    <row r="2175" spans="1:6" x14ac:dyDescent="0.15">
      <c r="A2175" s="6" t="s">
        <v>2199</v>
      </c>
      <c r="B2175" s="6" t="s">
        <v>1868</v>
      </c>
      <c r="C2175" s="6">
        <v>271</v>
      </c>
      <c r="D2175" s="6" t="str">
        <f>HYPERLINK("https://rmda.kulib.kyoto-u.ac.jp/item/rb00003883#?c=0&amp;m=0&amp;s=0&amp;cv=270")</f>
        <v>https://rmda.kulib.kyoto-u.ac.jp/item/rb00003883#?c=0&amp;m=0&amp;s=0&amp;cv=270</v>
      </c>
      <c r="F2175">
        <v>278</v>
      </c>
    </row>
    <row r="2176" spans="1:6" x14ac:dyDescent="0.15">
      <c r="A2176" s="6" t="s">
        <v>2199</v>
      </c>
      <c r="B2176" s="6" t="s">
        <v>5536</v>
      </c>
      <c r="C2176" s="6">
        <v>271</v>
      </c>
      <c r="D2176" s="6" t="str">
        <f>HYPERLINK("https://rmda.kulib.kyoto-u.ac.jp/item/rb00003883#?c=0&amp;m=0&amp;s=0&amp;cv=270")</f>
        <v>https://rmda.kulib.kyoto-u.ac.jp/item/rb00003883#?c=0&amp;m=0&amp;s=0&amp;cv=270</v>
      </c>
      <c r="F2176">
        <v>278</v>
      </c>
    </row>
    <row r="2177" spans="1:6" x14ac:dyDescent="0.15">
      <c r="A2177" s="6" t="s">
        <v>2199</v>
      </c>
      <c r="B2177" s="6" t="s">
        <v>2375</v>
      </c>
      <c r="C2177" s="6">
        <v>272</v>
      </c>
      <c r="D2177" s="6" t="str">
        <f>HYPERLINK("https://rmda.kulib.kyoto-u.ac.jp/item/rb00003883#?c=0&amp;m=0&amp;s=0&amp;cv=271")</f>
        <v>https://rmda.kulib.kyoto-u.ac.jp/item/rb00003883#?c=0&amp;m=0&amp;s=0&amp;cv=271</v>
      </c>
      <c r="F2177">
        <v>278</v>
      </c>
    </row>
    <row r="2178" spans="1:6" x14ac:dyDescent="0.15">
      <c r="A2178" s="6" t="s">
        <v>2199</v>
      </c>
      <c r="B2178" s="6" t="s">
        <v>1935</v>
      </c>
      <c r="C2178" s="6">
        <v>272</v>
      </c>
      <c r="D2178" s="6" t="str">
        <f>HYPERLINK("https://rmda.kulib.kyoto-u.ac.jp/item/rb00003883#?c=0&amp;m=0&amp;s=0&amp;cv=271")</f>
        <v>https://rmda.kulib.kyoto-u.ac.jp/item/rb00003883#?c=0&amp;m=0&amp;s=0&amp;cv=271</v>
      </c>
      <c r="F2178">
        <v>279</v>
      </c>
    </row>
    <row r="2179" spans="1:6" x14ac:dyDescent="0.15">
      <c r="A2179" s="6" t="s">
        <v>2199</v>
      </c>
      <c r="B2179" s="63" t="s">
        <v>5537</v>
      </c>
      <c r="C2179" s="6">
        <v>273</v>
      </c>
      <c r="D2179" s="6" t="str">
        <f>HYPERLINK("https://rmda.kulib.kyoto-u.ac.jp/item/rb00003883#?c=0&amp;m=0&amp;s=0&amp;cv=272")</f>
        <v>https://rmda.kulib.kyoto-u.ac.jp/item/rb00003883#?c=0&amp;m=0&amp;s=0&amp;cv=272</v>
      </c>
    </row>
    <row r="2180" spans="1:6" x14ac:dyDescent="0.15">
      <c r="A2180" s="6" t="s">
        <v>2199</v>
      </c>
      <c r="B2180" s="6" t="s">
        <v>5538</v>
      </c>
      <c r="C2180" s="6">
        <v>273</v>
      </c>
      <c r="D2180" s="6" t="str">
        <f>HYPERLINK("https://rmda.kulib.kyoto-u.ac.jp/item/rb00003883#?c=0&amp;m=0&amp;s=0&amp;cv=272")</f>
        <v>https://rmda.kulib.kyoto-u.ac.jp/item/rb00003883#?c=0&amp;m=0&amp;s=0&amp;cv=272</v>
      </c>
      <c r="F2180">
        <v>279</v>
      </c>
    </row>
    <row r="2181" spans="1:6" x14ac:dyDescent="0.15">
      <c r="A2181" s="6" t="s">
        <v>2199</v>
      </c>
      <c r="B2181" s="63" t="s">
        <v>5985</v>
      </c>
      <c r="C2181" s="6">
        <v>273</v>
      </c>
      <c r="D2181" s="6" t="str">
        <f>HYPERLINK("https://rmda.kulib.kyoto-u.ac.jp/item/rb00003883#?c=0&amp;m=0&amp;s=0&amp;cv=272")</f>
        <v>https://rmda.kulib.kyoto-u.ac.jp/item/rb00003883#?c=0&amp;m=0&amp;s=0&amp;cv=272</v>
      </c>
    </row>
    <row r="2182" spans="1:6" x14ac:dyDescent="0.15">
      <c r="A2182" s="6" t="s">
        <v>2199</v>
      </c>
      <c r="B2182" s="6" t="s">
        <v>2376</v>
      </c>
      <c r="C2182" s="6">
        <v>273</v>
      </c>
      <c r="D2182" s="6" t="str">
        <f>HYPERLINK("https://rmda.kulib.kyoto-u.ac.jp/item/rb00003883#?c=0&amp;m=0&amp;s=0&amp;cv=272")</f>
        <v>https://rmda.kulib.kyoto-u.ac.jp/item/rb00003883#?c=0&amp;m=0&amp;s=0&amp;cv=272</v>
      </c>
      <c r="F2182">
        <v>280</v>
      </c>
    </row>
    <row r="2183" spans="1:6" x14ac:dyDescent="0.15">
      <c r="A2183" s="6" t="s">
        <v>2199</v>
      </c>
      <c r="B2183" s="63" t="s">
        <v>5524</v>
      </c>
      <c r="C2183" s="6">
        <v>274</v>
      </c>
      <c r="D2183" s="6" t="str">
        <f>HYPERLINK("https://rmda.kulib.kyoto-u.ac.jp/item/rb00003883#?c=0&amp;m=0&amp;s=0&amp;cv=273")</f>
        <v>https://rmda.kulib.kyoto-u.ac.jp/item/rb00003883#?c=0&amp;m=0&amp;s=0&amp;cv=273</v>
      </c>
    </row>
    <row r="2184" spans="1:6" x14ac:dyDescent="0.15">
      <c r="A2184" s="6" t="s">
        <v>2199</v>
      </c>
      <c r="B2184" s="6" t="s">
        <v>1928</v>
      </c>
      <c r="C2184" s="6">
        <v>274</v>
      </c>
      <c r="D2184" s="6" t="str">
        <f>HYPERLINK("https://rmda.kulib.kyoto-u.ac.jp/item/rb00003883#?c=0&amp;m=0&amp;s=0&amp;cv=273")</f>
        <v>https://rmda.kulib.kyoto-u.ac.jp/item/rb00003883#?c=0&amp;m=0&amp;s=0&amp;cv=273</v>
      </c>
      <c r="F2184">
        <v>281</v>
      </c>
    </row>
    <row r="2185" spans="1:6" x14ac:dyDescent="0.15">
      <c r="A2185" s="6" t="s">
        <v>2199</v>
      </c>
      <c r="B2185" s="6" t="s">
        <v>2377</v>
      </c>
      <c r="C2185" s="6">
        <v>274</v>
      </c>
      <c r="D2185" s="6" t="str">
        <f>HYPERLINK("https://rmda.kulib.kyoto-u.ac.jp/item/rb00003883#?c=0&amp;m=0&amp;s=0&amp;cv=273")</f>
        <v>https://rmda.kulib.kyoto-u.ac.jp/item/rb00003883#?c=0&amp;m=0&amp;s=0&amp;cv=273</v>
      </c>
      <c r="F2185">
        <v>281</v>
      </c>
    </row>
    <row r="2186" spans="1:6" x14ac:dyDescent="0.15">
      <c r="A2186" s="6" t="s">
        <v>2199</v>
      </c>
      <c r="B2186" s="63" t="s">
        <v>5525</v>
      </c>
      <c r="C2186" s="6">
        <v>274</v>
      </c>
      <c r="D2186" s="6" t="str">
        <f>HYPERLINK("https://rmda.kulib.kyoto-u.ac.jp/item/rb00003883#?c=0&amp;m=0&amp;s=0&amp;cv=273")</f>
        <v>https://rmda.kulib.kyoto-u.ac.jp/item/rb00003883#?c=0&amp;m=0&amp;s=0&amp;cv=273</v>
      </c>
    </row>
    <row r="2187" spans="1:6" x14ac:dyDescent="0.15">
      <c r="A2187" s="6" t="s">
        <v>2199</v>
      </c>
      <c r="B2187" s="6" t="s">
        <v>5538</v>
      </c>
      <c r="C2187" s="6">
        <v>274</v>
      </c>
      <c r="D2187" s="6" t="str">
        <f>HYPERLINK("https://rmda.kulib.kyoto-u.ac.jp/item/rb00003883#?c=0&amp;m=0&amp;s=0&amp;cv=273")</f>
        <v>https://rmda.kulib.kyoto-u.ac.jp/item/rb00003883#?c=0&amp;m=0&amp;s=0&amp;cv=273</v>
      </c>
      <c r="F2187">
        <v>281</v>
      </c>
    </row>
    <row r="2188" spans="1:6" x14ac:dyDescent="0.15">
      <c r="A2188" s="6" t="s">
        <v>2199</v>
      </c>
      <c r="B2188" s="6" t="s">
        <v>2144</v>
      </c>
      <c r="C2188" s="6">
        <v>275</v>
      </c>
      <c r="D2188" s="6" t="str">
        <f>HYPERLINK("https://rmda.kulib.kyoto-u.ac.jp/item/rb00003883#?c=0&amp;m=0&amp;s=0&amp;cv=274")</f>
        <v>https://rmda.kulib.kyoto-u.ac.jp/item/rb00003883#?c=0&amp;m=0&amp;s=0&amp;cv=274</v>
      </c>
      <c r="F2188">
        <v>282</v>
      </c>
    </row>
    <row r="2189" spans="1:6" x14ac:dyDescent="0.15">
      <c r="A2189" s="6" t="s">
        <v>2199</v>
      </c>
      <c r="B2189" s="6" t="s">
        <v>1813</v>
      </c>
      <c r="C2189" s="6">
        <v>275</v>
      </c>
      <c r="D2189" s="6" t="str">
        <f>HYPERLINK("https://rmda.kulib.kyoto-u.ac.jp/item/rb00003883#?c=0&amp;m=0&amp;s=0&amp;cv=274")</f>
        <v>https://rmda.kulib.kyoto-u.ac.jp/item/rb00003883#?c=0&amp;m=0&amp;s=0&amp;cv=274</v>
      </c>
      <c r="F2189">
        <v>282</v>
      </c>
    </row>
    <row r="2190" spans="1:6" x14ac:dyDescent="0.15">
      <c r="A2190" s="6" t="s">
        <v>2199</v>
      </c>
      <c r="B2190" s="6" t="s">
        <v>1930</v>
      </c>
      <c r="C2190" s="6">
        <v>275</v>
      </c>
      <c r="D2190" s="6" t="str">
        <f>HYPERLINK("https://rmda.kulib.kyoto-u.ac.jp/item/rb00003883#?c=0&amp;m=0&amp;s=0&amp;cv=274")</f>
        <v>https://rmda.kulib.kyoto-u.ac.jp/item/rb00003883#?c=0&amp;m=0&amp;s=0&amp;cv=274</v>
      </c>
      <c r="F2190">
        <v>282</v>
      </c>
    </row>
    <row r="2191" spans="1:6" x14ac:dyDescent="0.15">
      <c r="A2191" s="6" t="s">
        <v>2199</v>
      </c>
      <c r="B2191" s="6" t="s">
        <v>2378</v>
      </c>
      <c r="C2191" s="6">
        <v>275</v>
      </c>
      <c r="D2191" s="6" t="str">
        <f>HYPERLINK("https://rmda.kulib.kyoto-u.ac.jp/item/rb00003883#?c=0&amp;m=0&amp;s=0&amp;cv=274")</f>
        <v>https://rmda.kulib.kyoto-u.ac.jp/item/rb00003883#?c=0&amp;m=0&amp;s=0&amp;cv=274</v>
      </c>
      <c r="F2191">
        <v>283</v>
      </c>
    </row>
    <row r="2192" spans="1:6" x14ac:dyDescent="0.15">
      <c r="A2192" s="6" t="s">
        <v>2199</v>
      </c>
      <c r="B2192" s="6" t="s">
        <v>2379</v>
      </c>
      <c r="C2192" s="6">
        <v>276</v>
      </c>
      <c r="D2192" s="6" t="str">
        <f>HYPERLINK("https://rmda.kulib.kyoto-u.ac.jp/item/rb00003883#?c=0&amp;m=0&amp;s=0&amp;cv=275")</f>
        <v>https://rmda.kulib.kyoto-u.ac.jp/item/rb00003883#?c=0&amp;m=0&amp;s=0&amp;cv=275</v>
      </c>
      <c r="F2192">
        <v>283</v>
      </c>
    </row>
    <row r="2193" spans="1:6" x14ac:dyDescent="0.15">
      <c r="A2193" s="6" t="s">
        <v>2199</v>
      </c>
      <c r="B2193" s="72" t="s">
        <v>4485</v>
      </c>
      <c r="C2193" s="6">
        <v>276</v>
      </c>
      <c r="D2193" s="6" t="str">
        <f>HYPERLINK("https://rmda.kulib.kyoto-u.ac.jp/item/rb00003883#?c=0&amp;m=0&amp;s=0&amp;cv=275")</f>
        <v>https://rmda.kulib.kyoto-u.ac.jp/item/rb00003883#?c=0&amp;m=0&amp;s=0&amp;cv=275</v>
      </c>
      <c r="F2193">
        <v>287</v>
      </c>
    </row>
    <row r="2194" spans="1:6" x14ac:dyDescent="0.15">
      <c r="A2194" s="6" t="s">
        <v>2199</v>
      </c>
      <c r="B2194" s="63" t="s">
        <v>5557</v>
      </c>
      <c r="C2194" s="6">
        <v>276</v>
      </c>
      <c r="D2194" s="6" t="str">
        <f>HYPERLINK("https://rmda.kulib.kyoto-u.ac.jp/item/rb00003883#?c=0&amp;m=0&amp;s=0&amp;cv=275")</f>
        <v>https://rmda.kulib.kyoto-u.ac.jp/item/rb00003883#?c=0&amp;m=0&amp;s=0&amp;cv=275</v>
      </c>
      <c r="F2194">
        <v>287</v>
      </c>
    </row>
    <row r="2195" spans="1:6" x14ac:dyDescent="0.15">
      <c r="A2195" s="6" t="s">
        <v>2199</v>
      </c>
      <c r="B2195" s="6" t="s">
        <v>4382</v>
      </c>
      <c r="C2195" s="6">
        <v>276</v>
      </c>
      <c r="D2195" s="6" t="str">
        <f>HYPERLINK("https://rmda.kulib.kyoto-u.ac.jp/item/rb00003883#?c=0&amp;m=0&amp;s=0&amp;cv=275")</f>
        <v>https://rmda.kulib.kyoto-u.ac.jp/item/rb00003883#?c=0&amp;m=0&amp;s=0&amp;cv=275</v>
      </c>
      <c r="F2195">
        <v>287</v>
      </c>
    </row>
    <row r="2196" spans="1:6" x14ac:dyDescent="0.15">
      <c r="A2196" s="6" t="s">
        <v>2199</v>
      </c>
      <c r="B2196" s="6" t="s">
        <v>4383</v>
      </c>
      <c r="C2196" s="6">
        <v>279</v>
      </c>
      <c r="D2196" s="6" t="str">
        <f>HYPERLINK("https://rmda.kulib.kyoto-u.ac.jp/item/rb00003883#?c=0&amp;m=0&amp;s=0&amp;cv=278")</f>
        <v>https://rmda.kulib.kyoto-u.ac.jp/item/rb00003883#?c=0&amp;m=0&amp;s=0&amp;cv=278</v>
      </c>
      <c r="F2196">
        <v>290</v>
      </c>
    </row>
    <row r="2197" spans="1:6" x14ac:dyDescent="0.15">
      <c r="A2197" s="6" t="s">
        <v>2199</v>
      </c>
      <c r="B2197" s="6" t="s">
        <v>4384</v>
      </c>
      <c r="C2197" s="6">
        <v>279</v>
      </c>
      <c r="D2197" s="6" t="str">
        <f>HYPERLINK("https://rmda.kulib.kyoto-u.ac.jp/item/rb00003883#?c=0&amp;m=0&amp;s=0&amp;cv=278")</f>
        <v>https://rmda.kulib.kyoto-u.ac.jp/item/rb00003883#?c=0&amp;m=0&amp;s=0&amp;cv=278</v>
      </c>
      <c r="F2197">
        <v>290</v>
      </c>
    </row>
    <row r="2198" spans="1:6" x14ac:dyDescent="0.15">
      <c r="A2198" s="6" t="s">
        <v>2199</v>
      </c>
      <c r="B2198" s="6" t="s">
        <v>4224</v>
      </c>
      <c r="C2198" s="6">
        <v>279</v>
      </c>
      <c r="D2198" s="6" t="str">
        <f>HYPERLINK("https://rmda.kulib.kyoto-u.ac.jp/item/rb00003883#?c=0&amp;m=0&amp;s=0&amp;cv=278")</f>
        <v>https://rmda.kulib.kyoto-u.ac.jp/item/rb00003883#?c=0&amp;m=0&amp;s=0&amp;cv=278</v>
      </c>
      <c r="F2198">
        <v>291</v>
      </c>
    </row>
    <row r="2199" spans="1:6" x14ac:dyDescent="0.15">
      <c r="A2199" s="6" t="s">
        <v>2199</v>
      </c>
      <c r="B2199" s="6" t="s">
        <v>4385</v>
      </c>
      <c r="C2199" s="6">
        <v>280</v>
      </c>
      <c r="D2199" s="6" t="str">
        <f>HYPERLINK("https://rmda.kulib.kyoto-u.ac.jp/item/rb00003883#?c=0&amp;m=0&amp;s=0&amp;cv=279")</f>
        <v>https://rmda.kulib.kyoto-u.ac.jp/item/rb00003883#?c=0&amp;m=0&amp;s=0&amp;cv=279</v>
      </c>
      <c r="F2199">
        <v>291</v>
      </c>
    </row>
    <row r="2200" spans="1:6" x14ac:dyDescent="0.15">
      <c r="A2200" s="6" t="s">
        <v>2199</v>
      </c>
      <c r="B2200" s="6" t="s">
        <v>2380</v>
      </c>
      <c r="C2200" s="6">
        <v>280</v>
      </c>
      <c r="D2200" s="6" t="str">
        <f>HYPERLINK("https://rmda.kulib.kyoto-u.ac.jp/item/rb00003883#?c=0&amp;m=0&amp;s=0&amp;cv=279")</f>
        <v>https://rmda.kulib.kyoto-u.ac.jp/item/rb00003883#?c=0&amp;m=0&amp;s=0&amp;cv=279</v>
      </c>
      <c r="F2200">
        <v>292</v>
      </c>
    </row>
    <row r="2201" spans="1:6" x14ac:dyDescent="0.15">
      <c r="A2201" s="6" t="s">
        <v>2199</v>
      </c>
      <c r="B2201" s="6" t="s">
        <v>4386</v>
      </c>
      <c r="C2201" s="6">
        <v>281</v>
      </c>
      <c r="D2201" s="6" t="str">
        <f>HYPERLINK("https://rmda.kulib.kyoto-u.ac.jp/item/rb00003883#?c=0&amp;m=0&amp;s=0&amp;cv=280")</f>
        <v>https://rmda.kulib.kyoto-u.ac.jp/item/rb00003883#?c=0&amp;m=0&amp;s=0&amp;cv=280</v>
      </c>
      <c r="F2201">
        <v>293</v>
      </c>
    </row>
    <row r="2202" spans="1:6" x14ac:dyDescent="0.15">
      <c r="A2202" s="6" t="s">
        <v>2199</v>
      </c>
      <c r="B2202" s="6" t="s">
        <v>2041</v>
      </c>
      <c r="C2202" s="6">
        <v>281</v>
      </c>
      <c r="D2202" s="6" t="str">
        <f>HYPERLINK("https://rmda.kulib.kyoto-u.ac.jp/item/rb00003883#?c=0&amp;m=0&amp;s=0&amp;cv=280")</f>
        <v>https://rmda.kulib.kyoto-u.ac.jp/item/rb00003883#?c=0&amp;m=0&amp;s=0&amp;cv=280</v>
      </c>
      <c r="F2202">
        <v>293</v>
      </c>
    </row>
    <row r="2203" spans="1:6" x14ac:dyDescent="0.15">
      <c r="A2203" s="6" t="s">
        <v>2199</v>
      </c>
      <c r="B2203" s="6" t="s">
        <v>1852</v>
      </c>
      <c r="C2203" s="6">
        <v>282</v>
      </c>
      <c r="D2203" s="6" t="str">
        <f>HYPERLINK("https://rmda.kulib.kyoto-u.ac.jp/item/rb00003883#?c=0&amp;m=0&amp;s=0&amp;cv=281")</f>
        <v>https://rmda.kulib.kyoto-u.ac.jp/item/rb00003883#?c=0&amp;m=0&amp;s=0&amp;cv=281</v>
      </c>
      <c r="F2203">
        <v>294</v>
      </c>
    </row>
    <row r="2204" spans="1:6" x14ac:dyDescent="0.15">
      <c r="A2204" s="6" t="s">
        <v>2199</v>
      </c>
      <c r="B2204" s="6" t="s">
        <v>2381</v>
      </c>
      <c r="C2204" s="6">
        <v>282</v>
      </c>
      <c r="D2204" s="6" t="str">
        <f>HYPERLINK("https://rmda.kulib.kyoto-u.ac.jp/item/rb00003883#?c=0&amp;m=0&amp;s=0&amp;cv=281")</f>
        <v>https://rmda.kulib.kyoto-u.ac.jp/item/rb00003883#?c=0&amp;m=0&amp;s=0&amp;cv=281</v>
      </c>
      <c r="F2204">
        <v>294</v>
      </c>
    </row>
    <row r="2205" spans="1:6" x14ac:dyDescent="0.15">
      <c r="A2205" s="6" t="s">
        <v>2199</v>
      </c>
      <c r="B2205" s="6" t="s">
        <v>4387</v>
      </c>
      <c r="C2205" s="6">
        <v>282</v>
      </c>
      <c r="D2205" s="6" t="str">
        <f>HYPERLINK("https://rmda.kulib.kyoto-u.ac.jp/item/rb00003883#?c=0&amp;m=0&amp;s=0&amp;cv=281")</f>
        <v>https://rmda.kulib.kyoto-u.ac.jp/item/rb00003883#?c=0&amp;m=0&amp;s=0&amp;cv=281</v>
      </c>
      <c r="F2205">
        <v>294</v>
      </c>
    </row>
    <row r="2206" spans="1:6" x14ac:dyDescent="0.15">
      <c r="A2206" s="6" t="s">
        <v>2199</v>
      </c>
      <c r="B2206" s="6" t="s">
        <v>5990</v>
      </c>
      <c r="C2206" s="6">
        <v>283</v>
      </c>
      <c r="D2206" s="6" t="str">
        <f>HYPERLINK("https://rmda.kulib.kyoto-u.ac.jp/item/rb00003883#?c=0&amp;m=0&amp;s=0&amp;cv=282")</f>
        <v>https://rmda.kulib.kyoto-u.ac.jp/item/rb00003883#?c=0&amp;m=0&amp;s=0&amp;cv=282</v>
      </c>
      <c r="F2206">
        <v>295</v>
      </c>
    </row>
    <row r="2207" spans="1:6" x14ac:dyDescent="0.15">
      <c r="A2207" s="6" t="s">
        <v>2199</v>
      </c>
      <c r="B2207" s="6" t="s">
        <v>1729</v>
      </c>
      <c r="C2207" s="6">
        <v>283</v>
      </c>
      <c r="D2207" s="6" t="str">
        <f>HYPERLINK("https://rmda.kulib.kyoto-u.ac.jp/item/rb00003883#?c=0&amp;m=0&amp;s=0&amp;cv=282")</f>
        <v>https://rmda.kulib.kyoto-u.ac.jp/item/rb00003883#?c=0&amp;m=0&amp;s=0&amp;cv=282</v>
      </c>
      <c r="F2207">
        <v>295</v>
      </c>
    </row>
    <row r="2208" spans="1:6" x14ac:dyDescent="0.15">
      <c r="A2208" s="6" t="s">
        <v>2199</v>
      </c>
      <c r="B2208" s="104" t="s">
        <v>2382</v>
      </c>
      <c r="C2208" s="6">
        <v>283</v>
      </c>
      <c r="D2208" s="6" t="str">
        <f>HYPERLINK("https://rmda.kulib.kyoto-u.ac.jp/item/rb00003883#?c=0&amp;m=0&amp;s=0&amp;cv=282")</f>
        <v>https://rmda.kulib.kyoto-u.ac.jp/item/rb00003883#?c=0&amp;m=0&amp;s=0&amp;cv=282</v>
      </c>
      <c r="F2208" t="s">
        <v>5523</v>
      </c>
    </row>
    <row r="2209" spans="1:6" x14ac:dyDescent="0.15">
      <c r="A2209" s="6" t="s">
        <v>2199</v>
      </c>
      <c r="B2209" s="63" t="s">
        <v>5539</v>
      </c>
      <c r="C2209" s="6">
        <v>284</v>
      </c>
      <c r="D2209" s="6" t="str">
        <f>HYPERLINK("https://rmda.kulib.kyoto-u.ac.jp/item/rb00003883#?c=0&amp;m=0&amp;s=0&amp;cv=283")</f>
        <v>https://rmda.kulib.kyoto-u.ac.jp/item/rb00003883#?c=0&amp;m=0&amp;s=0&amp;cv=283</v>
      </c>
    </row>
    <row r="2210" spans="1:6" x14ac:dyDescent="0.15">
      <c r="A2210" s="6" t="s">
        <v>2199</v>
      </c>
      <c r="B2210" s="6" t="s">
        <v>1718</v>
      </c>
      <c r="C2210" s="6">
        <v>284</v>
      </c>
      <c r="D2210" s="6" t="str">
        <f>HYPERLINK("https://rmda.kulib.kyoto-u.ac.jp/item/rb00003883#?c=0&amp;m=0&amp;s=0&amp;cv=283")</f>
        <v>https://rmda.kulib.kyoto-u.ac.jp/item/rb00003883#?c=0&amp;m=0&amp;s=0&amp;cv=283</v>
      </c>
      <c r="F2210">
        <v>296</v>
      </c>
    </row>
    <row r="2211" spans="1:6" x14ac:dyDescent="0.15">
      <c r="A2211" s="6" t="s">
        <v>2199</v>
      </c>
      <c r="B2211" s="6" t="s">
        <v>2252</v>
      </c>
      <c r="C2211" s="6">
        <v>285</v>
      </c>
      <c r="D2211" s="6" t="str">
        <f>HYPERLINK("https://rmda.kulib.kyoto-u.ac.jp/item/rb00003883#?c=0&amp;m=0&amp;s=0&amp;cv=284")</f>
        <v>https://rmda.kulib.kyoto-u.ac.jp/item/rb00003883#?c=0&amp;m=0&amp;s=0&amp;cv=284</v>
      </c>
      <c r="F2211" t="s">
        <v>5523</v>
      </c>
    </row>
    <row r="2212" spans="1:6" x14ac:dyDescent="0.15">
      <c r="A2212" s="6" t="s">
        <v>2199</v>
      </c>
      <c r="B2212" s="6" t="s">
        <v>2334</v>
      </c>
      <c r="C2212" s="6">
        <v>285</v>
      </c>
      <c r="D2212" s="6" t="str">
        <f>HYPERLINK("https://rmda.kulib.kyoto-u.ac.jp/item/rb00003883#?c=0&amp;m=0&amp;s=0&amp;cv=284")</f>
        <v>https://rmda.kulib.kyoto-u.ac.jp/item/rb00003883#?c=0&amp;m=0&amp;s=0&amp;cv=284</v>
      </c>
      <c r="F2212" t="s">
        <v>5523</v>
      </c>
    </row>
    <row r="2213" spans="1:6" x14ac:dyDescent="0.15">
      <c r="A2213" s="6" t="s">
        <v>2199</v>
      </c>
      <c r="B2213" s="63" t="s">
        <v>5537</v>
      </c>
      <c r="C2213" s="6">
        <v>285</v>
      </c>
      <c r="D2213" s="6" t="str">
        <f>HYPERLINK("https://rmda.kulib.kyoto-u.ac.jp/item/rb00003883#?c=0&amp;m=0&amp;s=0&amp;cv=284")</f>
        <v>https://rmda.kulib.kyoto-u.ac.jp/item/rb00003883#?c=0&amp;m=0&amp;s=0&amp;cv=284</v>
      </c>
    </row>
    <row r="2214" spans="1:6" x14ac:dyDescent="0.15">
      <c r="A2214" s="6" t="s">
        <v>2199</v>
      </c>
      <c r="B2214" s="6" t="s">
        <v>4388</v>
      </c>
      <c r="C2214" s="6">
        <v>285</v>
      </c>
      <c r="D2214" s="6" t="str">
        <f>HYPERLINK("https://rmda.kulib.kyoto-u.ac.jp/item/rb00003883#?c=0&amp;m=0&amp;s=0&amp;cv=284")</f>
        <v>https://rmda.kulib.kyoto-u.ac.jp/item/rb00003883#?c=0&amp;m=0&amp;s=0&amp;cv=284</v>
      </c>
      <c r="F2214">
        <v>296</v>
      </c>
    </row>
    <row r="2215" spans="1:6" x14ac:dyDescent="0.15">
      <c r="A2215" s="6" t="s">
        <v>2199</v>
      </c>
      <c r="B2215" s="6" t="s">
        <v>4389</v>
      </c>
      <c r="C2215" s="6">
        <v>285</v>
      </c>
      <c r="D2215" s="6" t="str">
        <f>HYPERLINK("https://rmda.kulib.kyoto-u.ac.jp/item/rb00003883#?c=0&amp;m=0&amp;s=0&amp;cv=284")</f>
        <v>https://rmda.kulib.kyoto-u.ac.jp/item/rb00003883#?c=0&amp;m=0&amp;s=0&amp;cv=284</v>
      </c>
      <c r="F2215">
        <v>296</v>
      </c>
    </row>
    <row r="2216" spans="1:6" x14ac:dyDescent="0.15">
      <c r="A2216" s="6" t="s">
        <v>2199</v>
      </c>
      <c r="B2216" s="63" t="s">
        <v>5985</v>
      </c>
      <c r="C2216" s="6">
        <v>286</v>
      </c>
      <c r="D2216" s="6" t="str">
        <f t="shared" ref="D2216:D2221" si="3">HYPERLINK("https://rmda.kulib.kyoto-u.ac.jp/item/rb00003883#?c=0&amp;m=0&amp;s=0&amp;cv=285")</f>
        <v>https://rmda.kulib.kyoto-u.ac.jp/item/rb00003883#?c=0&amp;m=0&amp;s=0&amp;cv=285</v>
      </c>
    </row>
    <row r="2217" spans="1:6" x14ac:dyDescent="0.15">
      <c r="A2217" s="6" t="s">
        <v>2199</v>
      </c>
      <c r="B2217" s="6" t="s">
        <v>2146</v>
      </c>
      <c r="C2217" s="6">
        <v>286</v>
      </c>
      <c r="D2217" s="6" t="str">
        <f t="shared" si="3"/>
        <v>https://rmda.kulib.kyoto-u.ac.jp/item/rb00003883#?c=0&amp;m=0&amp;s=0&amp;cv=285</v>
      </c>
      <c r="F2217">
        <v>297</v>
      </c>
    </row>
    <row r="2218" spans="1:6" x14ac:dyDescent="0.15">
      <c r="A2218" s="6" t="s">
        <v>2199</v>
      </c>
      <c r="B2218" s="6" t="s">
        <v>2358</v>
      </c>
      <c r="C2218" s="6">
        <v>286</v>
      </c>
      <c r="D2218" s="6" t="str">
        <f t="shared" si="3"/>
        <v>https://rmda.kulib.kyoto-u.ac.jp/item/rb00003883#?c=0&amp;m=0&amp;s=0&amp;cv=285</v>
      </c>
    </row>
    <row r="2219" spans="1:6" x14ac:dyDescent="0.15">
      <c r="A2219" s="6" t="s">
        <v>2199</v>
      </c>
      <c r="B2219" s="63" t="s">
        <v>5524</v>
      </c>
      <c r="C2219" s="6">
        <v>286</v>
      </c>
      <c r="D2219" s="6" t="str">
        <f t="shared" si="3"/>
        <v>https://rmda.kulib.kyoto-u.ac.jp/item/rb00003883#?c=0&amp;m=0&amp;s=0&amp;cv=285</v>
      </c>
    </row>
    <row r="2220" spans="1:6" x14ac:dyDescent="0.15">
      <c r="A2220" s="6" t="s">
        <v>2199</v>
      </c>
      <c r="B2220" s="6" t="s">
        <v>4390</v>
      </c>
      <c r="C2220" s="6">
        <v>286</v>
      </c>
      <c r="D2220" s="6" t="str">
        <f t="shared" si="3"/>
        <v>https://rmda.kulib.kyoto-u.ac.jp/item/rb00003883#?c=0&amp;m=0&amp;s=0&amp;cv=285</v>
      </c>
      <c r="F2220">
        <v>298</v>
      </c>
    </row>
    <row r="2221" spans="1:6" x14ac:dyDescent="0.15">
      <c r="A2221" s="6" t="s">
        <v>2199</v>
      </c>
      <c r="B2221" s="6" t="s">
        <v>4391</v>
      </c>
      <c r="C2221" s="6">
        <v>286</v>
      </c>
      <c r="D2221" s="6" t="str">
        <f t="shared" si="3"/>
        <v>https://rmda.kulib.kyoto-u.ac.jp/item/rb00003883#?c=0&amp;m=0&amp;s=0&amp;cv=285</v>
      </c>
      <c r="F2221">
        <v>298</v>
      </c>
    </row>
    <row r="2222" spans="1:6" x14ac:dyDescent="0.15">
      <c r="A2222" s="6" t="s">
        <v>2199</v>
      </c>
      <c r="B2222" s="6" t="s">
        <v>4392</v>
      </c>
      <c r="C2222" s="6">
        <v>287</v>
      </c>
      <c r="D2222" s="6" t="str">
        <f>HYPERLINK("https://rmda.kulib.kyoto-u.ac.jp/item/rb00003883#?c=0&amp;m=0&amp;s=0&amp;cv=286")</f>
        <v>https://rmda.kulib.kyoto-u.ac.jp/item/rb00003883#?c=0&amp;m=0&amp;s=0&amp;cv=286</v>
      </c>
      <c r="F2222">
        <v>298</v>
      </c>
    </row>
    <row r="2223" spans="1:6" x14ac:dyDescent="0.15">
      <c r="A2223" s="6" t="s">
        <v>2199</v>
      </c>
      <c r="B2223" s="6" t="s">
        <v>1961</v>
      </c>
      <c r="C2223" s="6">
        <v>287</v>
      </c>
      <c r="D2223" s="6" t="str">
        <f>HYPERLINK("https://rmda.kulib.kyoto-u.ac.jp/item/rb00003883#?c=0&amp;m=0&amp;s=0&amp;cv=286")</f>
        <v>https://rmda.kulib.kyoto-u.ac.jp/item/rb00003883#?c=0&amp;m=0&amp;s=0&amp;cv=286</v>
      </c>
      <c r="F2223">
        <v>299</v>
      </c>
    </row>
    <row r="2224" spans="1:6" x14ac:dyDescent="0.15">
      <c r="A2224" s="6" t="s">
        <v>2199</v>
      </c>
      <c r="B2224" s="63" t="s">
        <v>5525</v>
      </c>
      <c r="C2224" s="6">
        <v>287</v>
      </c>
      <c r="D2224" s="6" t="str">
        <f>HYPERLINK("https://rmda.kulib.kyoto-u.ac.jp/item/rb00003883#?c=0&amp;m=0&amp;s=0&amp;cv=286")</f>
        <v>https://rmda.kulib.kyoto-u.ac.jp/item/rb00003883#?c=0&amp;m=0&amp;s=0&amp;cv=286</v>
      </c>
    </row>
    <row r="2225" spans="1:6" x14ac:dyDescent="0.15">
      <c r="A2225" s="6" t="s">
        <v>2199</v>
      </c>
      <c r="B2225" s="6" t="s">
        <v>4325</v>
      </c>
      <c r="C2225" s="6">
        <v>287</v>
      </c>
      <c r="D2225" s="6" t="str">
        <f>HYPERLINK("https://rmda.kulib.kyoto-u.ac.jp/item/rb00003883#?c=0&amp;m=0&amp;s=0&amp;cv=286")</f>
        <v>https://rmda.kulib.kyoto-u.ac.jp/item/rb00003883#?c=0&amp;m=0&amp;s=0&amp;cv=286</v>
      </c>
      <c r="F2225">
        <v>299</v>
      </c>
    </row>
    <row r="2226" spans="1:6" x14ac:dyDescent="0.15">
      <c r="A2226" s="6" t="s">
        <v>2199</v>
      </c>
      <c r="B2226" s="6" t="s">
        <v>4393</v>
      </c>
      <c r="C2226" s="6">
        <v>288</v>
      </c>
      <c r="D2226" s="6" t="str">
        <f>HYPERLINK("https://rmda.kulib.kyoto-u.ac.jp/item/rb00003883#?c=0&amp;m=0&amp;s=0&amp;cv=287")</f>
        <v>https://rmda.kulib.kyoto-u.ac.jp/item/rb00003883#?c=0&amp;m=0&amp;s=0&amp;cv=287</v>
      </c>
      <c r="F2226">
        <v>300</v>
      </c>
    </row>
    <row r="2227" spans="1:6" x14ac:dyDescent="0.15">
      <c r="A2227" s="6" t="s">
        <v>2199</v>
      </c>
      <c r="B2227" s="6" t="s">
        <v>1880</v>
      </c>
      <c r="C2227" s="6">
        <v>288</v>
      </c>
      <c r="D2227" s="6" t="str">
        <f>HYPERLINK("https://rmda.kulib.kyoto-u.ac.jp/item/rb00003883#?c=0&amp;m=0&amp;s=0&amp;cv=287")</f>
        <v>https://rmda.kulib.kyoto-u.ac.jp/item/rb00003883#?c=0&amp;m=0&amp;s=0&amp;cv=287</v>
      </c>
      <c r="F2227">
        <v>300</v>
      </c>
    </row>
    <row r="2228" spans="1:6" x14ac:dyDescent="0.15">
      <c r="A2228" s="6" t="s">
        <v>2199</v>
      </c>
      <c r="B2228" s="6" t="s">
        <v>4394</v>
      </c>
      <c r="C2228" s="6">
        <v>288</v>
      </c>
      <c r="D2228" s="6" t="str">
        <f>HYPERLINK("https://rmda.kulib.kyoto-u.ac.jp/item/rb00003883#?c=0&amp;m=0&amp;s=0&amp;cv=287")</f>
        <v>https://rmda.kulib.kyoto-u.ac.jp/item/rb00003883#?c=0&amp;m=0&amp;s=0&amp;cv=287</v>
      </c>
      <c r="F2228">
        <v>300</v>
      </c>
    </row>
    <row r="2229" spans="1:6" x14ac:dyDescent="0.15">
      <c r="A2229" s="6" t="s">
        <v>2199</v>
      </c>
      <c r="B2229" s="63" t="s">
        <v>5558</v>
      </c>
      <c r="C2229" s="6">
        <v>289</v>
      </c>
      <c r="D2229" s="6" t="str">
        <f>HYPERLINK("https://rmda.kulib.kyoto-u.ac.jp/item/rb00003883#?c=0&amp;m=0&amp;s=0&amp;cv=288")</f>
        <v>https://rmda.kulib.kyoto-u.ac.jp/item/rb00003883#?c=0&amp;m=0&amp;s=0&amp;cv=288</v>
      </c>
    </row>
    <row r="2230" spans="1:6" x14ac:dyDescent="0.15">
      <c r="A2230" s="6" t="s">
        <v>2199</v>
      </c>
      <c r="B2230" s="6" t="s">
        <v>2383</v>
      </c>
      <c r="C2230" s="6">
        <v>289</v>
      </c>
      <c r="D2230" s="6" t="str">
        <f>HYPERLINK("https://rmda.kulib.kyoto-u.ac.jp/item/rb00003883#?c=0&amp;m=0&amp;s=0&amp;cv=288")</f>
        <v>https://rmda.kulib.kyoto-u.ac.jp/item/rb00003883#?c=0&amp;m=0&amp;s=0&amp;cv=288</v>
      </c>
      <c r="F2230">
        <v>301</v>
      </c>
    </row>
    <row r="2231" spans="1:6" x14ac:dyDescent="0.15">
      <c r="A2231" s="6" t="s">
        <v>2199</v>
      </c>
      <c r="B2231" s="6" t="s">
        <v>4395</v>
      </c>
      <c r="C2231" s="6">
        <v>291</v>
      </c>
      <c r="D2231" s="6" t="str">
        <f>HYPERLINK("https://rmda.kulib.kyoto-u.ac.jp/item/rb00003883#?c=0&amp;m=0&amp;s=0&amp;cv=290")</f>
        <v>https://rmda.kulib.kyoto-u.ac.jp/item/rb00003883#?c=0&amp;m=0&amp;s=0&amp;cv=290</v>
      </c>
      <c r="F2231">
        <v>303</v>
      </c>
    </row>
    <row r="2232" spans="1:6" x14ac:dyDescent="0.15">
      <c r="A2232" s="6" t="s">
        <v>2199</v>
      </c>
      <c r="B2232" s="6" t="s">
        <v>2127</v>
      </c>
      <c r="C2232" s="6">
        <v>291</v>
      </c>
      <c r="D2232" s="6" t="str">
        <f>HYPERLINK("https://rmda.kulib.kyoto-u.ac.jp/item/rb00003883#?c=0&amp;m=0&amp;s=0&amp;cv=290")</f>
        <v>https://rmda.kulib.kyoto-u.ac.jp/item/rb00003883#?c=0&amp;m=0&amp;s=0&amp;cv=290</v>
      </c>
      <c r="F2232">
        <v>304</v>
      </c>
    </row>
    <row r="2233" spans="1:6" x14ac:dyDescent="0.15">
      <c r="A2233" s="6" t="s">
        <v>2199</v>
      </c>
      <c r="B2233" s="6" t="s">
        <v>2384</v>
      </c>
      <c r="C2233" s="6">
        <v>292</v>
      </c>
      <c r="D2233" s="6" t="str">
        <f>HYPERLINK("https://rmda.kulib.kyoto-u.ac.jp/item/rb00003883#?c=0&amp;m=0&amp;s=0&amp;cv=291")</f>
        <v>https://rmda.kulib.kyoto-u.ac.jp/item/rb00003883#?c=0&amp;m=0&amp;s=0&amp;cv=291</v>
      </c>
      <c r="F2233">
        <v>304</v>
      </c>
    </row>
    <row r="2234" spans="1:6" x14ac:dyDescent="0.15">
      <c r="A2234" s="6" t="s">
        <v>2199</v>
      </c>
      <c r="B2234" s="6" t="s">
        <v>5991</v>
      </c>
      <c r="C2234" s="6">
        <v>292</v>
      </c>
      <c r="D2234" s="6" t="str">
        <f>HYPERLINK("https://rmda.kulib.kyoto-u.ac.jp/item/rb00003883#?c=0&amp;m=0&amp;s=0&amp;cv=291")</f>
        <v>https://rmda.kulib.kyoto-u.ac.jp/item/rb00003883#?c=0&amp;m=0&amp;s=0&amp;cv=291</v>
      </c>
      <c r="F2234">
        <v>304</v>
      </c>
    </row>
    <row r="2235" spans="1:6" x14ac:dyDescent="0.15">
      <c r="A2235" s="6" t="s">
        <v>2199</v>
      </c>
      <c r="B2235" s="6" t="s">
        <v>5547</v>
      </c>
      <c r="C2235" s="6">
        <v>293</v>
      </c>
      <c r="D2235" s="6" t="str">
        <f>HYPERLINK("https://rmda.kulib.kyoto-u.ac.jp/item/rb00003883#?c=0&amp;m=0&amp;s=0&amp;cv=292")</f>
        <v>https://rmda.kulib.kyoto-u.ac.jp/item/rb00003883#?c=0&amp;m=0&amp;s=0&amp;cv=292</v>
      </c>
      <c r="F2235">
        <v>305</v>
      </c>
    </row>
    <row r="2236" spans="1:6" x14ac:dyDescent="0.15">
      <c r="A2236" s="6" t="s">
        <v>2199</v>
      </c>
      <c r="B2236" s="6" t="s">
        <v>2385</v>
      </c>
      <c r="C2236" s="6">
        <v>294</v>
      </c>
      <c r="D2236" s="6" t="str">
        <f>HYPERLINK("https://rmda.kulib.kyoto-u.ac.jp/item/rb00003883#?c=0&amp;m=0&amp;s=0&amp;cv=293")</f>
        <v>https://rmda.kulib.kyoto-u.ac.jp/item/rb00003883#?c=0&amp;m=0&amp;s=0&amp;cv=293</v>
      </c>
      <c r="F2236">
        <v>306</v>
      </c>
    </row>
    <row r="2237" spans="1:6" x14ac:dyDescent="0.15">
      <c r="A2237" s="6" t="s">
        <v>2199</v>
      </c>
      <c r="B2237" s="63" t="s">
        <v>5546</v>
      </c>
      <c r="C2237" s="6">
        <v>294</v>
      </c>
      <c r="D2237" s="6" t="str">
        <f>HYPERLINK("https://rmda.kulib.kyoto-u.ac.jp/item/rb00003883#?c=0&amp;m=0&amp;s=0&amp;cv=293")</f>
        <v>https://rmda.kulib.kyoto-u.ac.jp/item/rb00003883#?c=0&amp;m=0&amp;s=0&amp;cv=293</v>
      </c>
    </row>
    <row r="2238" spans="1:6" x14ac:dyDescent="0.15">
      <c r="A2238" s="6" t="s">
        <v>2199</v>
      </c>
      <c r="B2238" s="6" t="s">
        <v>4498</v>
      </c>
      <c r="C2238" s="6">
        <v>294</v>
      </c>
      <c r="D2238" s="6" t="str">
        <f>HYPERLINK("https://rmda.kulib.kyoto-u.ac.jp/item/rb00003883#?c=0&amp;m=0&amp;s=0&amp;cv=293")</f>
        <v>https://rmda.kulib.kyoto-u.ac.jp/item/rb00003883#?c=0&amp;m=0&amp;s=0&amp;cv=293</v>
      </c>
      <c r="F2238">
        <v>307</v>
      </c>
    </row>
    <row r="2239" spans="1:6" x14ac:dyDescent="0.15">
      <c r="A2239" s="6" t="s">
        <v>2199</v>
      </c>
      <c r="B2239" s="6" t="s">
        <v>2216</v>
      </c>
      <c r="C2239" s="6">
        <v>296</v>
      </c>
      <c r="D2239" s="6" t="str">
        <f>HYPERLINK("https://rmda.kulib.kyoto-u.ac.jp/item/rb00003883#?c=0&amp;m=0&amp;s=0&amp;cv=295")</f>
        <v>https://rmda.kulib.kyoto-u.ac.jp/item/rb00003883#?c=0&amp;m=0&amp;s=0&amp;cv=295</v>
      </c>
      <c r="F2239">
        <v>308</v>
      </c>
    </row>
    <row r="2240" spans="1:6" x14ac:dyDescent="0.15">
      <c r="A2240" s="6" t="s">
        <v>2199</v>
      </c>
      <c r="B2240" s="63" t="s">
        <v>5545</v>
      </c>
      <c r="C2240" s="6">
        <v>296</v>
      </c>
      <c r="D2240" s="6" t="str">
        <f>HYPERLINK("https://rmda.kulib.kyoto-u.ac.jp/item/rb00003883#?c=0&amp;m=0&amp;s=0&amp;cv=295")</f>
        <v>https://rmda.kulib.kyoto-u.ac.jp/item/rb00003883#?c=0&amp;m=0&amp;s=0&amp;cv=295</v>
      </c>
    </row>
    <row r="2241" spans="1:6" x14ac:dyDescent="0.15">
      <c r="A2241" s="6" t="s">
        <v>2199</v>
      </c>
      <c r="B2241" s="6" t="s">
        <v>2386</v>
      </c>
      <c r="C2241" s="6">
        <v>296</v>
      </c>
      <c r="D2241" s="6" t="str">
        <f>HYPERLINK("https://rmda.kulib.kyoto-u.ac.jp/item/rb00003883#?c=0&amp;m=0&amp;s=0&amp;cv=295")</f>
        <v>https://rmda.kulib.kyoto-u.ac.jp/item/rb00003883#?c=0&amp;m=0&amp;s=0&amp;cv=295</v>
      </c>
      <c r="F2241">
        <v>308</v>
      </c>
    </row>
    <row r="2242" spans="1:6" x14ac:dyDescent="0.15">
      <c r="A2242" s="6" t="s">
        <v>2199</v>
      </c>
      <c r="B2242" s="6" t="s">
        <v>2387</v>
      </c>
      <c r="C2242" s="6">
        <v>297</v>
      </c>
      <c r="D2242" s="6" t="str">
        <f>HYPERLINK("https://rmda.kulib.kyoto-u.ac.jp/item/rb00003883#?c=0&amp;m=0&amp;s=0&amp;cv=296")</f>
        <v>https://rmda.kulib.kyoto-u.ac.jp/item/rb00003883#?c=0&amp;m=0&amp;s=0&amp;cv=296</v>
      </c>
      <c r="F2242">
        <v>309</v>
      </c>
    </row>
    <row r="2243" spans="1:6" x14ac:dyDescent="0.15">
      <c r="A2243" s="6" t="s">
        <v>2199</v>
      </c>
      <c r="B2243" s="6" t="s">
        <v>4499</v>
      </c>
      <c r="C2243" s="6">
        <v>297</v>
      </c>
      <c r="D2243" s="6" t="str">
        <f>HYPERLINK("https://rmda.kulib.kyoto-u.ac.jp/item/rb00003883#?c=0&amp;m=0&amp;s=0&amp;cv=296")</f>
        <v>https://rmda.kulib.kyoto-u.ac.jp/item/rb00003883#?c=0&amp;m=0&amp;s=0&amp;cv=296</v>
      </c>
      <c r="F2243">
        <v>309</v>
      </c>
    </row>
    <row r="2244" spans="1:6" x14ac:dyDescent="0.15">
      <c r="A2244" s="6" t="s">
        <v>2199</v>
      </c>
      <c r="B2244" s="63" t="s">
        <v>5985</v>
      </c>
      <c r="C2244" s="6">
        <v>297</v>
      </c>
      <c r="D2244" s="6" t="str">
        <f>HYPERLINK("https://rmda.kulib.kyoto-u.ac.jp/item/rb00003883#?c=0&amp;m=0&amp;s=0&amp;cv=296")</f>
        <v>https://rmda.kulib.kyoto-u.ac.jp/item/rb00003883#?c=0&amp;m=0&amp;s=0&amp;cv=296</v>
      </c>
    </row>
    <row r="2245" spans="1:6" x14ac:dyDescent="0.15">
      <c r="A2245" s="6" t="s">
        <v>2199</v>
      </c>
      <c r="B2245" s="6" t="s">
        <v>2388</v>
      </c>
      <c r="C2245" s="6">
        <v>297</v>
      </c>
      <c r="D2245" s="6" t="str">
        <f>HYPERLINK("https://rmda.kulib.kyoto-u.ac.jp/item/rb00003883#?c=0&amp;m=0&amp;s=0&amp;cv=296")</f>
        <v>https://rmda.kulib.kyoto-u.ac.jp/item/rb00003883#?c=0&amp;m=0&amp;s=0&amp;cv=296</v>
      </c>
      <c r="F2245">
        <v>310</v>
      </c>
    </row>
    <row r="2246" spans="1:6" x14ac:dyDescent="0.15">
      <c r="A2246" s="6" t="s">
        <v>2199</v>
      </c>
      <c r="B2246" s="6" t="s">
        <v>2389</v>
      </c>
      <c r="C2246" s="6">
        <v>297</v>
      </c>
      <c r="D2246" s="6" t="str">
        <f>HYPERLINK("https://rmda.kulib.kyoto-u.ac.jp/item/rb00003883#?c=0&amp;m=0&amp;s=0&amp;cv=296")</f>
        <v>https://rmda.kulib.kyoto-u.ac.jp/item/rb00003883#?c=0&amp;m=0&amp;s=0&amp;cv=296</v>
      </c>
      <c r="F2246">
        <v>310</v>
      </c>
    </row>
    <row r="2247" spans="1:6" x14ac:dyDescent="0.15">
      <c r="A2247" s="6" t="s">
        <v>2199</v>
      </c>
      <c r="B2247" s="63" t="s">
        <v>5524</v>
      </c>
      <c r="C2247" s="6">
        <v>298</v>
      </c>
      <c r="D2247" s="6" t="str">
        <f>HYPERLINK("https://rmda.kulib.kyoto-u.ac.jp/item/rb00003883#?c=0&amp;m=0&amp;s=0&amp;cv=297")</f>
        <v>https://rmda.kulib.kyoto-u.ac.jp/item/rb00003883#?c=0&amp;m=0&amp;s=0&amp;cv=297</v>
      </c>
    </row>
    <row r="2248" spans="1:6" x14ac:dyDescent="0.15">
      <c r="A2248" s="6" t="s">
        <v>2199</v>
      </c>
      <c r="B2248" s="6" t="s">
        <v>1800</v>
      </c>
      <c r="C2248" s="6">
        <v>298</v>
      </c>
      <c r="D2248" s="6" t="str">
        <f>HYPERLINK("https://rmda.kulib.kyoto-u.ac.jp/item/rb00003883#?c=0&amp;m=0&amp;s=0&amp;cv=297")</f>
        <v>https://rmda.kulib.kyoto-u.ac.jp/item/rb00003883#?c=0&amp;m=0&amp;s=0&amp;cv=297</v>
      </c>
      <c r="F2248">
        <v>311</v>
      </c>
    </row>
    <row r="2249" spans="1:6" x14ac:dyDescent="0.15">
      <c r="A2249" s="6" t="s">
        <v>2199</v>
      </c>
      <c r="B2249" s="6" t="s">
        <v>2129</v>
      </c>
      <c r="C2249" s="6">
        <v>298</v>
      </c>
      <c r="D2249" s="6" t="str">
        <f>HYPERLINK("https://rmda.kulib.kyoto-u.ac.jp/item/rb00003883#?c=0&amp;m=0&amp;s=0&amp;cv=297")</f>
        <v>https://rmda.kulib.kyoto-u.ac.jp/item/rb00003883#?c=0&amp;m=0&amp;s=0&amp;cv=297</v>
      </c>
      <c r="F2249">
        <v>311</v>
      </c>
    </row>
    <row r="2250" spans="1:6" x14ac:dyDescent="0.15">
      <c r="A2250" s="6" t="s">
        <v>2199</v>
      </c>
      <c r="B2250" s="6" t="s">
        <v>2390</v>
      </c>
      <c r="C2250" s="6">
        <v>298</v>
      </c>
      <c r="D2250" s="6" t="str">
        <f>HYPERLINK("https://rmda.kulib.kyoto-u.ac.jp/item/rb00003883#?c=0&amp;m=0&amp;s=0&amp;cv=297")</f>
        <v>https://rmda.kulib.kyoto-u.ac.jp/item/rb00003883#?c=0&amp;m=0&amp;s=0&amp;cv=297</v>
      </c>
      <c r="F2250">
        <v>311</v>
      </c>
    </row>
    <row r="2251" spans="1:6" x14ac:dyDescent="0.15">
      <c r="A2251" s="6" t="s">
        <v>2199</v>
      </c>
      <c r="B2251" s="6" t="s">
        <v>2391</v>
      </c>
      <c r="C2251" s="6">
        <v>299</v>
      </c>
      <c r="D2251" s="6" t="str">
        <f>HYPERLINK("https://rmda.kulib.kyoto-u.ac.jp/item/rb00003883#?c=0&amp;m=0&amp;s=0&amp;cv=298")</f>
        <v>https://rmda.kulib.kyoto-u.ac.jp/item/rb00003883#?c=0&amp;m=0&amp;s=0&amp;cv=298</v>
      </c>
      <c r="F2251">
        <v>312</v>
      </c>
    </row>
    <row r="2252" spans="1:6" x14ac:dyDescent="0.15">
      <c r="A2252" s="6" t="s">
        <v>2199</v>
      </c>
      <c r="B2252" s="6" t="s">
        <v>2135</v>
      </c>
      <c r="C2252" s="6">
        <v>299</v>
      </c>
      <c r="D2252" s="6" t="str">
        <f>HYPERLINK("https://rmda.kulib.kyoto-u.ac.jp/item/rb00003883#?c=0&amp;m=0&amp;s=0&amp;cv=298")</f>
        <v>https://rmda.kulib.kyoto-u.ac.jp/item/rb00003883#?c=0&amp;m=0&amp;s=0&amp;cv=298</v>
      </c>
      <c r="F2252">
        <v>312</v>
      </c>
    </row>
    <row r="2253" spans="1:6" x14ac:dyDescent="0.15">
      <c r="A2253" s="6" t="s">
        <v>2199</v>
      </c>
      <c r="B2253" s="6" t="s">
        <v>1617</v>
      </c>
      <c r="C2253" s="6">
        <v>299</v>
      </c>
      <c r="D2253" s="6" t="str">
        <f>HYPERLINK("https://rmda.kulib.kyoto-u.ac.jp/item/rb00003883#?c=0&amp;m=0&amp;s=0&amp;cv=298")</f>
        <v>https://rmda.kulib.kyoto-u.ac.jp/item/rb00003883#?c=0&amp;m=0&amp;s=0&amp;cv=298</v>
      </c>
      <c r="F2253">
        <v>312</v>
      </c>
    </row>
    <row r="2254" spans="1:6" x14ac:dyDescent="0.15">
      <c r="A2254" s="6" t="s">
        <v>2199</v>
      </c>
      <c r="B2254" s="6" t="s">
        <v>2047</v>
      </c>
      <c r="C2254" s="6">
        <v>299</v>
      </c>
      <c r="D2254" s="6" t="str">
        <f>HYPERLINK("https://rmda.kulib.kyoto-u.ac.jp/item/rb00003883#?c=0&amp;m=0&amp;s=0&amp;cv=298")</f>
        <v>https://rmda.kulib.kyoto-u.ac.jp/item/rb00003883#?c=0&amp;m=0&amp;s=0&amp;cv=298</v>
      </c>
      <c r="F2254">
        <v>312</v>
      </c>
    </row>
    <row r="2255" spans="1:6" x14ac:dyDescent="0.15">
      <c r="A2255" s="6" t="s">
        <v>2199</v>
      </c>
      <c r="B2255" s="6" t="s">
        <v>2392</v>
      </c>
      <c r="C2255" s="6">
        <v>300</v>
      </c>
      <c r="D2255" s="6" t="str">
        <f>HYPERLINK("https://rmda.kulib.kyoto-u.ac.jp/item/rb00003883#?c=0&amp;m=0&amp;s=0&amp;cv=299")</f>
        <v>https://rmda.kulib.kyoto-u.ac.jp/item/rb00003883#?c=0&amp;m=0&amp;s=0&amp;cv=299</v>
      </c>
      <c r="F2255">
        <v>313</v>
      </c>
    </row>
    <row r="2256" spans="1:6" x14ac:dyDescent="0.15">
      <c r="A2256" s="6" t="s">
        <v>2199</v>
      </c>
      <c r="B2256" s="6" t="s">
        <v>2195</v>
      </c>
      <c r="C2256" s="6">
        <v>300</v>
      </c>
      <c r="D2256" s="6" t="str">
        <f>HYPERLINK("https://rmda.kulib.kyoto-u.ac.jp/item/rb00003883#?c=0&amp;m=0&amp;s=0&amp;cv=299")</f>
        <v>https://rmda.kulib.kyoto-u.ac.jp/item/rb00003883#?c=0&amp;m=0&amp;s=0&amp;cv=299</v>
      </c>
      <c r="F2256">
        <v>313</v>
      </c>
    </row>
    <row r="2257" spans="1:6" x14ac:dyDescent="0.15">
      <c r="A2257" s="6" t="s">
        <v>2199</v>
      </c>
      <c r="B2257" s="6" t="s">
        <v>2393</v>
      </c>
      <c r="C2257" s="6">
        <v>300</v>
      </c>
      <c r="D2257" s="6" t="str">
        <f>HYPERLINK("https://rmda.kulib.kyoto-u.ac.jp/item/rb00003883#?c=0&amp;m=0&amp;s=0&amp;cv=299")</f>
        <v>https://rmda.kulib.kyoto-u.ac.jp/item/rb00003883#?c=0&amp;m=0&amp;s=0&amp;cv=299</v>
      </c>
      <c r="F2257">
        <v>314</v>
      </c>
    </row>
    <row r="2258" spans="1:6" x14ac:dyDescent="0.15">
      <c r="A2258" s="6" t="s">
        <v>2199</v>
      </c>
      <c r="B2258" s="6" t="s">
        <v>2394</v>
      </c>
      <c r="C2258" s="6">
        <v>301</v>
      </c>
      <c r="D2258" s="6" t="str">
        <f>HYPERLINK("https://rmda.kulib.kyoto-u.ac.jp/item/rb00003883#?c=0&amp;m=0&amp;s=0&amp;cv=300")</f>
        <v>https://rmda.kulib.kyoto-u.ac.jp/item/rb00003883#?c=0&amp;m=0&amp;s=0&amp;cv=300</v>
      </c>
      <c r="F2258">
        <v>314</v>
      </c>
    </row>
    <row r="2259" spans="1:6" x14ac:dyDescent="0.15">
      <c r="A2259" s="6" t="s">
        <v>2199</v>
      </c>
      <c r="B2259" s="6" t="s">
        <v>2395</v>
      </c>
      <c r="C2259" s="6">
        <v>301</v>
      </c>
      <c r="D2259" s="6" t="str">
        <f>HYPERLINK("https://rmda.kulib.kyoto-u.ac.jp/item/rb00003883#?c=0&amp;m=0&amp;s=0&amp;cv=300")</f>
        <v>https://rmda.kulib.kyoto-u.ac.jp/item/rb00003883#?c=0&amp;m=0&amp;s=0&amp;cv=300</v>
      </c>
      <c r="F2259">
        <v>314</v>
      </c>
    </row>
    <row r="2260" spans="1:6" x14ac:dyDescent="0.15">
      <c r="A2260" s="6" t="s">
        <v>2199</v>
      </c>
      <c r="B2260" s="6" t="s">
        <v>2396</v>
      </c>
      <c r="C2260" s="6">
        <v>301</v>
      </c>
      <c r="D2260" s="6" t="str">
        <f>HYPERLINK("https://rmda.kulib.kyoto-u.ac.jp/item/rb00003883#?c=0&amp;m=0&amp;s=0&amp;cv=300")</f>
        <v>https://rmda.kulib.kyoto-u.ac.jp/item/rb00003883#?c=0&amp;m=0&amp;s=0&amp;cv=300</v>
      </c>
      <c r="F2260">
        <v>315</v>
      </c>
    </row>
    <row r="2261" spans="1:6" x14ac:dyDescent="0.15">
      <c r="A2261" s="6" t="s">
        <v>2199</v>
      </c>
      <c r="B2261" s="6" t="s">
        <v>2397</v>
      </c>
      <c r="C2261" s="6">
        <v>302</v>
      </c>
      <c r="D2261" s="6" t="str">
        <f>HYPERLINK("https://rmda.kulib.kyoto-u.ac.jp/item/rb00003883#?c=0&amp;m=0&amp;s=0&amp;cv=301")</f>
        <v>https://rmda.kulib.kyoto-u.ac.jp/item/rb00003883#?c=0&amp;m=0&amp;s=0&amp;cv=301</v>
      </c>
      <c r="F2261">
        <v>315</v>
      </c>
    </row>
    <row r="2262" spans="1:6" x14ac:dyDescent="0.15">
      <c r="A2262" s="6" t="s">
        <v>2199</v>
      </c>
      <c r="B2262" s="63" t="s">
        <v>5525</v>
      </c>
      <c r="C2262" s="6">
        <v>302</v>
      </c>
      <c r="D2262" s="6" t="str">
        <f>HYPERLINK("https://rmda.kulib.kyoto-u.ac.jp/item/rb00003883#?c=0&amp;m=0&amp;s=0&amp;cv=301")</f>
        <v>https://rmda.kulib.kyoto-u.ac.jp/item/rb00003883#?c=0&amp;m=0&amp;s=0&amp;cv=301</v>
      </c>
    </row>
    <row r="2263" spans="1:6" x14ac:dyDescent="0.15">
      <c r="A2263" s="6" t="s">
        <v>2199</v>
      </c>
      <c r="B2263" s="6" t="s">
        <v>2398</v>
      </c>
      <c r="C2263" s="6">
        <v>302</v>
      </c>
      <c r="D2263" s="6" t="str">
        <f>HYPERLINK("https://rmda.kulib.kyoto-u.ac.jp/item/rb00003883#?c=0&amp;m=0&amp;s=0&amp;cv=301")</f>
        <v>https://rmda.kulib.kyoto-u.ac.jp/item/rb00003883#?c=0&amp;m=0&amp;s=0&amp;cv=301</v>
      </c>
      <c r="F2263">
        <v>316</v>
      </c>
    </row>
    <row r="2264" spans="1:6" x14ac:dyDescent="0.15">
      <c r="A2264" s="6" t="s">
        <v>2199</v>
      </c>
      <c r="B2264" s="6" t="s">
        <v>2399</v>
      </c>
      <c r="C2264" s="6">
        <v>303</v>
      </c>
      <c r="D2264" s="6" t="str">
        <f>HYPERLINK("https://rmda.kulib.kyoto-u.ac.jp/item/rb00003883#?c=0&amp;m=0&amp;s=0&amp;cv=302")</f>
        <v>https://rmda.kulib.kyoto-u.ac.jp/item/rb00003883#?c=0&amp;m=0&amp;s=0&amp;cv=302</v>
      </c>
      <c r="F2264">
        <v>317</v>
      </c>
    </row>
    <row r="2265" spans="1:6" x14ac:dyDescent="0.15">
      <c r="A2265" s="6" t="s">
        <v>2199</v>
      </c>
      <c r="B2265" s="6" t="s">
        <v>1885</v>
      </c>
      <c r="C2265" s="6">
        <v>303</v>
      </c>
      <c r="D2265" s="6" t="str">
        <f>HYPERLINK("https://rmda.kulib.kyoto-u.ac.jp/item/rb00003883#?c=0&amp;m=0&amp;s=0&amp;cv=302")</f>
        <v>https://rmda.kulib.kyoto-u.ac.jp/item/rb00003883#?c=0&amp;m=0&amp;s=0&amp;cv=302</v>
      </c>
      <c r="F2265">
        <v>317</v>
      </c>
    </row>
    <row r="2266" spans="1:6" x14ac:dyDescent="0.15">
      <c r="A2266" s="6" t="s">
        <v>2199</v>
      </c>
      <c r="B2266" s="6" t="s">
        <v>4500</v>
      </c>
      <c r="C2266" s="6">
        <v>304</v>
      </c>
      <c r="D2266" s="6" t="str">
        <f>HYPERLINK("https://rmda.kulib.kyoto-u.ac.jp/item/rb00003883#?c=0&amp;m=0&amp;s=0&amp;cv=303")</f>
        <v>https://rmda.kulib.kyoto-u.ac.jp/item/rb00003883#?c=0&amp;m=0&amp;s=0&amp;cv=303</v>
      </c>
      <c r="F2266">
        <v>318</v>
      </c>
    </row>
    <row r="2267" spans="1:6" x14ac:dyDescent="0.15">
      <c r="A2267" s="6" t="s">
        <v>2199</v>
      </c>
      <c r="B2267" s="6" t="s">
        <v>1902</v>
      </c>
      <c r="C2267" s="6">
        <v>304</v>
      </c>
      <c r="D2267" s="6" t="str">
        <f>HYPERLINK("https://rmda.kulib.kyoto-u.ac.jp/item/rb00003883#?c=0&amp;m=0&amp;s=0&amp;cv=303")</f>
        <v>https://rmda.kulib.kyoto-u.ac.jp/item/rb00003883#?c=0&amp;m=0&amp;s=0&amp;cv=303</v>
      </c>
      <c r="F2267">
        <v>318</v>
      </c>
    </row>
    <row r="2268" spans="1:6" x14ac:dyDescent="0.15">
      <c r="A2268" s="6" t="s">
        <v>2199</v>
      </c>
      <c r="B2268" s="72" t="s">
        <v>2400</v>
      </c>
      <c r="C2268" s="6">
        <v>308</v>
      </c>
      <c r="D2268" s="6" t="str">
        <f>HYPERLINK("https://rmda.kulib.kyoto-u.ac.jp/item/rb00003883#?c=0&amp;m=0&amp;s=0&amp;cv=307")</f>
        <v>https://rmda.kulib.kyoto-u.ac.jp/item/rb00003883#?c=0&amp;m=0&amp;s=0&amp;cv=307</v>
      </c>
      <c r="F2268">
        <v>322</v>
      </c>
    </row>
    <row r="2269" spans="1:6" x14ac:dyDescent="0.15">
      <c r="A2269" s="6" t="s">
        <v>2199</v>
      </c>
      <c r="B2269" s="63" t="s">
        <v>5559</v>
      </c>
      <c r="C2269" s="6">
        <v>308</v>
      </c>
      <c r="D2269" s="6" t="str">
        <f>HYPERLINK("https://rmda.kulib.kyoto-u.ac.jp/item/rb00003883#?c=0&amp;m=0&amp;s=0&amp;cv=307")</f>
        <v>https://rmda.kulib.kyoto-u.ac.jp/item/rb00003883#?c=0&amp;m=0&amp;s=0&amp;cv=307</v>
      </c>
      <c r="F2269">
        <v>322</v>
      </c>
    </row>
    <row r="2270" spans="1:6" x14ac:dyDescent="0.15">
      <c r="A2270" s="6" t="s">
        <v>2199</v>
      </c>
      <c r="B2270" s="6" t="s">
        <v>4396</v>
      </c>
      <c r="C2270" s="6">
        <v>308</v>
      </c>
      <c r="D2270" s="6" t="str">
        <f>HYPERLINK("https://rmda.kulib.kyoto-u.ac.jp/item/rb00003883#?c=0&amp;m=0&amp;s=0&amp;cv=307")</f>
        <v>https://rmda.kulib.kyoto-u.ac.jp/item/rb00003883#?c=0&amp;m=0&amp;s=0&amp;cv=307</v>
      </c>
      <c r="F2270">
        <v>322</v>
      </c>
    </row>
    <row r="2271" spans="1:6" x14ac:dyDescent="0.15">
      <c r="A2271" s="6" t="s">
        <v>2199</v>
      </c>
      <c r="B2271" s="6" t="s">
        <v>4397</v>
      </c>
      <c r="C2271" s="6">
        <v>309</v>
      </c>
      <c r="D2271" s="6" t="str">
        <f>HYPERLINK("https://rmda.kulib.kyoto-u.ac.jp/item/rb00003883#?c=0&amp;m=0&amp;s=0&amp;cv=308")</f>
        <v>https://rmda.kulib.kyoto-u.ac.jp/item/rb00003883#?c=0&amp;m=0&amp;s=0&amp;cv=308</v>
      </c>
      <c r="F2271">
        <v>324</v>
      </c>
    </row>
    <row r="2272" spans="1:6" x14ac:dyDescent="0.15">
      <c r="A2272" s="6" t="s">
        <v>2199</v>
      </c>
      <c r="B2272" s="6" t="s">
        <v>5983</v>
      </c>
      <c r="C2272" s="6">
        <v>310</v>
      </c>
      <c r="D2272" s="6" t="str">
        <f>HYPERLINK("https://rmda.kulib.kyoto-u.ac.jp/item/rb00003883#?c=0&amp;m=0&amp;s=0&amp;cv=309")</f>
        <v>https://rmda.kulib.kyoto-u.ac.jp/item/rb00003883#?c=0&amp;m=0&amp;s=0&amp;cv=309</v>
      </c>
      <c r="F2272">
        <v>324</v>
      </c>
    </row>
    <row r="2273" spans="1:6" x14ac:dyDescent="0.15">
      <c r="A2273" s="6" t="s">
        <v>2199</v>
      </c>
      <c r="B2273" s="6" t="s">
        <v>2134</v>
      </c>
      <c r="C2273" s="6">
        <v>311</v>
      </c>
      <c r="D2273" s="6" t="str">
        <f>HYPERLINK("https://rmda.kulib.kyoto-u.ac.jp/item/rb00003883#?c=0&amp;m=0&amp;s=0&amp;cv=310")</f>
        <v>https://rmda.kulib.kyoto-u.ac.jp/item/rb00003883#?c=0&amp;m=0&amp;s=0&amp;cv=310</v>
      </c>
      <c r="F2273">
        <v>325</v>
      </c>
    </row>
    <row r="2274" spans="1:6" x14ac:dyDescent="0.15">
      <c r="A2274" s="6" t="s">
        <v>2199</v>
      </c>
      <c r="B2274" s="6" t="s">
        <v>5992</v>
      </c>
      <c r="C2274" s="6">
        <v>311</v>
      </c>
      <c r="D2274" s="6" t="str">
        <f>HYPERLINK("https://rmda.kulib.kyoto-u.ac.jp/item/rb00003883#?c=0&amp;m=0&amp;s=0&amp;cv=310")</f>
        <v>https://rmda.kulib.kyoto-u.ac.jp/item/rb00003883#?c=0&amp;m=0&amp;s=0&amp;cv=310</v>
      </c>
      <c r="F2274">
        <v>326</v>
      </c>
    </row>
    <row r="2275" spans="1:6" x14ac:dyDescent="0.15">
      <c r="A2275" s="6" t="s">
        <v>2199</v>
      </c>
      <c r="B2275" s="6" t="s">
        <v>4398</v>
      </c>
      <c r="C2275" s="6">
        <v>312</v>
      </c>
      <c r="D2275" s="6" t="str">
        <f>HYPERLINK("https://rmda.kulib.kyoto-u.ac.jp/item/rb00003883#?c=0&amp;m=0&amp;s=0&amp;cv=311")</f>
        <v>https://rmda.kulib.kyoto-u.ac.jp/item/rb00003883#?c=0&amp;m=0&amp;s=0&amp;cv=311</v>
      </c>
      <c r="F2275">
        <v>327</v>
      </c>
    </row>
    <row r="2276" spans="1:6" x14ac:dyDescent="0.15">
      <c r="A2276" s="6" t="s">
        <v>2199</v>
      </c>
      <c r="B2276" s="6" t="s">
        <v>2194</v>
      </c>
      <c r="C2276" s="6">
        <v>312</v>
      </c>
      <c r="D2276" s="6" t="str">
        <f>HYPERLINK("https://rmda.kulib.kyoto-u.ac.jp/item/rb00003883#?c=0&amp;m=0&amp;s=0&amp;cv=311")</f>
        <v>https://rmda.kulib.kyoto-u.ac.jp/item/rb00003883#?c=0&amp;m=0&amp;s=0&amp;cv=311</v>
      </c>
      <c r="F2276">
        <v>327</v>
      </c>
    </row>
    <row r="2277" spans="1:6" x14ac:dyDescent="0.15">
      <c r="A2277" s="6" t="s">
        <v>2199</v>
      </c>
      <c r="B2277" s="6" t="s">
        <v>4495</v>
      </c>
      <c r="C2277" s="6">
        <v>313</v>
      </c>
      <c r="D2277" s="6" t="str">
        <f>HYPERLINK("https://rmda.kulib.kyoto-u.ac.jp/item/rb00003883#?c=0&amp;m=0&amp;s=0&amp;cv=312")</f>
        <v>https://rmda.kulib.kyoto-u.ac.jp/item/rb00003883#?c=0&amp;m=0&amp;s=0&amp;cv=312</v>
      </c>
      <c r="F2277">
        <v>328</v>
      </c>
    </row>
    <row r="2278" spans="1:6" x14ac:dyDescent="0.15">
      <c r="A2278" s="6" t="s">
        <v>2199</v>
      </c>
      <c r="B2278" s="6" t="s">
        <v>2401</v>
      </c>
      <c r="C2278" s="6">
        <v>313</v>
      </c>
      <c r="D2278" s="6" t="str">
        <f>HYPERLINK("https://rmda.kulib.kyoto-u.ac.jp/item/rb00003883#?c=0&amp;m=0&amp;s=0&amp;cv=312")</f>
        <v>https://rmda.kulib.kyoto-u.ac.jp/item/rb00003883#?c=0&amp;m=0&amp;s=0&amp;cv=312</v>
      </c>
      <c r="F2278">
        <v>328</v>
      </c>
    </row>
    <row r="2279" spans="1:6" x14ac:dyDescent="0.15">
      <c r="A2279" s="6" t="s">
        <v>2199</v>
      </c>
      <c r="B2279" s="6" t="s">
        <v>1912</v>
      </c>
      <c r="C2279" s="6">
        <v>314</v>
      </c>
      <c r="D2279" s="6" t="str">
        <f>HYPERLINK("https://rmda.kulib.kyoto-u.ac.jp/item/rb00003883#?c=0&amp;m=0&amp;s=0&amp;cv=313")</f>
        <v>https://rmda.kulib.kyoto-u.ac.jp/item/rb00003883#?c=0&amp;m=0&amp;s=0&amp;cv=313</v>
      </c>
      <c r="F2279">
        <v>329</v>
      </c>
    </row>
    <row r="2280" spans="1:6" x14ac:dyDescent="0.15">
      <c r="A2280" s="6" t="s">
        <v>2199</v>
      </c>
      <c r="B2280" s="6" t="s">
        <v>1982</v>
      </c>
      <c r="C2280" s="6">
        <v>314</v>
      </c>
      <c r="D2280" s="6" t="str">
        <f>HYPERLINK("https://rmda.kulib.kyoto-u.ac.jp/item/rb00003883#?c=0&amp;m=0&amp;s=0&amp;cv=313")</f>
        <v>https://rmda.kulib.kyoto-u.ac.jp/item/rb00003883#?c=0&amp;m=0&amp;s=0&amp;cv=313</v>
      </c>
      <c r="F2280">
        <v>329</v>
      </c>
    </row>
    <row r="2281" spans="1:6" x14ac:dyDescent="0.15">
      <c r="A2281" s="6" t="s">
        <v>2199</v>
      </c>
      <c r="B2281" s="6" t="s">
        <v>4399</v>
      </c>
      <c r="C2281" s="6">
        <v>315</v>
      </c>
      <c r="D2281" s="6" t="str">
        <f>HYPERLINK("https://rmda.kulib.kyoto-u.ac.jp/item/rb00003883#?c=0&amp;m=0&amp;s=0&amp;cv=314")</f>
        <v>https://rmda.kulib.kyoto-u.ac.jp/item/rb00003883#?c=0&amp;m=0&amp;s=0&amp;cv=314</v>
      </c>
      <c r="F2281">
        <v>330</v>
      </c>
    </row>
    <row r="2282" spans="1:6" x14ac:dyDescent="0.15">
      <c r="A2282" s="6" t="s">
        <v>2199</v>
      </c>
      <c r="B2282" s="6" t="s">
        <v>2133</v>
      </c>
      <c r="C2282" s="6">
        <v>315</v>
      </c>
      <c r="D2282" s="6" t="str">
        <f>HYPERLINK("https://rmda.kulib.kyoto-u.ac.jp/item/rb00003883#?c=0&amp;m=0&amp;s=0&amp;cv=314")</f>
        <v>https://rmda.kulib.kyoto-u.ac.jp/item/rb00003883#?c=0&amp;m=0&amp;s=0&amp;cv=314</v>
      </c>
      <c r="F2282">
        <v>330</v>
      </c>
    </row>
    <row r="2283" spans="1:6" x14ac:dyDescent="0.15">
      <c r="A2283" s="6" t="s">
        <v>2199</v>
      </c>
      <c r="B2283" s="6" t="s">
        <v>4400</v>
      </c>
      <c r="C2283" s="6">
        <v>315</v>
      </c>
      <c r="D2283" s="6" t="str">
        <f>HYPERLINK("https://rmda.kulib.kyoto-u.ac.jp/item/rb00003883#?c=0&amp;m=0&amp;s=0&amp;cv=314")</f>
        <v>https://rmda.kulib.kyoto-u.ac.jp/item/rb00003883#?c=0&amp;m=0&amp;s=0&amp;cv=314</v>
      </c>
      <c r="F2283">
        <v>331</v>
      </c>
    </row>
    <row r="2284" spans="1:6" x14ac:dyDescent="0.15">
      <c r="A2284" s="6" t="s">
        <v>2199</v>
      </c>
      <c r="B2284" s="6" t="s">
        <v>4401</v>
      </c>
      <c r="C2284" s="6">
        <v>316</v>
      </c>
      <c r="D2284" s="6" t="str">
        <f>HYPERLINK("https://rmda.kulib.kyoto-u.ac.jp/item/rb00003883#?c=0&amp;m=0&amp;s=0&amp;cv=315")</f>
        <v>https://rmda.kulib.kyoto-u.ac.jp/item/rb00003883#?c=0&amp;m=0&amp;s=0&amp;cv=315</v>
      </c>
      <c r="F2284">
        <v>331</v>
      </c>
    </row>
    <row r="2285" spans="1:6" x14ac:dyDescent="0.15">
      <c r="A2285" s="6" t="s">
        <v>2199</v>
      </c>
      <c r="B2285" s="6" t="s">
        <v>4402</v>
      </c>
      <c r="C2285" s="6">
        <v>317</v>
      </c>
      <c r="D2285" s="6" t="str">
        <f>HYPERLINK("https://rmda.kulib.kyoto-u.ac.jp/item/rb00003883#?c=0&amp;m=0&amp;s=0&amp;cv=316")</f>
        <v>https://rmda.kulib.kyoto-u.ac.jp/item/rb00003883#?c=0&amp;m=0&amp;s=0&amp;cv=316</v>
      </c>
      <c r="F2285">
        <v>332</v>
      </c>
    </row>
    <row r="2286" spans="1:6" x14ac:dyDescent="0.15">
      <c r="A2286" s="6" t="s">
        <v>2199</v>
      </c>
      <c r="B2286" s="6" t="s">
        <v>1981</v>
      </c>
      <c r="C2286" s="6">
        <v>317</v>
      </c>
      <c r="D2286" s="6" t="str">
        <f>HYPERLINK("https://rmda.kulib.kyoto-u.ac.jp/item/rb00003883#?c=0&amp;m=0&amp;s=0&amp;cv=316")</f>
        <v>https://rmda.kulib.kyoto-u.ac.jp/item/rb00003883#?c=0&amp;m=0&amp;s=0&amp;cv=316</v>
      </c>
      <c r="F2286">
        <v>333</v>
      </c>
    </row>
    <row r="2287" spans="1:6" x14ac:dyDescent="0.15">
      <c r="A2287" s="6" t="s">
        <v>2199</v>
      </c>
      <c r="B2287" s="6" t="s">
        <v>4403</v>
      </c>
      <c r="C2287" s="6">
        <v>318</v>
      </c>
      <c r="D2287" s="6" t="str">
        <f>HYPERLINK("https://rmda.kulib.kyoto-u.ac.jp/item/rb00003883#?c=0&amp;m=0&amp;s=0&amp;cv=317")</f>
        <v>https://rmda.kulib.kyoto-u.ac.jp/item/rb00003883#?c=0&amp;m=0&amp;s=0&amp;cv=317</v>
      </c>
      <c r="F2287">
        <v>334</v>
      </c>
    </row>
    <row r="2288" spans="1:6" x14ac:dyDescent="0.15">
      <c r="A2288" s="6" t="s">
        <v>2199</v>
      </c>
      <c r="B2288" s="6" t="s">
        <v>1522</v>
      </c>
      <c r="C2288" s="6">
        <v>318</v>
      </c>
      <c r="D2288" s="6" t="str">
        <f>HYPERLINK("https://rmda.kulib.kyoto-u.ac.jp/item/rb00003883#?c=0&amp;m=0&amp;s=0&amp;cv=317")</f>
        <v>https://rmda.kulib.kyoto-u.ac.jp/item/rb00003883#?c=0&amp;m=0&amp;s=0&amp;cv=317</v>
      </c>
      <c r="F2288">
        <v>334</v>
      </c>
    </row>
    <row r="2289" spans="1:6" x14ac:dyDescent="0.15">
      <c r="A2289" s="6" t="s">
        <v>2199</v>
      </c>
      <c r="B2289" s="6" t="s">
        <v>1949</v>
      </c>
      <c r="C2289" s="6">
        <v>318</v>
      </c>
      <c r="D2289" s="6" t="str">
        <f>HYPERLINK("https://rmda.kulib.kyoto-u.ac.jp/item/rb00003883#?c=0&amp;m=0&amp;s=0&amp;cv=317")</f>
        <v>https://rmda.kulib.kyoto-u.ac.jp/item/rb00003883#?c=0&amp;m=0&amp;s=0&amp;cv=317</v>
      </c>
      <c r="F2289">
        <v>334</v>
      </c>
    </row>
    <row r="2290" spans="1:6" x14ac:dyDescent="0.15">
      <c r="A2290" s="6" t="s">
        <v>2199</v>
      </c>
      <c r="B2290" s="6" t="s">
        <v>4404</v>
      </c>
      <c r="C2290" s="6">
        <v>319</v>
      </c>
      <c r="D2290" s="6" t="str">
        <f>HYPERLINK("https://rmda.kulib.kyoto-u.ac.jp/item/rb00003883#?c=0&amp;m=0&amp;s=0&amp;cv=318")</f>
        <v>https://rmda.kulib.kyoto-u.ac.jp/item/rb00003883#?c=0&amp;m=0&amp;s=0&amp;cv=318</v>
      </c>
      <c r="F2290">
        <v>335</v>
      </c>
    </row>
    <row r="2291" spans="1:6" x14ac:dyDescent="0.15">
      <c r="A2291" s="6" t="s">
        <v>2199</v>
      </c>
      <c r="B2291" s="6" t="s">
        <v>1955</v>
      </c>
      <c r="C2291" s="6">
        <v>320</v>
      </c>
      <c r="D2291" s="6" t="str">
        <f>HYPERLINK("https://rmda.kulib.kyoto-u.ac.jp/item/rb00003883#?c=0&amp;m=0&amp;s=0&amp;cv=319")</f>
        <v>https://rmda.kulib.kyoto-u.ac.jp/item/rb00003883#?c=0&amp;m=0&amp;s=0&amp;cv=319</v>
      </c>
      <c r="F2291">
        <v>336</v>
      </c>
    </row>
    <row r="2292" spans="1:6" x14ac:dyDescent="0.15">
      <c r="A2292" s="6" t="s">
        <v>2199</v>
      </c>
      <c r="B2292" s="6" t="s">
        <v>4405</v>
      </c>
      <c r="C2292" s="6">
        <v>320</v>
      </c>
      <c r="D2292" s="6" t="str">
        <f>HYPERLINK("https://rmda.kulib.kyoto-u.ac.jp/item/rb00003883#?c=0&amp;m=0&amp;s=0&amp;cv=319")</f>
        <v>https://rmda.kulib.kyoto-u.ac.jp/item/rb00003883#?c=0&amp;m=0&amp;s=0&amp;cv=319</v>
      </c>
      <c r="F2292">
        <v>336</v>
      </c>
    </row>
    <row r="2293" spans="1:6" x14ac:dyDescent="0.15">
      <c r="A2293" s="6" t="s">
        <v>2199</v>
      </c>
      <c r="B2293" s="6" t="s">
        <v>1978</v>
      </c>
      <c r="C2293" s="6">
        <v>320</v>
      </c>
      <c r="D2293" s="6" t="str">
        <f>HYPERLINK("https://rmda.kulib.kyoto-u.ac.jp/item/rb00003883#?c=0&amp;m=0&amp;s=0&amp;cv=319")</f>
        <v>https://rmda.kulib.kyoto-u.ac.jp/item/rb00003883#?c=0&amp;m=0&amp;s=0&amp;cv=319</v>
      </c>
      <c r="F2293">
        <v>337</v>
      </c>
    </row>
    <row r="2294" spans="1:6" x14ac:dyDescent="0.15">
      <c r="A2294" s="6" t="s">
        <v>2199</v>
      </c>
      <c r="B2294" s="6" t="s">
        <v>4406</v>
      </c>
      <c r="C2294" s="6">
        <v>321</v>
      </c>
      <c r="D2294" s="6" t="str">
        <f>HYPERLINK("https://rmda.kulib.kyoto-u.ac.jp/item/rb00003883#?c=0&amp;m=0&amp;s=0&amp;cv=320")</f>
        <v>https://rmda.kulib.kyoto-u.ac.jp/item/rb00003883#?c=0&amp;m=0&amp;s=0&amp;cv=320</v>
      </c>
      <c r="F2294">
        <v>337</v>
      </c>
    </row>
    <row r="2295" spans="1:6" x14ac:dyDescent="0.15">
      <c r="A2295" s="6" t="s">
        <v>2199</v>
      </c>
      <c r="B2295" s="6" t="s">
        <v>1943</v>
      </c>
      <c r="C2295" s="6">
        <v>321</v>
      </c>
      <c r="D2295" s="6" t="str">
        <f>HYPERLINK("https://rmda.kulib.kyoto-u.ac.jp/item/rb00003883#?c=0&amp;m=0&amp;s=0&amp;cv=320")</f>
        <v>https://rmda.kulib.kyoto-u.ac.jp/item/rb00003883#?c=0&amp;m=0&amp;s=0&amp;cv=320</v>
      </c>
      <c r="F2295">
        <v>338</v>
      </c>
    </row>
    <row r="2296" spans="1:6" x14ac:dyDescent="0.15">
      <c r="A2296" s="6" t="s">
        <v>2199</v>
      </c>
      <c r="B2296" s="6" t="s">
        <v>4407</v>
      </c>
      <c r="C2296" s="6">
        <v>322</v>
      </c>
      <c r="D2296" s="6" t="str">
        <f>HYPERLINK("https://rmda.kulib.kyoto-u.ac.jp/item/rb00003883#?c=0&amp;m=0&amp;s=0&amp;cv=321")</f>
        <v>https://rmda.kulib.kyoto-u.ac.jp/item/rb00003883#?c=0&amp;m=0&amp;s=0&amp;cv=321</v>
      </c>
      <c r="F2296">
        <v>339</v>
      </c>
    </row>
    <row r="2297" spans="1:6" x14ac:dyDescent="0.15">
      <c r="A2297" s="6" t="s">
        <v>2199</v>
      </c>
      <c r="B2297" s="6" t="s">
        <v>2402</v>
      </c>
      <c r="C2297" s="6">
        <v>322</v>
      </c>
      <c r="D2297" s="6" t="str">
        <f>HYPERLINK("https://rmda.kulib.kyoto-u.ac.jp/item/rb00003883#?c=0&amp;m=0&amp;s=0&amp;cv=321")</f>
        <v>https://rmda.kulib.kyoto-u.ac.jp/item/rb00003883#?c=0&amp;m=0&amp;s=0&amp;cv=321</v>
      </c>
      <c r="F2297">
        <v>339</v>
      </c>
    </row>
    <row r="2298" spans="1:6" x14ac:dyDescent="0.15">
      <c r="A2298" s="6" t="s">
        <v>2199</v>
      </c>
      <c r="B2298" s="6" t="s">
        <v>5548</v>
      </c>
      <c r="C2298" s="6">
        <v>322</v>
      </c>
      <c r="D2298" s="6" t="str">
        <f>HYPERLINK("https://rmda.kulib.kyoto-u.ac.jp/item/rb00003883#?c=0&amp;m=0&amp;s=0&amp;cv=321")</f>
        <v>https://rmda.kulib.kyoto-u.ac.jp/item/rb00003883#?c=0&amp;m=0&amp;s=0&amp;cv=321</v>
      </c>
      <c r="F2298">
        <v>339</v>
      </c>
    </row>
    <row r="2299" spans="1:6" x14ac:dyDescent="0.15">
      <c r="A2299" s="6" t="s">
        <v>2199</v>
      </c>
      <c r="B2299" s="6" t="s">
        <v>1905</v>
      </c>
      <c r="C2299" s="6">
        <v>323</v>
      </c>
      <c r="D2299" s="6" t="str">
        <f>HYPERLINK("https://rmda.kulib.kyoto-u.ac.jp/item/rb00003883#?c=0&amp;m=0&amp;s=0&amp;cv=322")</f>
        <v>https://rmda.kulib.kyoto-u.ac.jp/item/rb00003883#?c=0&amp;m=0&amp;s=0&amp;cv=322</v>
      </c>
      <c r="F2299">
        <v>340</v>
      </c>
    </row>
    <row r="2300" spans="1:6" x14ac:dyDescent="0.15">
      <c r="A2300" s="6" t="s">
        <v>2199</v>
      </c>
      <c r="B2300" s="6" t="s">
        <v>1581</v>
      </c>
      <c r="C2300" s="6">
        <v>323</v>
      </c>
      <c r="D2300" s="6" t="str">
        <f>HYPERLINK("https://rmda.kulib.kyoto-u.ac.jp/item/rb00003883#?c=0&amp;m=0&amp;s=0&amp;cv=322")</f>
        <v>https://rmda.kulib.kyoto-u.ac.jp/item/rb00003883#?c=0&amp;m=0&amp;s=0&amp;cv=322</v>
      </c>
      <c r="F2300">
        <v>340</v>
      </c>
    </row>
    <row r="2301" spans="1:6" x14ac:dyDescent="0.15">
      <c r="A2301" s="6" t="s">
        <v>2199</v>
      </c>
      <c r="B2301" s="6" t="s">
        <v>1962</v>
      </c>
      <c r="C2301" s="6">
        <v>323</v>
      </c>
      <c r="D2301" s="6" t="str">
        <f>HYPERLINK("https://rmda.kulib.kyoto-u.ac.jp/item/rb00003883#?c=0&amp;m=0&amp;s=0&amp;cv=322")</f>
        <v>https://rmda.kulib.kyoto-u.ac.jp/item/rb00003883#?c=0&amp;m=0&amp;s=0&amp;cv=322</v>
      </c>
      <c r="F2301">
        <v>340</v>
      </c>
    </row>
    <row r="2302" spans="1:6" x14ac:dyDescent="0.15">
      <c r="A2302" s="6" t="s">
        <v>2199</v>
      </c>
      <c r="B2302" s="6" t="s">
        <v>4408</v>
      </c>
      <c r="C2302" s="6">
        <v>323</v>
      </c>
      <c r="D2302" s="6" t="str">
        <f>HYPERLINK("https://rmda.kulib.kyoto-u.ac.jp/item/rb00003883#?c=0&amp;m=0&amp;s=0&amp;cv=322")</f>
        <v>https://rmda.kulib.kyoto-u.ac.jp/item/rb00003883#?c=0&amp;m=0&amp;s=0&amp;cv=322</v>
      </c>
      <c r="F2302">
        <v>341</v>
      </c>
    </row>
    <row r="2303" spans="1:6" x14ac:dyDescent="0.15">
      <c r="A2303" s="6" t="s">
        <v>2199</v>
      </c>
      <c r="B2303" s="6" t="s">
        <v>1971</v>
      </c>
      <c r="C2303" s="6">
        <v>324</v>
      </c>
      <c r="D2303" s="6" t="str">
        <f>HYPERLINK("https://rmda.kulib.kyoto-u.ac.jp/item/rb00003883#?c=0&amp;m=0&amp;s=0&amp;cv=323")</f>
        <v>https://rmda.kulib.kyoto-u.ac.jp/item/rb00003883#?c=0&amp;m=0&amp;s=0&amp;cv=323</v>
      </c>
      <c r="F2303">
        <v>341</v>
      </c>
    </row>
    <row r="2304" spans="1:6" x14ac:dyDescent="0.15">
      <c r="A2304" s="6" t="s">
        <v>2199</v>
      </c>
      <c r="B2304" s="6" t="s">
        <v>2403</v>
      </c>
      <c r="C2304" s="6">
        <v>324</v>
      </c>
      <c r="D2304" s="6" t="str">
        <f>HYPERLINK("https://rmda.kulib.kyoto-u.ac.jp/item/rb00003883#?c=0&amp;m=0&amp;s=0&amp;cv=323")</f>
        <v>https://rmda.kulib.kyoto-u.ac.jp/item/rb00003883#?c=0&amp;m=0&amp;s=0&amp;cv=323</v>
      </c>
      <c r="F2304">
        <v>341</v>
      </c>
    </row>
    <row r="2305" spans="1:6" x14ac:dyDescent="0.15">
      <c r="A2305" s="6" t="s">
        <v>2199</v>
      </c>
      <c r="B2305" s="63" t="s">
        <v>5544</v>
      </c>
      <c r="C2305" s="6">
        <v>325</v>
      </c>
      <c r="D2305" s="6" t="str">
        <f>HYPERLINK("https://rmda.kulib.kyoto-u.ac.jp/item/rb00003883#?c=0&amp;m=0&amp;s=0&amp;cv=324")</f>
        <v>https://rmda.kulib.kyoto-u.ac.jp/item/rb00003883#?c=0&amp;m=0&amp;s=0&amp;cv=324</v>
      </c>
    </row>
    <row r="2306" spans="1:6" x14ac:dyDescent="0.15">
      <c r="A2306" s="6" t="s">
        <v>2199</v>
      </c>
      <c r="B2306" s="6" t="s">
        <v>2412</v>
      </c>
      <c r="C2306" s="6">
        <v>325</v>
      </c>
      <c r="D2306" s="6" t="str">
        <f>HYPERLINK("https://rmda.kulib.kyoto-u.ac.jp/item/rb00003883#?c=0&amp;m=0&amp;s=0&amp;cv=324")</f>
        <v>https://rmda.kulib.kyoto-u.ac.jp/item/rb00003883#?c=0&amp;m=0&amp;s=0&amp;cv=324</v>
      </c>
      <c r="F2306" t="s">
        <v>5523</v>
      </c>
    </row>
    <row r="2307" spans="1:6" x14ac:dyDescent="0.15">
      <c r="A2307" s="6" t="s">
        <v>2199</v>
      </c>
      <c r="B2307" s="6" t="s">
        <v>2413</v>
      </c>
      <c r="C2307" s="6">
        <v>325</v>
      </c>
      <c r="D2307" s="6" t="str">
        <f>HYPERLINK("https://rmda.kulib.kyoto-u.ac.jp/item/rb00003883#?c=0&amp;m=0&amp;s=0&amp;cv=324")</f>
        <v>https://rmda.kulib.kyoto-u.ac.jp/item/rb00003883#?c=0&amp;m=0&amp;s=0&amp;cv=324</v>
      </c>
      <c r="F2307" t="s">
        <v>5523</v>
      </c>
    </row>
    <row r="2308" spans="1:6" x14ac:dyDescent="0.15">
      <c r="A2308" s="6" t="s">
        <v>2199</v>
      </c>
      <c r="B2308" s="6" t="s">
        <v>2414</v>
      </c>
      <c r="C2308" s="6">
        <v>326</v>
      </c>
      <c r="D2308" s="6" t="str">
        <f>HYPERLINK("https://rmda.kulib.kyoto-u.ac.jp/item/rb00003883#?c=0&amp;m=0&amp;s=0&amp;cv=325")</f>
        <v>https://rmda.kulib.kyoto-u.ac.jp/item/rb00003883#?c=0&amp;m=0&amp;s=0&amp;cv=325</v>
      </c>
      <c r="F2308" t="s">
        <v>5523</v>
      </c>
    </row>
    <row r="2309" spans="1:6" x14ac:dyDescent="0.15">
      <c r="A2309" s="6" t="s">
        <v>2199</v>
      </c>
      <c r="B2309" s="6" t="s">
        <v>2415</v>
      </c>
      <c r="C2309" s="6">
        <v>326</v>
      </c>
      <c r="D2309" s="6" t="str">
        <f>HYPERLINK("https://rmda.kulib.kyoto-u.ac.jp/item/rb00003883#?c=0&amp;m=0&amp;s=0&amp;cv=325")</f>
        <v>https://rmda.kulib.kyoto-u.ac.jp/item/rb00003883#?c=0&amp;m=0&amp;s=0&amp;cv=325</v>
      </c>
      <c r="F2309" t="s">
        <v>5523</v>
      </c>
    </row>
    <row r="2310" spans="1:6" x14ac:dyDescent="0.15">
      <c r="A2310" s="6" t="s">
        <v>2199</v>
      </c>
      <c r="B2310" s="6" t="s">
        <v>2416</v>
      </c>
      <c r="C2310" s="6">
        <v>326</v>
      </c>
      <c r="D2310" s="6" t="str">
        <f>HYPERLINK("https://rmda.kulib.kyoto-u.ac.jp/item/rb00003883#?c=0&amp;m=0&amp;s=0&amp;cv=325")</f>
        <v>https://rmda.kulib.kyoto-u.ac.jp/item/rb00003883#?c=0&amp;m=0&amp;s=0&amp;cv=325</v>
      </c>
      <c r="F2310">
        <v>369</v>
      </c>
    </row>
    <row r="2311" spans="1:6" x14ac:dyDescent="0.15">
      <c r="A2311" s="6" t="s">
        <v>2199</v>
      </c>
      <c r="B2311" s="6" t="s">
        <v>2417</v>
      </c>
      <c r="C2311" s="6">
        <v>327</v>
      </c>
      <c r="D2311" s="6" t="str">
        <f>HYPERLINK("https://rmda.kulib.kyoto-u.ac.jp/item/rb00003883#?c=0&amp;m=0&amp;s=0&amp;cv=326")</f>
        <v>https://rmda.kulib.kyoto-u.ac.jp/item/rb00003883#?c=0&amp;m=0&amp;s=0&amp;cv=326</v>
      </c>
      <c r="F2311">
        <v>370</v>
      </c>
    </row>
    <row r="2312" spans="1:6" x14ac:dyDescent="0.15">
      <c r="A2312" s="6" t="s">
        <v>2199</v>
      </c>
      <c r="B2312" s="6" t="s">
        <v>2420</v>
      </c>
      <c r="C2312" s="6">
        <v>328</v>
      </c>
      <c r="D2312" s="6" t="str">
        <f>HYPERLINK("https://rmda.kulib.kyoto-u.ac.jp/item/rb00003883#?c=0&amp;m=0&amp;s=0&amp;cv=327")</f>
        <v>https://rmda.kulib.kyoto-u.ac.jp/item/rb00003883#?c=0&amp;m=0&amp;s=0&amp;cv=327</v>
      </c>
      <c r="F2312" t="s">
        <v>5523</v>
      </c>
    </row>
    <row r="2313" spans="1:6" x14ac:dyDescent="0.15">
      <c r="A2313" s="6" t="s">
        <v>2199</v>
      </c>
      <c r="B2313" s="6" t="s">
        <v>2421</v>
      </c>
      <c r="C2313" s="6">
        <v>330</v>
      </c>
      <c r="D2313" s="6" t="str">
        <f>HYPERLINK("https://rmda.kulib.kyoto-u.ac.jp/item/rb00003883#?c=0&amp;m=0&amp;s=0&amp;cv=329")</f>
        <v>https://rmda.kulib.kyoto-u.ac.jp/item/rb00003883#?c=0&amp;m=0&amp;s=0&amp;cv=329</v>
      </c>
      <c r="F2313" t="s">
        <v>5523</v>
      </c>
    </row>
    <row r="2314" spans="1:6" x14ac:dyDescent="0.15">
      <c r="A2314" s="6" t="s">
        <v>2199</v>
      </c>
      <c r="B2314" s="6" t="s">
        <v>2422</v>
      </c>
      <c r="C2314" s="6">
        <v>330</v>
      </c>
      <c r="D2314" s="6" t="str">
        <f>HYPERLINK("https://rmda.kulib.kyoto-u.ac.jp/item/rb00003883#?c=0&amp;m=0&amp;s=0&amp;cv=329")</f>
        <v>https://rmda.kulib.kyoto-u.ac.jp/item/rb00003883#?c=0&amp;m=0&amp;s=0&amp;cv=329</v>
      </c>
      <c r="F2314" t="s">
        <v>5523</v>
      </c>
    </row>
    <row r="2315" spans="1:6" x14ac:dyDescent="0.15">
      <c r="A2315" s="6" t="s">
        <v>2199</v>
      </c>
      <c r="B2315" s="6" t="s">
        <v>2423</v>
      </c>
      <c r="C2315" s="6">
        <v>330</v>
      </c>
      <c r="D2315" s="6" t="str">
        <f>HYPERLINK("https://rmda.kulib.kyoto-u.ac.jp/item/rb00003883#?c=0&amp;m=0&amp;s=0&amp;cv=329")</f>
        <v>https://rmda.kulib.kyoto-u.ac.jp/item/rb00003883#?c=0&amp;m=0&amp;s=0&amp;cv=329</v>
      </c>
      <c r="F2315" t="s">
        <v>5523</v>
      </c>
    </row>
    <row r="2316" spans="1:6" x14ac:dyDescent="0.15">
      <c r="A2316" s="6" t="s">
        <v>2199</v>
      </c>
      <c r="B2316" s="6" t="s">
        <v>2424</v>
      </c>
      <c r="C2316" s="6">
        <v>330</v>
      </c>
      <c r="D2316" s="6" t="str">
        <f>HYPERLINK("https://rmda.kulib.kyoto-u.ac.jp/item/rb00003883#?c=0&amp;m=0&amp;s=0&amp;cv=329")</f>
        <v>https://rmda.kulib.kyoto-u.ac.jp/item/rb00003883#?c=0&amp;m=0&amp;s=0&amp;cv=329</v>
      </c>
      <c r="F2316" t="s">
        <v>5523</v>
      </c>
    </row>
    <row r="2317" spans="1:6" x14ac:dyDescent="0.15">
      <c r="A2317" s="6" t="s">
        <v>2199</v>
      </c>
      <c r="B2317" s="6" t="s">
        <v>2418</v>
      </c>
      <c r="C2317" s="6">
        <v>331</v>
      </c>
      <c r="D2317" s="6" t="str">
        <f>HYPERLINK("https://rmda.kulib.kyoto-u.ac.jp/item/rb00003883#?c=0&amp;m=0&amp;s=0&amp;cv=330")</f>
        <v>https://rmda.kulib.kyoto-u.ac.jp/item/rb00003883#?c=0&amp;m=0&amp;s=0&amp;cv=330</v>
      </c>
      <c r="F2317" t="s">
        <v>5523</v>
      </c>
    </row>
    <row r="2318" spans="1:6" x14ac:dyDescent="0.15">
      <c r="A2318" s="6" t="s">
        <v>2199</v>
      </c>
      <c r="B2318" s="6" t="s">
        <v>2419</v>
      </c>
      <c r="C2318" s="6">
        <v>331</v>
      </c>
      <c r="D2318" s="6" t="str">
        <f>HYPERLINK("https://rmda.kulib.kyoto-u.ac.jp/item/rb00003883#?c=0&amp;m=0&amp;s=0&amp;cv=330")</f>
        <v>https://rmda.kulib.kyoto-u.ac.jp/item/rb00003883#?c=0&amp;m=0&amp;s=0&amp;cv=330</v>
      </c>
      <c r="F2318" t="s">
        <v>5523</v>
      </c>
    </row>
    <row r="2319" spans="1:6" x14ac:dyDescent="0.15">
      <c r="A2319" s="6" t="s">
        <v>2199</v>
      </c>
      <c r="B2319" s="63" t="s">
        <v>5546</v>
      </c>
      <c r="C2319" s="6">
        <v>331</v>
      </c>
      <c r="D2319" s="6" t="str">
        <f>HYPERLINK("https://rmda.kulib.kyoto-u.ac.jp/item/rb00003883#?c=0&amp;m=0&amp;s=0&amp;cv=330")</f>
        <v>https://rmda.kulib.kyoto-u.ac.jp/item/rb00003883#?c=0&amp;m=0&amp;s=0&amp;cv=330</v>
      </c>
    </row>
    <row r="2320" spans="1:6" x14ac:dyDescent="0.15">
      <c r="A2320" s="6" t="s">
        <v>2199</v>
      </c>
      <c r="B2320" s="6" t="s">
        <v>1959</v>
      </c>
      <c r="C2320" s="6">
        <v>331</v>
      </c>
      <c r="D2320" s="6" t="str">
        <f>HYPERLINK("https://rmda.kulib.kyoto-u.ac.jp/item/rb00003883#?c=0&amp;m=0&amp;s=0&amp;cv=330")</f>
        <v>https://rmda.kulib.kyoto-u.ac.jp/item/rb00003883#?c=0&amp;m=0&amp;s=0&amp;cv=330</v>
      </c>
      <c r="F2320">
        <v>342</v>
      </c>
    </row>
    <row r="2321" spans="1:6" x14ac:dyDescent="0.15">
      <c r="A2321" s="6" t="s">
        <v>2199</v>
      </c>
      <c r="B2321" s="6" t="s">
        <v>2136</v>
      </c>
      <c r="C2321" s="6">
        <v>331</v>
      </c>
      <c r="D2321" s="6" t="str">
        <f>HYPERLINK("https://rmda.kulib.kyoto-u.ac.jp/item/rb00003883#?c=0&amp;m=0&amp;s=0&amp;cv=330")</f>
        <v>https://rmda.kulib.kyoto-u.ac.jp/item/rb00003883#?c=0&amp;m=0&amp;s=0&amp;cv=330</v>
      </c>
      <c r="F2321">
        <v>343</v>
      </c>
    </row>
    <row r="2322" spans="1:6" x14ac:dyDescent="0.15">
      <c r="A2322" s="6" t="s">
        <v>2199</v>
      </c>
      <c r="B2322" s="63" t="s">
        <v>5560</v>
      </c>
      <c r="C2322" s="6">
        <v>332</v>
      </c>
      <c r="D2322" s="6" t="str">
        <f>HYPERLINK("https://rmda.kulib.kyoto-u.ac.jp/item/rb00003883#?c=0&amp;m=0&amp;s=0&amp;cv=331")</f>
        <v>https://rmda.kulib.kyoto-u.ac.jp/item/rb00003883#?c=0&amp;m=0&amp;s=0&amp;cv=331</v>
      </c>
    </row>
    <row r="2323" spans="1:6" x14ac:dyDescent="0.15">
      <c r="A2323" s="6" t="s">
        <v>2199</v>
      </c>
      <c r="B2323" s="6" t="s">
        <v>1983</v>
      </c>
      <c r="C2323" s="6">
        <v>332</v>
      </c>
      <c r="D2323" s="6" t="str">
        <f>HYPERLINK("https://rmda.kulib.kyoto-u.ac.jp/item/rb00003883#?c=0&amp;m=0&amp;s=0&amp;cv=331")</f>
        <v>https://rmda.kulib.kyoto-u.ac.jp/item/rb00003883#?c=0&amp;m=0&amp;s=0&amp;cv=331</v>
      </c>
      <c r="F2323">
        <v>343</v>
      </c>
    </row>
    <row r="2324" spans="1:6" x14ac:dyDescent="0.15">
      <c r="A2324" s="6" t="s">
        <v>2199</v>
      </c>
      <c r="B2324" s="6" t="s">
        <v>1807</v>
      </c>
      <c r="C2324" s="6">
        <v>332</v>
      </c>
      <c r="D2324" s="6" t="str">
        <f>HYPERLINK("https://rmda.kulib.kyoto-u.ac.jp/item/rb00003883#?c=0&amp;m=0&amp;s=0&amp;cv=331")</f>
        <v>https://rmda.kulib.kyoto-u.ac.jp/item/rb00003883#?c=0&amp;m=0&amp;s=0&amp;cv=331</v>
      </c>
      <c r="F2324">
        <v>343</v>
      </c>
    </row>
    <row r="2325" spans="1:6" x14ac:dyDescent="0.15">
      <c r="A2325" s="6" t="s">
        <v>2199</v>
      </c>
      <c r="B2325" s="6" t="s">
        <v>4409</v>
      </c>
      <c r="C2325" s="6">
        <v>332</v>
      </c>
      <c r="D2325" s="6" t="str">
        <f>HYPERLINK("https://rmda.kulib.kyoto-u.ac.jp/item/rb00003883#?c=0&amp;m=0&amp;s=0&amp;cv=331")</f>
        <v>https://rmda.kulib.kyoto-u.ac.jp/item/rb00003883#?c=0&amp;m=0&amp;s=0&amp;cv=331</v>
      </c>
      <c r="F2325">
        <v>344</v>
      </c>
    </row>
    <row r="2326" spans="1:6" x14ac:dyDescent="0.15">
      <c r="A2326" s="6" t="s">
        <v>2199</v>
      </c>
      <c r="B2326" s="6" t="s">
        <v>2404</v>
      </c>
      <c r="C2326" s="6">
        <v>333</v>
      </c>
      <c r="D2326" s="6" t="str">
        <f>HYPERLINK("https://rmda.kulib.kyoto-u.ac.jp/item/rb00003883#?c=0&amp;m=0&amp;s=0&amp;cv=332")</f>
        <v>https://rmda.kulib.kyoto-u.ac.jp/item/rb00003883#?c=0&amp;m=0&amp;s=0&amp;cv=332</v>
      </c>
      <c r="F2326">
        <v>344</v>
      </c>
    </row>
    <row r="2327" spans="1:6" x14ac:dyDescent="0.15">
      <c r="A2327" s="6" t="s">
        <v>2199</v>
      </c>
      <c r="B2327" s="6" t="s">
        <v>1947</v>
      </c>
      <c r="C2327" s="6">
        <v>334</v>
      </c>
      <c r="D2327" s="6" t="str">
        <f>HYPERLINK("https://rmda.kulib.kyoto-u.ac.jp/item/rb00003883#?c=0&amp;m=0&amp;s=0&amp;cv=333")</f>
        <v>https://rmda.kulib.kyoto-u.ac.jp/item/rb00003883#?c=0&amp;m=0&amp;s=0&amp;cv=333</v>
      </c>
      <c r="F2327">
        <v>345</v>
      </c>
    </row>
    <row r="2328" spans="1:6" x14ac:dyDescent="0.15">
      <c r="A2328" s="6" t="s">
        <v>2199</v>
      </c>
      <c r="B2328" s="63" t="s">
        <v>5985</v>
      </c>
      <c r="C2328" s="6">
        <v>334</v>
      </c>
      <c r="D2328" s="6" t="str">
        <f>HYPERLINK("https://rmda.kulib.kyoto-u.ac.jp/item/rb00003883#?c=0&amp;m=0&amp;s=0&amp;cv=333")</f>
        <v>https://rmda.kulib.kyoto-u.ac.jp/item/rb00003883#?c=0&amp;m=0&amp;s=0&amp;cv=333</v>
      </c>
    </row>
    <row r="2329" spans="1:6" x14ac:dyDescent="0.15">
      <c r="A2329" s="6" t="s">
        <v>2199</v>
      </c>
      <c r="B2329" s="6" t="s">
        <v>2405</v>
      </c>
      <c r="C2329" s="6">
        <v>334</v>
      </c>
      <c r="D2329" s="6" t="str">
        <f>HYPERLINK("https://rmda.kulib.kyoto-u.ac.jp/item/rb00003883#?c=0&amp;m=0&amp;s=0&amp;cv=333")</f>
        <v>https://rmda.kulib.kyoto-u.ac.jp/item/rb00003883#?c=0&amp;m=0&amp;s=0&amp;cv=333</v>
      </c>
      <c r="F2329">
        <v>346</v>
      </c>
    </row>
    <row r="2330" spans="1:6" x14ac:dyDescent="0.15">
      <c r="A2330" s="6" t="s">
        <v>2199</v>
      </c>
      <c r="B2330" s="6" t="s">
        <v>4410</v>
      </c>
      <c r="C2330" s="6">
        <v>335</v>
      </c>
      <c r="D2330" s="6" t="str">
        <f>HYPERLINK("https://rmda.kulib.kyoto-u.ac.jp/item/rb00003883#?c=0&amp;m=0&amp;s=0&amp;cv=334")</f>
        <v>https://rmda.kulib.kyoto-u.ac.jp/item/rb00003883#?c=0&amp;m=0&amp;s=0&amp;cv=334</v>
      </c>
      <c r="F2330">
        <v>347</v>
      </c>
    </row>
    <row r="2331" spans="1:6" x14ac:dyDescent="0.15">
      <c r="A2331" s="6" t="s">
        <v>2199</v>
      </c>
      <c r="B2331" s="6" t="s">
        <v>4411</v>
      </c>
      <c r="C2331" s="6">
        <v>335</v>
      </c>
      <c r="D2331" s="6" t="str">
        <f>HYPERLINK("https://rmda.kulib.kyoto-u.ac.jp/item/rb00003883#?c=0&amp;m=0&amp;s=0&amp;cv=334")</f>
        <v>https://rmda.kulib.kyoto-u.ac.jp/item/rb00003883#?c=0&amp;m=0&amp;s=0&amp;cv=334</v>
      </c>
      <c r="F2331">
        <v>348</v>
      </c>
    </row>
    <row r="2332" spans="1:6" x14ac:dyDescent="0.15">
      <c r="A2332" s="6" t="s">
        <v>2199</v>
      </c>
      <c r="B2332" s="63" t="s">
        <v>5524</v>
      </c>
      <c r="C2332" s="6">
        <v>336</v>
      </c>
      <c r="D2332" s="6" t="str">
        <f>HYPERLINK("https://rmda.kulib.kyoto-u.ac.jp/item/rb00003883#?c=0&amp;m=0&amp;s=0&amp;cv=335")</f>
        <v>https://rmda.kulib.kyoto-u.ac.jp/item/rb00003883#?c=0&amp;m=0&amp;s=0&amp;cv=335</v>
      </c>
    </row>
    <row r="2333" spans="1:6" x14ac:dyDescent="0.15">
      <c r="A2333" s="6" t="s">
        <v>2199</v>
      </c>
      <c r="B2333" s="6" t="s">
        <v>1966</v>
      </c>
      <c r="C2333" s="6">
        <v>336</v>
      </c>
      <c r="D2333" s="6" t="str">
        <f>HYPERLINK("https://rmda.kulib.kyoto-u.ac.jp/item/rb00003883#?c=0&amp;m=0&amp;s=0&amp;cv=335")</f>
        <v>https://rmda.kulib.kyoto-u.ac.jp/item/rb00003883#?c=0&amp;m=0&amp;s=0&amp;cv=335</v>
      </c>
      <c r="F2333">
        <v>348</v>
      </c>
    </row>
    <row r="2334" spans="1:6" x14ac:dyDescent="0.15">
      <c r="A2334" s="6" t="s">
        <v>2199</v>
      </c>
      <c r="B2334" s="6" t="s">
        <v>2406</v>
      </c>
      <c r="C2334" s="6">
        <v>336</v>
      </c>
      <c r="D2334" s="6" t="str">
        <f>HYPERLINK("https://rmda.kulib.kyoto-u.ac.jp/item/rb00003883#?c=0&amp;m=0&amp;s=0&amp;cv=335")</f>
        <v>https://rmda.kulib.kyoto-u.ac.jp/item/rb00003883#?c=0&amp;m=0&amp;s=0&amp;cv=335</v>
      </c>
      <c r="F2334">
        <v>349</v>
      </c>
    </row>
    <row r="2335" spans="1:6" x14ac:dyDescent="0.15">
      <c r="A2335" s="6" t="s">
        <v>2199</v>
      </c>
      <c r="B2335" s="6" t="s">
        <v>4496</v>
      </c>
      <c r="C2335" s="6">
        <v>337</v>
      </c>
      <c r="D2335" s="6" t="str">
        <f>HYPERLINK("https://rmda.kulib.kyoto-u.ac.jp/item/rb00003883#?c=0&amp;m=0&amp;s=0&amp;cv=336")</f>
        <v>https://rmda.kulib.kyoto-u.ac.jp/item/rb00003883#?c=0&amp;m=0&amp;s=0&amp;cv=336</v>
      </c>
      <c r="F2335">
        <v>349</v>
      </c>
    </row>
    <row r="2336" spans="1:6" x14ac:dyDescent="0.15">
      <c r="A2336" s="6" t="s">
        <v>2199</v>
      </c>
      <c r="B2336" s="6" t="s">
        <v>2407</v>
      </c>
      <c r="C2336" s="6">
        <v>338</v>
      </c>
      <c r="D2336" s="6" t="str">
        <f>HYPERLINK("https://rmda.kulib.kyoto-u.ac.jp/item/rb00003883#?c=0&amp;m=0&amp;s=0&amp;cv=337")</f>
        <v>https://rmda.kulib.kyoto-u.ac.jp/item/rb00003883#?c=0&amp;m=0&amp;s=0&amp;cv=337</v>
      </c>
      <c r="F2336">
        <v>350</v>
      </c>
    </row>
    <row r="2337" spans="1:6" x14ac:dyDescent="0.15">
      <c r="A2337" s="6" t="s">
        <v>2199</v>
      </c>
      <c r="B2337" s="6" t="s">
        <v>5567</v>
      </c>
      <c r="C2337" s="6">
        <v>338</v>
      </c>
      <c r="D2337" s="6" t="str">
        <f>HYPERLINK("https://rmda.kulib.kyoto-u.ac.jp/item/rb00003883#?c=0&amp;m=0&amp;s=0&amp;cv=337")</f>
        <v>https://rmda.kulib.kyoto-u.ac.jp/item/rb00003883#?c=0&amp;m=0&amp;s=0&amp;cv=337</v>
      </c>
      <c r="F2337">
        <v>351</v>
      </c>
    </row>
    <row r="2338" spans="1:6" x14ac:dyDescent="0.15">
      <c r="A2338" s="6" t="s">
        <v>2199</v>
      </c>
      <c r="B2338" s="6" t="s">
        <v>4501</v>
      </c>
      <c r="C2338" s="6">
        <v>338</v>
      </c>
      <c r="D2338" s="6" t="str">
        <f>HYPERLINK("https://rmda.kulib.kyoto-u.ac.jp/item/rb00003883#?c=0&amp;m=0&amp;s=0&amp;cv=337")</f>
        <v>https://rmda.kulib.kyoto-u.ac.jp/item/rb00003883#?c=0&amp;m=0&amp;s=0&amp;cv=337</v>
      </c>
      <c r="F2338">
        <v>351</v>
      </c>
    </row>
    <row r="2339" spans="1:6" x14ac:dyDescent="0.15">
      <c r="A2339" s="6" t="s">
        <v>2199</v>
      </c>
      <c r="B2339" s="6" t="s">
        <v>1942</v>
      </c>
      <c r="C2339" s="6">
        <v>339</v>
      </c>
      <c r="D2339" s="6" t="str">
        <f>HYPERLINK("https://rmda.kulib.kyoto-u.ac.jp/item/rb00003883#?c=0&amp;m=0&amp;s=0&amp;cv=338")</f>
        <v>https://rmda.kulib.kyoto-u.ac.jp/item/rb00003883#?c=0&amp;m=0&amp;s=0&amp;cv=338</v>
      </c>
      <c r="F2339">
        <v>352</v>
      </c>
    </row>
    <row r="2340" spans="1:6" x14ac:dyDescent="0.15">
      <c r="A2340" s="6" t="s">
        <v>2199</v>
      </c>
      <c r="B2340" s="63" t="s">
        <v>5525</v>
      </c>
      <c r="C2340" s="6">
        <v>339</v>
      </c>
      <c r="D2340" s="6" t="str">
        <f>HYPERLINK("https://rmda.kulib.kyoto-u.ac.jp/item/rb00003883#?c=0&amp;m=0&amp;s=0&amp;cv=338")</f>
        <v>https://rmda.kulib.kyoto-u.ac.jp/item/rb00003883#?c=0&amp;m=0&amp;s=0&amp;cv=338</v>
      </c>
    </row>
    <row r="2341" spans="1:6" x14ac:dyDescent="0.15">
      <c r="A2341" s="6" t="s">
        <v>2199</v>
      </c>
      <c r="B2341" s="6" t="s">
        <v>4412</v>
      </c>
      <c r="C2341" s="6">
        <v>339</v>
      </c>
      <c r="D2341" s="6" t="str">
        <f>HYPERLINK("https://rmda.kulib.kyoto-u.ac.jp/item/rb00003883#?c=0&amp;m=0&amp;s=0&amp;cv=338")</f>
        <v>https://rmda.kulib.kyoto-u.ac.jp/item/rb00003883#?c=0&amp;m=0&amp;s=0&amp;cv=338</v>
      </c>
      <c r="F2341">
        <v>352</v>
      </c>
    </row>
    <row r="2342" spans="1:6" x14ac:dyDescent="0.15">
      <c r="A2342" s="6" t="s">
        <v>2199</v>
      </c>
      <c r="B2342" s="6" t="s">
        <v>4413</v>
      </c>
      <c r="C2342" s="6">
        <v>340</v>
      </c>
      <c r="D2342" s="6" t="str">
        <f>HYPERLINK("https://rmda.kulib.kyoto-u.ac.jp/item/rb00003883#?c=0&amp;m=0&amp;s=0&amp;cv=339")</f>
        <v>https://rmda.kulib.kyoto-u.ac.jp/item/rb00003883#?c=0&amp;m=0&amp;s=0&amp;cv=339</v>
      </c>
      <c r="F2342">
        <v>353</v>
      </c>
    </row>
    <row r="2343" spans="1:6" x14ac:dyDescent="0.15">
      <c r="A2343" s="6" t="s">
        <v>2199</v>
      </c>
      <c r="B2343" s="6" t="s">
        <v>4502</v>
      </c>
      <c r="C2343" s="6">
        <v>341</v>
      </c>
      <c r="D2343" s="6" t="str">
        <f>HYPERLINK("https://rmda.kulib.kyoto-u.ac.jp/item/rb00003883#?c=0&amp;m=0&amp;s=0&amp;cv=340")</f>
        <v>https://rmda.kulib.kyoto-u.ac.jp/item/rb00003883#?c=0&amp;m=0&amp;s=0&amp;cv=340</v>
      </c>
      <c r="F2343">
        <v>354</v>
      </c>
    </row>
    <row r="2344" spans="1:6" x14ac:dyDescent="0.15">
      <c r="A2344" s="6" t="s">
        <v>2199</v>
      </c>
      <c r="B2344" s="6" t="s">
        <v>4414</v>
      </c>
      <c r="C2344" s="6">
        <v>341</v>
      </c>
      <c r="D2344" s="6" t="str">
        <f>HYPERLINK("https://rmda.kulib.kyoto-u.ac.jp/item/rb00003883#?c=0&amp;m=0&amp;s=0&amp;cv=340")</f>
        <v>https://rmda.kulib.kyoto-u.ac.jp/item/rb00003883#?c=0&amp;m=0&amp;s=0&amp;cv=340</v>
      </c>
      <c r="F2344">
        <v>355</v>
      </c>
    </row>
    <row r="2345" spans="1:6" x14ac:dyDescent="0.15">
      <c r="A2345" s="6" t="s">
        <v>2199</v>
      </c>
      <c r="B2345" s="6" t="s">
        <v>1980</v>
      </c>
      <c r="C2345" s="6">
        <v>342</v>
      </c>
      <c r="D2345" s="6" t="str">
        <f>HYPERLINK("https://rmda.kulib.kyoto-u.ac.jp/item/rb00003883#?c=0&amp;m=0&amp;s=0&amp;cv=341")</f>
        <v>https://rmda.kulib.kyoto-u.ac.jp/item/rb00003883#?c=0&amp;m=0&amp;s=0&amp;cv=341</v>
      </c>
      <c r="F2345">
        <v>356</v>
      </c>
    </row>
    <row r="2346" spans="1:6" x14ac:dyDescent="0.15">
      <c r="A2346" s="6" t="s">
        <v>2199</v>
      </c>
      <c r="B2346" s="6" t="s">
        <v>4409</v>
      </c>
      <c r="C2346" s="6">
        <v>343</v>
      </c>
      <c r="D2346" s="6" t="str">
        <f>HYPERLINK("https://rmda.kulib.kyoto-u.ac.jp/item/rb00003883#?c=0&amp;m=0&amp;s=0&amp;cv=342")</f>
        <v>https://rmda.kulib.kyoto-u.ac.jp/item/rb00003883#?c=0&amp;m=0&amp;s=0&amp;cv=342</v>
      </c>
      <c r="F2346">
        <v>357</v>
      </c>
    </row>
    <row r="2347" spans="1:6" x14ac:dyDescent="0.15">
      <c r="A2347" s="6" t="s">
        <v>2199</v>
      </c>
      <c r="B2347" s="6" t="s">
        <v>5993</v>
      </c>
      <c r="C2347" s="6">
        <v>343</v>
      </c>
      <c r="D2347" s="6" t="str">
        <f>HYPERLINK("https://rmda.kulib.kyoto-u.ac.jp/item/rb00003883#?c=0&amp;m=0&amp;s=0&amp;cv=342")</f>
        <v>https://rmda.kulib.kyoto-u.ac.jp/item/rb00003883#?c=0&amp;m=0&amp;s=0&amp;cv=342</v>
      </c>
      <c r="F2347">
        <v>357</v>
      </c>
    </row>
    <row r="2348" spans="1:6" x14ac:dyDescent="0.15">
      <c r="A2348" s="6" t="s">
        <v>2199</v>
      </c>
      <c r="B2348" s="6" t="s">
        <v>1983</v>
      </c>
      <c r="C2348" s="6">
        <v>344</v>
      </c>
      <c r="D2348" s="6" t="str">
        <f>HYPERLINK("https://rmda.kulib.kyoto-u.ac.jp/item/rb00003883#?c=0&amp;m=0&amp;s=0&amp;cv=343")</f>
        <v>https://rmda.kulib.kyoto-u.ac.jp/item/rb00003883#?c=0&amp;m=0&amp;s=0&amp;cv=343</v>
      </c>
      <c r="F2348">
        <v>358</v>
      </c>
    </row>
    <row r="2349" spans="1:6" x14ac:dyDescent="0.15">
      <c r="A2349" s="6" t="s">
        <v>2199</v>
      </c>
      <c r="B2349" s="6" t="s">
        <v>1947</v>
      </c>
      <c r="C2349" s="6">
        <v>344</v>
      </c>
      <c r="D2349" s="6" t="str">
        <f>HYPERLINK("https://rmda.kulib.kyoto-u.ac.jp/item/rb00003883#?c=0&amp;m=0&amp;s=0&amp;cv=343")</f>
        <v>https://rmda.kulib.kyoto-u.ac.jp/item/rb00003883#?c=0&amp;m=0&amp;s=0&amp;cv=343</v>
      </c>
      <c r="F2349" t="s">
        <v>5523</v>
      </c>
    </row>
    <row r="2350" spans="1:6" x14ac:dyDescent="0.15">
      <c r="A2350" s="6" t="s">
        <v>2199</v>
      </c>
      <c r="B2350" s="6" t="s">
        <v>2408</v>
      </c>
      <c r="C2350" s="6">
        <v>344</v>
      </c>
      <c r="D2350" s="6" t="str">
        <f>HYPERLINK("https://rmda.kulib.kyoto-u.ac.jp/item/rb00003883#?c=0&amp;m=0&amp;s=0&amp;cv=343")</f>
        <v>https://rmda.kulib.kyoto-u.ac.jp/item/rb00003883#?c=0&amp;m=0&amp;s=0&amp;cv=343</v>
      </c>
      <c r="F2350">
        <v>358</v>
      </c>
    </row>
    <row r="2351" spans="1:6" x14ac:dyDescent="0.15">
      <c r="A2351" s="6" t="s">
        <v>2199</v>
      </c>
      <c r="B2351" s="6" t="s">
        <v>1719</v>
      </c>
      <c r="C2351" s="6">
        <v>344</v>
      </c>
      <c r="D2351" s="6" t="str">
        <f>HYPERLINK("https://rmda.kulib.kyoto-u.ac.jp/item/rb00003883#?c=0&amp;m=0&amp;s=0&amp;cv=343")</f>
        <v>https://rmda.kulib.kyoto-u.ac.jp/item/rb00003883#?c=0&amp;m=0&amp;s=0&amp;cv=343</v>
      </c>
      <c r="F2351">
        <v>359</v>
      </c>
    </row>
    <row r="2352" spans="1:6" x14ac:dyDescent="0.15">
      <c r="A2352" s="6" t="s">
        <v>2199</v>
      </c>
      <c r="B2352" s="6" t="s">
        <v>4415</v>
      </c>
      <c r="C2352" s="6">
        <v>345</v>
      </c>
      <c r="D2352" s="6" t="str">
        <f>HYPERLINK("https://rmda.kulib.kyoto-u.ac.jp/item/rb00003883#?c=0&amp;m=0&amp;s=0&amp;cv=344")</f>
        <v>https://rmda.kulib.kyoto-u.ac.jp/item/rb00003883#?c=0&amp;m=0&amp;s=0&amp;cv=344</v>
      </c>
      <c r="F2352">
        <v>359</v>
      </c>
    </row>
    <row r="2353" spans="1:6" x14ac:dyDescent="0.15">
      <c r="A2353" s="6" t="s">
        <v>2199</v>
      </c>
      <c r="B2353" s="6" t="s">
        <v>1881</v>
      </c>
      <c r="C2353" s="6">
        <v>346</v>
      </c>
      <c r="D2353" s="6" t="str">
        <f>HYPERLINK("https://rmda.kulib.kyoto-u.ac.jp/item/rb00003883#?c=0&amp;m=0&amp;s=0&amp;cv=345")</f>
        <v>https://rmda.kulib.kyoto-u.ac.jp/item/rb00003883#?c=0&amp;m=0&amp;s=0&amp;cv=345</v>
      </c>
      <c r="F2353">
        <v>360</v>
      </c>
    </row>
    <row r="2354" spans="1:6" x14ac:dyDescent="0.15">
      <c r="A2354" s="6" t="s">
        <v>2199</v>
      </c>
      <c r="B2354" s="6" t="s">
        <v>2409</v>
      </c>
      <c r="C2354" s="6">
        <v>346</v>
      </c>
      <c r="D2354" s="6" t="str">
        <f>HYPERLINK("https://rmda.kulib.kyoto-u.ac.jp/item/rb00003883#?c=0&amp;m=0&amp;s=0&amp;cv=345")</f>
        <v>https://rmda.kulib.kyoto-u.ac.jp/item/rb00003883#?c=0&amp;m=0&amp;s=0&amp;cv=345</v>
      </c>
      <c r="F2354">
        <v>360</v>
      </c>
    </row>
    <row r="2355" spans="1:6" x14ac:dyDescent="0.15">
      <c r="A2355" s="6" t="s">
        <v>2199</v>
      </c>
      <c r="B2355" s="6" t="s">
        <v>1807</v>
      </c>
      <c r="C2355" s="6">
        <v>346</v>
      </c>
      <c r="D2355" s="6" t="str">
        <f>HYPERLINK("https://rmda.kulib.kyoto-u.ac.jp/item/rb00003883#?c=0&amp;m=0&amp;s=0&amp;cv=345")</f>
        <v>https://rmda.kulib.kyoto-u.ac.jp/item/rb00003883#?c=0&amp;m=0&amp;s=0&amp;cv=345</v>
      </c>
      <c r="F2355">
        <v>361</v>
      </c>
    </row>
    <row r="2356" spans="1:6" x14ac:dyDescent="0.15">
      <c r="A2356" s="6" t="s">
        <v>2199</v>
      </c>
      <c r="B2356" s="6" t="s">
        <v>4416</v>
      </c>
      <c r="C2356" s="6">
        <v>347</v>
      </c>
      <c r="D2356" s="6" t="str">
        <f>HYPERLINK("https://rmda.kulib.kyoto-u.ac.jp/item/rb00003883#?c=0&amp;m=0&amp;s=0&amp;cv=346")</f>
        <v>https://rmda.kulib.kyoto-u.ac.jp/item/rb00003883#?c=0&amp;m=0&amp;s=0&amp;cv=346</v>
      </c>
      <c r="F2356">
        <v>361</v>
      </c>
    </row>
    <row r="2357" spans="1:6" x14ac:dyDescent="0.15">
      <c r="A2357" s="6" t="s">
        <v>2199</v>
      </c>
      <c r="B2357" s="6" t="s">
        <v>1950</v>
      </c>
      <c r="C2357" s="6">
        <v>347</v>
      </c>
      <c r="D2357" s="6" t="str">
        <f>HYPERLINK("https://rmda.kulib.kyoto-u.ac.jp/item/rb00003883#?c=0&amp;m=0&amp;s=0&amp;cv=346")</f>
        <v>https://rmda.kulib.kyoto-u.ac.jp/item/rb00003883#?c=0&amp;m=0&amp;s=0&amp;cv=346</v>
      </c>
      <c r="F2357">
        <v>361</v>
      </c>
    </row>
    <row r="2358" spans="1:6" x14ac:dyDescent="0.15">
      <c r="A2358" s="6" t="s">
        <v>2199</v>
      </c>
      <c r="B2358" s="6" t="s">
        <v>1963</v>
      </c>
      <c r="C2358" s="6">
        <v>347</v>
      </c>
      <c r="D2358" s="6" t="str">
        <f>HYPERLINK("https://rmda.kulib.kyoto-u.ac.jp/item/rb00003883#?c=0&amp;m=0&amp;s=0&amp;cv=346")</f>
        <v>https://rmda.kulib.kyoto-u.ac.jp/item/rb00003883#?c=0&amp;m=0&amp;s=0&amp;cv=346</v>
      </c>
      <c r="F2358">
        <v>362</v>
      </c>
    </row>
    <row r="2359" spans="1:6" x14ac:dyDescent="0.15">
      <c r="A2359" s="6" t="s">
        <v>2199</v>
      </c>
      <c r="B2359" s="6" t="s">
        <v>1964</v>
      </c>
      <c r="C2359" s="6">
        <v>348</v>
      </c>
      <c r="D2359" s="6" t="str">
        <f>HYPERLINK("https://rmda.kulib.kyoto-u.ac.jp/item/rb00003883#?c=0&amp;m=0&amp;s=0&amp;cv=347")</f>
        <v>https://rmda.kulib.kyoto-u.ac.jp/item/rb00003883#?c=0&amp;m=0&amp;s=0&amp;cv=347</v>
      </c>
      <c r="F2359">
        <v>362</v>
      </c>
    </row>
    <row r="2360" spans="1:6" x14ac:dyDescent="0.15">
      <c r="A2360" s="6" t="s">
        <v>2199</v>
      </c>
      <c r="B2360" s="6" t="s">
        <v>2410</v>
      </c>
      <c r="C2360" s="6">
        <v>348</v>
      </c>
      <c r="D2360" s="6" t="str">
        <f>HYPERLINK("https://rmda.kulib.kyoto-u.ac.jp/item/rb00003883#?c=0&amp;m=0&amp;s=0&amp;cv=347")</f>
        <v>https://rmda.kulib.kyoto-u.ac.jp/item/rb00003883#?c=0&amp;m=0&amp;s=0&amp;cv=347</v>
      </c>
      <c r="F2360">
        <v>363</v>
      </c>
    </row>
    <row r="2361" spans="1:6" x14ac:dyDescent="0.15">
      <c r="A2361" s="6" t="s">
        <v>2199</v>
      </c>
      <c r="B2361" s="6" t="s">
        <v>1973</v>
      </c>
      <c r="C2361" s="6">
        <v>348</v>
      </c>
      <c r="D2361" s="6" t="str">
        <f>HYPERLINK("https://rmda.kulib.kyoto-u.ac.jp/item/rb00003883#?c=0&amp;m=0&amp;s=0&amp;cv=347")</f>
        <v>https://rmda.kulib.kyoto-u.ac.jp/item/rb00003883#?c=0&amp;m=0&amp;s=0&amp;cv=347</v>
      </c>
      <c r="F2361" t="s">
        <v>5523</v>
      </c>
    </row>
    <row r="2362" spans="1:6" x14ac:dyDescent="0.15">
      <c r="A2362" s="6" t="s">
        <v>2199</v>
      </c>
      <c r="B2362" s="6" t="s">
        <v>2193</v>
      </c>
      <c r="C2362" s="6">
        <v>348</v>
      </c>
      <c r="D2362" s="6" t="str">
        <f>HYPERLINK("https://rmda.kulib.kyoto-u.ac.jp/item/rb00003883#?c=0&amp;m=0&amp;s=0&amp;cv=347")</f>
        <v>https://rmda.kulib.kyoto-u.ac.jp/item/rb00003883#?c=0&amp;m=0&amp;s=0&amp;cv=347</v>
      </c>
      <c r="F2362">
        <v>363</v>
      </c>
    </row>
    <row r="2363" spans="1:6" x14ac:dyDescent="0.15">
      <c r="A2363" s="6" t="s">
        <v>2199</v>
      </c>
      <c r="B2363" s="6" t="s">
        <v>4417</v>
      </c>
      <c r="C2363" s="6">
        <v>349</v>
      </c>
      <c r="D2363" s="6" t="str">
        <f>HYPERLINK("https://rmda.kulib.kyoto-u.ac.jp/item/rb00003883#?c=0&amp;m=0&amp;s=0&amp;cv=348")</f>
        <v>https://rmda.kulib.kyoto-u.ac.jp/item/rb00003883#?c=0&amp;m=0&amp;s=0&amp;cv=348</v>
      </c>
      <c r="F2363">
        <v>364</v>
      </c>
    </row>
    <row r="2364" spans="1:6" x14ac:dyDescent="0.15">
      <c r="A2364" s="6" t="s">
        <v>2199</v>
      </c>
      <c r="B2364" s="6" t="s">
        <v>1976</v>
      </c>
      <c r="C2364" s="6">
        <v>349</v>
      </c>
      <c r="D2364" s="6" t="str">
        <f>HYPERLINK("https://rmda.kulib.kyoto-u.ac.jp/item/rb00003883#?c=0&amp;m=0&amp;s=0&amp;cv=348")</f>
        <v>https://rmda.kulib.kyoto-u.ac.jp/item/rb00003883#?c=0&amp;m=0&amp;s=0&amp;cv=348</v>
      </c>
      <c r="F2364">
        <v>364</v>
      </c>
    </row>
    <row r="2365" spans="1:6" x14ac:dyDescent="0.15">
      <c r="A2365" s="6" t="s">
        <v>2199</v>
      </c>
      <c r="B2365" s="6" t="s">
        <v>5994</v>
      </c>
      <c r="C2365" s="6">
        <v>349</v>
      </c>
      <c r="D2365" s="6" t="str">
        <f>HYPERLINK("https://rmda.kulib.kyoto-u.ac.jp/item/rb00003883#?c=0&amp;m=0&amp;s=0&amp;cv=348")</f>
        <v>https://rmda.kulib.kyoto-u.ac.jp/item/rb00003883#?c=0&amp;m=0&amp;s=0&amp;cv=348</v>
      </c>
      <c r="F2365">
        <v>364</v>
      </c>
    </row>
    <row r="2366" spans="1:6" x14ac:dyDescent="0.15">
      <c r="A2366" s="6" t="s">
        <v>2199</v>
      </c>
      <c r="B2366" s="6" t="s">
        <v>1793</v>
      </c>
      <c r="C2366" s="6">
        <v>349</v>
      </c>
      <c r="D2366" s="6" t="str">
        <f>HYPERLINK("https://rmda.kulib.kyoto-u.ac.jp/item/rb00003883#?c=0&amp;m=0&amp;s=0&amp;cv=348")</f>
        <v>https://rmda.kulib.kyoto-u.ac.jp/item/rb00003883#?c=0&amp;m=0&amp;s=0&amp;cv=348</v>
      </c>
      <c r="F2366">
        <v>364</v>
      </c>
    </row>
    <row r="2367" spans="1:6" x14ac:dyDescent="0.15">
      <c r="A2367" s="6" t="s">
        <v>2199</v>
      </c>
      <c r="B2367" s="6" t="s">
        <v>4419</v>
      </c>
      <c r="C2367" s="6">
        <v>350</v>
      </c>
      <c r="D2367" s="6" t="str">
        <f>HYPERLINK("https://rmda.kulib.kyoto-u.ac.jp/item/rb00003883#?c=0&amp;m=0&amp;s=0&amp;cv=349")</f>
        <v>https://rmda.kulib.kyoto-u.ac.jp/item/rb00003883#?c=0&amp;m=0&amp;s=0&amp;cv=349</v>
      </c>
      <c r="F2367">
        <v>365</v>
      </c>
    </row>
    <row r="2368" spans="1:6" x14ac:dyDescent="0.15">
      <c r="A2368" s="6" t="s">
        <v>2199</v>
      </c>
      <c r="B2368" s="6" t="s">
        <v>4418</v>
      </c>
      <c r="C2368" s="6">
        <v>350</v>
      </c>
      <c r="D2368" s="6" t="str">
        <f>HYPERLINK("https://rmda.kulib.kyoto-u.ac.jp/item/rb00003883#?c=0&amp;m=0&amp;s=0&amp;cv=349")</f>
        <v>https://rmda.kulib.kyoto-u.ac.jp/item/rb00003883#?c=0&amp;m=0&amp;s=0&amp;cv=349</v>
      </c>
      <c r="F2368">
        <v>365</v>
      </c>
    </row>
    <row r="2369" spans="1:6" x14ac:dyDescent="0.15">
      <c r="A2369" s="6" t="s">
        <v>2199</v>
      </c>
      <c r="B2369" s="6" t="s">
        <v>2411</v>
      </c>
      <c r="C2369" s="6">
        <v>350</v>
      </c>
      <c r="D2369" s="6" t="str">
        <f>HYPERLINK("https://rmda.kulib.kyoto-u.ac.jp/item/rb00003883#?c=0&amp;m=0&amp;s=0&amp;cv=349")</f>
        <v>https://rmda.kulib.kyoto-u.ac.jp/item/rb00003883#?c=0&amp;m=0&amp;s=0&amp;cv=349</v>
      </c>
      <c r="F2369">
        <v>366</v>
      </c>
    </row>
    <row r="2370" spans="1:6" x14ac:dyDescent="0.15">
      <c r="A2370" s="6" t="s">
        <v>2199</v>
      </c>
      <c r="B2370" s="6" t="s">
        <v>2190</v>
      </c>
      <c r="C2370" s="6">
        <v>351</v>
      </c>
      <c r="D2370" s="6" t="str">
        <f t="shared" ref="D2370:D2375" si="4">HYPERLINK("https://rmda.kulib.kyoto-u.ac.jp/item/rb00003883#?c=0&amp;m=0&amp;s=0&amp;cv=350")</f>
        <v>https://rmda.kulib.kyoto-u.ac.jp/item/rb00003883#?c=0&amp;m=0&amp;s=0&amp;cv=350</v>
      </c>
      <c r="F2370">
        <v>366</v>
      </c>
    </row>
    <row r="2371" spans="1:6" x14ac:dyDescent="0.15">
      <c r="A2371" s="6" t="s">
        <v>2199</v>
      </c>
      <c r="B2371" s="6" t="s">
        <v>4420</v>
      </c>
      <c r="C2371" s="6">
        <v>351</v>
      </c>
      <c r="D2371" s="6" t="str">
        <f t="shared" si="4"/>
        <v>https://rmda.kulib.kyoto-u.ac.jp/item/rb00003883#?c=0&amp;m=0&amp;s=0&amp;cv=350</v>
      </c>
      <c r="F2371">
        <v>366</v>
      </c>
    </row>
    <row r="2372" spans="1:6" x14ac:dyDescent="0.15">
      <c r="A2372" s="6" t="s">
        <v>2199</v>
      </c>
      <c r="B2372" s="6" t="s">
        <v>1722</v>
      </c>
      <c r="C2372" s="6">
        <v>351</v>
      </c>
      <c r="D2372" s="6" t="str">
        <f t="shared" si="4"/>
        <v>https://rmda.kulib.kyoto-u.ac.jp/item/rb00003883#?c=0&amp;m=0&amp;s=0&amp;cv=350</v>
      </c>
      <c r="F2372">
        <v>367</v>
      </c>
    </row>
    <row r="2373" spans="1:6" x14ac:dyDescent="0.15">
      <c r="A2373" s="6" t="s">
        <v>2199</v>
      </c>
      <c r="B2373" s="6" t="s">
        <v>5566</v>
      </c>
      <c r="C2373" s="6">
        <v>351</v>
      </c>
      <c r="D2373" s="6" t="str">
        <f t="shared" si="4"/>
        <v>https://rmda.kulib.kyoto-u.ac.jp/item/rb00003883#?c=0&amp;m=0&amp;s=0&amp;cv=350</v>
      </c>
      <c r="F2373">
        <v>367</v>
      </c>
    </row>
    <row r="2374" spans="1:6" x14ac:dyDescent="0.15">
      <c r="A2374" s="6" t="s">
        <v>2199</v>
      </c>
      <c r="B2374" s="6" t="s">
        <v>1887</v>
      </c>
      <c r="C2374" s="6">
        <v>351</v>
      </c>
      <c r="D2374" s="6" t="str">
        <f t="shared" si="4"/>
        <v>https://rmda.kulib.kyoto-u.ac.jp/item/rb00003883#?c=0&amp;m=0&amp;s=0&amp;cv=350</v>
      </c>
      <c r="F2374">
        <v>367</v>
      </c>
    </row>
    <row r="2375" spans="1:6" x14ac:dyDescent="0.15">
      <c r="A2375" s="6" t="s">
        <v>2199</v>
      </c>
      <c r="B2375" s="6" t="s">
        <v>4453</v>
      </c>
      <c r="C2375" s="6">
        <v>351</v>
      </c>
      <c r="D2375" s="6" t="str">
        <f t="shared" si="4"/>
        <v>https://rmda.kulib.kyoto-u.ac.jp/item/rb00003883#?c=0&amp;m=0&amp;s=0&amp;cv=350</v>
      </c>
      <c r="F2375">
        <v>367</v>
      </c>
    </row>
    <row r="2376" spans="1:6" x14ac:dyDescent="0.15">
      <c r="A2376" s="6" t="s">
        <v>2199</v>
      </c>
      <c r="B2376" s="72" t="s">
        <v>2425</v>
      </c>
      <c r="C2376" s="6">
        <v>256</v>
      </c>
      <c r="D2376" s="6" t="str">
        <f>HYPERLINK("https://rmda.kulib.kyoto-u.ac.jp/item/rb00003883#?c=0&amp;m=0&amp;s=0&amp;cv=255")</f>
        <v>https://rmda.kulib.kyoto-u.ac.jp/item/rb00003883#?c=0&amp;m=0&amp;s=0&amp;cv=255</v>
      </c>
      <c r="F2376">
        <v>375</v>
      </c>
    </row>
    <row r="2377" spans="1:6" x14ac:dyDescent="0.15">
      <c r="A2377" s="6" t="s">
        <v>2199</v>
      </c>
      <c r="B2377" s="63" t="s">
        <v>5561</v>
      </c>
      <c r="C2377" s="6">
        <v>256</v>
      </c>
      <c r="D2377" s="6" t="str">
        <f>HYPERLINK("https://rmda.kulib.kyoto-u.ac.jp/item/rb00003883#?c=0&amp;m=0&amp;s=0&amp;cv=255")</f>
        <v>https://rmda.kulib.kyoto-u.ac.jp/item/rb00003883#?c=0&amp;m=0&amp;s=0&amp;cv=255</v>
      </c>
      <c r="F2377">
        <v>375</v>
      </c>
    </row>
    <row r="2378" spans="1:6" x14ac:dyDescent="0.15">
      <c r="A2378" s="6" t="s">
        <v>2199</v>
      </c>
      <c r="B2378" s="6" t="s">
        <v>2427</v>
      </c>
      <c r="C2378" s="6">
        <v>256</v>
      </c>
      <c r="D2378" s="6" t="str">
        <f>HYPERLINK("https://rmda.kulib.kyoto-u.ac.jp/item/rb00003883#?c=0&amp;m=0&amp;s=0&amp;cv=255")</f>
        <v>https://rmda.kulib.kyoto-u.ac.jp/item/rb00003883#?c=0&amp;m=0&amp;s=0&amp;cv=255</v>
      </c>
      <c r="F2378">
        <v>375</v>
      </c>
    </row>
    <row r="2379" spans="1:6" x14ac:dyDescent="0.15">
      <c r="A2379" s="6" t="s">
        <v>2199</v>
      </c>
      <c r="B2379" s="6" t="s">
        <v>2428</v>
      </c>
      <c r="C2379" s="6">
        <v>357</v>
      </c>
      <c r="D2379" s="6" t="str">
        <f>HYPERLINK("https://rmda.kulib.kyoto-u.ac.jp/item/rb00003883#?c=0&amp;m=0&amp;s=0&amp;cv=356")</f>
        <v>https://rmda.kulib.kyoto-u.ac.jp/item/rb00003883#?c=0&amp;m=0&amp;s=0&amp;cv=356</v>
      </c>
      <c r="F2379">
        <v>376</v>
      </c>
    </row>
    <row r="2380" spans="1:6" x14ac:dyDescent="0.15">
      <c r="A2380" s="6" t="s">
        <v>2199</v>
      </c>
      <c r="B2380" s="6" t="s">
        <v>2429</v>
      </c>
      <c r="C2380" s="6">
        <v>357</v>
      </c>
      <c r="D2380" s="6" t="str">
        <f>HYPERLINK("https://rmda.kulib.kyoto-u.ac.jp/item/rb00003883#?c=0&amp;m=0&amp;s=0&amp;cv=356")</f>
        <v>https://rmda.kulib.kyoto-u.ac.jp/item/rb00003883#?c=0&amp;m=0&amp;s=0&amp;cv=356</v>
      </c>
      <c r="F2380">
        <v>376</v>
      </c>
    </row>
    <row r="2381" spans="1:6" x14ac:dyDescent="0.15">
      <c r="A2381" s="6" t="s">
        <v>2199</v>
      </c>
      <c r="B2381" s="6" t="s">
        <v>1563</v>
      </c>
      <c r="C2381" s="6">
        <v>357</v>
      </c>
      <c r="D2381" s="6" t="str">
        <f>HYPERLINK("https://rmda.kulib.kyoto-u.ac.jp/item/rb00003883#?c=0&amp;m=0&amp;s=0&amp;cv=356")</f>
        <v>https://rmda.kulib.kyoto-u.ac.jp/item/rb00003883#?c=0&amp;m=0&amp;s=0&amp;cv=356</v>
      </c>
      <c r="F2381">
        <v>376</v>
      </c>
    </row>
    <row r="2382" spans="1:6" x14ac:dyDescent="0.15">
      <c r="A2382" s="6" t="s">
        <v>2199</v>
      </c>
      <c r="B2382" s="6" t="s">
        <v>2426</v>
      </c>
      <c r="C2382" s="6">
        <v>358</v>
      </c>
      <c r="D2382" s="6" t="str">
        <f>HYPERLINK("https://rmda.kulib.kyoto-u.ac.jp/item/rb00003883#?c=0&amp;m=0&amp;s=0&amp;cv=357")</f>
        <v>https://rmda.kulib.kyoto-u.ac.jp/item/rb00003883#?c=0&amp;m=0&amp;s=0&amp;cv=357</v>
      </c>
      <c r="F2382">
        <v>377</v>
      </c>
    </row>
    <row r="2383" spans="1:6" x14ac:dyDescent="0.15">
      <c r="A2383" s="6" t="s">
        <v>2199</v>
      </c>
      <c r="B2383" s="6" t="s">
        <v>2430</v>
      </c>
      <c r="C2383" s="6">
        <v>358</v>
      </c>
      <c r="D2383" s="6" t="str">
        <f>HYPERLINK("https://rmda.kulib.kyoto-u.ac.jp/item/rb00003883#?c=0&amp;m=0&amp;s=0&amp;cv=357")</f>
        <v>https://rmda.kulib.kyoto-u.ac.jp/item/rb00003883#?c=0&amp;m=0&amp;s=0&amp;cv=357</v>
      </c>
      <c r="F2383">
        <v>377</v>
      </c>
    </row>
    <row r="2384" spans="1:6" x14ac:dyDescent="0.15">
      <c r="A2384" s="6" t="s">
        <v>2199</v>
      </c>
      <c r="B2384" s="6" t="s">
        <v>2431</v>
      </c>
      <c r="C2384" s="6">
        <v>358</v>
      </c>
      <c r="D2384" s="6" t="str">
        <f>HYPERLINK("https://rmda.kulib.kyoto-u.ac.jp/item/rb00003883#?c=0&amp;m=0&amp;s=0&amp;cv=357")</f>
        <v>https://rmda.kulib.kyoto-u.ac.jp/item/rb00003883#?c=0&amp;m=0&amp;s=0&amp;cv=357</v>
      </c>
      <c r="F2384">
        <v>378</v>
      </c>
    </row>
    <row r="2385" spans="1:6" x14ac:dyDescent="0.15">
      <c r="A2385" s="6" t="s">
        <v>2199</v>
      </c>
      <c r="B2385" s="6" t="s">
        <v>2432</v>
      </c>
      <c r="C2385" s="6">
        <v>359</v>
      </c>
      <c r="D2385" s="6" t="str">
        <f>HYPERLINK("https://rmda.kulib.kyoto-u.ac.jp/item/rb00003883#?c=0&amp;m=0&amp;s=0&amp;cv=358")</f>
        <v>https://rmda.kulib.kyoto-u.ac.jp/item/rb00003883#?c=0&amp;m=0&amp;s=0&amp;cv=358</v>
      </c>
      <c r="F2385">
        <v>379</v>
      </c>
    </row>
    <row r="2386" spans="1:6" x14ac:dyDescent="0.15">
      <c r="A2386" s="6" t="s">
        <v>2199</v>
      </c>
      <c r="B2386" s="6" t="s">
        <v>1570</v>
      </c>
      <c r="C2386" s="6">
        <v>360</v>
      </c>
      <c r="D2386" s="6" t="str">
        <f>HYPERLINK("https://rmda.kulib.kyoto-u.ac.jp/item/rb00003883#?c=0&amp;m=0&amp;s=0&amp;cv=359")</f>
        <v>https://rmda.kulib.kyoto-u.ac.jp/item/rb00003883#?c=0&amp;m=0&amp;s=0&amp;cv=359</v>
      </c>
      <c r="F2386">
        <v>379</v>
      </c>
    </row>
    <row r="2387" spans="1:6" x14ac:dyDescent="0.15">
      <c r="A2387" s="6" t="s">
        <v>2199</v>
      </c>
      <c r="B2387" s="6" t="s">
        <v>2433</v>
      </c>
      <c r="C2387" s="6">
        <v>360</v>
      </c>
      <c r="D2387" s="6" t="str">
        <f>HYPERLINK("https://rmda.kulib.kyoto-u.ac.jp/item/rb00003883#?c=0&amp;m=0&amp;s=0&amp;cv=359")</f>
        <v>https://rmda.kulib.kyoto-u.ac.jp/item/rb00003883#?c=0&amp;m=0&amp;s=0&amp;cv=359</v>
      </c>
      <c r="F2387">
        <v>380</v>
      </c>
    </row>
    <row r="2388" spans="1:6" x14ac:dyDescent="0.15">
      <c r="A2388" s="6" t="s">
        <v>2199</v>
      </c>
      <c r="B2388" s="6" t="s">
        <v>4421</v>
      </c>
      <c r="C2388" s="6">
        <v>361</v>
      </c>
      <c r="D2388" s="6" t="str">
        <f>HYPERLINK("https://rmda.kulib.kyoto-u.ac.jp/item/rb00003883#?c=0&amp;m=0&amp;s=0&amp;cv=360")</f>
        <v>https://rmda.kulib.kyoto-u.ac.jp/item/rb00003883#?c=0&amp;m=0&amp;s=0&amp;cv=360</v>
      </c>
      <c r="F2388">
        <v>380</v>
      </c>
    </row>
    <row r="2389" spans="1:6" x14ac:dyDescent="0.15">
      <c r="A2389" s="6" t="s">
        <v>2199</v>
      </c>
      <c r="B2389" s="6" t="s">
        <v>4422</v>
      </c>
      <c r="C2389" s="6">
        <v>361</v>
      </c>
      <c r="D2389" s="6" t="str">
        <f>HYPERLINK("https://rmda.kulib.kyoto-u.ac.jp/item/rb00003883#?c=0&amp;m=0&amp;s=0&amp;cv=360")</f>
        <v>https://rmda.kulib.kyoto-u.ac.jp/item/rb00003883#?c=0&amp;m=0&amp;s=0&amp;cv=360</v>
      </c>
      <c r="F2389">
        <v>381</v>
      </c>
    </row>
    <row r="2390" spans="1:6" x14ac:dyDescent="0.15">
      <c r="A2390" s="6" t="s">
        <v>2199</v>
      </c>
      <c r="B2390" s="6" t="s">
        <v>4423</v>
      </c>
      <c r="C2390" s="6">
        <v>362</v>
      </c>
      <c r="D2390" s="6" t="str">
        <f>HYPERLINK("https://rmda.kulib.kyoto-u.ac.jp/item/rb00003883#?c=0&amp;m=0&amp;s=0&amp;cv=361")</f>
        <v>https://rmda.kulib.kyoto-u.ac.jp/item/rb00003883#?c=0&amp;m=0&amp;s=0&amp;cv=361</v>
      </c>
      <c r="F2390">
        <v>382</v>
      </c>
    </row>
    <row r="2391" spans="1:6" x14ac:dyDescent="0.15">
      <c r="A2391" s="6" t="s">
        <v>2199</v>
      </c>
      <c r="B2391" s="6" t="s">
        <v>4424</v>
      </c>
      <c r="C2391" s="6">
        <v>362</v>
      </c>
      <c r="D2391" s="6" t="str">
        <f>HYPERLINK("https://rmda.kulib.kyoto-u.ac.jp/item/rb00003883#?c=0&amp;m=0&amp;s=0&amp;cv=361")</f>
        <v>https://rmda.kulib.kyoto-u.ac.jp/item/rb00003883#?c=0&amp;m=0&amp;s=0&amp;cv=361</v>
      </c>
      <c r="F2391">
        <v>382</v>
      </c>
    </row>
    <row r="2392" spans="1:6" x14ac:dyDescent="0.15">
      <c r="A2392" s="6" t="s">
        <v>2199</v>
      </c>
      <c r="B2392" s="6" t="s">
        <v>4425</v>
      </c>
      <c r="C2392" s="6">
        <v>363</v>
      </c>
      <c r="D2392" s="6" t="str">
        <f>HYPERLINK("https://rmda.kulib.kyoto-u.ac.jp/item/rb00003883#?c=0&amp;m=0&amp;s=0&amp;cv=362")</f>
        <v>https://rmda.kulib.kyoto-u.ac.jp/item/rb00003883#?c=0&amp;m=0&amp;s=0&amp;cv=362</v>
      </c>
      <c r="F2392">
        <v>383</v>
      </c>
    </row>
    <row r="2393" spans="1:6" x14ac:dyDescent="0.15">
      <c r="A2393" s="6" t="s">
        <v>2199</v>
      </c>
      <c r="B2393" s="6" t="s">
        <v>4486</v>
      </c>
      <c r="C2393" s="6">
        <v>363</v>
      </c>
      <c r="D2393" s="6" t="str">
        <f>HYPERLINK("https://rmda.kulib.kyoto-u.ac.jp/item/rb00003883#?c=0&amp;m=0&amp;s=0&amp;cv=362")</f>
        <v>https://rmda.kulib.kyoto-u.ac.jp/item/rb00003883#?c=0&amp;m=0&amp;s=0&amp;cv=362</v>
      </c>
      <c r="F2393">
        <v>383</v>
      </c>
    </row>
    <row r="2394" spans="1:6" x14ac:dyDescent="0.15">
      <c r="A2394" s="6" t="s">
        <v>2199</v>
      </c>
      <c r="B2394" s="6" t="s">
        <v>4426</v>
      </c>
      <c r="C2394" s="6">
        <v>364</v>
      </c>
      <c r="D2394" s="6" t="str">
        <f>HYPERLINK("https://rmda.kulib.kyoto-u.ac.jp/item/rb00003883#?c=0&amp;m=0&amp;s=0&amp;cv=363")</f>
        <v>https://rmda.kulib.kyoto-u.ac.jp/item/rb00003883#?c=0&amp;m=0&amp;s=0&amp;cv=363</v>
      </c>
      <c r="F2394">
        <v>384</v>
      </c>
    </row>
    <row r="2395" spans="1:6" x14ac:dyDescent="0.15">
      <c r="A2395" s="6" t="s">
        <v>2199</v>
      </c>
      <c r="B2395" s="6" t="s">
        <v>4427</v>
      </c>
      <c r="C2395" s="6">
        <v>364</v>
      </c>
      <c r="D2395" s="6" t="str">
        <f>HYPERLINK("https://rmda.kulib.kyoto-u.ac.jp/item/rb00003883#?c=0&amp;m=0&amp;s=0&amp;cv=363")</f>
        <v>https://rmda.kulib.kyoto-u.ac.jp/item/rb00003883#?c=0&amp;m=0&amp;s=0&amp;cv=363</v>
      </c>
      <c r="F2395">
        <v>384</v>
      </c>
    </row>
    <row r="2396" spans="1:6" x14ac:dyDescent="0.15">
      <c r="A2396" s="6" t="s">
        <v>2199</v>
      </c>
      <c r="B2396" s="6" t="s">
        <v>4428</v>
      </c>
      <c r="C2396" s="6">
        <v>364</v>
      </c>
      <c r="D2396" s="6" t="str">
        <f>HYPERLINK("https://rmda.kulib.kyoto-u.ac.jp/item/rb00003883#?c=0&amp;m=0&amp;s=0&amp;cv=363")</f>
        <v>https://rmda.kulib.kyoto-u.ac.jp/item/rb00003883#?c=0&amp;m=0&amp;s=0&amp;cv=363</v>
      </c>
      <c r="F2396">
        <v>385</v>
      </c>
    </row>
    <row r="2397" spans="1:6" x14ac:dyDescent="0.15">
      <c r="A2397" s="6" t="s">
        <v>2199</v>
      </c>
      <c r="B2397" s="6" t="s">
        <v>4429</v>
      </c>
      <c r="C2397" s="6">
        <v>365</v>
      </c>
      <c r="D2397" s="6" t="str">
        <f>HYPERLINK("https://rmda.kulib.kyoto-u.ac.jp/item/rb00003883#?c=0&amp;m=0&amp;s=0&amp;cv=364")</f>
        <v>https://rmda.kulib.kyoto-u.ac.jp/item/rb00003883#?c=0&amp;m=0&amp;s=0&amp;cv=364</v>
      </c>
      <c r="F2397">
        <v>385</v>
      </c>
    </row>
    <row r="2398" spans="1:6" x14ac:dyDescent="0.15">
      <c r="A2398" s="6" t="s">
        <v>2199</v>
      </c>
      <c r="B2398" s="6" t="s">
        <v>4430</v>
      </c>
      <c r="C2398" s="6">
        <v>365</v>
      </c>
      <c r="D2398" s="6" t="str">
        <f>HYPERLINK("https://rmda.kulib.kyoto-u.ac.jp/item/rb00003883#?c=0&amp;m=0&amp;s=0&amp;cv=364")</f>
        <v>https://rmda.kulib.kyoto-u.ac.jp/item/rb00003883#?c=0&amp;m=0&amp;s=0&amp;cv=364</v>
      </c>
      <c r="F2398">
        <v>386</v>
      </c>
    </row>
    <row r="2399" spans="1:6" x14ac:dyDescent="0.15">
      <c r="A2399" s="6" t="s">
        <v>2199</v>
      </c>
      <c r="B2399" s="6" t="s">
        <v>4431</v>
      </c>
      <c r="C2399" s="6">
        <v>365</v>
      </c>
      <c r="D2399" s="6" t="str">
        <f>HYPERLINK("https://rmda.kulib.kyoto-u.ac.jp/item/rb00003883#?c=0&amp;m=0&amp;s=0&amp;cv=364")</f>
        <v>https://rmda.kulib.kyoto-u.ac.jp/item/rb00003883#?c=0&amp;m=0&amp;s=0&amp;cv=364</v>
      </c>
      <c r="F2399">
        <v>386</v>
      </c>
    </row>
    <row r="2400" spans="1:6" x14ac:dyDescent="0.15">
      <c r="A2400" s="6" t="s">
        <v>2199</v>
      </c>
      <c r="B2400" s="6" t="s">
        <v>4432</v>
      </c>
      <c r="C2400" s="6">
        <v>366</v>
      </c>
      <c r="D2400" s="6" t="str">
        <f>HYPERLINK("https://rmda.kulib.kyoto-u.ac.jp/item/rb00003883#?c=0&amp;m=0&amp;s=0&amp;cv=365")</f>
        <v>https://rmda.kulib.kyoto-u.ac.jp/item/rb00003883#?c=0&amp;m=0&amp;s=0&amp;cv=365</v>
      </c>
      <c r="F2400">
        <v>386</v>
      </c>
    </row>
    <row r="2401" spans="1:6" x14ac:dyDescent="0.15">
      <c r="A2401" s="6" t="s">
        <v>2199</v>
      </c>
      <c r="B2401" s="6" t="s">
        <v>4433</v>
      </c>
      <c r="C2401" s="6">
        <v>366</v>
      </c>
      <c r="D2401" s="6" t="str">
        <f>HYPERLINK("https://rmda.kulib.kyoto-u.ac.jp/item/rb00003883#?c=0&amp;m=0&amp;s=0&amp;cv=365")</f>
        <v>https://rmda.kulib.kyoto-u.ac.jp/item/rb00003883#?c=0&amp;m=0&amp;s=0&amp;cv=365</v>
      </c>
      <c r="F2401">
        <v>387</v>
      </c>
    </row>
    <row r="2402" spans="1:6" x14ac:dyDescent="0.15">
      <c r="A2402" s="6" t="s">
        <v>2199</v>
      </c>
      <c r="B2402" s="6" t="s">
        <v>1543</v>
      </c>
      <c r="C2402" s="6">
        <v>366</v>
      </c>
      <c r="D2402" s="6" t="str">
        <f>HYPERLINK("https://rmda.kulib.kyoto-u.ac.jp/item/rb00003883#?c=0&amp;m=0&amp;s=0&amp;cv=365")</f>
        <v>https://rmda.kulib.kyoto-u.ac.jp/item/rb00003883#?c=0&amp;m=0&amp;s=0&amp;cv=365</v>
      </c>
      <c r="F2402">
        <v>387</v>
      </c>
    </row>
    <row r="2403" spans="1:6" x14ac:dyDescent="0.15">
      <c r="A2403" s="6" t="s">
        <v>2199</v>
      </c>
      <c r="B2403" s="6" t="s">
        <v>2434</v>
      </c>
      <c r="C2403" s="6">
        <v>367</v>
      </c>
      <c r="D2403" s="6" t="str">
        <f>HYPERLINK("https://rmda.kulib.kyoto-u.ac.jp/item/rb00003883#?c=0&amp;m=0&amp;s=0&amp;cv=366")</f>
        <v>https://rmda.kulib.kyoto-u.ac.jp/item/rb00003883#?c=0&amp;m=0&amp;s=0&amp;cv=366</v>
      </c>
      <c r="F2403">
        <v>388</v>
      </c>
    </row>
    <row r="2404" spans="1:6" x14ac:dyDescent="0.15">
      <c r="A2404" s="6" t="s">
        <v>2199</v>
      </c>
      <c r="B2404" s="6" t="s">
        <v>2435</v>
      </c>
      <c r="C2404" s="6">
        <v>367</v>
      </c>
      <c r="D2404" s="6" t="str">
        <f>HYPERLINK("https://rmda.kulib.kyoto-u.ac.jp/item/rb00003883#?c=0&amp;m=0&amp;s=0&amp;cv=366")</f>
        <v>https://rmda.kulib.kyoto-u.ac.jp/item/rb00003883#?c=0&amp;m=0&amp;s=0&amp;cv=366</v>
      </c>
      <c r="F2404">
        <v>388</v>
      </c>
    </row>
    <row r="2405" spans="1:6" x14ac:dyDescent="0.15">
      <c r="A2405" s="6" t="s">
        <v>2199</v>
      </c>
      <c r="B2405" s="6" t="s">
        <v>1917</v>
      </c>
      <c r="C2405" s="6">
        <v>367</v>
      </c>
      <c r="D2405" s="6" t="str">
        <f>HYPERLINK("https://rmda.kulib.kyoto-u.ac.jp/item/rb00003883#?c=0&amp;m=0&amp;s=0&amp;cv=366")</f>
        <v>https://rmda.kulib.kyoto-u.ac.jp/item/rb00003883#?c=0&amp;m=0&amp;s=0&amp;cv=366</v>
      </c>
      <c r="F2405">
        <v>388</v>
      </c>
    </row>
    <row r="2406" spans="1:6" x14ac:dyDescent="0.15">
      <c r="A2406" s="6" t="s">
        <v>2199</v>
      </c>
      <c r="B2406" s="6" t="s">
        <v>2436</v>
      </c>
      <c r="C2406" s="6">
        <v>368</v>
      </c>
      <c r="D2406" s="6" t="str">
        <f>HYPERLINK("https://rmda.kulib.kyoto-u.ac.jp/item/rb00003883#?c=0&amp;m=0&amp;s=0&amp;cv=367")</f>
        <v>https://rmda.kulib.kyoto-u.ac.jp/item/rb00003883#?c=0&amp;m=0&amp;s=0&amp;cv=367</v>
      </c>
      <c r="F2406">
        <v>389</v>
      </c>
    </row>
    <row r="2407" spans="1:6" x14ac:dyDescent="0.15">
      <c r="A2407" s="6" t="s">
        <v>2199</v>
      </c>
      <c r="B2407" s="6" t="s">
        <v>2437</v>
      </c>
      <c r="C2407" s="6">
        <v>368</v>
      </c>
      <c r="D2407" s="6" t="str">
        <f>HYPERLINK("https://rmda.kulib.kyoto-u.ac.jp/item/rb00003883#?c=0&amp;m=0&amp;s=0&amp;cv=367")</f>
        <v>https://rmda.kulib.kyoto-u.ac.jp/item/rb00003883#?c=0&amp;m=0&amp;s=0&amp;cv=367</v>
      </c>
      <c r="F2407">
        <v>389</v>
      </c>
    </row>
    <row r="2408" spans="1:6" x14ac:dyDescent="0.15">
      <c r="A2408" s="6" t="s">
        <v>2199</v>
      </c>
      <c r="B2408" s="6" t="s">
        <v>2048</v>
      </c>
      <c r="C2408" s="6">
        <v>368</v>
      </c>
      <c r="D2408" s="6" t="str">
        <f>HYPERLINK("https://rmda.kulib.kyoto-u.ac.jp/item/rb00003883#?c=0&amp;m=0&amp;s=0&amp;cv=367")</f>
        <v>https://rmda.kulib.kyoto-u.ac.jp/item/rb00003883#?c=0&amp;m=0&amp;s=0&amp;cv=367</v>
      </c>
      <c r="F2408">
        <v>390</v>
      </c>
    </row>
    <row r="2409" spans="1:6" x14ac:dyDescent="0.15">
      <c r="A2409" s="6" t="s">
        <v>2199</v>
      </c>
      <c r="B2409" s="6" t="s">
        <v>1616</v>
      </c>
      <c r="C2409" s="6">
        <v>369</v>
      </c>
      <c r="D2409" s="6" t="str">
        <f>HYPERLINK("https://rmda.kulib.kyoto-u.ac.jp/item/rb00003883#?c=0&amp;m=0&amp;s=0&amp;cv=368")</f>
        <v>https://rmda.kulib.kyoto-u.ac.jp/item/rb00003883#?c=0&amp;m=0&amp;s=0&amp;cv=368</v>
      </c>
      <c r="F2409">
        <v>390</v>
      </c>
    </row>
    <row r="2410" spans="1:6" x14ac:dyDescent="0.15">
      <c r="A2410" s="6" t="s">
        <v>2199</v>
      </c>
      <c r="B2410" s="6" t="s">
        <v>1527</v>
      </c>
      <c r="C2410" s="6">
        <v>369</v>
      </c>
      <c r="D2410" s="6" t="str">
        <f>HYPERLINK("https://rmda.kulib.kyoto-u.ac.jp/item/rb00003883#?c=0&amp;m=0&amp;s=0&amp;cv=368")</f>
        <v>https://rmda.kulib.kyoto-u.ac.jp/item/rb00003883#?c=0&amp;m=0&amp;s=0&amp;cv=368</v>
      </c>
      <c r="F2410">
        <v>390</v>
      </c>
    </row>
    <row r="2411" spans="1:6" x14ac:dyDescent="0.15">
      <c r="A2411" s="6" t="s">
        <v>2199</v>
      </c>
      <c r="B2411" s="6" t="s">
        <v>2043</v>
      </c>
      <c r="C2411" s="6">
        <v>369</v>
      </c>
      <c r="D2411" s="6" t="str">
        <f>HYPERLINK("https://rmda.kulib.kyoto-u.ac.jp/item/rb00003883#?c=0&amp;m=0&amp;s=0&amp;cv=368")</f>
        <v>https://rmda.kulib.kyoto-u.ac.jp/item/rb00003883#?c=0&amp;m=0&amp;s=0&amp;cv=368</v>
      </c>
      <c r="F2411">
        <v>391</v>
      </c>
    </row>
    <row r="2412" spans="1:6" x14ac:dyDescent="0.15">
      <c r="A2412" s="6" t="s">
        <v>2199</v>
      </c>
      <c r="B2412" s="6" t="s">
        <v>2438</v>
      </c>
      <c r="C2412" s="6">
        <v>370</v>
      </c>
      <c r="D2412" s="6" t="str">
        <f>HYPERLINK("https://rmda.kulib.kyoto-u.ac.jp/item/rb00003883#?c=0&amp;m=0&amp;s=0&amp;cv=369")</f>
        <v>https://rmda.kulib.kyoto-u.ac.jp/item/rb00003883#?c=0&amp;m=0&amp;s=0&amp;cv=369</v>
      </c>
      <c r="F2412">
        <v>391</v>
      </c>
    </row>
    <row r="2413" spans="1:6" x14ac:dyDescent="0.15">
      <c r="A2413" s="6" t="s">
        <v>2199</v>
      </c>
      <c r="B2413" s="6" t="s">
        <v>4434</v>
      </c>
      <c r="C2413" s="6">
        <v>370</v>
      </c>
      <c r="D2413" s="6" t="str">
        <f>HYPERLINK("https://rmda.kulib.kyoto-u.ac.jp/item/rb00003883#?c=0&amp;m=0&amp;s=0&amp;cv=369")</f>
        <v>https://rmda.kulib.kyoto-u.ac.jp/item/rb00003883#?c=0&amp;m=0&amp;s=0&amp;cv=369</v>
      </c>
      <c r="F2413">
        <v>392</v>
      </c>
    </row>
    <row r="2414" spans="1:6" x14ac:dyDescent="0.15">
      <c r="A2414" s="6" t="s">
        <v>2199</v>
      </c>
      <c r="B2414" s="6" t="s">
        <v>4435</v>
      </c>
      <c r="C2414" s="6">
        <v>370</v>
      </c>
      <c r="D2414" s="6" t="str">
        <f>HYPERLINK("https://rmda.kulib.kyoto-u.ac.jp/item/rb00003883#?c=0&amp;m=0&amp;s=0&amp;cv=369")</f>
        <v>https://rmda.kulib.kyoto-u.ac.jp/item/rb00003883#?c=0&amp;m=0&amp;s=0&amp;cv=369</v>
      </c>
      <c r="F2414">
        <v>392</v>
      </c>
    </row>
    <row r="2415" spans="1:6" x14ac:dyDescent="0.15">
      <c r="A2415" s="6" t="s">
        <v>2199</v>
      </c>
      <c r="B2415" s="6" t="s">
        <v>2439</v>
      </c>
      <c r="C2415" s="6">
        <v>371</v>
      </c>
      <c r="D2415" s="6" t="str">
        <f>HYPERLINK("https://rmda.kulib.kyoto-u.ac.jp/item/rb00003883#?c=0&amp;m=0&amp;s=0&amp;cv=370")</f>
        <v>https://rmda.kulib.kyoto-u.ac.jp/item/rb00003883#?c=0&amp;m=0&amp;s=0&amp;cv=370</v>
      </c>
      <c r="F2415">
        <v>393</v>
      </c>
    </row>
    <row r="2416" spans="1:6" x14ac:dyDescent="0.15">
      <c r="A2416" s="6" t="s">
        <v>2199</v>
      </c>
      <c r="B2416" s="6" t="s">
        <v>4436</v>
      </c>
      <c r="C2416" s="6">
        <v>371</v>
      </c>
      <c r="D2416" s="6" t="str">
        <f>HYPERLINK("https://rmda.kulib.kyoto-u.ac.jp/item/rb00003883#?c=0&amp;m=0&amp;s=0&amp;cv=370")</f>
        <v>https://rmda.kulib.kyoto-u.ac.jp/item/rb00003883#?c=0&amp;m=0&amp;s=0&amp;cv=370</v>
      </c>
      <c r="F2416">
        <v>393</v>
      </c>
    </row>
    <row r="2417" spans="1:6" x14ac:dyDescent="0.15">
      <c r="A2417" s="6" t="s">
        <v>2199</v>
      </c>
      <c r="B2417" s="6" t="s">
        <v>4437</v>
      </c>
      <c r="C2417" s="6">
        <v>371</v>
      </c>
      <c r="D2417" s="6" t="str">
        <f>HYPERLINK("https://rmda.kulib.kyoto-u.ac.jp/item/rb00003883#?c=0&amp;m=0&amp;s=0&amp;cv=370")</f>
        <v>https://rmda.kulib.kyoto-u.ac.jp/item/rb00003883#?c=0&amp;m=0&amp;s=0&amp;cv=370</v>
      </c>
      <c r="F2417">
        <v>393</v>
      </c>
    </row>
    <row r="2418" spans="1:6" x14ac:dyDescent="0.15">
      <c r="A2418" s="6" t="s">
        <v>2199</v>
      </c>
      <c r="B2418" s="6" t="s">
        <v>1840</v>
      </c>
      <c r="C2418" s="6">
        <v>372</v>
      </c>
      <c r="D2418" s="6" t="str">
        <f>HYPERLINK("https://rmda.kulib.kyoto-u.ac.jp/item/rb00003883#?c=0&amp;m=0&amp;s=0&amp;cv=371")</f>
        <v>https://rmda.kulib.kyoto-u.ac.jp/item/rb00003883#?c=0&amp;m=0&amp;s=0&amp;cv=371</v>
      </c>
      <c r="F2418">
        <v>393</v>
      </c>
    </row>
    <row r="2419" spans="1:6" x14ac:dyDescent="0.15">
      <c r="A2419" s="6" t="s">
        <v>2199</v>
      </c>
      <c r="B2419" s="6" t="s">
        <v>2440</v>
      </c>
      <c r="C2419" s="6">
        <v>372</v>
      </c>
      <c r="D2419" s="6" t="str">
        <f>HYPERLINK("https://rmda.kulib.kyoto-u.ac.jp/item/rb00003883#?c=0&amp;m=0&amp;s=0&amp;cv=371")</f>
        <v>https://rmda.kulib.kyoto-u.ac.jp/item/rb00003883#?c=0&amp;m=0&amp;s=0&amp;cv=371</v>
      </c>
      <c r="F2419">
        <v>394</v>
      </c>
    </row>
    <row r="2420" spans="1:6" x14ac:dyDescent="0.15">
      <c r="A2420" s="6" t="s">
        <v>2199</v>
      </c>
      <c r="B2420" s="6" t="s">
        <v>2441</v>
      </c>
      <c r="C2420" s="6">
        <v>372</v>
      </c>
      <c r="D2420" s="6" t="str">
        <f>HYPERLINK("https://rmda.kulib.kyoto-u.ac.jp/item/rb00003883#?c=0&amp;m=0&amp;s=0&amp;cv=371")</f>
        <v>https://rmda.kulib.kyoto-u.ac.jp/item/rb00003883#?c=0&amp;m=0&amp;s=0&amp;cv=371</v>
      </c>
      <c r="F2420">
        <v>394</v>
      </c>
    </row>
    <row r="2421" spans="1:6" x14ac:dyDescent="0.15">
      <c r="A2421" s="6" t="s">
        <v>2199</v>
      </c>
      <c r="B2421" s="6" t="s">
        <v>4438</v>
      </c>
      <c r="C2421" s="6">
        <v>373</v>
      </c>
      <c r="D2421" s="6" t="str">
        <f>HYPERLINK("https://rmda.kulib.kyoto-u.ac.jp/item/rb00003883#?c=0&amp;m=0&amp;s=0&amp;cv=372")</f>
        <v>https://rmda.kulib.kyoto-u.ac.jp/item/rb00003883#?c=0&amp;m=0&amp;s=0&amp;cv=372</v>
      </c>
      <c r="F2421">
        <v>395</v>
      </c>
    </row>
    <row r="2422" spans="1:6" x14ac:dyDescent="0.15">
      <c r="A2422" s="6" t="s">
        <v>2199</v>
      </c>
      <c r="B2422" s="63" t="s">
        <v>5533</v>
      </c>
      <c r="C2422" s="6">
        <v>373</v>
      </c>
      <c r="D2422" s="6" t="str">
        <f>HYPERLINK("https://rmda.kulib.kyoto-u.ac.jp/item/rb00003883#?c=0&amp;m=0&amp;s=0&amp;cv=372")</f>
        <v>https://rmda.kulib.kyoto-u.ac.jp/item/rb00003883#?c=0&amp;m=0&amp;s=0&amp;cv=372</v>
      </c>
    </row>
    <row r="2423" spans="1:6" x14ac:dyDescent="0.15">
      <c r="A2423" s="6" t="s">
        <v>2199</v>
      </c>
      <c r="B2423" s="6" t="s">
        <v>2442</v>
      </c>
      <c r="C2423" s="6">
        <v>373</v>
      </c>
      <c r="D2423" s="6" t="str">
        <f>HYPERLINK("https://rmda.kulib.kyoto-u.ac.jp/item/rb00003883#?c=0&amp;m=0&amp;s=0&amp;cv=372")</f>
        <v>https://rmda.kulib.kyoto-u.ac.jp/item/rb00003883#?c=0&amp;m=0&amp;s=0&amp;cv=372</v>
      </c>
      <c r="F2423">
        <v>395</v>
      </c>
    </row>
    <row r="2424" spans="1:6" x14ac:dyDescent="0.15">
      <c r="A2424" s="6" t="s">
        <v>2199</v>
      </c>
      <c r="B2424" s="6" t="s">
        <v>4439</v>
      </c>
      <c r="C2424" s="6">
        <v>373</v>
      </c>
      <c r="D2424" s="6" t="str">
        <f>HYPERLINK("https://rmda.kulib.kyoto-u.ac.jp/item/rb00003883#?c=0&amp;m=0&amp;s=0&amp;cv=372")</f>
        <v>https://rmda.kulib.kyoto-u.ac.jp/item/rb00003883#?c=0&amp;m=0&amp;s=0&amp;cv=372</v>
      </c>
      <c r="F2424">
        <v>396</v>
      </c>
    </row>
    <row r="2425" spans="1:6" x14ac:dyDescent="0.15">
      <c r="A2425" s="6" t="s">
        <v>2199</v>
      </c>
      <c r="B2425" s="6" t="s">
        <v>2443</v>
      </c>
      <c r="C2425" s="6">
        <v>374</v>
      </c>
      <c r="D2425" s="6" t="str">
        <f>HYPERLINK("https://rmda.kulib.kyoto-u.ac.jp/item/rb00003883#?c=0&amp;m=0&amp;s=0&amp;cv=373")</f>
        <v>https://rmda.kulib.kyoto-u.ac.jp/item/rb00003883#?c=0&amp;m=0&amp;s=0&amp;cv=373</v>
      </c>
      <c r="F2425">
        <v>396</v>
      </c>
    </row>
    <row r="2426" spans="1:6" x14ac:dyDescent="0.15">
      <c r="A2426" s="6" t="s">
        <v>2199</v>
      </c>
      <c r="B2426" s="6" t="s">
        <v>2346</v>
      </c>
      <c r="C2426" s="6">
        <v>374</v>
      </c>
      <c r="D2426" s="6" t="str">
        <f>HYPERLINK("https://rmda.kulib.kyoto-u.ac.jp/item/rb00003883#?c=0&amp;m=0&amp;s=0&amp;cv=373")</f>
        <v>https://rmda.kulib.kyoto-u.ac.jp/item/rb00003883#?c=0&amp;m=0&amp;s=0&amp;cv=373</v>
      </c>
      <c r="F2426" t="s">
        <v>5523</v>
      </c>
    </row>
    <row r="2427" spans="1:6" x14ac:dyDescent="0.15">
      <c r="A2427" s="6" t="s">
        <v>2199</v>
      </c>
      <c r="B2427" s="63" t="s">
        <v>5537</v>
      </c>
      <c r="C2427" s="6">
        <v>374</v>
      </c>
      <c r="D2427" s="6" t="str">
        <f>HYPERLINK("https://rmda.kulib.kyoto-u.ac.jp/item/rb00003883#?c=0&amp;m=0&amp;s=0&amp;cv=373")</f>
        <v>https://rmda.kulib.kyoto-u.ac.jp/item/rb00003883#?c=0&amp;m=0&amp;s=0&amp;cv=373</v>
      </c>
    </row>
    <row r="2428" spans="1:6" x14ac:dyDescent="0.15">
      <c r="A2428" s="6" t="s">
        <v>2199</v>
      </c>
      <c r="B2428" s="6" t="s">
        <v>4440</v>
      </c>
      <c r="C2428" s="6">
        <v>375</v>
      </c>
      <c r="D2428" s="6" t="str">
        <f>HYPERLINK("https://rmda.kulib.kyoto-u.ac.jp/item/rb00003883#?c=0&amp;m=0&amp;s=0&amp;cv=374")</f>
        <v>https://rmda.kulib.kyoto-u.ac.jp/item/rb00003883#?c=0&amp;m=0&amp;s=0&amp;cv=374</v>
      </c>
      <c r="F2428">
        <v>397</v>
      </c>
    </row>
    <row r="2429" spans="1:6" x14ac:dyDescent="0.15">
      <c r="A2429" s="6" t="s">
        <v>2199</v>
      </c>
      <c r="B2429" s="6" t="s">
        <v>2444</v>
      </c>
      <c r="C2429" s="6">
        <v>375</v>
      </c>
      <c r="D2429" s="6" t="str">
        <f>HYPERLINK("https://rmda.kulib.kyoto-u.ac.jp/item/rb00003883#?c=0&amp;m=0&amp;s=0&amp;cv=374")</f>
        <v>https://rmda.kulib.kyoto-u.ac.jp/item/rb00003883#?c=0&amp;m=0&amp;s=0&amp;cv=374</v>
      </c>
      <c r="F2429">
        <v>398</v>
      </c>
    </row>
    <row r="2430" spans="1:6" x14ac:dyDescent="0.15">
      <c r="A2430" s="6" t="s">
        <v>2199</v>
      </c>
      <c r="B2430" s="6" t="s">
        <v>4441</v>
      </c>
      <c r="C2430" s="6">
        <v>375</v>
      </c>
      <c r="D2430" s="6" t="str">
        <f>HYPERLINK("https://rmda.kulib.kyoto-u.ac.jp/item/rb00003883#?c=0&amp;m=0&amp;s=0&amp;cv=374")</f>
        <v>https://rmda.kulib.kyoto-u.ac.jp/item/rb00003883#?c=0&amp;m=0&amp;s=0&amp;cv=374</v>
      </c>
      <c r="F2430">
        <v>398</v>
      </c>
    </row>
    <row r="2431" spans="1:6" x14ac:dyDescent="0.15">
      <c r="A2431" s="6" t="s">
        <v>2199</v>
      </c>
      <c r="B2431" s="6" t="s">
        <v>2445</v>
      </c>
      <c r="C2431" s="6">
        <v>376</v>
      </c>
      <c r="D2431" s="6" t="str">
        <f>HYPERLINK("https://rmda.kulib.kyoto-u.ac.jp/item/rb00003883#?c=0&amp;m=0&amp;s=0&amp;cv=375")</f>
        <v>https://rmda.kulib.kyoto-u.ac.jp/item/rb00003883#?c=0&amp;m=0&amp;s=0&amp;cv=375</v>
      </c>
      <c r="F2431">
        <v>399</v>
      </c>
    </row>
    <row r="2432" spans="1:6" x14ac:dyDescent="0.15">
      <c r="A2432" s="6" t="s">
        <v>2199</v>
      </c>
      <c r="B2432" s="63" t="s">
        <v>5985</v>
      </c>
      <c r="C2432" s="6">
        <v>376</v>
      </c>
      <c r="D2432" s="6" t="str">
        <f>HYPERLINK("https://rmda.kulib.kyoto-u.ac.jp/item/rb00003883#?c=0&amp;m=0&amp;s=0&amp;cv=375")</f>
        <v>https://rmda.kulib.kyoto-u.ac.jp/item/rb00003883#?c=0&amp;m=0&amp;s=0&amp;cv=375</v>
      </c>
    </row>
    <row r="2433" spans="1:6" x14ac:dyDescent="0.15">
      <c r="A2433" s="6" t="s">
        <v>2199</v>
      </c>
      <c r="B2433" s="6" t="s">
        <v>2446</v>
      </c>
      <c r="C2433" s="6">
        <v>376</v>
      </c>
      <c r="D2433" s="6" t="str">
        <f>HYPERLINK("https://rmda.kulib.kyoto-u.ac.jp/item/rb00003883#?c=0&amp;m=0&amp;s=0&amp;cv=375")</f>
        <v>https://rmda.kulib.kyoto-u.ac.jp/item/rb00003883#?c=0&amp;m=0&amp;s=0&amp;cv=375</v>
      </c>
      <c r="F2433">
        <v>399</v>
      </c>
    </row>
    <row r="2434" spans="1:6" x14ac:dyDescent="0.15">
      <c r="A2434" s="6" t="s">
        <v>2199</v>
      </c>
      <c r="B2434" s="6" t="s">
        <v>2447</v>
      </c>
      <c r="C2434" s="6">
        <v>376</v>
      </c>
      <c r="D2434" s="6" t="str">
        <f>HYPERLINK("https://rmda.kulib.kyoto-u.ac.jp/item/rb00003883#?c=0&amp;m=0&amp;s=0&amp;cv=375")</f>
        <v>https://rmda.kulib.kyoto-u.ac.jp/item/rb00003883#?c=0&amp;m=0&amp;s=0&amp;cv=375</v>
      </c>
      <c r="F2434">
        <v>399</v>
      </c>
    </row>
    <row r="2435" spans="1:6" x14ac:dyDescent="0.15">
      <c r="A2435" s="6" t="s">
        <v>2199</v>
      </c>
      <c r="B2435" s="6" t="s">
        <v>4442</v>
      </c>
      <c r="C2435" s="6">
        <v>377</v>
      </c>
      <c r="D2435" s="6" t="str">
        <f>HYPERLINK("https://rmda.kulib.kyoto-u.ac.jp/item/rb00003883#?c=0&amp;m=0&amp;s=0&amp;cv=376")</f>
        <v>https://rmda.kulib.kyoto-u.ac.jp/item/rb00003883#?c=0&amp;m=0&amp;s=0&amp;cv=376</v>
      </c>
      <c r="F2435">
        <v>400</v>
      </c>
    </row>
    <row r="2436" spans="1:6" x14ac:dyDescent="0.15">
      <c r="A2436" s="6" t="s">
        <v>2199</v>
      </c>
      <c r="B2436" s="6" t="s">
        <v>2448</v>
      </c>
      <c r="C2436" s="6">
        <v>377</v>
      </c>
      <c r="D2436" s="6" t="str">
        <f>HYPERLINK("https://rmda.kulib.kyoto-u.ac.jp/item/rb00003883#?c=0&amp;m=0&amp;s=0&amp;cv=376")</f>
        <v>https://rmda.kulib.kyoto-u.ac.jp/item/rb00003883#?c=0&amp;m=0&amp;s=0&amp;cv=376</v>
      </c>
      <c r="F2436">
        <v>400</v>
      </c>
    </row>
    <row r="2437" spans="1:6" x14ac:dyDescent="0.15">
      <c r="A2437" s="6" t="s">
        <v>2199</v>
      </c>
      <c r="B2437" s="63" t="s">
        <v>5524</v>
      </c>
      <c r="C2437" s="6">
        <v>377</v>
      </c>
      <c r="D2437" s="6" t="str">
        <f>HYPERLINK("https://rmda.kulib.kyoto-u.ac.jp/item/rb00003883#?c=0&amp;m=0&amp;s=0&amp;cv=376")</f>
        <v>https://rmda.kulib.kyoto-u.ac.jp/item/rb00003883#?c=0&amp;m=0&amp;s=0&amp;cv=376</v>
      </c>
    </row>
    <row r="2438" spans="1:6" x14ac:dyDescent="0.15">
      <c r="A2438" s="6" t="s">
        <v>2199</v>
      </c>
      <c r="B2438" s="6" t="s">
        <v>5565</v>
      </c>
      <c r="C2438" s="6">
        <v>377</v>
      </c>
      <c r="D2438" s="6" t="str">
        <f>HYPERLINK("https://rmda.kulib.kyoto-u.ac.jp/item/rb00003883#?c=0&amp;m=0&amp;s=0&amp;cv=376")</f>
        <v>https://rmda.kulib.kyoto-u.ac.jp/item/rb00003883#?c=0&amp;m=0&amp;s=0&amp;cv=376</v>
      </c>
      <c r="F2438">
        <v>400</v>
      </c>
    </row>
    <row r="2439" spans="1:6" x14ac:dyDescent="0.15">
      <c r="A2439" s="6" t="s">
        <v>2199</v>
      </c>
      <c r="B2439" s="6" t="s">
        <v>2192</v>
      </c>
      <c r="C2439" s="6">
        <v>378</v>
      </c>
      <c r="D2439" s="6" t="str">
        <f>HYPERLINK("https://rmda.kulib.kyoto-u.ac.jp/item/rb00003883#?c=0&amp;m=0&amp;s=0&amp;cv=377")</f>
        <v>https://rmda.kulib.kyoto-u.ac.jp/item/rb00003883#?c=0&amp;m=0&amp;s=0&amp;cv=377</v>
      </c>
      <c r="F2439">
        <v>401</v>
      </c>
    </row>
    <row r="2440" spans="1:6" x14ac:dyDescent="0.15">
      <c r="A2440" s="6" t="s">
        <v>2199</v>
      </c>
      <c r="B2440" s="6" t="s">
        <v>4443</v>
      </c>
      <c r="C2440" s="6">
        <v>378</v>
      </c>
      <c r="D2440" s="6" t="str">
        <f>HYPERLINK("https://rmda.kulib.kyoto-u.ac.jp/item/rb00003883#?c=0&amp;m=0&amp;s=0&amp;cv=377")</f>
        <v>https://rmda.kulib.kyoto-u.ac.jp/item/rb00003883#?c=0&amp;m=0&amp;s=0&amp;cv=377</v>
      </c>
      <c r="F2440">
        <v>401</v>
      </c>
    </row>
    <row r="2441" spans="1:6" x14ac:dyDescent="0.15">
      <c r="A2441" s="6" t="s">
        <v>2199</v>
      </c>
      <c r="B2441" s="6" t="s">
        <v>2002</v>
      </c>
      <c r="C2441" s="6">
        <v>378</v>
      </c>
      <c r="D2441" s="6" t="str">
        <f>HYPERLINK("https://rmda.kulib.kyoto-u.ac.jp/item/rb00003883#?c=0&amp;m=0&amp;s=0&amp;cv=377")</f>
        <v>https://rmda.kulib.kyoto-u.ac.jp/item/rb00003883#?c=0&amp;m=0&amp;s=0&amp;cv=377</v>
      </c>
      <c r="F2441">
        <v>402</v>
      </c>
    </row>
    <row r="2442" spans="1:6" x14ac:dyDescent="0.15">
      <c r="A2442" s="6" t="s">
        <v>2199</v>
      </c>
      <c r="B2442" s="6" t="s">
        <v>4487</v>
      </c>
      <c r="C2442" s="6">
        <v>378</v>
      </c>
      <c r="D2442" s="6" t="str">
        <f>HYPERLINK("https://rmda.kulib.kyoto-u.ac.jp/item/rb00003883#?c=0&amp;m=0&amp;s=0&amp;cv=377")</f>
        <v>https://rmda.kulib.kyoto-u.ac.jp/item/rb00003883#?c=0&amp;m=0&amp;s=0&amp;cv=377</v>
      </c>
      <c r="F2442">
        <v>402</v>
      </c>
    </row>
    <row r="2443" spans="1:6" x14ac:dyDescent="0.15">
      <c r="A2443" s="6" t="s">
        <v>2199</v>
      </c>
      <c r="B2443" s="6" t="s">
        <v>4405</v>
      </c>
      <c r="C2443" s="6">
        <v>379</v>
      </c>
      <c r="D2443" s="6" t="str">
        <f>HYPERLINK("https://rmda.kulib.kyoto-u.ac.jp/item/rb00003883#?c=0&amp;m=0&amp;s=0&amp;cv=378")</f>
        <v>https://rmda.kulib.kyoto-u.ac.jp/item/rb00003883#?c=0&amp;m=0&amp;s=0&amp;cv=378</v>
      </c>
      <c r="F2443">
        <v>402</v>
      </c>
    </row>
    <row r="2444" spans="1:6" x14ac:dyDescent="0.15">
      <c r="A2444" s="6" t="s">
        <v>2199</v>
      </c>
      <c r="B2444" s="6" t="s">
        <v>4488</v>
      </c>
      <c r="C2444" s="6">
        <v>379</v>
      </c>
      <c r="D2444" s="6" t="str">
        <f>HYPERLINK("https://rmda.kulib.kyoto-u.ac.jp/item/rb00003883#?c=0&amp;m=0&amp;s=0&amp;cv=378")</f>
        <v>https://rmda.kulib.kyoto-u.ac.jp/item/rb00003883#?c=0&amp;m=0&amp;s=0&amp;cv=378</v>
      </c>
      <c r="F2444">
        <v>403</v>
      </c>
    </row>
    <row r="2445" spans="1:6" x14ac:dyDescent="0.15">
      <c r="A2445" s="6" t="s">
        <v>2199</v>
      </c>
      <c r="B2445" s="6" t="s">
        <v>2009</v>
      </c>
      <c r="C2445" s="6">
        <v>379</v>
      </c>
      <c r="D2445" s="6" t="str">
        <f>HYPERLINK("https://rmda.kulib.kyoto-u.ac.jp/item/rb00003883#?c=0&amp;m=0&amp;s=0&amp;cv=378")</f>
        <v>https://rmda.kulib.kyoto-u.ac.jp/item/rb00003883#?c=0&amp;m=0&amp;s=0&amp;cv=378</v>
      </c>
      <c r="F2445">
        <v>403</v>
      </c>
    </row>
    <row r="2446" spans="1:6" x14ac:dyDescent="0.15">
      <c r="A2446" s="6" t="s">
        <v>2199</v>
      </c>
      <c r="B2446" s="6" t="s">
        <v>2046</v>
      </c>
      <c r="C2446" s="6">
        <v>380</v>
      </c>
      <c r="D2446" s="6" t="str">
        <f>HYPERLINK("https://rmda.kulib.kyoto-u.ac.jp/item/rb00003883#?c=0&amp;m=0&amp;s=0&amp;cv=379")</f>
        <v>https://rmda.kulib.kyoto-u.ac.jp/item/rb00003883#?c=0&amp;m=0&amp;s=0&amp;cv=379</v>
      </c>
      <c r="F2446">
        <v>403</v>
      </c>
    </row>
    <row r="2447" spans="1:6" x14ac:dyDescent="0.15">
      <c r="A2447" s="6" t="s">
        <v>2199</v>
      </c>
      <c r="B2447" s="6" t="s">
        <v>1616</v>
      </c>
      <c r="C2447" s="6">
        <v>380</v>
      </c>
      <c r="D2447" s="6" t="str">
        <f>HYPERLINK("https://rmda.kulib.kyoto-u.ac.jp/item/rb00003883#?c=0&amp;m=0&amp;s=0&amp;cv=379")</f>
        <v>https://rmda.kulib.kyoto-u.ac.jp/item/rb00003883#?c=0&amp;m=0&amp;s=0&amp;cv=379</v>
      </c>
      <c r="F2447">
        <v>404</v>
      </c>
    </row>
    <row r="2448" spans="1:6" x14ac:dyDescent="0.15">
      <c r="A2448" s="6" t="s">
        <v>2199</v>
      </c>
      <c r="B2448" s="6" t="s">
        <v>4489</v>
      </c>
      <c r="C2448" s="6">
        <v>380</v>
      </c>
      <c r="D2448" s="6" t="str">
        <f>HYPERLINK("https://rmda.kulib.kyoto-u.ac.jp/item/rb00003883#?c=0&amp;m=0&amp;s=0&amp;cv=379")</f>
        <v>https://rmda.kulib.kyoto-u.ac.jp/item/rb00003883#?c=0&amp;m=0&amp;s=0&amp;cv=379</v>
      </c>
      <c r="F2448">
        <v>404</v>
      </c>
    </row>
    <row r="2449" spans="1:6" x14ac:dyDescent="0.15">
      <c r="A2449" s="6" t="s">
        <v>2199</v>
      </c>
      <c r="B2449" s="6" t="s">
        <v>2449</v>
      </c>
      <c r="C2449" s="6">
        <v>380</v>
      </c>
      <c r="D2449" s="6" t="str">
        <f>HYPERLINK("https://rmda.kulib.kyoto-u.ac.jp/item/rb00003883#?c=0&amp;m=0&amp;s=0&amp;cv=379")</f>
        <v>https://rmda.kulib.kyoto-u.ac.jp/item/rb00003883#?c=0&amp;m=0&amp;s=0&amp;cv=379</v>
      </c>
      <c r="F2449">
        <v>404</v>
      </c>
    </row>
    <row r="2450" spans="1:6" x14ac:dyDescent="0.15">
      <c r="A2450" s="6" t="s">
        <v>2199</v>
      </c>
      <c r="B2450" s="6" t="s">
        <v>4444</v>
      </c>
      <c r="C2450" s="6">
        <v>381</v>
      </c>
      <c r="D2450" s="6" t="str">
        <f>HYPERLINK("https://rmda.kulib.kyoto-u.ac.jp/item/rb00003883#?c=0&amp;m=0&amp;s=0&amp;cv=380")</f>
        <v>https://rmda.kulib.kyoto-u.ac.jp/item/rb00003883#?c=0&amp;m=0&amp;s=0&amp;cv=380</v>
      </c>
      <c r="F2450">
        <v>405</v>
      </c>
    </row>
    <row r="2451" spans="1:6" x14ac:dyDescent="0.15">
      <c r="A2451" s="6" t="s">
        <v>2199</v>
      </c>
      <c r="B2451" s="6" t="s">
        <v>2450</v>
      </c>
      <c r="C2451" s="6">
        <v>381</v>
      </c>
      <c r="D2451" s="6" t="str">
        <f>HYPERLINK("https://rmda.kulib.kyoto-u.ac.jp/item/rb00003883#?c=0&amp;m=0&amp;s=0&amp;cv=380")</f>
        <v>https://rmda.kulib.kyoto-u.ac.jp/item/rb00003883#?c=0&amp;m=0&amp;s=0&amp;cv=380</v>
      </c>
      <c r="F2451">
        <v>405</v>
      </c>
    </row>
    <row r="2452" spans="1:6" x14ac:dyDescent="0.15">
      <c r="A2452" s="6" t="s">
        <v>2199</v>
      </c>
      <c r="B2452" s="6" t="s">
        <v>4490</v>
      </c>
      <c r="C2452" s="6">
        <v>381</v>
      </c>
      <c r="D2452" s="6" t="str">
        <f>HYPERLINK("https://rmda.kulib.kyoto-u.ac.jp/item/rb00003883#?c=0&amp;m=0&amp;s=0&amp;cv=380")</f>
        <v>https://rmda.kulib.kyoto-u.ac.jp/item/rb00003883#?c=0&amp;m=0&amp;s=0&amp;cv=380</v>
      </c>
      <c r="F2452">
        <v>405</v>
      </c>
    </row>
    <row r="2453" spans="1:6" x14ac:dyDescent="0.15">
      <c r="A2453" s="6" t="s">
        <v>2199</v>
      </c>
      <c r="B2453" s="6" t="s">
        <v>1672</v>
      </c>
      <c r="C2453" s="6">
        <v>381</v>
      </c>
      <c r="D2453" s="6" t="str">
        <f>HYPERLINK("https://rmda.kulib.kyoto-u.ac.jp/item/rb00003883#?c=0&amp;m=0&amp;s=0&amp;cv=380")</f>
        <v>https://rmda.kulib.kyoto-u.ac.jp/item/rb00003883#?c=0&amp;m=0&amp;s=0&amp;cv=380</v>
      </c>
      <c r="F2453">
        <v>406</v>
      </c>
    </row>
    <row r="2454" spans="1:6" x14ac:dyDescent="0.15">
      <c r="A2454" s="6" t="s">
        <v>2199</v>
      </c>
      <c r="B2454" s="6" t="s">
        <v>2166</v>
      </c>
      <c r="C2454" s="6">
        <v>382</v>
      </c>
      <c r="D2454" s="6" t="str">
        <f>HYPERLINK("https://rmda.kulib.kyoto-u.ac.jp/item/rb00003883#?c=0&amp;m=0&amp;s=0&amp;cv=381")</f>
        <v>https://rmda.kulib.kyoto-u.ac.jp/item/rb00003883#?c=0&amp;m=0&amp;s=0&amp;cv=381</v>
      </c>
      <c r="F2454">
        <v>406</v>
      </c>
    </row>
    <row r="2455" spans="1:6" x14ac:dyDescent="0.15">
      <c r="A2455" s="6" t="s">
        <v>2199</v>
      </c>
      <c r="B2455" s="6" t="s">
        <v>5564</v>
      </c>
      <c r="C2455" s="6">
        <v>382</v>
      </c>
      <c r="D2455" s="6" t="str">
        <f>HYPERLINK("https://rmda.kulib.kyoto-u.ac.jp/item/rb00003883#?c=0&amp;m=0&amp;s=0&amp;cv=381")</f>
        <v>https://rmda.kulib.kyoto-u.ac.jp/item/rb00003883#?c=0&amp;m=0&amp;s=0&amp;cv=381</v>
      </c>
      <c r="F2455">
        <v>406</v>
      </c>
    </row>
    <row r="2456" spans="1:6" x14ac:dyDescent="0.15">
      <c r="A2456" s="6" t="s">
        <v>2199</v>
      </c>
      <c r="B2456" s="6" t="s">
        <v>1799</v>
      </c>
      <c r="C2456" s="6">
        <v>382</v>
      </c>
      <c r="D2456" s="6" t="str">
        <f>HYPERLINK("https://rmda.kulib.kyoto-u.ac.jp/item/rb00003883#?c=0&amp;m=0&amp;s=0&amp;cv=381")</f>
        <v>https://rmda.kulib.kyoto-u.ac.jp/item/rb00003883#?c=0&amp;m=0&amp;s=0&amp;cv=381</v>
      </c>
      <c r="F2456">
        <v>406</v>
      </c>
    </row>
    <row r="2457" spans="1:6" x14ac:dyDescent="0.15">
      <c r="A2457" s="6" t="s">
        <v>2199</v>
      </c>
      <c r="B2457" s="6" t="s">
        <v>2451</v>
      </c>
      <c r="C2457" s="6">
        <v>382</v>
      </c>
      <c r="D2457" s="6" t="str">
        <f>HYPERLINK("https://rmda.kulib.kyoto-u.ac.jp/item/rb00003883#?c=0&amp;m=0&amp;s=0&amp;cv=381")</f>
        <v>https://rmda.kulib.kyoto-u.ac.jp/item/rb00003883#?c=0&amp;m=0&amp;s=0&amp;cv=381</v>
      </c>
      <c r="F2457">
        <v>406</v>
      </c>
    </row>
    <row r="2458" spans="1:6" x14ac:dyDescent="0.15">
      <c r="A2458" s="6" t="s">
        <v>2199</v>
      </c>
      <c r="B2458" s="6" t="s">
        <v>2452</v>
      </c>
      <c r="C2458" s="6">
        <v>382</v>
      </c>
      <c r="D2458" s="6" t="str">
        <f>HYPERLINK("https://rmda.kulib.kyoto-u.ac.jp/item/rb00003883#?c=0&amp;m=0&amp;s=0&amp;cv=381")</f>
        <v>https://rmda.kulib.kyoto-u.ac.jp/item/rb00003883#?c=0&amp;m=0&amp;s=0&amp;cv=381</v>
      </c>
      <c r="F2458">
        <v>407</v>
      </c>
    </row>
    <row r="2459" spans="1:6" x14ac:dyDescent="0.15">
      <c r="A2459" s="6" t="s">
        <v>2199</v>
      </c>
      <c r="B2459" s="6" t="s">
        <v>2453</v>
      </c>
      <c r="C2459" s="6">
        <v>383</v>
      </c>
      <c r="D2459" s="6" t="str">
        <f>HYPERLINK("https://rmda.kulib.kyoto-u.ac.jp/item/rb00003883#?c=0&amp;m=0&amp;s=0&amp;cv=382")</f>
        <v>https://rmda.kulib.kyoto-u.ac.jp/item/rb00003883#?c=0&amp;m=0&amp;s=0&amp;cv=382</v>
      </c>
      <c r="F2459">
        <v>407</v>
      </c>
    </row>
    <row r="2460" spans="1:6" x14ac:dyDescent="0.15">
      <c r="A2460" s="6" t="s">
        <v>2199</v>
      </c>
      <c r="B2460" s="6" t="s">
        <v>1520</v>
      </c>
      <c r="C2460" s="6">
        <v>383</v>
      </c>
      <c r="D2460" s="6" t="str">
        <f>HYPERLINK("https://rmda.kulib.kyoto-u.ac.jp/item/rb00003883#?c=0&amp;m=0&amp;s=0&amp;cv=382")</f>
        <v>https://rmda.kulib.kyoto-u.ac.jp/item/rb00003883#?c=0&amp;m=0&amp;s=0&amp;cv=382</v>
      </c>
      <c r="F2460">
        <v>407</v>
      </c>
    </row>
    <row r="2461" spans="1:6" x14ac:dyDescent="0.15">
      <c r="A2461" s="6" t="s">
        <v>2199</v>
      </c>
      <c r="B2461" s="6" t="s">
        <v>2454</v>
      </c>
      <c r="C2461" s="6">
        <v>383</v>
      </c>
      <c r="D2461" s="6" t="str">
        <f>HYPERLINK("https://rmda.kulib.kyoto-u.ac.jp/item/rb00003883#?c=0&amp;m=0&amp;s=0&amp;cv=382")</f>
        <v>https://rmda.kulib.kyoto-u.ac.jp/item/rb00003883#?c=0&amp;m=0&amp;s=0&amp;cv=382</v>
      </c>
      <c r="F2461">
        <v>408</v>
      </c>
    </row>
    <row r="2462" spans="1:6" x14ac:dyDescent="0.15">
      <c r="A2462" s="6" t="s">
        <v>2199</v>
      </c>
      <c r="B2462" s="63" t="s">
        <v>5525</v>
      </c>
      <c r="C2462" s="6">
        <v>383</v>
      </c>
      <c r="D2462" s="6" t="str">
        <f>HYPERLINK("https://rmda.kulib.kyoto-u.ac.jp/item/rb00003883#?c=0&amp;m=0&amp;s=0&amp;cv=382")</f>
        <v>https://rmda.kulib.kyoto-u.ac.jp/item/rb00003883#?c=0&amp;m=0&amp;s=0&amp;cv=382</v>
      </c>
    </row>
    <row r="2463" spans="1:6" x14ac:dyDescent="0.15">
      <c r="A2463" s="6" t="s">
        <v>2199</v>
      </c>
      <c r="B2463" s="6" t="s">
        <v>5995</v>
      </c>
      <c r="C2463" s="6">
        <v>384</v>
      </c>
      <c r="D2463" s="6" t="str">
        <f>HYPERLINK("https://rmda.kulib.kyoto-u.ac.jp/item/rb00003883#?c=0&amp;m=0&amp;s=0&amp;cv=383")</f>
        <v>https://rmda.kulib.kyoto-u.ac.jp/item/rb00003883#?c=0&amp;m=0&amp;s=0&amp;cv=383</v>
      </c>
      <c r="F2463">
        <v>408</v>
      </c>
    </row>
    <row r="2464" spans="1:6" x14ac:dyDescent="0.15">
      <c r="A2464" s="6" t="s">
        <v>2199</v>
      </c>
      <c r="B2464" s="6" t="s">
        <v>2455</v>
      </c>
      <c r="C2464" s="6">
        <v>384</v>
      </c>
      <c r="D2464" s="6" t="str">
        <f>HYPERLINK("https://rmda.kulib.kyoto-u.ac.jp/item/rb00003883#?c=0&amp;m=0&amp;s=0&amp;cv=383")</f>
        <v>https://rmda.kulib.kyoto-u.ac.jp/item/rb00003883#?c=0&amp;m=0&amp;s=0&amp;cv=383</v>
      </c>
      <c r="F2464">
        <v>409</v>
      </c>
    </row>
    <row r="2465" spans="1:6" x14ac:dyDescent="0.15">
      <c r="A2465" s="6" t="s">
        <v>2199</v>
      </c>
      <c r="B2465" s="6" t="s">
        <v>4445</v>
      </c>
      <c r="C2465" s="6">
        <v>384</v>
      </c>
      <c r="D2465" s="6" t="str">
        <f>HYPERLINK("https://rmda.kulib.kyoto-u.ac.jp/item/rb00003883#?c=0&amp;m=0&amp;s=0&amp;cv=383")</f>
        <v>https://rmda.kulib.kyoto-u.ac.jp/item/rb00003883#?c=0&amp;m=0&amp;s=0&amp;cv=383</v>
      </c>
      <c r="F2465">
        <v>409</v>
      </c>
    </row>
    <row r="2466" spans="1:6" x14ac:dyDescent="0.15">
      <c r="A2466" s="6" t="s">
        <v>2199</v>
      </c>
      <c r="B2466" s="6" t="s">
        <v>4446</v>
      </c>
      <c r="C2466" s="6">
        <v>385</v>
      </c>
      <c r="D2466" s="6" t="str">
        <f>HYPERLINK("https://rmda.kulib.kyoto-u.ac.jp/item/rb00003883#?c=0&amp;m=0&amp;s=0&amp;cv=384")</f>
        <v>https://rmda.kulib.kyoto-u.ac.jp/item/rb00003883#?c=0&amp;m=0&amp;s=0&amp;cv=384</v>
      </c>
      <c r="F2466">
        <v>409</v>
      </c>
    </row>
    <row r="2467" spans="1:6" x14ac:dyDescent="0.15">
      <c r="A2467" s="6" t="s">
        <v>2199</v>
      </c>
      <c r="B2467" s="6" t="s">
        <v>4447</v>
      </c>
      <c r="C2467" s="6">
        <v>385</v>
      </c>
      <c r="D2467" s="6" t="str">
        <f>HYPERLINK("https://rmda.kulib.kyoto-u.ac.jp/item/rb00003883#?c=0&amp;m=0&amp;s=0&amp;cv=384")</f>
        <v>https://rmda.kulib.kyoto-u.ac.jp/item/rb00003883#?c=0&amp;m=0&amp;s=0&amp;cv=384</v>
      </c>
      <c r="F2467">
        <v>410</v>
      </c>
    </row>
    <row r="2468" spans="1:6" x14ac:dyDescent="0.15">
      <c r="A2468" s="6" t="s">
        <v>2199</v>
      </c>
      <c r="B2468" s="6" t="s">
        <v>1804</v>
      </c>
      <c r="C2468" s="6">
        <v>385</v>
      </c>
      <c r="D2468" s="6" t="str">
        <f>HYPERLINK("https://rmda.kulib.kyoto-u.ac.jp/item/rb00003883#?c=0&amp;m=0&amp;s=0&amp;cv=384")</f>
        <v>https://rmda.kulib.kyoto-u.ac.jp/item/rb00003883#?c=0&amp;m=0&amp;s=0&amp;cv=384</v>
      </c>
      <c r="F2468">
        <v>410</v>
      </c>
    </row>
    <row r="2469" spans="1:6" x14ac:dyDescent="0.15">
      <c r="A2469" s="6" t="s">
        <v>2199</v>
      </c>
      <c r="B2469" s="6" t="s">
        <v>2456</v>
      </c>
      <c r="C2469" s="6">
        <v>386</v>
      </c>
      <c r="D2469" s="6" t="str">
        <f>HYPERLINK("https://rmda.kulib.kyoto-u.ac.jp/item/rb00003883#?c=0&amp;m=0&amp;s=0&amp;cv=385")</f>
        <v>https://rmda.kulib.kyoto-u.ac.jp/item/rb00003883#?c=0&amp;m=0&amp;s=0&amp;cv=385</v>
      </c>
      <c r="F2469">
        <v>411</v>
      </c>
    </row>
    <row r="2470" spans="1:6" x14ac:dyDescent="0.15">
      <c r="A2470" s="6" t="s">
        <v>2199</v>
      </c>
      <c r="B2470" s="6" t="s">
        <v>4448</v>
      </c>
      <c r="C2470" s="6">
        <v>386</v>
      </c>
      <c r="D2470" s="6" t="str">
        <f>HYPERLINK("https://rmda.kulib.kyoto-u.ac.jp/item/rb00003883#?c=0&amp;m=0&amp;s=0&amp;cv=385")</f>
        <v>https://rmda.kulib.kyoto-u.ac.jp/item/rb00003883#?c=0&amp;m=0&amp;s=0&amp;cv=385</v>
      </c>
      <c r="F2470">
        <v>411</v>
      </c>
    </row>
    <row r="2471" spans="1:6" x14ac:dyDescent="0.15">
      <c r="A2471" s="6" t="s">
        <v>2199</v>
      </c>
      <c r="B2471" s="6" t="s">
        <v>4449</v>
      </c>
      <c r="C2471" s="6">
        <v>386</v>
      </c>
      <c r="D2471" s="6" t="str">
        <f>HYPERLINK("https://rmda.kulib.kyoto-u.ac.jp/item/rb00003883#?c=0&amp;m=0&amp;s=0&amp;cv=385")</f>
        <v>https://rmda.kulib.kyoto-u.ac.jp/item/rb00003883#?c=0&amp;m=0&amp;s=0&amp;cv=385</v>
      </c>
      <c r="F2471">
        <v>412</v>
      </c>
    </row>
    <row r="2472" spans="1:6" x14ac:dyDescent="0.15">
      <c r="A2472" s="6" t="s">
        <v>2199</v>
      </c>
      <c r="B2472" s="6" t="s">
        <v>1994</v>
      </c>
      <c r="C2472" s="6">
        <v>387</v>
      </c>
      <c r="D2472" s="6" t="str">
        <f>HYPERLINK("https://rmda.kulib.kyoto-u.ac.jp/item/rb00003883#?c=0&amp;m=0&amp;s=0&amp;cv=386")</f>
        <v>https://rmda.kulib.kyoto-u.ac.jp/item/rb00003883#?c=0&amp;m=0&amp;s=0&amp;cv=386</v>
      </c>
      <c r="F2472">
        <v>412</v>
      </c>
    </row>
    <row r="2473" spans="1:6" x14ac:dyDescent="0.15">
      <c r="A2473" s="6" t="s">
        <v>2199</v>
      </c>
      <c r="B2473" s="6" t="s">
        <v>5996</v>
      </c>
      <c r="C2473" s="6">
        <v>387</v>
      </c>
      <c r="D2473" s="6" t="str">
        <f>HYPERLINK("https://rmda.kulib.kyoto-u.ac.jp/item/rb00003883#?c=0&amp;m=0&amp;s=0&amp;cv=386")</f>
        <v>https://rmda.kulib.kyoto-u.ac.jp/item/rb00003883#?c=0&amp;m=0&amp;s=0&amp;cv=386</v>
      </c>
      <c r="F2473">
        <v>413</v>
      </c>
    </row>
    <row r="2474" spans="1:6" x14ac:dyDescent="0.15">
      <c r="A2474" s="6" t="s">
        <v>2199</v>
      </c>
      <c r="B2474" s="6" t="s">
        <v>4450</v>
      </c>
      <c r="C2474" s="6">
        <v>388</v>
      </c>
      <c r="D2474" s="6" t="str">
        <f>HYPERLINK("https://rmda.kulib.kyoto-u.ac.jp/item/rb00003883#?c=0&amp;m=0&amp;s=0&amp;cv=387")</f>
        <v>https://rmda.kulib.kyoto-u.ac.jp/item/rb00003883#?c=0&amp;m=0&amp;s=0&amp;cv=387</v>
      </c>
      <c r="F2474">
        <v>413</v>
      </c>
    </row>
    <row r="2475" spans="1:6" x14ac:dyDescent="0.15">
      <c r="A2475" s="6" t="s">
        <v>2199</v>
      </c>
      <c r="B2475" s="6" t="s">
        <v>4451</v>
      </c>
      <c r="C2475" s="6">
        <v>388</v>
      </c>
      <c r="D2475" s="6" t="str">
        <f>HYPERLINK("https://rmda.kulib.kyoto-u.ac.jp/item/rb00003883#?c=0&amp;m=0&amp;s=0&amp;cv=387")</f>
        <v>https://rmda.kulib.kyoto-u.ac.jp/item/rb00003883#?c=0&amp;m=0&amp;s=0&amp;cv=387</v>
      </c>
      <c r="F2475">
        <v>414</v>
      </c>
    </row>
    <row r="2476" spans="1:6" x14ac:dyDescent="0.15">
      <c r="A2476" s="6" t="s">
        <v>2199</v>
      </c>
      <c r="B2476" s="6" t="s">
        <v>4509</v>
      </c>
      <c r="C2476" s="6">
        <v>388</v>
      </c>
      <c r="D2476" s="6" t="str">
        <f>HYPERLINK("https://rmda.kulib.kyoto-u.ac.jp/item/rb00003883#?c=0&amp;m=0&amp;s=0&amp;cv=387")</f>
        <v>https://rmda.kulib.kyoto-u.ac.jp/item/rb00003883#?c=0&amp;m=0&amp;s=0&amp;cv=387</v>
      </c>
      <c r="F2476">
        <v>414</v>
      </c>
    </row>
    <row r="2477" spans="1:6" x14ac:dyDescent="0.15">
      <c r="A2477" s="6" t="s">
        <v>2199</v>
      </c>
      <c r="B2477" s="6" t="s">
        <v>5997</v>
      </c>
      <c r="C2477" s="6">
        <v>388</v>
      </c>
      <c r="D2477" s="6" t="str">
        <f>HYPERLINK("https://rmda.kulib.kyoto-u.ac.jp/item/rb00003883#?c=0&amp;m=0&amp;s=0&amp;cv=387")</f>
        <v>https://rmda.kulib.kyoto-u.ac.jp/item/rb00003883#?c=0&amp;m=0&amp;s=0&amp;cv=387</v>
      </c>
      <c r="F2477">
        <v>414</v>
      </c>
    </row>
    <row r="2478" spans="1:6" x14ac:dyDescent="0.15">
      <c r="A2478" s="6" t="s">
        <v>2199</v>
      </c>
      <c r="B2478" s="6" t="s">
        <v>4510</v>
      </c>
      <c r="C2478" s="6">
        <v>389</v>
      </c>
      <c r="D2478" s="6" t="str">
        <f t="shared" ref="D2478:D2483" si="5">HYPERLINK("https://rmda.kulib.kyoto-u.ac.jp/item/rb00003883#?c=0&amp;m=0&amp;s=0&amp;cv=388")</f>
        <v>https://rmda.kulib.kyoto-u.ac.jp/item/rb00003883#?c=0&amp;m=0&amp;s=0&amp;cv=388</v>
      </c>
      <c r="F2478">
        <v>414</v>
      </c>
    </row>
    <row r="2479" spans="1:6" x14ac:dyDescent="0.15">
      <c r="A2479" s="6" t="s">
        <v>2199</v>
      </c>
      <c r="B2479" s="6" t="s">
        <v>4511</v>
      </c>
      <c r="C2479" s="6">
        <v>389</v>
      </c>
      <c r="D2479" s="6" t="str">
        <f t="shared" si="5"/>
        <v>https://rmda.kulib.kyoto-u.ac.jp/item/rb00003883#?c=0&amp;m=0&amp;s=0&amp;cv=388</v>
      </c>
      <c r="F2479">
        <v>415</v>
      </c>
    </row>
    <row r="2480" spans="1:6" x14ac:dyDescent="0.15">
      <c r="A2480" s="6" t="s">
        <v>2199</v>
      </c>
      <c r="B2480" s="6" t="s">
        <v>4512</v>
      </c>
      <c r="C2480" s="6">
        <v>389</v>
      </c>
      <c r="D2480" s="6" t="str">
        <f t="shared" si="5"/>
        <v>https://rmda.kulib.kyoto-u.ac.jp/item/rb00003883#?c=0&amp;m=0&amp;s=0&amp;cv=388</v>
      </c>
      <c r="F2480">
        <v>415</v>
      </c>
    </row>
    <row r="2481" spans="1:6" x14ac:dyDescent="0.15">
      <c r="A2481" s="6" t="s">
        <v>2199</v>
      </c>
      <c r="B2481" s="63" t="s">
        <v>5562</v>
      </c>
      <c r="C2481" s="6">
        <v>389</v>
      </c>
      <c r="D2481" s="6" t="str">
        <f t="shared" si="5"/>
        <v>https://rmda.kulib.kyoto-u.ac.jp/item/rb00003883#?c=0&amp;m=0&amp;s=0&amp;cv=388</v>
      </c>
    </row>
    <row r="2482" spans="1:6" x14ac:dyDescent="0.15">
      <c r="A2482" s="6" t="s">
        <v>2199</v>
      </c>
      <c r="B2482" s="6" t="s">
        <v>4491</v>
      </c>
      <c r="C2482" s="6">
        <v>389</v>
      </c>
      <c r="D2482" s="6" t="str">
        <f t="shared" si="5"/>
        <v>https://rmda.kulib.kyoto-u.ac.jp/item/rb00003883#?c=0&amp;m=0&amp;s=0&amp;cv=388</v>
      </c>
      <c r="F2482">
        <v>415</v>
      </c>
    </row>
    <row r="2483" spans="1:6" x14ac:dyDescent="0.15">
      <c r="A2483" s="6" t="s">
        <v>2199</v>
      </c>
      <c r="B2483" s="6" t="s">
        <v>2457</v>
      </c>
      <c r="C2483" s="6">
        <v>389</v>
      </c>
      <c r="D2483" s="6" t="str">
        <f t="shared" si="5"/>
        <v>https://rmda.kulib.kyoto-u.ac.jp/item/rb00003883#?c=0&amp;m=0&amp;s=0&amp;cv=388</v>
      </c>
      <c r="F2483">
        <v>415</v>
      </c>
    </row>
    <row r="2484" spans="1:6" x14ac:dyDescent="0.15">
      <c r="A2484" s="6" t="s">
        <v>2199</v>
      </c>
      <c r="B2484" s="6" t="s">
        <v>2458</v>
      </c>
      <c r="C2484" s="6">
        <v>390</v>
      </c>
      <c r="D2484" s="6" t="str">
        <f>HYPERLINK("https://rmda.kulib.kyoto-u.ac.jp/item/rb00003883#?c=0&amp;m=0&amp;s=0&amp;cv=389")</f>
        <v>https://rmda.kulib.kyoto-u.ac.jp/item/rb00003883#?c=0&amp;m=0&amp;s=0&amp;cv=389</v>
      </c>
      <c r="F2484">
        <v>416</v>
      </c>
    </row>
    <row r="2485" spans="1:6" x14ac:dyDescent="0.15">
      <c r="A2485" s="6" t="s">
        <v>2199</v>
      </c>
      <c r="B2485" s="6" t="s">
        <v>2459</v>
      </c>
      <c r="C2485" s="6">
        <v>390</v>
      </c>
      <c r="D2485" s="6" t="str">
        <f>HYPERLINK("https://rmda.kulib.kyoto-u.ac.jp/item/rb00003883#?c=0&amp;m=0&amp;s=0&amp;cv=389")</f>
        <v>https://rmda.kulib.kyoto-u.ac.jp/item/rb00003883#?c=0&amp;m=0&amp;s=0&amp;cv=389</v>
      </c>
      <c r="F2485">
        <v>416</v>
      </c>
    </row>
    <row r="2486" spans="1:6" x14ac:dyDescent="0.15">
      <c r="A2486" s="6" t="s">
        <v>2199</v>
      </c>
      <c r="B2486" s="6" t="s">
        <v>2460</v>
      </c>
      <c r="C2486" s="6">
        <v>390</v>
      </c>
      <c r="D2486" s="6" t="str">
        <f>HYPERLINK("https://rmda.kulib.kyoto-u.ac.jp/item/rb00003883#?c=0&amp;m=0&amp;s=0&amp;cv=389")</f>
        <v>https://rmda.kulib.kyoto-u.ac.jp/item/rb00003883#?c=0&amp;m=0&amp;s=0&amp;cv=389</v>
      </c>
      <c r="F2486">
        <v>416</v>
      </c>
    </row>
    <row r="2487" spans="1:6" x14ac:dyDescent="0.15">
      <c r="A2487" s="6" t="s">
        <v>2199</v>
      </c>
      <c r="B2487" s="6" t="s">
        <v>2461</v>
      </c>
      <c r="C2487" s="6">
        <v>390</v>
      </c>
      <c r="D2487" s="6" t="str">
        <f>HYPERLINK("https://rmda.kulib.kyoto-u.ac.jp/item/rb00003883#?c=0&amp;m=0&amp;s=0&amp;cv=389")</f>
        <v>https://rmda.kulib.kyoto-u.ac.jp/item/rb00003883#?c=0&amp;m=0&amp;s=0&amp;cv=389</v>
      </c>
      <c r="F2487">
        <v>417</v>
      </c>
    </row>
    <row r="2488" spans="1:6" x14ac:dyDescent="0.15">
      <c r="A2488" s="6" t="s">
        <v>2199</v>
      </c>
      <c r="B2488" s="6" t="s">
        <v>2462</v>
      </c>
      <c r="C2488" s="6">
        <v>391</v>
      </c>
      <c r="D2488" s="6" t="str">
        <f>HYPERLINK("https://rmda.kulib.kyoto-u.ac.jp/item/rb00003883#?c=0&amp;m=0&amp;s=0&amp;cv=390")</f>
        <v>https://rmda.kulib.kyoto-u.ac.jp/item/rb00003883#?c=0&amp;m=0&amp;s=0&amp;cv=390</v>
      </c>
      <c r="F2488">
        <v>417</v>
      </c>
    </row>
    <row r="2489" spans="1:6" x14ac:dyDescent="0.15">
      <c r="A2489" s="6" t="s">
        <v>2199</v>
      </c>
      <c r="B2489" s="6" t="s">
        <v>2463</v>
      </c>
      <c r="C2489" s="6">
        <v>391</v>
      </c>
      <c r="D2489" s="6" t="str">
        <f>HYPERLINK("https://rmda.kulib.kyoto-u.ac.jp/item/rb00003883#?c=0&amp;m=0&amp;s=0&amp;cv=390")</f>
        <v>https://rmda.kulib.kyoto-u.ac.jp/item/rb00003883#?c=0&amp;m=0&amp;s=0&amp;cv=390</v>
      </c>
      <c r="F2489">
        <v>417</v>
      </c>
    </row>
    <row r="2490" spans="1:6" x14ac:dyDescent="0.15">
      <c r="A2490" s="6" t="s">
        <v>2199</v>
      </c>
      <c r="B2490" s="6" t="s">
        <v>2464</v>
      </c>
      <c r="C2490" s="6">
        <v>391</v>
      </c>
      <c r="D2490" s="6" t="str">
        <f>HYPERLINK("https://rmda.kulib.kyoto-u.ac.jp/item/rb00003883#?c=0&amp;m=0&amp;s=0&amp;cv=390")</f>
        <v>https://rmda.kulib.kyoto-u.ac.jp/item/rb00003883#?c=0&amp;m=0&amp;s=0&amp;cv=390</v>
      </c>
      <c r="F2490">
        <v>417</v>
      </c>
    </row>
    <row r="2491" spans="1:6" x14ac:dyDescent="0.15">
      <c r="A2491" s="6" t="s">
        <v>2199</v>
      </c>
      <c r="B2491" s="6" t="s">
        <v>4492</v>
      </c>
      <c r="C2491" s="6">
        <v>391</v>
      </c>
      <c r="D2491" s="6" t="str">
        <f>HYPERLINK("https://rmda.kulib.kyoto-u.ac.jp/item/rb00003883#?c=0&amp;m=0&amp;s=0&amp;cv=390")</f>
        <v>https://rmda.kulib.kyoto-u.ac.jp/item/rb00003883#?c=0&amp;m=0&amp;s=0&amp;cv=390</v>
      </c>
      <c r="F2491">
        <v>418</v>
      </c>
    </row>
    <row r="2492" spans="1:6" x14ac:dyDescent="0.15">
      <c r="A2492" s="6" t="s">
        <v>2199</v>
      </c>
      <c r="B2492" s="6" t="s">
        <v>2465</v>
      </c>
      <c r="C2492" s="6">
        <v>391</v>
      </c>
      <c r="D2492" s="6" t="str">
        <f>HYPERLINK("https://rmda.kulib.kyoto-u.ac.jp/item/rb00003883#?c=0&amp;m=0&amp;s=0&amp;cv=390")</f>
        <v>https://rmda.kulib.kyoto-u.ac.jp/item/rb00003883#?c=0&amp;m=0&amp;s=0&amp;cv=390</v>
      </c>
      <c r="F2492">
        <v>418</v>
      </c>
    </row>
    <row r="2493" spans="1:6" x14ac:dyDescent="0.15">
      <c r="A2493" s="6" t="s">
        <v>2199</v>
      </c>
      <c r="B2493" s="6" t="s">
        <v>4493</v>
      </c>
      <c r="C2493" s="6">
        <v>392</v>
      </c>
      <c r="D2493" s="6" t="str">
        <f>HYPERLINK("https://rmda.kulib.kyoto-u.ac.jp/item/rb00003883#?c=0&amp;m=0&amp;s=0&amp;cv=391")</f>
        <v>https://rmda.kulib.kyoto-u.ac.jp/item/rb00003883#?c=0&amp;m=0&amp;s=0&amp;cv=391</v>
      </c>
      <c r="F2493">
        <v>418</v>
      </c>
    </row>
    <row r="2494" spans="1:6" x14ac:dyDescent="0.15">
      <c r="A2494" s="6" t="s">
        <v>2199</v>
      </c>
      <c r="B2494" s="6" t="s">
        <v>2466</v>
      </c>
      <c r="C2494" s="6">
        <v>392</v>
      </c>
      <c r="D2494" s="6" t="str">
        <f>HYPERLINK("https://rmda.kulib.kyoto-u.ac.jp/item/rb00003883#?c=0&amp;m=0&amp;s=0&amp;cv=391")</f>
        <v>https://rmda.kulib.kyoto-u.ac.jp/item/rb00003883#?c=0&amp;m=0&amp;s=0&amp;cv=391</v>
      </c>
      <c r="F2494">
        <v>419</v>
      </c>
    </row>
    <row r="2495" spans="1:6" x14ac:dyDescent="0.15">
      <c r="A2495" s="6" t="s">
        <v>2199</v>
      </c>
      <c r="B2495" s="6" t="s">
        <v>2467</v>
      </c>
      <c r="C2495" s="6">
        <v>392</v>
      </c>
      <c r="D2495" s="6" t="str">
        <f>HYPERLINK("https://rmda.kulib.kyoto-u.ac.jp/item/rb00003883#?c=0&amp;m=0&amp;s=0&amp;cv=391")</f>
        <v>https://rmda.kulib.kyoto-u.ac.jp/item/rb00003883#?c=0&amp;m=0&amp;s=0&amp;cv=391</v>
      </c>
      <c r="F2495">
        <v>419</v>
      </c>
    </row>
    <row r="2496" spans="1:6" x14ac:dyDescent="0.15">
      <c r="A2496" s="6" t="s">
        <v>2199</v>
      </c>
      <c r="B2496" s="6" t="s">
        <v>2468</v>
      </c>
      <c r="C2496" s="6">
        <v>392</v>
      </c>
      <c r="D2496" s="6" t="str">
        <f>HYPERLINK("https://rmda.kulib.kyoto-u.ac.jp/item/rb00003883#?c=0&amp;m=0&amp;s=0&amp;cv=391")</f>
        <v>https://rmda.kulib.kyoto-u.ac.jp/item/rb00003883#?c=0&amp;m=0&amp;s=0&amp;cv=391</v>
      </c>
      <c r="F2496">
        <v>419</v>
      </c>
    </row>
    <row r="2497" spans="1:6" x14ac:dyDescent="0.15">
      <c r="A2497" s="6" t="s">
        <v>2199</v>
      </c>
      <c r="B2497" s="6" t="s">
        <v>2469</v>
      </c>
      <c r="C2497" s="6">
        <v>393</v>
      </c>
      <c r="D2497" s="6" t="str">
        <f>HYPERLINK("https://rmda.kulib.kyoto-u.ac.jp/item/rb00003883#?c=0&amp;m=0&amp;s=0&amp;cv=392")</f>
        <v>https://rmda.kulib.kyoto-u.ac.jp/item/rb00003883#?c=0&amp;m=0&amp;s=0&amp;cv=392</v>
      </c>
      <c r="F2497">
        <v>419</v>
      </c>
    </row>
    <row r="2498" spans="1:6" x14ac:dyDescent="0.15">
      <c r="A2498" s="6" t="s">
        <v>2199</v>
      </c>
      <c r="B2498" s="63" t="s">
        <v>5537</v>
      </c>
      <c r="C2498" s="6">
        <v>393</v>
      </c>
      <c r="D2498" s="6" t="str">
        <f>HYPERLINK("https://rmda.kulib.kyoto-u.ac.jp/item/rb00003883#?c=0&amp;m=0&amp;s=0&amp;cv=392")</f>
        <v>https://rmda.kulib.kyoto-u.ac.jp/item/rb00003883#?c=0&amp;m=0&amp;s=0&amp;cv=392</v>
      </c>
    </row>
    <row r="2499" spans="1:6" x14ac:dyDescent="0.15">
      <c r="A2499" s="6" t="s">
        <v>2199</v>
      </c>
      <c r="B2499" s="6" t="s">
        <v>2469</v>
      </c>
      <c r="C2499" s="6">
        <v>393</v>
      </c>
      <c r="D2499" s="6" t="str">
        <f>HYPERLINK("https://rmda.kulib.kyoto-u.ac.jp/item/rb00003883#?c=0&amp;m=0&amp;s=0&amp;cv=392")</f>
        <v>https://rmda.kulib.kyoto-u.ac.jp/item/rb00003883#?c=0&amp;m=0&amp;s=0&amp;cv=392</v>
      </c>
      <c r="F2499">
        <v>420</v>
      </c>
    </row>
    <row r="2500" spans="1:6" x14ac:dyDescent="0.15">
      <c r="A2500" s="6" t="s">
        <v>2199</v>
      </c>
      <c r="B2500" s="6" t="s">
        <v>2470</v>
      </c>
      <c r="C2500" s="6">
        <v>393</v>
      </c>
      <c r="D2500" s="6" t="str">
        <f>HYPERLINK("https://rmda.kulib.kyoto-u.ac.jp/item/rb00003883#?c=0&amp;m=0&amp;s=0&amp;cv=392")</f>
        <v>https://rmda.kulib.kyoto-u.ac.jp/item/rb00003883#?c=0&amp;m=0&amp;s=0&amp;cv=392</v>
      </c>
      <c r="F2500">
        <v>420</v>
      </c>
    </row>
    <row r="2501" spans="1:6" x14ac:dyDescent="0.15">
      <c r="A2501" s="6" t="s">
        <v>2199</v>
      </c>
      <c r="B2501" s="6" t="s">
        <v>2471</v>
      </c>
      <c r="C2501" s="6">
        <v>393</v>
      </c>
      <c r="D2501" s="6" t="str">
        <f>HYPERLINK("https://rmda.kulib.kyoto-u.ac.jp/item/rb00003883#?c=0&amp;m=0&amp;s=0&amp;cv=392")</f>
        <v>https://rmda.kulib.kyoto-u.ac.jp/item/rb00003883#?c=0&amp;m=0&amp;s=0&amp;cv=392</v>
      </c>
      <c r="F2501">
        <v>420</v>
      </c>
    </row>
    <row r="2502" spans="1:6" x14ac:dyDescent="0.15">
      <c r="A2502" s="6" t="s">
        <v>2199</v>
      </c>
      <c r="B2502" s="6" t="s">
        <v>1824</v>
      </c>
      <c r="C2502" s="6">
        <v>394</v>
      </c>
      <c r="D2502" s="6" t="str">
        <f>HYPERLINK("https://rmda.kulib.kyoto-u.ac.jp/item/rb00003883#?c=0&amp;m=0&amp;s=0&amp;cv=393")</f>
        <v>https://rmda.kulib.kyoto-u.ac.jp/item/rb00003883#?c=0&amp;m=0&amp;s=0&amp;cv=393</v>
      </c>
      <c r="F2502">
        <v>421</v>
      </c>
    </row>
    <row r="2503" spans="1:6" x14ac:dyDescent="0.15">
      <c r="A2503" s="6" t="s">
        <v>2199</v>
      </c>
      <c r="B2503" s="63" t="s">
        <v>5524</v>
      </c>
      <c r="C2503" s="6">
        <v>394</v>
      </c>
      <c r="D2503" s="6" t="str">
        <f>HYPERLINK("https://rmda.kulib.kyoto-u.ac.jp/item/rb00003883#?c=0&amp;m=0&amp;s=0&amp;cv=393")</f>
        <v>https://rmda.kulib.kyoto-u.ac.jp/item/rb00003883#?c=0&amp;m=0&amp;s=0&amp;cv=393</v>
      </c>
    </row>
    <row r="2504" spans="1:6" x14ac:dyDescent="0.15">
      <c r="A2504" s="6" t="s">
        <v>2199</v>
      </c>
      <c r="B2504" s="6" t="s">
        <v>2472</v>
      </c>
      <c r="C2504" s="6">
        <v>394</v>
      </c>
      <c r="D2504" s="6" t="str">
        <f>HYPERLINK("https://rmda.kulib.kyoto-u.ac.jp/item/rb00003883#?c=0&amp;m=0&amp;s=0&amp;cv=393")</f>
        <v>https://rmda.kulib.kyoto-u.ac.jp/item/rb00003883#?c=0&amp;m=0&amp;s=0&amp;cv=393</v>
      </c>
      <c r="F2504">
        <v>421</v>
      </c>
    </row>
    <row r="2505" spans="1:6" x14ac:dyDescent="0.15">
      <c r="A2505" s="6" t="s">
        <v>2199</v>
      </c>
      <c r="B2505" s="6" t="s">
        <v>2473</v>
      </c>
      <c r="C2505" s="6">
        <v>394</v>
      </c>
      <c r="D2505" s="6" t="str">
        <f>HYPERLINK("https://rmda.kulib.kyoto-u.ac.jp/item/rb00003883#?c=0&amp;m=0&amp;s=0&amp;cv=393")</f>
        <v>https://rmda.kulib.kyoto-u.ac.jp/item/rb00003883#?c=0&amp;m=0&amp;s=0&amp;cv=393</v>
      </c>
      <c r="F2505">
        <v>421</v>
      </c>
    </row>
    <row r="2506" spans="1:6" x14ac:dyDescent="0.15">
      <c r="A2506" s="6" t="s">
        <v>2199</v>
      </c>
      <c r="B2506" s="6" t="s">
        <v>2474</v>
      </c>
      <c r="C2506" s="6">
        <v>394</v>
      </c>
      <c r="D2506" s="6" t="str">
        <f>HYPERLINK("https://rmda.kulib.kyoto-u.ac.jp/item/rb00003883#?c=0&amp;m=0&amp;s=0&amp;cv=393")</f>
        <v>https://rmda.kulib.kyoto-u.ac.jp/item/rb00003883#?c=0&amp;m=0&amp;s=0&amp;cv=393</v>
      </c>
      <c r="F2506">
        <v>422</v>
      </c>
    </row>
    <row r="2507" spans="1:6" x14ac:dyDescent="0.15">
      <c r="A2507" s="6" t="s">
        <v>2199</v>
      </c>
      <c r="B2507" s="6" t="s">
        <v>2475</v>
      </c>
      <c r="C2507" s="6">
        <v>395</v>
      </c>
      <c r="D2507" s="6" t="str">
        <f>HYPERLINK("https://rmda.kulib.kyoto-u.ac.jp/item/rb00003883#?c=0&amp;m=0&amp;s=0&amp;cv=394")</f>
        <v>https://rmda.kulib.kyoto-u.ac.jp/item/rb00003883#?c=0&amp;m=0&amp;s=0&amp;cv=394</v>
      </c>
      <c r="F2507">
        <v>422</v>
      </c>
    </row>
    <row r="2508" spans="1:6" x14ac:dyDescent="0.15">
      <c r="A2508" s="6" t="s">
        <v>2199</v>
      </c>
      <c r="B2508" s="63" t="s">
        <v>5541</v>
      </c>
      <c r="C2508" s="6">
        <v>395</v>
      </c>
      <c r="D2508" s="6" t="str">
        <f>HYPERLINK("https://rmda.kulib.kyoto-u.ac.jp/item/rb00003883#?c=0&amp;m=0&amp;s=0&amp;cv=394")</f>
        <v>https://rmda.kulib.kyoto-u.ac.jp/item/rb00003883#?c=0&amp;m=0&amp;s=0&amp;cv=394</v>
      </c>
    </row>
    <row r="2509" spans="1:6" x14ac:dyDescent="0.15">
      <c r="A2509" s="6" t="s">
        <v>2199</v>
      </c>
      <c r="B2509" s="6" t="s">
        <v>2285</v>
      </c>
      <c r="C2509" s="6">
        <v>395</v>
      </c>
      <c r="D2509" s="6" t="str">
        <f>HYPERLINK("https://rmda.kulib.kyoto-u.ac.jp/item/rb00003883#?c=0&amp;m=0&amp;s=0&amp;cv=394")</f>
        <v>https://rmda.kulib.kyoto-u.ac.jp/item/rb00003883#?c=0&amp;m=0&amp;s=0&amp;cv=394</v>
      </c>
      <c r="F2509">
        <v>422</v>
      </c>
    </row>
    <row r="2510" spans="1:6" x14ac:dyDescent="0.15">
      <c r="A2510" s="6" t="s">
        <v>2199</v>
      </c>
      <c r="B2510" s="6" t="s">
        <v>2476</v>
      </c>
      <c r="C2510" s="6">
        <v>395</v>
      </c>
      <c r="D2510" s="6" t="str">
        <f>HYPERLINK("https://rmda.kulib.kyoto-u.ac.jp/item/rb00003883#?c=0&amp;m=0&amp;s=0&amp;cv=394")</f>
        <v>https://rmda.kulib.kyoto-u.ac.jp/item/rb00003883#?c=0&amp;m=0&amp;s=0&amp;cv=394</v>
      </c>
      <c r="F2510">
        <v>423</v>
      </c>
    </row>
    <row r="2511" spans="1:6" x14ac:dyDescent="0.15">
      <c r="A2511" s="6" t="s">
        <v>2199</v>
      </c>
      <c r="B2511" s="63" t="s">
        <v>5563</v>
      </c>
      <c r="C2511" s="6">
        <v>395</v>
      </c>
      <c r="D2511" s="6" t="str">
        <f>HYPERLINK("https://rmda.kulib.kyoto-u.ac.jp/item/rb00003883#?c=0&amp;m=0&amp;s=0&amp;cv=394")</f>
        <v>https://rmda.kulib.kyoto-u.ac.jp/item/rb00003883#?c=0&amp;m=0&amp;s=0&amp;cv=394</v>
      </c>
      <c r="F2511" t="s">
        <v>4494</v>
      </c>
    </row>
    <row r="2512" spans="1:6" x14ac:dyDescent="0.15">
      <c r="A2512" s="6" t="s">
        <v>2199</v>
      </c>
      <c r="B2512" s="6" t="s">
        <v>2477</v>
      </c>
      <c r="C2512" s="6">
        <v>396</v>
      </c>
      <c r="D2512" s="6" t="str">
        <f>HYPERLINK("https://rmda.kulib.kyoto-u.ac.jp/item/rb00003883#?c=0&amp;m=0&amp;s=0&amp;cv=395")</f>
        <v>https://rmda.kulib.kyoto-u.ac.jp/item/rb00003883#?c=0&amp;m=0&amp;s=0&amp;cv=395</v>
      </c>
    </row>
    <row r="2513" spans="1:4" x14ac:dyDescent="0.15">
      <c r="A2513" s="6" t="s">
        <v>2199</v>
      </c>
      <c r="B2513" s="6" t="s">
        <v>2478</v>
      </c>
      <c r="C2513" s="6">
        <v>396</v>
      </c>
      <c r="D2513" s="6" t="str">
        <f>HYPERLINK("https://rmda.kulib.kyoto-u.ac.jp/item/rb00003883#?c=0&amp;m=0&amp;s=0&amp;cv=395")</f>
        <v>https://rmda.kulib.kyoto-u.ac.jp/item/rb00003883#?c=0&amp;m=0&amp;s=0&amp;cv=395</v>
      </c>
    </row>
    <row r="2514" spans="1:4" x14ac:dyDescent="0.15">
      <c r="A2514" s="6" t="s">
        <v>2199</v>
      </c>
      <c r="B2514" s="6" t="s">
        <v>2479</v>
      </c>
      <c r="C2514" s="6">
        <v>396</v>
      </c>
      <c r="D2514" s="6" t="str">
        <f>HYPERLINK("https://rmda.kulib.kyoto-u.ac.jp/item/rb00003883#?c=0&amp;m=0&amp;s=0&amp;cv=395")</f>
        <v>https://rmda.kulib.kyoto-u.ac.jp/item/rb00003883#?c=0&amp;m=0&amp;s=0&amp;cv=395</v>
      </c>
    </row>
    <row r="2515" spans="1:4" x14ac:dyDescent="0.15">
      <c r="A2515" s="6" t="s">
        <v>2199</v>
      </c>
      <c r="B2515" s="6" t="s">
        <v>2480</v>
      </c>
      <c r="C2515" s="6">
        <v>396</v>
      </c>
      <c r="D2515" s="6" t="str">
        <f>HYPERLINK("https://rmda.kulib.kyoto-u.ac.jp/item/rb00003883#?c=0&amp;m=0&amp;s=0&amp;cv=395")</f>
        <v>https://rmda.kulib.kyoto-u.ac.jp/item/rb00003883#?c=0&amp;m=0&amp;s=0&amp;cv=395</v>
      </c>
    </row>
    <row r="2516" spans="1:4" x14ac:dyDescent="0.15">
      <c r="A2516" s="6" t="s">
        <v>2199</v>
      </c>
      <c r="B2516" s="72" t="s">
        <v>6012</v>
      </c>
      <c r="C2516" s="6">
        <v>400</v>
      </c>
      <c r="D2516" s="6" t="str">
        <f>HYPERLINK("https://rmda.kulib.kyoto-u.ac.jp/item/rb00003883#?c=0&amp;m=0&amp;s=0&amp;cv=399")</f>
        <v>https://rmda.kulib.kyoto-u.ac.jp/item/rb00003883#?c=0&amp;m=0&amp;s=0&amp;cv=399</v>
      </c>
    </row>
    <row r="2517" spans="1:4" x14ac:dyDescent="0.15">
      <c r="A2517" s="6" t="s">
        <v>2199</v>
      </c>
      <c r="B2517" s="6" t="s">
        <v>6013</v>
      </c>
      <c r="C2517" s="6">
        <v>400</v>
      </c>
      <c r="D2517" s="6" t="str">
        <f>HYPERLINK("https://rmda.kulib.kyoto-u.ac.jp/item/rb00003883#?c=0&amp;m=0&amp;s=0&amp;cv=399")</f>
        <v>https://rmda.kulib.kyoto-u.ac.jp/item/rb00003883#?c=0&amp;m=0&amp;s=0&amp;cv=399</v>
      </c>
    </row>
    <row r="2518" spans="1:4" x14ac:dyDescent="0.15">
      <c r="A2518" s="6" t="s">
        <v>2199</v>
      </c>
      <c r="B2518" s="6" t="s">
        <v>6014</v>
      </c>
      <c r="C2518" s="6">
        <v>408</v>
      </c>
      <c r="D2518" s="6" t="str">
        <f>HYPERLINK("https://rmda.kulib.kyoto-u.ac.jp/item/rb00003883#?c=0&amp;m=0&amp;s=0&amp;cv=407")</f>
        <v>https://rmda.kulib.kyoto-u.ac.jp/item/rb00003883#?c=0&amp;m=0&amp;s=0&amp;cv=407</v>
      </c>
    </row>
    <row r="2519" spans="1:4" x14ac:dyDescent="0.15">
      <c r="A2519" s="6" t="s">
        <v>2199</v>
      </c>
      <c r="B2519" s="6" t="s">
        <v>6015</v>
      </c>
      <c r="C2519" s="6">
        <v>414</v>
      </c>
      <c r="D2519" s="6" t="str">
        <f>HYPERLINK("https://rmda.kulib.kyoto-u.ac.jp/item/rb00003883#?c=0&amp;m=0&amp;s=0&amp;cv=413")</f>
        <v>https://rmda.kulib.kyoto-u.ac.jp/item/rb00003883#?c=0&amp;m=0&amp;s=0&amp;cv=413</v>
      </c>
    </row>
    <row r="2520" spans="1:4" x14ac:dyDescent="0.15">
      <c r="A2520" s="6" t="s">
        <v>2199</v>
      </c>
      <c r="B2520" s="6" t="s">
        <v>6016</v>
      </c>
      <c r="C2520" s="6">
        <v>419</v>
      </c>
      <c r="D2520" s="6" t="str">
        <f>HYPERLINK("https://rmda.kulib.kyoto-u.ac.jp/item/rb00003883#?c=0&amp;m=0&amp;s=0&amp;cv=418")</f>
        <v>https://rmda.kulib.kyoto-u.ac.jp/item/rb00003883#?c=0&amp;m=0&amp;s=0&amp;cv=418</v>
      </c>
    </row>
    <row r="2521" spans="1:4" x14ac:dyDescent="0.15">
      <c r="A2521" s="6" t="s">
        <v>2199</v>
      </c>
      <c r="B2521" s="6" t="s">
        <v>6017</v>
      </c>
      <c r="C2521" s="6">
        <v>429</v>
      </c>
      <c r="D2521" s="6" t="str">
        <f>HYPERLINK("https://rmda.kulib.kyoto-u.ac.jp/item/rb00003883#?c=0&amp;m=0&amp;s=0&amp;cv=428")</f>
        <v>https://rmda.kulib.kyoto-u.ac.jp/item/rb00003883#?c=0&amp;m=0&amp;s=0&amp;cv=428</v>
      </c>
    </row>
    <row r="2522" spans="1:4" x14ac:dyDescent="0.15">
      <c r="A2522" s="6" t="s">
        <v>2199</v>
      </c>
      <c r="B2522" s="6" t="s">
        <v>6018</v>
      </c>
      <c r="C2522" s="6">
        <v>435</v>
      </c>
      <c r="D2522" s="6" t="str">
        <f>HYPERLINK("https://rmda.kulib.kyoto-u.ac.jp/item/rb00003883#?c=0&amp;m=0&amp;s=0&amp;cv=434")</f>
        <v>https://rmda.kulib.kyoto-u.ac.jp/item/rb00003883#?c=0&amp;m=0&amp;s=0&amp;cv=434</v>
      </c>
    </row>
    <row r="2523" spans="1:4" x14ac:dyDescent="0.15">
      <c r="A2523" s="6" t="s">
        <v>2199</v>
      </c>
      <c r="B2523" s="6" t="s">
        <v>6019</v>
      </c>
      <c r="C2523" s="6">
        <v>443</v>
      </c>
      <c r="D2523" s="6" t="str">
        <f>HYPERLINK("https://rmda.kulib.kyoto-u.ac.jp/item/rb00003883#?c=0&amp;m=0&amp;s=0&amp;cv=442")</f>
        <v>https://rmda.kulib.kyoto-u.ac.jp/item/rb00003883#?c=0&amp;m=0&amp;s=0&amp;cv=442</v>
      </c>
    </row>
    <row r="2524" spans="1:4" x14ac:dyDescent="0.15">
      <c r="A2524" s="6" t="s">
        <v>2199</v>
      </c>
      <c r="B2524" s="6" t="s">
        <v>6020</v>
      </c>
      <c r="C2524" s="6">
        <v>452</v>
      </c>
      <c r="D2524" s="6" t="str">
        <f>HYPERLINK("https://rmda.kulib.kyoto-u.ac.jp/item/rb00003883#?c=0&amp;m=0&amp;s=0&amp;cv=451")</f>
        <v>https://rmda.kulib.kyoto-u.ac.jp/item/rb00003883#?c=0&amp;m=0&amp;s=0&amp;cv=451</v>
      </c>
    </row>
    <row r="2525" spans="1:4" x14ac:dyDescent="0.15">
      <c r="A2525" s="6" t="s">
        <v>2199</v>
      </c>
      <c r="B2525" s="6" t="s">
        <v>6021</v>
      </c>
      <c r="C2525" s="6">
        <v>460</v>
      </c>
      <c r="D2525" s="6" t="str">
        <f>HYPERLINK("https://rmda.kulib.kyoto-u.ac.jp/item/rb00003883#?c=0&amp;m=0&amp;s=0&amp;cv=459")</f>
        <v>https://rmda.kulib.kyoto-u.ac.jp/item/rb00003883#?c=0&amp;m=0&amp;s=0&amp;cv=459</v>
      </c>
    </row>
    <row r="2526" spans="1:4" x14ac:dyDescent="0.15">
      <c r="A2526" s="6" t="s">
        <v>2199</v>
      </c>
      <c r="B2526" s="72" t="s">
        <v>6022</v>
      </c>
      <c r="C2526" s="6">
        <v>468</v>
      </c>
      <c r="D2526" s="6" t="str">
        <f>HYPERLINK("https://rmda.kulib.kyoto-u.ac.jp/item/rb00003883#?c=0&amp;m=0&amp;s=0&amp;cv=467")</f>
        <v>https://rmda.kulib.kyoto-u.ac.jp/item/rb00003883#?c=0&amp;m=0&amp;s=0&amp;cv=467</v>
      </c>
    </row>
    <row r="2527" spans="1:4" x14ac:dyDescent="0.15">
      <c r="A2527" s="6" t="s">
        <v>2199</v>
      </c>
      <c r="B2527" s="6" t="s">
        <v>6023</v>
      </c>
      <c r="C2527" s="6">
        <v>468</v>
      </c>
      <c r="D2527" s="6" t="str">
        <f>HYPERLINK("https://rmda.kulib.kyoto-u.ac.jp/item/rb00003883#?c=0&amp;m=0&amp;s=0&amp;cv=467")</f>
        <v>https://rmda.kulib.kyoto-u.ac.jp/item/rb00003883#?c=0&amp;m=0&amp;s=0&amp;cv=467</v>
      </c>
    </row>
    <row r="2528" spans="1:4" x14ac:dyDescent="0.15">
      <c r="A2528" s="6" t="s">
        <v>2199</v>
      </c>
      <c r="B2528" s="6" t="s">
        <v>6024</v>
      </c>
      <c r="C2528" s="6">
        <v>475</v>
      </c>
      <c r="D2528" s="6" t="str">
        <f>HYPERLINK("https://rmda.kulib.kyoto-u.ac.jp/item/rb00003883#?c=0&amp;m=0&amp;s=0&amp;cv=474")</f>
        <v>https://rmda.kulib.kyoto-u.ac.jp/item/rb00003883#?c=0&amp;m=0&amp;s=0&amp;cv=474</v>
      </c>
    </row>
    <row r="2529" spans="1:6" x14ac:dyDescent="0.15">
      <c r="A2529" s="6" t="s">
        <v>2199</v>
      </c>
      <c r="B2529" s="6" t="s">
        <v>6025</v>
      </c>
      <c r="C2529" s="6">
        <v>483</v>
      </c>
      <c r="D2529" s="6" t="str">
        <f>HYPERLINK("https://rmda.kulib.kyoto-u.ac.jp/item/rb00003883#?c=0&amp;m=0&amp;s=0&amp;cv=482")</f>
        <v>https://rmda.kulib.kyoto-u.ac.jp/item/rb00003883#?c=0&amp;m=0&amp;s=0&amp;cv=482</v>
      </c>
    </row>
    <row r="2530" spans="1:6" x14ac:dyDescent="0.15">
      <c r="A2530" s="6" t="s">
        <v>2199</v>
      </c>
      <c r="B2530" s="6" t="s">
        <v>6026</v>
      </c>
      <c r="C2530" s="6">
        <v>488</v>
      </c>
      <c r="D2530" s="6" t="str">
        <f>HYPERLINK("https://rmda.kulib.kyoto-u.ac.jp/item/rb00003883#?c=0&amp;m=0&amp;s=0&amp;cv=487")</f>
        <v>https://rmda.kulib.kyoto-u.ac.jp/item/rb00003883#?c=0&amp;m=0&amp;s=0&amp;cv=487</v>
      </c>
    </row>
    <row r="2531" spans="1:6" x14ac:dyDescent="0.15">
      <c r="A2531" s="6" t="s">
        <v>2199</v>
      </c>
      <c r="B2531" s="6" t="s">
        <v>6027</v>
      </c>
      <c r="C2531" s="6">
        <v>488</v>
      </c>
      <c r="D2531" s="6" t="str">
        <f>HYPERLINK("https://rmda.kulib.kyoto-u.ac.jp/item/rb00003883#?c=0&amp;m=0&amp;s=0&amp;cv=487")</f>
        <v>https://rmda.kulib.kyoto-u.ac.jp/item/rb00003883#?c=0&amp;m=0&amp;s=0&amp;cv=487</v>
      </c>
    </row>
    <row r="2532" spans="1:6" x14ac:dyDescent="0.15">
      <c r="A2532" s="6" t="s">
        <v>2199</v>
      </c>
      <c r="B2532" s="6" t="s">
        <v>6028</v>
      </c>
      <c r="C2532" s="6">
        <v>490</v>
      </c>
      <c r="D2532" s="6" t="str">
        <f>HYPERLINK("https://rmda.kulib.kyoto-u.ac.jp/item/rb00003883#?c=0&amp;m=0&amp;s=0&amp;cv=489")</f>
        <v>https://rmda.kulib.kyoto-u.ac.jp/item/rb00003883#?c=0&amp;m=0&amp;s=0&amp;cv=489</v>
      </c>
    </row>
    <row r="2533" spans="1:6" x14ac:dyDescent="0.15">
      <c r="A2533" s="6" t="s">
        <v>2199</v>
      </c>
      <c r="B2533" s="6" t="s">
        <v>6029</v>
      </c>
      <c r="C2533" s="6">
        <v>492</v>
      </c>
      <c r="D2533" s="6" t="str">
        <f>HYPERLINK("https://rmda.kulib.kyoto-u.ac.jp/item/rb00003883#?c=0&amp;m=0&amp;s=0&amp;cv=491")</f>
        <v>https://rmda.kulib.kyoto-u.ac.jp/item/rb00003883#?c=0&amp;m=0&amp;s=0&amp;cv=491</v>
      </c>
    </row>
    <row r="2534" spans="1:6" x14ac:dyDescent="0.15">
      <c r="A2534" s="6" t="s">
        <v>2199</v>
      </c>
      <c r="B2534" s="6" t="s">
        <v>6036</v>
      </c>
      <c r="C2534" s="6">
        <v>483</v>
      </c>
      <c r="D2534" s="6" t="str">
        <f>HYPERLINK("https://rmda.kulib.kyoto-u.ac.jp/item/rb00003883#?c=0&amp;m=0&amp;s=0&amp;cv=482")</f>
        <v>https://rmda.kulib.kyoto-u.ac.jp/item/rb00003883#?c=0&amp;m=0&amp;s=0&amp;cv=482</v>
      </c>
    </row>
    <row r="2535" spans="1:6" x14ac:dyDescent="0.15">
      <c r="A2535" s="6" t="s">
        <v>2199</v>
      </c>
      <c r="B2535" s="6" t="s">
        <v>6030</v>
      </c>
      <c r="C2535" s="6">
        <v>494</v>
      </c>
      <c r="D2535" s="6" t="str">
        <f>HYPERLINK("https://rmda.kulib.kyoto-u.ac.jp/item/rb00003883#?c=0&amp;m=0&amp;s=0&amp;cv=493")</f>
        <v>https://rmda.kulib.kyoto-u.ac.jp/item/rb00003883#?c=0&amp;m=0&amp;s=0&amp;cv=493</v>
      </c>
    </row>
    <row r="2536" spans="1:6" x14ac:dyDescent="0.15">
      <c r="A2536" s="6" t="s">
        <v>2199</v>
      </c>
      <c r="B2536" s="6" t="s">
        <v>6031</v>
      </c>
      <c r="C2536" s="6">
        <v>496</v>
      </c>
      <c r="D2536" s="6" t="str">
        <f>HYPERLINK("https://rmda.kulib.kyoto-u.ac.jp/item/rb00003883#?c=0&amp;m=0&amp;s=0&amp;cv=495")</f>
        <v>https://rmda.kulib.kyoto-u.ac.jp/item/rb00003883#?c=0&amp;m=0&amp;s=0&amp;cv=495</v>
      </c>
    </row>
    <row r="2537" spans="1:6" x14ac:dyDescent="0.15">
      <c r="A2537" s="6" t="s">
        <v>2199</v>
      </c>
      <c r="B2537" s="6" t="s">
        <v>6032</v>
      </c>
      <c r="C2537" s="6">
        <v>498</v>
      </c>
      <c r="D2537" s="6" t="str">
        <f>HYPERLINK("https://rmda.kulib.kyoto-u.ac.jp/item/rb00003883#?c=0&amp;m=0&amp;s=0&amp;cv=497")</f>
        <v>https://rmda.kulib.kyoto-u.ac.jp/item/rb00003883#?c=0&amp;m=0&amp;s=0&amp;cv=497</v>
      </c>
    </row>
    <row r="2538" spans="1:6" x14ac:dyDescent="0.15">
      <c r="A2538" s="6" t="s">
        <v>2199</v>
      </c>
      <c r="B2538" s="6" t="s">
        <v>6033</v>
      </c>
      <c r="C2538" s="6">
        <v>501</v>
      </c>
      <c r="D2538" s="6" t="str">
        <f>HYPERLINK("https://rmda.kulib.kyoto-u.ac.jp/item/rb00003883#?c=0&amp;m=0&amp;s=0&amp;cv=500")</f>
        <v>https://rmda.kulib.kyoto-u.ac.jp/item/rb00003883#?c=0&amp;m=0&amp;s=0&amp;cv=500</v>
      </c>
    </row>
    <row r="2539" spans="1:6" x14ac:dyDescent="0.15">
      <c r="A2539" s="6" t="s">
        <v>2199</v>
      </c>
      <c r="B2539" s="6" t="s">
        <v>6034</v>
      </c>
      <c r="C2539" s="6">
        <v>505</v>
      </c>
      <c r="D2539" s="6" t="str">
        <f>HYPERLINK("https://rmda.kulib.kyoto-u.ac.jp/item/rb00003883#?c=0&amp;m=0&amp;s=0&amp;cv=504")</f>
        <v>https://rmda.kulib.kyoto-u.ac.jp/item/rb00003883#?c=0&amp;m=0&amp;s=0&amp;cv=504</v>
      </c>
    </row>
    <row r="2540" spans="1:6" x14ac:dyDescent="0.15">
      <c r="A2540" s="6" t="s">
        <v>2199</v>
      </c>
      <c r="B2540" s="6" t="s">
        <v>6035</v>
      </c>
      <c r="C2540" s="6">
        <v>508</v>
      </c>
      <c r="D2540" s="6" t="str">
        <f>HYPERLINK("https://rmda.kulib.kyoto-u.ac.jp/item/rb00003883#?c=0&amp;m=0&amp;s=0&amp;cv=507")</f>
        <v>https://rmda.kulib.kyoto-u.ac.jp/item/rb00003883#?c=0&amp;m=0&amp;s=0&amp;cv=507</v>
      </c>
    </row>
    <row r="2541" spans="1:6" x14ac:dyDescent="0.15">
      <c r="A2541" s="6" t="s">
        <v>2199</v>
      </c>
      <c r="B2541" s="63" t="s">
        <v>5542</v>
      </c>
      <c r="C2541" s="6">
        <v>514</v>
      </c>
      <c r="D2541" s="6" t="str">
        <f>HYPERLINK("https://rmda.kulib.kyoto-u.ac.jp/item/rb00003883#?c=0&amp;m=0&amp;s=0&amp;cv=513")</f>
        <v>https://rmda.kulib.kyoto-u.ac.jp/item/rb00003883#?c=0&amp;m=0&amp;s=0&amp;cv=513</v>
      </c>
      <c r="F2541" t="s">
        <v>4494</v>
      </c>
    </row>
    <row r="2542" spans="1:6" x14ac:dyDescent="0.15">
      <c r="A2542" s="6" t="s">
        <v>2199</v>
      </c>
      <c r="B2542" s="72" t="s">
        <v>5575</v>
      </c>
      <c r="C2542" s="6">
        <v>514</v>
      </c>
      <c r="D2542" s="6" t="str">
        <f>HYPERLINK("https://rmda.kulib.kyoto-u.ac.jp/item/rb00003883#?c=0&amp;m=0&amp;s=0&amp;cv=513")</f>
        <v>https://rmda.kulib.kyoto-u.ac.jp/item/rb00003883#?c=0&amp;m=0&amp;s=0&amp;cv=513</v>
      </c>
    </row>
    <row r="2543" spans="1:6" x14ac:dyDescent="0.15">
      <c r="A2543" s="6" t="s">
        <v>2199</v>
      </c>
      <c r="B2543" s="6" t="s">
        <v>5999</v>
      </c>
      <c r="C2543" s="6">
        <v>514</v>
      </c>
      <c r="D2543" s="6" t="str">
        <f>HYPERLINK("https://rmda.kulib.kyoto-u.ac.jp/item/rb00003883#?c=0&amp;m=0&amp;s=0&amp;cv=513")</f>
        <v>https://rmda.kulib.kyoto-u.ac.jp/item/rb00003883#?c=0&amp;m=0&amp;s=0&amp;cv=513</v>
      </c>
    </row>
    <row r="2544" spans="1:6" x14ac:dyDescent="0.15">
      <c r="A2544" s="6" t="s">
        <v>2199</v>
      </c>
      <c r="B2544" s="6" t="s">
        <v>5998</v>
      </c>
      <c r="C2544" s="6">
        <v>515</v>
      </c>
      <c r="D2544" s="6" t="str">
        <f>HYPERLINK("https://rmda.kulib.kyoto-u.ac.jp/item/rb00003883#?c=0&amp;m=0&amp;s=0&amp;cv=514")</f>
        <v>https://rmda.kulib.kyoto-u.ac.jp/item/rb00003883#?c=0&amp;m=0&amp;s=0&amp;cv=514</v>
      </c>
    </row>
    <row r="2545" spans="1:4" x14ac:dyDescent="0.15">
      <c r="A2545" s="6" t="s">
        <v>2199</v>
      </c>
      <c r="B2545" s="6" t="s">
        <v>2481</v>
      </c>
      <c r="C2545" s="6">
        <v>520</v>
      </c>
      <c r="D2545" s="6" t="str">
        <f>HYPERLINK("https://rmda.kulib.kyoto-u.ac.jp/item/rb00003883#?c=0&amp;m=0&amp;s=0&amp;cv=519")</f>
        <v>https://rmda.kulib.kyoto-u.ac.jp/item/rb00003883#?c=0&amp;m=0&amp;s=0&amp;cv=519</v>
      </c>
    </row>
    <row r="2546" spans="1:4" x14ac:dyDescent="0.15">
      <c r="A2546" s="6" t="s">
        <v>2199</v>
      </c>
      <c r="B2546" s="6" t="s">
        <v>2482</v>
      </c>
      <c r="C2546" s="6">
        <v>521</v>
      </c>
      <c r="D2546" s="6" t="str">
        <f>HYPERLINK("https://rmda.kulib.kyoto-u.ac.jp/item/rb00003883#?c=0&amp;m=0&amp;s=0&amp;cv=520")</f>
        <v>https://rmda.kulib.kyoto-u.ac.jp/item/rb00003883#?c=0&amp;m=0&amp;s=0&amp;cv=520</v>
      </c>
    </row>
    <row r="2547" spans="1:4" x14ac:dyDescent="0.15">
      <c r="A2547" s="6" t="s">
        <v>2199</v>
      </c>
      <c r="B2547" s="6" t="s">
        <v>2483</v>
      </c>
      <c r="C2547" s="6">
        <v>523</v>
      </c>
      <c r="D2547" s="6" t="str">
        <f>HYPERLINK("https://rmda.kulib.kyoto-u.ac.jp/item/rb00003883#?c=0&amp;m=0&amp;s=0&amp;cv=522")</f>
        <v>https://rmda.kulib.kyoto-u.ac.jp/item/rb00003883#?c=0&amp;m=0&amp;s=0&amp;cv=522</v>
      </c>
    </row>
    <row r="2548" spans="1:4" x14ac:dyDescent="0.15">
      <c r="A2548" s="6" t="s">
        <v>2199</v>
      </c>
      <c r="B2548" s="6" t="s">
        <v>2484</v>
      </c>
      <c r="C2548" s="6">
        <v>525</v>
      </c>
      <c r="D2548" s="6" t="str">
        <f>HYPERLINK("https://rmda.kulib.kyoto-u.ac.jp/item/rb00003883#?c=0&amp;m=0&amp;s=0&amp;cv=524")</f>
        <v>https://rmda.kulib.kyoto-u.ac.jp/item/rb00003883#?c=0&amp;m=0&amp;s=0&amp;cv=524</v>
      </c>
    </row>
    <row r="2549" spans="1:4" x14ac:dyDescent="0.15">
      <c r="A2549" s="6" t="s">
        <v>2199</v>
      </c>
      <c r="B2549" s="72" t="s">
        <v>5574</v>
      </c>
      <c r="C2549" s="6">
        <v>526</v>
      </c>
      <c r="D2549" s="6" t="str">
        <f>HYPERLINK("https://rmda.kulib.kyoto-u.ac.jp/item/rb00003883#?c=0&amp;m=0&amp;s=0&amp;cv=525")</f>
        <v>https://rmda.kulib.kyoto-u.ac.jp/item/rb00003883#?c=0&amp;m=0&amp;s=0&amp;cv=525</v>
      </c>
    </row>
    <row r="2550" spans="1:4" x14ac:dyDescent="0.15">
      <c r="A2550" s="6" t="s">
        <v>2199</v>
      </c>
      <c r="B2550" s="6" t="s">
        <v>6000</v>
      </c>
      <c r="C2550" s="6">
        <v>526</v>
      </c>
      <c r="D2550" s="6" t="str">
        <f>HYPERLINK("https://rmda.kulib.kyoto-u.ac.jp/item/rb00003883#?c=0&amp;m=0&amp;s=0&amp;cv=525")</f>
        <v>https://rmda.kulib.kyoto-u.ac.jp/item/rb00003883#?c=0&amp;m=0&amp;s=0&amp;cv=525</v>
      </c>
    </row>
    <row r="2551" spans="1:4" x14ac:dyDescent="0.15">
      <c r="A2551" s="6" t="s">
        <v>2199</v>
      </c>
      <c r="B2551" s="6" t="s">
        <v>6001</v>
      </c>
      <c r="C2551" s="6">
        <v>529</v>
      </c>
      <c r="D2551" s="6" t="str">
        <f>HYPERLINK("https://rmda.kulib.kyoto-u.ac.jp/item/rb00003883#?c=0&amp;m=0&amp;s=0&amp;cv=528")</f>
        <v>https://rmda.kulib.kyoto-u.ac.jp/item/rb00003883#?c=0&amp;m=0&amp;s=0&amp;cv=528</v>
      </c>
    </row>
    <row r="2552" spans="1:4" x14ac:dyDescent="0.15">
      <c r="A2552" s="6" t="s">
        <v>2199</v>
      </c>
      <c r="B2552" s="6" t="s">
        <v>2486</v>
      </c>
      <c r="C2552" s="6">
        <v>534</v>
      </c>
      <c r="D2552" s="6" t="str">
        <f>HYPERLINK("https://rmda.kulib.kyoto-u.ac.jp/item/rb00003883#?c=0&amp;m=0&amp;s=0&amp;cv=533")</f>
        <v>https://rmda.kulib.kyoto-u.ac.jp/item/rb00003883#?c=0&amp;m=0&amp;s=0&amp;cv=533</v>
      </c>
    </row>
    <row r="2553" spans="1:4" x14ac:dyDescent="0.15">
      <c r="A2553" s="6" t="s">
        <v>2199</v>
      </c>
      <c r="B2553" s="6" t="s">
        <v>2485</v>
      </c>
      <c r="C2553" s="6">
        <v>535</v>
      </c>
      <c r="D2553" s="6" t="str">
        <f>HYPERLINK("https://rmda.kulib.kyoto-u.ac.jp/item/rb00003883#?c=0&amp;m=0&amp;s=0&amp;cv=534")</f>
        <v>https://rmda.kulib.kyoto-u.ac.jp/item/rb00003883#?c=0&amp;m=0&amp;s=0&amp;cv=534</v>
      </c>
    </row>
    <row r="2554" spans="1:4" x14ac:dyDescent="0.15">
      <c r="A2554" s="6" t="s">
        <v>2199</v>
      </c>
      <c r="B2554" s="72" t="s">
        <v>5543</v>
      </c>
      <c r="C2554" s="6">
        <v>537</v>
      </c>
      <c r="D2554" s="6" t="str">
        <f>HYPERLINK("https://rmda.kulib.kyoto-u.ac.jp/item/rb00003883#?c=0&amp;m=0&amp;s=0&amp;cv=536")</f>
        <v>https://rmda.kulib.kyoto-u.ac.jp/item/rb00003883#?c=0&amp;m=0&amp;s=0&amp;cv=536</v>
      </c>
    </row>
    <row r="2555" spans="1:4" x14ac:dyDescent="0.15">
      <c r="A2555" s="6" t="s">
        <v>2199</v>
      </c>
      <c r="B2555" s="6" t="s">
        <v>2487</v>
      </c>
      <c r="C2555" s="6">
        <v>537</v>
      </c>
      <c r="D2555" s="6" t="str">
        <f>HYPERLINK("https://rmda.kulib.kyoto-u.ac.jp/item/rb00003883#?c=0&amp;m=0&amp;s=0&amp;cv=536")</f>
        <v>https://rmda.kulib.kyoto-u.ac.jp/item/rb00003883#?c=0&amp;m=0&amp;s=0&amp;cv=536</v>
      </c>
    </row>
    <row r="2556" spans="1:4" x14ac:dyDescent="0.15">
      <c r="A2556" s="6" t="s">
        <v>2199</v>
      </c>
      <c r="B2556" s="6" t="s">
        <v>2488</v>
      </c>
      <c r="C2556" s="6">
        <v>539</v>
      </c>
      <c r="D2556" s="6" t="str">
        <f>HYPERLINK("https://rmda.kulib.kyoto-u.ac.jp/item/rb00003883#?c=0&amp;m=0&amp;s=0&amp;cv=538")</f>
        <v>https://rmda.kulib.kyoto-u.ac.jp/item/rb00003883#?c=0&amp;m=0&amp;s=0&amp;cv=538</v>
      </c>
    </row>
    <row r="2557" spans="1:4" x14ac:dyDescent="0.15">
      <c r="A2557" s="6" t="s">
        <v>2199</v>
      </c>
      <c r="B2557" s="6" t="s">
        <v>2489</v>
      </c>
      <c r="C2557" s="6">
        <v>540</v>
      </c>
      <c r="D2557" s="6" t="str">
        <f>HYPERLINK("https://rmda.kulib.kyoto-u.ac.jp/item/rb00003883#?c=0&amp;m=0&amp;s=0&amp;cv=539")</f>
        <v>https://rmda.kulib.kyoto-u.ac.jp/item/rb00003883#?c=0&amp;m=0&amp;s=0&amp;cv=539</v>
      </c>
    </row>
    <row r="2558" spans="1:4" x14ac:dyDescent="0.15">
      <c r="A2558" s="6" t="s">
        <v>2199</v>
      </c>
      <c r="B2558" s="6" t="s">
        <v>2490</v>
      </c>
      <c r="C2558" s="6">
        <v>541</v>
      </c>
      <c r="D2558" s="6" t="str">
        <f>HYPERLINK("https://rmda.kulib.kyoto-u.ac.jp/item/rb00003883#?c=0&amp;m=0&amp;s=0&amp;cv=540")</f>
        <v>https://rmda.kulib.kyoto-u.ac.jp/item/rb00003883#?c=0&amp;m=0&amp;s=0&amp;cv=540</v>
      </c>
    </row>
    <row r="2559" spans="1:4" x14ac:dyDescent="0.15">
      <c r="A2559" s="6" t="s">
        <v>2199</v>
      </c>
      <c r="B2559" s="6" t="s">
        <v>2491</v>
      </c>
      <c r="C2559" s="6">
        <v>542</v>
      </c>
      <c r="D2559" s="6" t="str">
        <f>HYPERLINK("https://rmda.kulib.kyoto-u.ac.jp/item/rb00003883#?c=0&amp;m=0&amp;s=0&amp;cv=541")</f>
        <v>https://rmda.kulib.kyoto-u.ac.jp/item/rb00003883#?c=0&amp;m=0&amp;s=0&amp;cv=541</v>
      </c>
    </row>
    <row r="2560" spans="1:4" x14ac:dyDescent="0.15">
      <c r="A2560" s="6" t="s">
        <v>2199</v>
      </c>
      <c r="B2560" s="6" t="s">
        <v>2492</v>
      </c>
      <c r="C2560" s="6">
        <v>544</v>
      </c>
      <c r="D2560" s="6" t="str">
        <f>HYPERLINK("https://rmda.kulib.kyoto-u.ac.jp/item/rb00003883#?c=0&amp;m=0&amp;s=0&amp;cv=543")</f>
        <v>https://rmda.kulib.kyoto-u.ac.jp/item/rb00003883#?c=0&amp;m=0&amp;s=0&amp;cv=543</v>
      </c>
    </row>
    <row r="2561" spans="1:4" x14ac:dyDescent="0.15">
      <c r="A2561" s="6" t="s">
        <v>2199</v>
      </c>
      <c r="B2561" s="6" t="s">
        <v>2493</v>
      </c>
      <c r="C2561" s="6">
        <v>544</v>
      </c>
      <c r="D2561" s="6" t="str">
        <f>HYPERLINK("https://rmda.kulib.kyoto-u.ac.jp/item/rb00003883#?c=0&amp;m=0&amp;s=0&amp;cv=543")</f>
        <v>https://rmda.kulib.kyoto-u.ac.jp/item/rb00003883#?c=0&amp;m=0&amp;s=0&amp;cv=543</v>
      </c>
    </row>
    <row r="2562" spans="1:4" x14ac:dyDescent="0.15">
      <c r="A2562" s="6" t="s">
        <v>2199</v>
      </c>
      <c r="B2562" s="6" t="s">
        <v>2494</v>
      </c>
      <c r="C2562" s="6">
        <v>546</v>
      </c>
      <c r="D2562" s="6" t="str">
        <f>HYPERLINK("https://rmda.kulib.kyoto-u.ac.jp/item/rb00003883#?c=0&amp;m=0&amp;s=0&amp;cv=545")</f>
        <v>https://rmda.kulib.kyoto-u.ac.jp/item/rb00003883#?c=0&amp;m=0&amp;s=0&amp;cv=545</v>
      </c>
    </row>
    <row r="2563" spans="1:4" x14ac:dyDescent="0.15">
      <c r="A2563" s="6" t="s">
        <v>2199</v>
      </c>
      <c r="B2563" s="72" t="s">
        <v>6002</v>
      </c>
      <c r="C2563" s="30">
        <v>549</v>
      </c>
      <c r="D2563" s="6" t="str">
        <f>HYPERLINK("https://rmda.kulib.kyoto-u.ac.jp/item/rb00003883#?c=0&amp;m=0&amp;s=0&amp;cv=548")</f>
        <v>https://rmda.kulib.kyoto-u.ac.jp/item/rb00003883#?c=0&amp;m=0&amp;s=0&amp;cv=548</v>
      </c>
    </row>
    <row r="2564" spans="1:4" x14ac:dyDescent="0.15">
      <c r="A2564" s="6" t="s">
        <v>2199</v>
      </c>
      <c r="B2564" s="6" t="s">
        <v>6003</v>
      </c>
      <c r="C2564" s="30">
        <v>549</v>
      </c>
      <c r="D2564" s="6" t="str">
        <f>HYPERLINK("https://rmda.kulib.kyoto-u.ac.jp/item/rb00003883#?c=0&amp;m=0&amp;s=0&amp;cv=548")</f>
        <v>https://rmda.kulib.kyoto-u.ac.jp/item/rb00003883#?c=0&amp;m=0&amp;s=0&amp;cv=548</v>
      </c>
    </row>
    <row r="2565" spans="1:4" x14ac:dyDescent="0.15">
      <c r="A2565" s="6" t="s">
        <v>2199</v>
      </c>
      <c r="B2565" s="6" t="s">
        <v>6004</v>
      </c>
      <c r="C2565" s="30">
        <v>550</v>
      </c>
      <c r="D2565" s="6" t="str">
        <f>HYPERLINK("https://rmda.kulib.kyoto-u.ac.jp/item/rb00003883#?c=0&amp;m=0&amp;s=0&amp;cv=549")</f>
        <v>https://rmda.kulib.kyoto-u.ac.jp/item/rb00003883#?c=0&amp;m=0&amp;s=0&amp;cv=549</v>
      </c>
    </row>
    <row r="2566" spans="1:4" x14ac:dyDescent="0.15">
      <c r="A2566" s="6" t="s">
        <v>2199</v>
      </c>
      <c r="B2566" s="6" t="s">
        <v>6005</v>
      </c>
      <c r="C2566" s="30">
        <v>553</v>
      </c>
      <c r="D2566" s="6" t="str">
        <f>HYPERLINK("https://rmda.kulib.kyoto-u.ac.jp/item/rb00003883#?c=0&amp;m=0&amp;s=0&amp;cv=552")</f>
        <v>https://rmda.kulib.kyoto-u.ac.jp/item/rb00003883#?c=0&amp;m=0&amp;s=0&amp;cv=552</v>
      </c>
    </row>
    <row r="2567" spans="1:4" x14ac:dyDescent="0.15">
      <c r="A2567" s="6" t="s">
        <v>2199</v>
      </c>
      <c r="B2567" s="6" t="s">
        <v>6006</v>
      </c>
      <c r="C2567" s="30">
        <v>554</v>
      </c>
      <c r="D2567" s="6" t="str">
        <f>HYPERLINK("https://rmda.kulib.kyoto-u.ac.jp/item/rb00003883#?c=0&amp;m=0&amp;s=0&amp;cv=553")</f>
        <v>https://rmda.kulib.kyoto-u.ac.jp/item/rb00003883#?c=0&amp;m=0&amp;s=0&amp;cv=553</v>
      </c>
    </row>
    <row r="2568" spans="1:4" x14ac:dyDescent="0.15">
      <c r="A2568" s="6" t="s">
        <v>2199</v>
      </c>
      <c r="B2568" s="6" t="s">
        <v>6007</v>
      </c>
      <c r="C2568" s="30">
        <v>555</v>
      </c>
      <c r="D2568" s="6" t="str">
        <f>HYPERLINK("https://rmda.kulib.kyoto-u.ac.jp/item/rb00003883#?c=0&amp;m=0&amp;s=0&amp;cv=554")</f>
        <v>https://rmda.kulib.kyoto-u.ac.jp/item/rb00003883#?c=0&amp;m=0&amp;s=0&amp;cv=554</v>
      </c>
    </row>
    <row r="2569" spans="1:4" x14ac:dyDescent="0.15">
      <c r="A2569" s="6" t="s">
        <v>2199</v>
      </c>
      <c r="B2569" s="6" t="s">
        <v>6008</v>
      </c>
      <c r="C2569" s="30">
        <v>556</v>
      </c>
      <c r="D2569" s="6" t="str">
        <f>HYPERLINK("https://rmda.kulib.kyoto-u.ac.jp/item/rb00003883#?c=0&amp;m=0&amp;s=0&amp;cv=555")</f>
        <v>https://rmda.kulib.kyoto-u.ac.jp/item/rb00003883#?c=0&amp;m=0&amp;s=0&amp;cv=555</v>
      </c>
    </row>
    <row r="2570" spans="1:4" x14ac:dyDescent="0.15">
      <c r="A2570" s="6" t="s">
        <v>2199</v>
      </c>
      <c r="B2570" s="6" t="s">
        <v>6009</v>
      </c>
      <c r="C2570" s="30">
        <v>557</v>
      </c>
      <c r="D2570" s="6" t="str">
        <f>HYPERLINK("https://rmda.kulib.kyoto-u.ac.jp/item/rb00003883#?c=0&amp;m=0&amp;s=0&amp;cv=556")</f>
        <v>https://rmda.kulib.kyoto-u.ac.jp/item/rb00003883#?c=0&amp;m=0&amp;s=0&amp;cv=556</v>
      </c>
    </row>
    <row r="2571" spans="1:4" x14ac:dyDescent="0.15">
      <c r="A2571" s="6" t="s">
        <v>2199</v>
      </c>
      <c r="B2571" s="6" t="s">
        <v>6010</v>
      </c>
      <c r="C2571" s="30">
        <v>559</v>
      </c>
      <c r="D2571" s="6" t="str">
        <f>HYPERLINK("https://rmda.kulib.kyoto-u.ac.jp/item/rb00003883#?c=0&amp;m=0&amp;s=0&amp;cv=558")</f>
        <v>https://rmda.kulib.kyoto-u.ac.jp/item/rb00003883#?c=0&amp;m=0&amp;s=0&amp;cv=558</v>
      </c>
    </row>
    <row r="2572" spans="1:4" x14ac:dyDescent="0.15">
      <c r="A2572" s="6" t="s">
        <v>2199</v>
      </c>
      <c r="B2572" s="30" t="s">
        <v>6011</v>
      </c>
      <c r="C2572" s="30">
        <v>561</v>
      </c>
      <c r="D2572" s="6" t="str">
        <f>HYPERLINK("https://rmda.kulib.kyoto-u.ac.jp/item/rb00003883#?c=0&amp;m=0&amp;s=0&amp;cv=560")</f>
        <v>https://rmda.kulib.kyoto-u.ac.jp/item/rb00003883#?c=0&amp;m=0&amp;s=0&amp;cv=560</v>
      </c>
    </row>
    <row r="2573" spans="1:4" x14ac:dyDescent="0.15">
      <c r="A2573" s="113" t="s">
        <v>6067</v>
      </c>
      <c r="B2573" s="6"/>
      <c r="C2573" s="30"/>
      <c r="D2573" s="6"/>
    </row>
    <row r="2574" spans="1:4" x14ac:dyDescent="0.15">
      <c r="A2574" s="109" t="s">
        <v>6297</v>
      </c>
      <c r="B2574" s="6" t="s">
        <v>6271</v>
      </c>
      <c r="C2574" s="30"/>
      <c r="D2574" s="6"/>
    </row>
    <row r="2575" spans="1:4" x14ac:dyDescent="0.15">
      <c r="A2575" s="11" t="s">
        <v>5449</v>
      </c>
      <c r="B2575" s="11" t="s">
        <v>134</v>
      </c>
      <c r="C2575" s="9"/>
      <c r="D2575" s="6"/>
    </row>
    <row r="2576" spans="1:4" x14ac:dyDescent="0.15">
      <c r="A2576" s="6" t="s">
        <v>133</v>
      </c>
      <c r="B2576" s="71" t="s">
        <v>6068</v>
      </c>
      <c r="C2576" s="9"/>
      <c r="D2576" s="9"/>
    </row>
    <row r="2577" spans="1:4" x14ac:dyDescent="0.15">
      <c r="A2577" s="6" t="s">
        <v>133</v>
      </c>
      <c r="B2577" s="71" t="s">
        <v>6069</v>
      </c>
      <c r="C2577" s="9"/>
      <c r="D2577" s="9"/>
    </row>
    <row r="2578" spans="1:4" x14ac:dyDescent="0.15">
      <c r="A2578" s="6" t="s">
        <v>133</v>
      </c>
      <c r="B2578" s="71" t="s">
        <v>6070</v>
      </c>
      <c r="C2578" s="9"/>
      <c r="D2578" s="9"/>
    </row>
    <row r="2579" spans="1:4" x14ac:dyDescent="0.15">
      <c r="A2579" s="6" t="s">
        <v>133</v>
      </c>
      <c r="B2579" s="71" t="s">
        <v>6071</v>
      </c>
      <c r="C2579" s="9"/>
      <c r="D2579" s="9"/>
    </row>
    <row r="2580" spans="1:4" x14ac:dyDescent="0.15">
      <c r="A2580" s="6" t="s">
        <v>133</v>
      </c>
      <c r="B2580" s="71" t="s">
        <v>6072</v>
      </c>
      <c r="C2580" s="9"/>
      <c r="D2580" s="9"/>
    </row>
    <row r="2581" spans="1:4" x14ac:dyDescent="0.15">
      <c r="A2581" s="6" t="s">
        <v>133</v>
      </c>
      <c r="B2581" s="71" t="s">
        <v>6073</v>
      </c>
      <c r="C2581" s="9"/>
      <c r="D2581" s="9"/>
    </row>
    <row r="2582" spans="1:4" x14ac:dyDescent="0.15">
      <c r="A2582" s="6" t="s">
        <v>133</v>
      </c>
      <c r="B2582" s="71" t="s">
        <v>6074</v>
      </c>
      <c r="C2582" s="9"/>
      <c r="D2582" s="9"/>
    </row>
    <row r="2583" spans="1:4" x14ac:dyDescent="0.15">
      <c r="A2583" s="6" t="s">
        <v>133</v>
      </c>
      <c r="B2583" s="71" t="s">
        <v>6075</v>
      </c>
      <c r="C2583" s="9"/>
      <c r="D2583" s="9"/>
    </row>
    <row r="2584" spans="1:4" x14ac:dyDescent="0.15">
      <c r="A2584" s="6" t="s">
        <v>133</v>
      </c>
      <c r="B2584" s="71" t="s">
        <v>6076</v>
      </c>
      <c r="C2584" s="9"/>
      <c r="D2584" s="9" t="s">
        <v>4737</v>
      </c>
    </row>
    <row r="2585" spans="1:4" x14ac:dyDescent="0.15">
      <c r="A2585" s="6" t="s">
        <v>133</v>
      </c>
      <c r="B2585" s="6" t="s">
        <v>6077</v>
      </c>
      <c r="C2585" s="6">
        <v>6</v>
      </c>
      <c r="D2585" s="6" t="str">
        <f>HYPERLINK("https://rmda.kulib.kyoto-u.ac.jp/item/rb00002310#?c=0&amp;m=0&amp;s=0&amp;cv=5")</f>
        <v>https://rmda.kulib.kyoto-u.ac.jp/item/rb00002310#?c=0&amp;m=0&amp;s=0&amp;cv=5</v>
      </c>
    </row>
    <row r="2586" spans="1:4" x14ac:dyDescent="0.15">
      <c r="A2586" s="6" t="s">
        <v>133</v>
      </c>
      <c r="B2586" s="6" t="s">
        <v>6078</v>
      </c>
      <c r="C2586" s="6">
        <v>9</v>
      </c>
      <c r="D2586" s="6" t="str">
        <f>HYPERLINK("https://rmda.kulib.kyoto-u.ac.jp/item/rb00002310#?c=0&amp;m=0&amp;s=0&amp;cv=8")</f>
        <v>https://rmda.kulib.kyoto-u.ac.jp/item/rb00002310#?c=0&amp;m=0&amp;s=0&amp;cv=8</v>
      </c>
    </row>
    <row r="2587" spans="1:4" x14ac:dyDescent="0.15">
      <c r="A2587" s="6" t="s">
        <v>133</v>
      </c>
      <c r="B2587" s="6" t="s">
        <v>1476</v>
      </c>
      <c r="C2587" s="6">
        <v>13</v>
      </c>
      <c r="D2587" s="6" t="str">
        <f>HYPERLINK("https://rmda.kulib.kyoto-u.ac.jp/item/rb00002310#?c=0&amp;m=0&amp;s=0&amp;cv=12")</f>
        <v>https://rmda.kulib.kyoto-u.ac.jp/item/rb00002310#?c=0&amp;m=0&amp;s=0&amp;cv=12</v>
      </c>
    </row>
    <row r="2588" spans="1:4" x14ac:dyDescent="0.15">
      <c r="A2588" s="6" t="s">
        <v>133</v>
      </c>
      <c r="B2588" s="6" t="s">
        <v>4738</v>
      </c>
      <c r="C2588" s="6">
        <v>27</v>
      </c>
      <c r="D2588" s="6" t="str">
        <f>HYPERLINK("https://rmda.kulib.kyoto-u.ac.jp/item/rb00002310#?c=0&amp;m=0&amp;s=0&amp;cv=26")</f>
        <v>https://rmda.kulib.kyoto-u.ac.jp/item/rb00002310#?c=0&amp;m=0&amp;s=0&amp;cv=26</v>
      </c>
    </row>
    <row r="2589" spans="1:4" x14ac:dyDescent="0.15">
      <c r="A2589" s="6" t="s">
        <v>133</v>
      </c>
      <c r="B2589" s="63" t="s">
        <v>4529</v>
      </c>
      <c r="C2589" s="6">
        <v>27</v>
      </c>
      <c r="D2589" s="6" t="str">
        <f>HYPERLINK("https://rmda.kulib.kyoto-u.ac.jp/item/rb00002310#?c=0&amp;m=0&amp;s=0&amp;cv=26")</f>
        <v>https://rmda.kulib.kyoto-u.ac.jp/item/rb00002310#?c=0&amp;m=0&amp;s=0&amp;cv=26</v>
      </c>
    </row>
    <row r="2590" spans="1:4" x14ac:dyDescent="0.15">
      <c r="A2590" s="6" t="s">
        <v>133</v>
      </c>
      <c r="B2590" s="6" t="s">
        <v>4530</v>
      </c>
      <c r="C2590" s="6">
        <v>28</v>
      </c>
      <c r="D2590" s="6" t="str">
        <f>HYPERLINK("https://rmda.kulib.kyoto-u.ac.jp/item/rb00002310#?c=0&amp;m=0&amp;s=0&amp;cv=27")</f>
        <v>https://rmda.kulib.kyoto-u.ac.jp/item/rb00002310#?c=0&amp;m=0&amp;s=0&amp;cv=27</v>
      </c>
    </row>
    <row r="2591" spans="1:4" x14ac:dyDescent="0.15">
      <c r="A2591" s="6" t="s">
        <v>133</v>
      </c>
      <c r="B2591" s="6" t="s">
        <v>1641</v>
      </c>
      <c r="C2591" s="6">
        <v>28</v>
      </c>
      <c r="D2591" s="6" t="str">
        <f>HYPERLINK("https://rmda.kulib.kyoto-u.ac.jp/item/rb00002310#?c=0&amp;m=0&amp;s=0&amp;cv=27")</f>
        <v>https://rmda.kulib.kyoto-u.ac.jp/item/rb00002310#?c=0&amp;m=0&amp;s=0&amp;cv=27</v>
      </c>
    </row>
    <row r="2592" spans="1:4" x14ac:dyDescent="0.15">
      <c r="A2592" s="6" t="s">
        <v>133</v>
      </c>
      <c r="B2592" s="6" t="s">
        <v>4739</v>
      </c>
      <c r="C2592" s="6">
        <v>29</v>
      </c>
      <c r="D2592" s="6" t="str">
        <f>HYPERLINK("https://rmda.kulib.kyoto-u.ac.jp/item/rb00002310#?c=0&amp;m=0&amp;s=0&amp;cv=28")</f>
        <v>https://rmda.kulib.kyoto-u.ac.jp/item/rb00002310#?c=0&amp;m=0&amp;s=0&amp;cv=28</v>
      </c>
    </row>
    <row r="2593" spans="1:4" x14ac:dyDescent="0.15">
      <c r="A2593" s="6" t="s">
        <v>133</v>
      </c>
      <c r="B2593" s="6" t="s">
        <v>4531</v>
      </c>
      <c r="C2593" s="6">
        <v>30</v>
      </c>
      <c r="D2593" s="6" t="str">
        <f>HYPERLINK("https://rmda.kulib.kyoto-u.ac.jp/item/rb00002310#?c=0&amp;m=0&amp;s=0&amp;cv=29")</f>
        <v>https://rmda.kulib.kyoto-u.ac.jp/item/rb00002310#?c=0&amp;m=0&amp;s=0&amp;cv=29</v>
      </c>
    </row>
    <row r="2594" spans="1:4" x14ac:dyDescent="0.15">
      <c r="A2594" s="6" t="s">
        <v>133</v>
      </c>
      <c r="B2594" s="6" t="s">
        <v>4532</v>
      </c>
      <c r="C2594" s="6">
        <v>30</v>
      </c>
      <c r="D2594" s="6" t="str">
        <f>HYPERLINK("https://rmda.kulib.kyoto-u.ac.jp/item/rb00002310#?c=0&amp;m=0&amp;s=0&amp;cv=29")</f>
        <v>https://rmda.kulib.kyoto-u.ac.jp/item/rb00002310#?c=0&amp;m=0&amp;s=0&amp;cv=29</v>
      </c>
    </row>
    <row r="2595" spans="1:4" x14ac:dyDescent="0.15">
      <c r="A2595" s="6" t="s">
        <v>133</v>
      </c>
      <c r="B2595" s="6" t="s">
        <v>4740</v>
      </c>
      <c r="C2595" s="6">
        <v>30</v>
      </c>
      <c r="D2595" s="6" t="str">
        <f>HYPERLINK("https://rmda.kulib.kyoto-u.ac.jp/item/rb00002310#?c=0&amp;m=0&amp;s=0&amp;cv=29")</f>
        <v>https://rmda.kulib.kyoto-u.ac.jp/item/rb00002310#?c=0&amp;m=0&amp;s=0&amp;cv=29</v>
      </c>
    </row>
    <row r="2596" spans="1:4" x14ac:dyDescent="0.15">
      <c r="A2596" s="6" t="s">
        <v>133</v>
      </c>
      <c r="B2596" s="30" t="s">
        <v>6079</v>
      </c>
      <c r="C2596" s="6">
        <v>31</v>
      </c>
      <c r="D2596" s="6" t="str">
        <f>HYPERLINK("https://rmda.kulib.kyoto-u.ac.jp/item/rb00002310#?c=0&amp;m=0&amp;s=0&amp;cv=30")</f>
        <v>https://rmda.kulib.kyoto-u.ac.jp/item/rb00002310#?c=0&amp;m=0&amp;s=0&amp;cv=30</v>
      </c>
    </row>
    <row r="2597" spans="1:4" x14ac:dyDescent="0.15">
      <c r="A2597" s="6" t="s">
        <v>133</v>
      </c>
      <c r="B2597" s="6" t="s">
        <v>4755</v>
      </c>
      <c r="C2597" s="6">
        <v>31</v>
      </c>
      <c r="D2597" s="6" t="str">
        <f>HYPERLINK("https://rmda.kulib.kyoto-u.ac.jp/item/rb00002310#?c=0&amp;m=0&amp;s=0&amp;cv=30")</f>
        <v>https://rmda.kulib.kyoto-u.ac.jp/item/rb00002310#?c=0&amp;m=0&amp;s=0&amp;cv=30</v>
      </c>
    </row>
    <row r="2598" spans="1:4" x14ac:dyDescent="0.15">
      <c r="A2598" s="6" t="s">
        <v>133</v>
      </c>
      <c r="B2598" s="6" t="s">
        <v>4534</v>
      </c>
      <c r="C2598" s="6">
        <v>31</v>
      </c>
      <c r="D2598" s="6" t="str">
        <f>HYPERLINK("https://rmda.kulib.kyoto-u.ac.jp/item/rb00002310#?c=0&amp;m=0&amp;s=0&amp;cv=30")</f>
        <v>https://rmda.kulib.kyoto-u.ac.jp/item/rb00002310#?c=0&amp;m=0&amp;s=0&amp;cv=30</v>
      </c>
    </row>
    <row r="2599" spans="1:4" x14ac:dyDescent="0.15">
      <c r="A2599" s="6" t="s">
        <v>133</v>
      </c>
      <c r="B2599" s="6" t="s">
        <v>4533</v>
      </c>
      <c r="C2599" s="6">
        <v>32</v>
      </c>
      <c r="D2599" s="6" t="str">
        <f>HYPERLINK("https://rmda.kulib.kyoto-u.ac.jp/item/rb00002310#?c=0&amp;m=0&amp;s=0&amp;cv=31")</f>
        <v>https://rmda.kulib.kyoto-u.ac.jp/item/rb00002310#?c=0&amp;m=0&amp;s=0&amp;cv=31</v>
      </c>
    </row>
    <row r="2600" spans="1:4" x14ac:dyDescent="0.15">
      <c r="A2600" s="6" t="s">
        <v>133</v>
      </c>
      <c r="B2600" s="30" t="s">
        <v>6080</v>
      </c>
      <c r="C2600" s="6">
        <v>32</v>
      </c>
      <c r="D2600" s="6" t="str">
        <f>HYPERLINK("https://rmda.kulib.kyoto-u.ac.jp/item/rb00002310#?c=0&amp;m=0&amp;s=0&amp;cv=31")</f>
        <v>https://rmda.kulib.kyoto-u.ac.jp/item/rb00002310#?c=0&amp;m=0&amp;s=0&amp;cv=31</v>
      </c>
    </row>
    <row r="2601" spans="1:4" x14ac:dyDescent="0.15">
      <c r="A2601" s="6" t="s">
        <v>133</v>
      </c>
      <c r="B2601" s="63" t="s">
        <v>4537</v>
      </c>
      <c r="C2601" s="6">
        <v>32</v>
      </c>
      <c r="D2601" s="6" t="str">
        <f>HYPERLINK("https://rmda.kulib.kyoto-u.ac.jp/item/rb00002310#?c=0&amp;m=0&amp;s=0&amp;cv=31")</f>
        <v>https://rmda.kulib.kyoto-u.ac.jp/item/rb00002310#?c=0&amp;m=0&amp;s=0&amp;cv=31</v>
      </c>
    </row>
    <row r="2602" spans="1:4" x14ac:dyDescent="0.15">
      <c r="A2602" s="6" t="s">
        <v>133</v>
      </c>
      <c r="B2602" s="6" t="s">
        <v>2044</v>
      </c>
      <c r="C2602" s="6">
        <v>33</v>
      </c>
      <c r="D2602" s="6" t="str">
        <f>HYPERLINK("https://rmda.kulib.kyoto-u.ac.jp/item/rb00002310#?c=0&amp;m=0&amp;s=0&amp;cv=32")</f>
        <v>https://rmda.kulib.kyoto-u.ac.jp/item/rb00002310#?c=0&amp;m=0&amp;s=0&amp;cv=32</v>
      </c>
    </row>
    <row r="2603" spans="1:4" x14ac:dyDescent="0.15">
      <c r="A2603" s="6" t="s">
        <v>133</v>
      </c>
      <c r="B2603" s="63" t="s">
        <v>4538</v>
      </c>
      <c r="C2603" s="6">
        <v>33</v>
      </c>
      <c r="D2603" s="6" t="str">
        <f>HYPERLINK("https://rmda.kulib.kyoto-u.ac.jp/item/rb00002310#?c=0&amp;m=0&amp;s=0&amp;cv=32")</f>
        <v>https://rmda.kulib.kyoto-u.ac.jp/item/rb00002310#?c=0&amp;m=0&amp;s=0&amp;cv=32</v>
      </c>
    </row>
    <row r="2604" spans="1:4" x14ac:dyDescent="0.15">
      <c r="A2604" s="6" t="s">
        <v>133</v>
      </c>
      <c r="B2604" s="6" t="s">
        <v>2332</v>
      </c>
      <c r="C2604" s="6">
        <v>34</v>
      </c>
      <c r="D2604" s="6" t="str">
        <f>HYPERLINK("https://rmda.kulib.kyoto-u.ac.jp/item/rb00002310#?c=0&amp;m=0&amp;s=0&amp;cv=33")</f>
        <v>https://rmda.kulib.kyoto-u.ac.jp/item/rb00002310#?c=0&amp;m=0&amp;s=0&amp;cv=33</v>
      </c>
    </row>
    <row r="2605" spans="1:4" x14ac:dyDescent="0.15">
      <c r="A2605" s="6" t="s">
        <v>133</v>
      </c>
      <c r="B2605" s="6" t="s">
        <v>1826</v>
      </c>
      <c r="C2605" s="6">
        <v>34</v>
      </c>
      <c r="D2605" s="6" t="str">
        <f>HYPERLINK("https://rmda.kulib.kyoto-u.ac.jp/item/rb00002310#?c=0&amp;m=0&amp;s=0&amp;cv=33")</f>
        <v>https://rmda.kulib.kyoto-u.ac.jp/item/rb00002310#?c=0&amp;m=0&amp;s=0&amp;cv=33</v>
      </c>
    </row>
    <row r="2606" spans="1:4" x14ac:dyDescent="0.15">
      <c r="A2606" s="6" t="s">
        <v>133</v>
      </c>
      <c r="B2606" s="6" t="s">
        <v>4539</v>
      </c>
      <c r="C2606" s="6">
        <v>34</v>
      </c>
      <c r="D2606" s="6" t="str">
        <f>HYPERLINK("https://rmda.kulib.kyoto-u.ac.jp/item/rb00002310#?c=0&amp;m=0&amp;s=0&amp;cv=33")</f>
        <v>https://rmda.kulib.kyoto-u.ac.jp/item/rb00002310#?c=0&amp;m=0&amp;s=0&amp;cv=33</v>
      </c>
    </row>
    <row r="2607" spans="1:4" x14ac:dyDescent="0.15">
      <c r="A2607" s="6" t="s">
        <v>133</v>
      </c>
      <c r="B2607" s="6" t="s">
        <v>4540</v>
      </c>
      <c r="C2607" s="6">
        <v>34</v>
      </c>
      <c r="D2607" s="6" t="str">
        <f>HYPERLINK("https://rmda.kulib.kyoto-u.ac.jp/item/rb00002310#?c=0&amp;m=0&amp;s=0&amp;cv=33")</f>
        <v>https://rmda.kulib.kyoto-u.ac.jp/item/rb00002310#?c=0&amp;m=0&amp;s=0&amp;cv=33</v>
      </c>
    </row>
    <row r="2608" spans="1:4" x14ac:dyDescent="0.15">
      <c r="A2608" s="6" t="s">
        <v>133</v>
      </c>
      <c r="B2608" s="63" t="s">
        <v>4541</v>
      </c>
      <c r="C2608" s="6">
        <v>34</v>
      </c>
      <c r="D2608" s="6" t="str">
        <f>HYPERLINK("https://rmda.kulib.kyoto-u.ac.jp/item/rb00002310#?c=0&amp;m=0&amp;s=0&amp;cv=33")</f>
        <v>https://rmda.kulib.kyoto-u.ac.jp/item/rb00002310#?c=0&amp;m=0&amp;s=0&amp;cv=33</v>
      </c>
    </row>
    <row r="2609" spans="1:4" x14ac:dyDescent="0.15">
      <c r="A2609" s="6" t="s">
        <v>133</v>
      </c>
      <c r="B2609" s="6" t="s">
        <v>4542</v>
      </c>
      <c r="C2609" s="6">
        <v>35</v>
      </c>
      <c r="D2609" s="6" t="str">
        <f>HYPERLINK("https://rmda.kulib.kyoto-u.ac.jp/item/rb00002310#?c=0&amp;m=0&amp;s=0&amp;cv=34")</f>
        <v>https://rmda.kulib.kyoto-u.ac.jp/item/rb00002310#?c=0&amp;m=0&amp;s=0&amp;cv=34</v>
      </c>
    </row>
    <row r="2610" spans="1:4" x14ac:dyDescent="0.15">
      <c r="A2610" s="6" t="s">
        <v>133</v>
      </c>
      <c r="B2610" s="6" t="s">
        <v>1691</v>
      </c>
      <c r="C2610" s="6">
        <v>35</v>
      </c>
      <c r="D2610" s="6" t="str">
        <f>HYPERLINK("https://rmda.kulib.kyoto-u.ac.jp/item/rb00002310#?c=0&amp;m=0&amp;s=0&amp;cv=34")</f>
        <v>https://rmda.kulib.kyoto-u.ac.jp/item/rb00002310#?c=0&amp;m=0&amp;s=0&amp;cv=34</v>
      </c>
    </row>
    <row r="2611" spans="1:4" x14ac:dyDescent="0.15">
      <c r="A2611" s="6" t="s">
        <v>133</v>
      </c>
      <c r="B2611" s="6" t="s">
        <v>4543</v>
      </c>
      <c r="C2611" s="6">
        <v>36</v>
      </c>
      <c r="D2611" s="6" t="str">
        <f>HYPERLINK("https://rmda.kulib.kyoto-u.ac.jp/item/rb00002310#?c=0&amp;m=0&amp;s=0&amp;cv=35")</f>
        <v>https://rmda.kulib.kyoto-u.ac.jp/item/rb00002310#?c=0&amp;m=0&amp;s=0&amp;cv=35</v>
      </c>
    </row>
    <row r="2612" spans="1:4" x14ac:dyDescent="0.15">
      <c r="A2612" s="6" t="s">
        <v>133</v>
      </c>
      <c r="B2612" s="63" t="s">
        <v>4601</v>
      </c>
      <c r="C2612" s="6">
        <v>37</v>
      </c>
      <c r="D2612" s="6" t="str">
        <f>HYPERLINK("https://rmda.kulib.kyoto-u.ac.jp/item/rb00002310#?c=0&amp;m=0&amp;s=0&amp;cv=36")</f>
        <v>https://rmda.kulib.kyoto-u.ac.jp/item/rb00002310#?c=0&amp;m=0&amp;s=0&amp;cv=36</v>
      </c>
    </row>
    <row r="2613" spans="1:4" x14ac:dyDescent="0.15">
      <c r="A2613" s="6" t="s">
        <v>133</v>
      </c>
      <c r="B2613" s="6" t="s">
        <v>1734</v>
      </c>
      <c r="C2613" s="6">
        <v>38</v>
      </c>
      <c r="D2613" s="6" t="str">
        <f>HYPERLINK("https://rmda.kulib.kyoto-u.ac.jp/item/rb00002310#?c=0&amp;m=0&amp;s=0&amp;cv=37")</f>
        <v>https://rmda.kulib.kyoto-u.ac.jp/item/rb00002310#?c=0&amp;m=0&amp;s=0&amp;cv=37</v>
      </c>
    </row>
    <row r="2614" spans="1:4" x14ac:dyDescent="0.15">
      <c r="A2614" s="6" t="s">
        <v>133</v>
      </c>
      <c r="B2614" s="6" t="s">
        <v>1717</v>
      </c>
      <c r="C2614" s="6">
        <v>38</v>
      </c>
      <c r="D2614" s="6" t="str">
        <f>HYPERLINK("https://rmda.kulib.kyoto-u.ac.jp/item/rb00002310#?c=0&amp;m=0&amp;s=0&amp;cv=37")</f>
        <v>https://rmda.kulib.kyoto-u.ac.jp/item/rb00002310#?c=0&amp;m=0&amp;s=0&amp;cv=37</v>
      </c>
    </row>
    <row r="2615" spans="1:4" x14ac:dyDescent="0.15">
      <c r="A2615" s="6" t="s">
        <v>133</v>
      </c>
      <c r="B2615" s="6" t="s">
        <v>4742</v>
      </c>
      <c r="C2615" s="6">
        <v>39</v>
      </c>
      <c r="D2615" s="6" t="str">
        <f>HYPERLINK("https://rmda.kulib.kyoto-u.ac.jp/item/rb00002310#?c=0&amp;m=0&amp;s=0&amp;cv=38")</f>
        <v>https://rmda.kulib.kyoto-u.ac.jp/item/rb00002310#?c=0&amp;m=0&amp;s=0&amp;cv=38</v>
      </c>
    </row>
    <row r="2616" spans="1:4" x14ac:dyDescent="0.15">
      <c r="A2616" s="6" t="s">
        <v>133</v>
      </c>
      <c r="B2616" s="6" t="s">
        <v>4272</v>
      </c>
      <c r="C2616" s="6">
        <v>39</v>
      </c>
      <c r="D2616" s="6" t="str">
        <f>HYPERLINK("https://rmda.kulib.kyoto-u.ac.jp/item/rb00002310#?c=0&amp;m=0&amp;s=0&amp;cv=38")</f>
        <v>https://rmda.kulib.kyoto-u.ac.jp/item/rb00002310#?c=0&amp;m=0&amp;s=0&amp;cv=38</v>
      </c>
    </row>
    <row r="2617" spans="1:4" x14ac:dyDescent="0.15">
      <c r="A2617" s="6" t="s">
        <v>133</v>
      </c>
      <c r="B2617" s="6" t="s">
        <v>4540</v>
      </c>
      <c r="C2617" s="6">
        <v>39</v>
      </c>
      <c r="D2617" s="6" t="str">
        <f>HYPERLINK("https://rmda.kulib.kyoto-u.ac.jp/item/rb00002310#?c=0&amp;m=0&amp;s=0&amp;cv=38")</f>
        <v>https://rmda.kulib.kyoto-u.ac.jp/item/rb00002310#?c=0&amp;m=0&amp;s=0&amp;cv=38</v>
      </c>
    </row>
    <row r="2618" spans="1:4" x14ac:dyDescent="0.15">
      <c r="A2618" s="6" t="s">
        <v>133</v>
      </c>
      <c r="B2618" s="6" t="s">
        <v>4602</v>
      </c>
      <c r="C2618" s="6">
        <v>39</v>
      </c>
      <c r="D2618" s="6" t="str">
        <f>HYPERLINK("https://rmda.kulib.kyoto-u.ac.jp/item/rb00002310#?c=0&amp;m=0&amp;s=0&amp;cv=38")</f>
        <v>https://rmda.kulib.kyoto-u.ac.jp/item/rb00002310#?c=0&amp;m=0&amp;s=0&amp;cv=38</v>
      </c>
    </row>
    <row r="2619" spans="1:4" x14ac:dyDescent="0.15">
      <c r="A2619" s="6" t="s">
        <v>133</v>
      </c>
      <c r="B2619" s="6" t="s">
        <v>1713</v>
      </c>
      <c r="C2619" s="6">
        <v>40</v>
      </c>
      <c r="D2619" s="6" t="str">
        <f>HYPERLINK("https://rmda.kulib.kyoto-u.ac.jp/item/rb00002310#?c=0&amp;m=0&amp;s=0&amp;cv=39")</f>
        <v>https://rmda.kulib.kyoto-u.ac.jp/item/rb00002310#?c=0&amp;m=0&amp;s=0&amp;cv=39</v>
      </c>
    </row>
    <row r="2620" spans="1:4" x14ac:dyDescent="0.15">
      <c r="A2620" s="6" t="s">
        <v>133</v>
      </c>
      <c r="B2620" s="6" t="s">
        <v>6081</v>
      </c>
      <c r="C2620" s="6">
        <v>40</v>
      </c>
      <c r="D2620" s="6" t="str">
        <f>HYPERLINK("https://rmda.kulib.kyoto-u.ac.jp/item/rb00002310#?c=0&amp;m=0&amp;s=0&amp;cv=39")</f>
        <v>https://rmda.kulib.kyoto-u.ac.jp/item/rb00002310#?c=0&amp;m=0&amp;s=0&amp;cv=39</v>
      </c>
    </row>
    <row r="2621" spans="1:4" x14ac:dyDescent="0.15">
      <c r="A2621" s="6" t="s">
        <v>133</v>
      </c>
      <c r="B2621" s="6" t="s">
        <v>2496</v>
      </c>
      <c r="C2621" s="6">
        <v>40</v>
      </c>
      <c r="D2621" s="6" t="str">
        <f>HYPERLINK("https://rmda.kulib.kyoto-u.ac.jp/item/rb00002310#?c=0&amp;m=0&amp;s=0&amp;cv=39")</f>
        <v>https://rmda.kulib.kyoto-u.ac.jp/item/rb00002310#?c=0&amp;m=0&amp;s=0&amp;cv=39</v>
      </c>
    </row>
    <row r="2622" spans="1:4" x14ac:dyDescent="0.15">
      <c r="A2622" s="6" t="s">
        <v>133</v>
      </c>
      <c r="B2622" s="63" t="s">
        <v>4564</v>
      </c>
      <c r="C2622" s="6">
        <v>40</v>
      </c>
      <c r="D2622" s="6" t="str">
        <f>HYPERLINK("https://rmda.kulib.kyoto-u.ac.jp/item/rb00002310#?c=0&amp;m=0&amp;s=0&amp;cv=39")</f>
        <v>https://rmda.kulib.kyoto-u.ac.jp/item/rb00002310#?c=0&amp;m=0&amp;s=0&amp;cv=39</v>
      </c>
    </row>
    <row r="2623" spans="1:4" x14ac:dyDescent="0.15">
      <c r="A2623" s="6" t="s">
        <v>133</v>
      </c>
      <c r="B2623" s="6" t="s">
        <v>4565</v>
      </c>
      <c r="C2623" s="6">
        <v>41</v>
      </c>
      <c r="D2623" s="6" t="str">
        <f>HYPERLINK("https://rmda.kulib.kyoto-u.ac.jp/item/rb00002310#?c=0&amp;m=0&amp;s=0&amp;cv=40")</f>
        <v>https://rmda.kulib.kyoto-u.ac.jp/item/rb00002310#?c=0&amp;m=0&amp;s=0&amp;cv=40</v>
      </c>
    </row>
    <row r="2624" spans="1:4" x14ac:dyDescent="0.15">
      <c r="A2624" s="6" t="s">
        <v>133</v>
      </c>
      <c r="B2624" s="30" t="s">
        <v>6082</v>
      </c>
      <c r="C2624" s="6">
        <v>42</v>
      </c>
      <c r="D2624" s="6" t="str">
        <f>HYPERLINK("https://rmda.kulib.kyoto-u.ac.jp/item/rb00002310#?c=0&amp;m=0&amp;s=0&amp;cv=41")</f>
        <v>https://rmda.kulib.kyoto-u.ac.jp/item/rb00002310#?c=0&amp;m=0&amp;s=0&amp;cv=41</v>
      </c>
    </row>
    <row r="2625" spans="1:4" x14ac:dyDescent="0.15">
      <c r="A2625" s="6" t="s">
        <v>133</v>
      </c>
      <c r="B2625" s="6" t="s">
        <v>1647</v>
      </c>
      <c r="C2625" s="6">
        <v>42</v>
      </c>
      <c r="D2625" s="6" t="str">
        <f>HYPERLINK("https://rmda.kulib.kyoto-u.ac.jp/item/rb00002310#?c=0&amp;m=0&amp;s=0&amp;cv=41")</f>
        <v>https://rmda.kulib.kyoto-u.ac.jp/item/rb00002310#?c=0&amp;m=0&amp;s=0&amp;cv=41</v>
      </c>
    </row>
    <row r="2626" spans="1:4" x14ac:dyDescent="0.15">
      <c r="A2626" s="6" t="s">
        <v>133</v>
      </c>
      <c r="B2626" s="6" t="s">
        <v>1833</v>
      </c>
      <c r="C2626" s="6">
        <v>42</v>
      </c>
      <c r="D2626" s="6" t="str">
        <f>HYPERLINK("https://rmda.kulib.kyoto-u.ac.jp/item/rb00002310#?c=0&amp;m=0&amp;s=0&amp;cv=41")</f>
        <v>https://rmda.kulib.kyoto-u.ac.jp/item/rb00002310#?c=0&amp;m=0&amp;s=0&amp;cv=41</v>
      </c>
    </row>
    <row r="2627" spans="1:4" x14ac:dyDescent="0.15">
      <c r="A2627" s="6" t="s">
        <v>133</v>
      </c>
      <c r="B2627" s="63" t="s">
        <v>4743</v>
      </c>
      <c r="C2627" s="6">
        <v>43</v>
      </c>
      <c r="D2627" s="6" t="str">
        <f>HYPERLINK("https://rmda.kulib.kyoto-u.ac.jp/item/rb00002310#?c=0&amp;m=0&amp;s=0&amp;cv=42")</f>
        <v>https://rmda.kulib.kyoto-u.ac.jp/item/rb00002310#?c=0&amp;m=0&amp;s=0&amp;cv=42</v>
      </c>
    </row>
    <row r="2628" spans="1:4" x14ac:dyDescent="0.15">
      <c r="A2628" s="6" t="s">
        <v>133</v>
      </c>
      <c r="B2628" s="6" t="s">
        <v>1649</v>
      </c>
      <c r="C2628" s="6">
        <v>44</v>
      </c>
      <c r="D2628" s="6" t="str">
        <f>HYPERLINK("https://rmda.kulib.kyoto-u.ac.jp/item/rb00002310#?c=0&amp;m=0&amp;s=0&amp;cv=43")</f>
        <v>https://rmda.kulib.kyoto-u.ac.jp/item/rb00002310#?c=0&amp;m=0&amp;s=0&amp;cv=43</v>
      </c>
    </row>
    <row r="2629" spans="1:4" x14ac:dyDescent="0.15">
      <c r="A2629" s="6" t="s">
        <v>133</v>
      </c>
      <c r="B2629" s="6" t="s">
        <v>4624</v>
      </c>
      <c r="C2629" s="6">
        <v>45</v>
      </c>
      <c r="D2629" s="6" t="str">
        <f>HYPERLINK("https://rmda.kulib.kyoto-u.ac.jp/item/rb00002310#?c=0&amp;m=0&amp;s=0&amp;cv=44")</f>
        <v>https://rmda.kulib.kyoto-u.ac.jp/item/rb00002310#?c=0&amp;m=0&amp;s=0&amp;cv=44</v>
      </c>
    </row>
    <row r="2630" spans="1:4" x14ac:dyDescent="0.15">
      <c r="A2630" s="6" t="s">
        <v>133</v>
      </c>
      <c r="B2630" s="6" t="s">
        <v>2130</v>
      </c>
      <c r="C2630" s="6">
        <v>45</v>
      </c>
      <c r="D2630" s="6" t="str">
        <f>HYPERLINK("https://rmda.kulib.kyoto-u.ac.jp/item/rb00002310#?c=0&amp;m=0&amp;s=0&amp;cv=44")</f>
        <v>https://rmda.kulib.kyoto-u.ac.jp/item/rb00002310#?c=0&amp;m=0&amp;s=0&amp;cv=44</v>
      </c>
    </row>
    <row r="2631" spans="1:4" x14ac:dyDescent="0.15">
      <c r="A2631" s="6" t="s">
        <v>133</v>
      </c>
      <c r="B2631" s="6" t="s">
        <v>4787</v>
      </c>
      <c r="C2631" s="6">
        <v>45</v>
      </c>
      <c r="D2631" s="6" t="str">
        <f>HYPERLINK("https://rmda.kulib.kyoto-u.ac.jp/item/rb00002310#?c=0&amp;m=0&amp;s=0&amp;cv=44")</f>
        <v>https://rmda.kulib.kyoto-u.ac.jp/item/rb00002310#?c=0&amp;m=0&amp;s=0&amp;cv=44</v>
      </c>
    </row>
    <row r="2632" spans="1:4" x14ac:dyDescent="0.15">
      <c r="A2632" s="6" t="s">
        <v>133</v>
      </c>
      <c r="B2632" s="63" t="s">
        <v>4535</v>
      </c>
      <c r="C2632" s="6">
        <v>46</v>
      </c>
      <c r="D2632" s="6" t="str">
        <f>HYPERLINK("https://rmda.kulib.kyoto-u.ac.jp/item/rb00002310#?c=0&amp;m=0&amp;s=0&amp;cv=45")</f>
        <v>https://rmda.kulib.kyoto-u.ac.jp/item/rb00002310#?c=0&amp;m=0&amp;s=0&amp;cv=45</v>
      </c>
    </row>
    <row r="2633" spans="1:4" x14ac:dyDescent="0.15">
      <c r="A2633" s="6" t="s">
        <v>133</v>
      </c>
      <c r="B2633" s="6" t="s">
        <v>4536</v>
      </c>
      <c r="C2633" s="6">
        <v>46</v>
      </c>
      <c r="D2633" s="6" t="str">
        <f>HYPERLINK("https://rmda.kulib.kyoto-u.ac.jp/item/rb00002310#?c=0&amp;m=0&amp;s=0&amp;cv=45")</f>
        <v>https://rmda.kulib.kyoto-u.ac.jp/item/rb00002310#?c=0&amp;m=0&amp;s=0&amp;cv=45</v>
      </c>
    </row>
    <row r="2634" spans="1:4" x14ac:dyDescent="0.15">
      <c r="A2634" s="6" t="s">
        <v>133</v>
      </c>
      <c r="B2634" s="6" t="s">
        <v>2213</v>
      </c>
      <c r="C2634" s="6">
        <v>47</v>
      </c>
      <c r="D2634" s="6" t="str">
        <f>HYPERLINK("https://rmda.kulib.kyoto-u.ac.jp/item/rb00002310#?c=0&amp;m=0&amp;s=0&amp;cv=46")</f>
        <v>https://rmda.kulib.kyoto-u.ac.jp/item/rb00002310#?c=0&amp;m=0&amp;s=0&amp;cv=46</v>
      </c>
    </row>
    <row r="2635" spans="1:4" x14ac:dyDescent="0.15">
      <c r="A2635" s="6" t="s">
        <v>133</v>
      </c>
      <c r="B2635" s="6" t="s">
        <v>4741</v>
      </c>
      <c r="C2635" s="6">
        <v>47</v>
      </c>
      <c r="D2635" s="6" t="str">
        <f>HYPERLINK("https://rmda.kulib.kyoto-u.ac.jp/item/rb00002310#?c=0&amp;m=0&amp;s=0&amp;cv=46")</f>
        <v>https://rmda.kulib.kyoto-u.ac.jp/item/rb00002310#?c=0&amp;m=0&amp;s=0&amp;cv=46</v>
      </c>
    </row>
    <row r="2636" spans="1:4" x14ac:dyDescent="0.15">
      <c r="A2636" s="6" t="s">
        <v>133</v>
      </c>
      <c r="B2636" s="63" t="s">
        <v>4626</v>
      </c>
      <c r="C2636" s="6">
        <v>47</v>
      </c>
      <c r="D2636" s="6" t="str">
        <f>HYPERLINK("https://rmda.kulib.kyoto-u.ac.jp/item/rb00002310#?c=0&amp;m=0&amp;s=0&amp;cv=46")</f>
        <v>https://rmda.kulib.kyoto-u.ac.jp/item/rb00002310#?c=0&amp;m=0&amp;s=0&amp;cv=46</v>
      </c>
    </row>
    <row r="2637" spans="1:4" x14ac:dyDescent="0.15">
      <c r="A2637" s="6" t="s">
        <v>133</v>
      </c>
      <c r="B2637" s="6" t="s">
        <v>4627</v>
      </c>
      <c r="C2637" s="6">
        <v>48</v>
      </c>
      <c r="D2637" s="6" t="str">
        <f>HYPERLINK("https://rmda.kulib.kyoto-u.ac.jp/item/rb00002310#?c=0&amp;m=0&amp;s=0&amp;cv=47")</f>
        <v>https://rmda.kulib.kyoto-u.ac.jp/item/rb00002310#?c=0&amp;m=0&amp;s=0&amp;cv=47</v>
      </c>
    </row>
    <row r="2638" spans="1:4" x14ac:dyDescent="0.15">
      <c r="A2638" s="6" t="s">
        <v>133</v>
      </c>
      <c r="B2638" s="6" t="s">
        <v>4628</v>
      </c>
      <c r="C2638" s="6">
        <v>48</v>
      </c>
      <c r="D2638" s="6" t="str">
        <f>HYPERLINK("https://rmda.kulib.kyoto-u.ac.jp/item/rb00002310#?c=0&amp;m=0&amp;s=0&amp;cv=47")</f>
        <v>https://rmda.kulib.kyoto-u.ac.jp/item/rb00002310#?c=0&amp;m=0&amp;s=0&amp;cv=47</v>
      </c>
    </row>
    <row r="2639" spans="1:4" x14ac:dyDescent="0.15">
      <c r="A2639" s="6" t="s">
        <v>133</v>
      </c>
      <c r="B2639" s="6" t="s">
        <v>4629</v>
      </c>
      <c r="C2639" s="6">
        <v>49</v>
      </c>
      <c r="D2639" s="6" t="str">
        <f>HYPERLINK("https://rmda.kulib.kyoto-u.ac.jp/item/rb00002310#?c=0&amp;m=0&amp;s=0&amp;cv=48")</f>
        <v>https://rmda.kulib.kyoto-u.ac.jp/item/rb00002310#?c=0&amp;m=0&amp;s=0&amp;cv=48</v>
      </c>
    </row>
    <row r="2640" spans="1:4" x14ac:dyDescent="0.15">
      <c r="A2640" s="6" t="s">
        <v>133</v>
      </c>
      <c r="B2640" s="6" t="s">
        <v>4630</v>
      </c>
      <c r="C2640" s="6">
        <v>49</v>
      </c>
      <c r="D2640" s="6" t="str">
        <f>HYPERLINK("https://rmda.kulib.kyoto-u.ac.jp/item/rb00002310#?c=0&amp;m=0&amp;s=0&amp;cv=48")</f>
        <v>https://rmda.kulib.kyoto-u.ac.jp/item/rb00002310#?c=0&amp;m=0&amp;s=0&amp;cv=48</v>
      </c>
    </row>
    <row r="2641" spans="1:4" x14ac:dyDescent="0.15">
      <c r="A2641" s="6" t="s">
        <v>133</v>
      </c>
      <c r="B2641" s="6" t="s">
        <v>4631</v>
      </c>
      <c r="C2641" s="6">
        <v>49</v>
      </c>
      <c r="D2641" s="6" t="str">
        <f>HYPERLINK("https://rmda.kulib.kyoto-u.ac.jp/item/rb00002310#?c=0&amp;m=0&amp;s=0&amp;cv=48")</f>
        <v>https://rmda.kulib.kyoto-u.ac.jp/item/rb00002310#?c=0&amp;m=0&amp;s=0&amp;cv=48</v>
      </c>
    </row>
    <row r="2642" spans="1:4" x14ac:dyDescent="0.15">
      <c r="A2642" s="6" t="s">
        <v>133</v>
      </c>
      <c r="B2642" s="6" t="s">
        <v>4825</v>
      </c>
      <c r="C2642" s="6">
        <v>49</v>
      </c>
      <c r="D2642" s="6" t="str">
        <f>HYPERLINK("https://rmda.kulib.kyoto-u.ac.jp/item/rb00002310#?c=0&amp;m=0&amp;s=0&amp;cv=48")</f>
        <v>https://rmda.kulib.kyoto-u.ac.jp/item/rb00002310#?c=0&amp;m=0&amp;s=0&amp;cv=48</v>
      </c>
    </row>
    <row r="2643" spans="1:4" x14ac:dyDescent="0.15">
      <c r="A2643" s="6" t="s">
        <v>133</v>
      </c>
      <c r="B2643" s="6" t="s">
        <v>1969</v>
      </c>
      <c r="C2643" s="6">
        <v>50</v>
      </c>
      <c r="D2643" s="6" t="str">
        <f>HYPERLINK("https://rmda.kulib.kyoto-u.ac.jp/item/rb00002310#?c=0&amp;m=0&amp;s=0&amp;cv=49")</f>
        <v>https://rmda.kulib.kyoto-u.ac.jp/item/rb00002310#?c=0&amp;m=0&amp;s=0&amp;cv=49</v>
      </c>
    </row>
    <row r="2644" spans="1:4" x14ac:dyDescent="0.15">
      <c r="A2644" s="6" t="s">
        <v>133</v>
      </c>
      <c r="B2644" s="63" t="s">
        <v>4633</v>
      </c>
      <c r="C2644" s="6">
        <v>50</v>
      </c>
      <c r="D2644" s="6" t="str">
        <f>HYPERLINK("https://rmda.kulib.kyoto-u.ac.jp/item/rb00002310#?c=0&amp;m=0&amp;s=0&amp;cv=49")</f>
        <v>https://rmda.kulib.kyoto-u.ac.jp/item/rb00002310#?c=0&amp;m=0&amp;s=0&amp;cv=49</v>
      </c>
    </row>
    <row r="2645" spans="1:4" x14ac:dyDescent="0.15">
      <c r="A2645" s="6" t="s">
        <v>133</v>
      </c>
      <c r="B2645" s="6" t="s">
        <v>4543</v>
      </c>
      <c r="C2645" s="6">
        <v>50</v>
      </c>
      <c r="D2645" s="6" t="str">
        <f>HYPERLINK("https://rmda.kulib.kyoto-u.ac.jp/item/rb00002310#?c=0&amp;m=0&amp;s=0&amp;cv=49")</f>
        <v>https://rmda.kulib.kyoto-u.ac.jp/item/rb00002310#?c=0&amp;m=0&amp;s=0&amp;cv=49</v>
      </c>
    </row>
    <row r="2646" spans="1:4" x14ac:dyDescent="0.15">
      <c r="A2646" s="6" t="s">
        <v>133</v>
      </c>
      <c r="B2646" s="6" t="s">
        <v>1727</v>
      </c>
      <c r="C2646" s="6">
        <v>50</v>
      </c>
      <c r="D2646" s="6" t="str">
        <f>HYPERLINK("https://rmda.kulib.kyoto-u.ac.jp/item/rb00002310#?c=0&amp;m=0&amp;s=0&amp;cv=49")</f>
        <v>https://rmda.kulib.kyoto-u.ac.jp/item/rb00002310#?c=0&amp;m=0&amp;s=0&amp;cv=49</v>
      </c>
    </row>
    <row r="2647" spans="1:4" x14ac:dyDescent="0.15">
      <c r="A2647" s="6" t="s">
        <v>133</v>
      </c>
      <c r="B2647" s="6" t="s">
        <v>6083</v>
      </c>
      <c r="C2647" s="6">
        <v>51</v>
      </c>
      <c r="D2647" s="6" t="str">
        <f>HYPERLINK("https://rmda.kulib.kyoto-u.ac.jp/item/rb00002310#?c=0&amp;m=0&amp;s=0&amp;cv=50")</f>
        <v>https://rmda.kulib.kyoto-u.ac.jp/item/rb00002310#?c=0&amp;m=0&amp;s=0&amp;cv=50</v>
      </c>
    </row>
    <row r="2648" spans="1:4" x14ac:dyDescent="0.15">
      <c r="A2648" s="6" t="s">
        <v>133</v>
      </c>
      <c r="B2648" s="6" t="s">
        <v>4826</v>
      </c>
      <c r="C2648" s="6">
        <v>51</v>
      </c>
      <c r="D2648" s="6" t="str">
        <f>HYPERLINK("https://rmda.kulib.kyoto-u.ac.jp/item/rb00002310#?c=0&amp;m=0&amp;s=0&amp;cv=50")</f>
        <v>https://rmda.kulib.kyoto-u.ac.jp/item/rb00002310#?c=0&amp;m=0&amp;s=0&amp;cv=50</v>
      </c>
    </row>
    <row r="2649" spans="1:4" x14ac:dyDescent="0.15">
      <c r="A2649" s="6" t="s">
        <v>133</v>
      </c>
      <c r="B2649" s="6" t="s">
        <v>4634</v>
      </c>
      <c r="C2649" s="6">
        <v>51</v>
      </c>
      <c r="D2649" s="6" t="str">
        <f>HYPERLINK("https://rmda.kulib.kyoto-u.ac.jp/item/rb00002310#?c=0&amp;m=0&amp;s=0&amp;cv=50")</f>
        <v>https://rmda.kulib.kyoto-u.ac.jp/item/rb00002310#?c=0&amp;m=0&amp;s=0&amp;cv=50</v>
      </c>
    </row>
    <row r="2650" spans="1:4" x14ac:dyDescent="0.15">
      <c r="A2650" s="6" t="s">
        <v>133</v>
      </c>
      <c r="B2650" s="30" t="s">
        <v>5548</v>
      </c>
      <c r="C2650" s="6">
        <v>51</v>
      </c>
      <c r="D2650" s="6" t="str">
        <f>HYPERLINK("https://rmda.kulib.kyoto-u.ac.jp/item/rb00002310#?c=0&amp;m=0&amp;s=0&amp;cv=50")</f>
        <v>https://rmda.kulib.kyoto-u.ac.jp/item/rb00002310#?c=0&amp;m=0&amp;s=0&amp;cv=50</v>
      </c>
    </row>
    <row r="2651" spans="1:4" x14ac:dyDescent="0.15">
      <c r="A2651" s="6" t="s">
        <v>133</v>
      </c>
      <c r="B2651" s="6" t="s">
        <v>4791</v>
      </c>
      <c r="C2651" s="6">
        <v>51</v>
      </c>
      <c r="D2651" s="6" t="str">
        <f>HYPERLINK("https://rmda.kulib.kyoto-u.ac.jp/item/rb00002310#?c=0&amp;m=0&amp;s=0&amp;cv=50")</f>
        <v>https://rmda.kulib.kyoto-u.ac.jp/item/rb00002310#?c=0&amp;m=0&amp;s=0&amp;cv=50</v>
      </c>
    </row>
    <row r="2652" spans="1:4" x14ac:dyDescent="0.15">
      <c r="A2652" s="6" t="s">
        <v>133</v>
      </c>
      <c r="B2652" s="63" t="s">
        <v>4613</v>
      </c>
      <c r="C2652" s="6">
        <v>52</v>
      </c>
      <c r="D2652" s="6" t="str">
        <f>HYPERLINK("https://rmda.kulib.kyoto-u.ac.jp/item/rb00002310#?c=0&amp;m=0&amp;s=0&amp;cv=51")</f>
        <v>https://rmda.kulib.kyoto-u.ac.jp/item/rb00002310#?c=0&amp;m=0&amp;s=0&amp;cv=51</v>
      </c>
    </row>
    <row r="2653" spans="1:4" x14ac:dyDescent="0.15">
      <c r="A2653" s="6" t="s">
        <v>133</v>
      </c>
      <c r="B2653" s="6" t="s">
        <v>1773</v>
      </c>
      <c r="C2653" s="6">
        <v>52</v>
      </c>
      <c r="D2653" s="6" t="str">
        <f>HYPERLINK("https://rmda.kulib.kyoto-u.ac.jp/item/rb00002310#?c=0&amp;m=0&amp;s=0&amp;cv=51")</f>
        <v>https://rmda.kulib.kyoto-u.ac.jp/item/rb00002310#?c=0&amp;m=0&amp;s=0&amp;cv=51</v>
      </c>
    </row>
    <row r="2654" spans="1:4" x14ac:dyDescent="0.15">
      <c r="A2654" s="6" t="s">
        <v>133</v>
      </c>
      <c r="B2654" s="6" t="s">
        <v>2044</v>
      </c>
      <c r="C2654" s="6">
        <v>53</v>
      </c>
      <c r="D2654" s="6" t="str">
        <f>HYPERLINK("https://rmda.kulib.kyoto-u.ac.jp/item/rb00002310#?c=0&amp;m=0&amp;s=0&amp;cv=52")</f>
        <v>https://rmda.kulib.kyoto-u.ac.jp/item/rb00002310#?c=0&amp;m=0&amp;s=0&amp;cv=52</v>
      </c>
    </row>
    <row r="2655" spans="1:4" x14ac:dyDescent="0.15">
      <c r="A2655" s="6" t="s">
        <v>133</v>
      </c>
      <c r="B2655" s="6" t="s">
        <v>4614</v>
      </c>
      <c r="C2655" s="6">
        <v>53</v>
      </c>
      <c r="D2655" s="6" t="str">
        <f>HYPERLINK("https://rmda.kulib.kyoto-u.ac.jp/item/rb00002310#?c=0&amp;m=0&amp;s=0&amp;cv=52")</f>
        <v>https://rmda.kulib.kyoto-u.ac.jp/item/rb00002310#?c=0&amp;m=0&amp;s=0&amp;cv=52</v>
      </c>
    </row>
    <row r="2656" spans="1:4" x14ac:dyDescent="0.15">
      <c r="A2656" s="6" t="s">
        <v>133</v>
      </c>
      <c r="B2656" s="6" t="s">
        <v>6083</v>
      </c>
      <c r="C2656" s="6">
        <v>53</v>
      </c>
      <c r="D2656" s="6" t="str">
        <f>HYPERLINK("https://rmda.kulib.kyoto-u.ac.jp/item/rb00002310#?c=0&amp;m=0&amp;s=0&amp;cv=52")</f>
        <v>https://rmda.kulib.kyoto-u.ac.jp/item/rb00002310#?c=0&amp;m=0&amp;s=0&amp;cv=52</v>
      </c>
    </row>
    <row r="2657" spans="1:4" x14ac:dyDescent="0.15">
      <c r="A2657" s="6" t="s">
        <v>133</v>
      </c>
      <c r="B2657" s="6" t="s">
        <v>1700</v>
      </c>
      <c r="C2657" s="6">
        <v>53</v>
      </c>
      <c r="D2657" s="6" t="str">
        <f>HYPERLINK("https://rmda.kulib.kyoto-u.ac.jp/item/rb00002310#?c=0&amp;m=0&amp;s=0&amp;cv=52")</f>
        <v>https://rmda.kulib.kyoto-u.ac.jp/item/rb00002310#?c=0&amp;m=0&amp;s=0&amp;cv=52</v>
      </c>
    </row>
    <row r="2658" spans="1:4" x14ac:dyDescent="0.15">
      <c r="A2658" s="6" t="s">
        <v>133</v>
      </c>
      <c r="B2658" s="6" t="s">
        <v>1898</v>
      </c>
      <c r="C2658" s="6">
        <v>54</v>
      </c>
      <c r="D2658" s="6" t="str">
        <f>HYPERLINK("https://rmda.kulib.kyoto-u.ac.jp/item/rb00002310#?c=0&amp;m=0&amp;s=0&amp;cv=53")</f>
        <v>https://rmda.kulib.kyoto-u.ac.jp/item/rb00002310#?c=0&amp;m=0&amp;s=0&amp;cv=53</v>
      </c>
    </row>
    <row r="2659" spans="1:4" x14ac:dyDescent="0.15">
      <c r="A2659" s="6" t="s">
        <v>133</v>
      </c>
      <c r="B2659" s="6" t="s">
        <v>4615</v>
      </c>
      <c r="C2659" s="6">
        <v>54</v>
      </c>
      <c r="D2659" s="6" t="str">
        <f>HYPERLINK("https://rmda.kulib.kyoto-u.ac.jp/item/rb00002310#?c=0&amp;m=0&amp;s=0&amp;cv=53")</f>
        <v>https://rmda.kulib.kyoto-u.ac.jp/item/rb00002310#?c=0&amp;m=0&amp;s=0&amp;cv=53</v>
      </c>
    </row>
    <row r="2660" spans="1:4" x14ac:dyDescent="0.15">
      <c r="A2660" s="6" t="s">
        <v>133</v>
      </c>
      <c r="B2660" s="6" t="s">
        <v>2496</v>
      </c>
      <c r="C2660" s="6">
        <v>54</v>
      </c>
      <c r="D2660" s="6" t="str">
        <f>HYPERLINK("https://rmda.kulib.kyoto-u.ac.jp/item/rb00002310#?c=0&amp;m=0&amp;s=0&amp;cv=53")</f>
        <v>https://rmda.kulib.kyoto-u.ac.jp/item/rb00002310#?c=0&amp;m=0&amp;s=0&amp;cv=53</v>
      </c>
    </row>
    <row r="2661" spans="1:4" x14ac:dyDescent="0.15">
      <c r="A2661" s="6" t="s">
        <v>133</v>
      </c>
      <c r="B2661" s="6" t="s">
        <v>6084</v>
      </c>
      <c r="C2661" s="6">
        <v>54</v>
      </c>
      <c r="D2661" s="6" t="str">
        <f>HYPERLINK("https://rmda.kulib.kyoto-u.ac.jp/item/rb00002310#?c=0&amp;m=0&amp;s=0&amp;cv=53")</f>
        <v>https://rmda.kulib.kyoto-u.ac.jp/item/rb00002310#?c=0&amp;m=0&amp;s=0&amp;cv=53</v>
      </c>
    </row>
    <row r="2662" spans="1:4" x14ac:dyDescent="0.15">
      <c r="A2662" s="6" t="s">
        <v>133</v>
      </c>
      <c r="B2662" s="63" t="s">
        <v>4616</v>
      </c>
      <c r="C2662" s="6">
        <v>54</v>
      </c>
      <c r="D2662" s="6" t="str">
        <f>HYPERLINK("https://rmda.kulib.kyoto-u.ac.jp/item/rb00002310#?c=0&amp;m=0&amp;s=0&amp;cv=53")</f>
        <v>https://rmda.kulib.kyoto-u.ac.jp/item/rb00002310#?c=0&amp;m=0&amp;s=0&amp;cv=53</v>
      </c>
    </row>
    <row r="2663" spans="1:4" x14ac:dyDescent="0.15">
      <c r="A2663" s="6" t="s">
        <v>133</v>
      </c>
      <c r="B2663" s="6" t="s">
        <v>1773</v>
      </c>
      <c r="C2663" s="6">
        <v>55</v>
      </c>
      <c r="D2663" s="6" t="str">
        <f>HYPERLINK("https://rmda.kulib.kyoto-u.ac.jp/item/rb00002310#?c=0&amp;m=0&amp;s=0&amp;cv=54")</f>
        <v>https://rmda.kulib.kyoto-u.ac.jp/item/rb00002310#?c=0&amp;m=0&amp;s=0&amp;cv=54</v>
      </c>
    </row>
    <row r="2664" spans="1:4" x14ac:dyDescent="0.15">
      <c r="A2664" s="6" t="s">
        <v>133</v>
      </c>
      <c r="B2664" s="6" t="s">
        <v>4299</v>
      </c>
      <c r="C2664" s="6">
        <v>55</v>
      </c>
      <c r="D2664" s="6" t="str">
        <f>HYPERLINK("https://rmda.kulib.kyoto-u.ac.jp/item/rb00002310#?c=0&amp;m=0&amp;s=0&amp;cv=54")</f>
        <v>https://rmda.kulib.kyoto-u.ac.jp/item/rb00002310#?c=0&amp;m=0&amp;s=0&amp;cv=54</v>
      </c>
    </row>
    <row r="2665" spans="1:4" x14ac:dyDescent="0.15">
      <c r="A2665" s="6" t="s">
        <v>133</v>
      </c>
      <c r="B2665" s="6" t="s">
        <v>4617</v>
      </c>
      <c r="C2665" s="6">
        <v>55</v>
      </c>
      <c r="D2665" s="6" t="str">
        <f>HYPERLINK("https://rmda.kulib.kyoto-u.ac.jp/item/rb00002310#?c=0&amp;m=0&amp;s=0&amp;cv=54")</f>
        <v>https://rmda.kulib.kyoto-u.ac.jp/item/rb00002310#?c=0&amp;m=0&amp;s=0&amp;cv=54</v>
      </c>
    </row>
    <row r="2666" spans="1:4" x14ac:dyDescent="0.15">
      <c r="A2666" s="6" t="s">
        <v>133</v>
      </c>
      <c r="B2666" s="6" t="s">
        <v>1965</v>
      </c>
      <c r="C2666" s="6">
        <v>56</v>
      </c>
      <c r="D2666" s="6" t="str">
        <f>HYPERLINK("https://rmda.kulib.kyoto-u.ac.jp/item/rb00002310#?c=0&amp;m=0&amp;s=0&amp;cv=55")</f>
        <v>https://rmda.kulib.kyoto-u.ac.jp/item/rb00002310#?c=0&amp;m=0&amp;s=0&amp;cv=55</v>
      </c>
    </row>
    <row r="2667" spans="1:4" x14ac:dyDescent="0.15">
      <c r="A2667" s="6" t="s">
        <v>133</v>
      </c>
      <c r="B2667" s="6" t="s">
        <v>1942</v>
      </c>
      <c r="C2667" s="6">
        <v>56</v>
      </c>
      <c r="D2667" s="6" t="str">
        <f>HYPERLINK("https://rmda.kulib.kyoto-u.ac.jp/item/rb00002310#?c=0&amp;m=0&amp;s=0&amp;cv=55")</f>
        <v>https://rmda.kulib.kyoto-u.ac.jp/item/rb00002310#?c=0&amp;m=0&amp;s=0&amp;cv=55</v>
      </c>
    </row>
    <row r="2668" spans="1:4" x14ac:dyDescent="0.15">
      <c r="A2668" s="6" t="s">
        <v>133</v>
      </c>
      <c r="B2668" s="6" t="s">
        <v>4618</v>
      </c>
      <c r="C2668" s="6">
        <v>56</v>
      </c>
      <c r="D2668" s="6" t="str">
        <f>HYPERLINK("https://rmda.kulib.kyoto-u.ac.jp/item/rb00002310#?c=0&amp;m=0&amp;s=0&amp;cv=55")</f>
        <v>https://rmda.kulib.kyoto-u.ac.jp/item/rb00002310#?c=0&amp;m=0&amp;s=0&amp;cv=55</v>
      </c>
    </row>
    <row r="2669" spans="1:4" x14ac:dyDescent="0.15">
      <c r="A2669" s="6" t="s">
        <v>133</v>
      </c>
      <c r="B2669" s="6" t="s">
        <v>4785</v>
      </c>
      <c r="C2669" s="6">
        <v>56</v>
      </c>
      <c r="D2669" s="6" t="str">
        <f>HYPERLINK("https://rmda.kulib.kyoto-u.ac.jp/item/rb00002310#?c=0&amp;m=0&amp;s=0&amp;cv=55")</f>
        <v>https://rmda.kulib.kyoto-u.ac.jp/item/rb00002310#?c=0&amp;m=0&amp;s=0&amp;cv=55</v>
      </c>
    </row>
    <row r="2670" spans="1:4" x14ac:dyDescent="0.15">
      <c r="A2670" s="6" t="s">
        <v>133</v>
      </c>
      <c r="B2670" s="6" t="s">
        <v>4523</v>
      </c>
      <c r="C2670" s="6">
        <v>57</v>
      </c>
      <c r="D2670" s="6" t="str">
        <f>HYPERLINK("https://rmda.kulib.kyoto-u.ac.jp/item/rb00002310#?c=0&amp;m=0&amp;s=0&amp;cv=56")</f>
        <v>https://rmda.kulib.kyoto-u.ac.jp/item/rb00002310#?c=0&amp;m=0&amp;s=0&amp;cv=56</v>
      </c>
    </row>
    <row r="2671" spans="1:4" x14ac:dyDescent="0.15">
      <c r="A2671" s="6" t="s">
        <v>133</v>
      </c>
      <c r="B2671" s="63" t="s">
        <v>4621</v>
      </c>
      <c r="C2671" s="6">
        <v>58</v>
      </c>
      <c r="D2671" s="6" t="str">
        <f>HYPERLINK("https://rmda.kulib.kyoto-u.ac.jp/item/rb00002310#?c=0&amp;m=0&amp;s=0&amp;cv=57")</f>
        <v>https://rmda.kulib.kyoto-u.ac.jp/item/rb00002310#?c=0&amp;m=0&amp;s=0&amp;cv=57</v>
      </c>
    </row>
    <row r="2672" spans="1:4" x14ac:dyDescent="0.15">
      <c r="A2672" s="6" t="s">
        <v>133</v>
      </c>
      <c r="B2672" s="6" t="s">
        <v>4622</v>
      </c>
      <c r="C2672" s="6">
        <v>58</v>
      </c>
      <c r="D2672" s="6" t="str">
        <f>HYPERLINK("https://rmda.kulib.kyoto-u.ac.jp/item/rb00002310#?c=0&amp;m=0&amp;s=0&amp;cv=57")</f>
        <v>https://rmda.kulib.kyoto-u.ac.jp/item/rb00002310#?c=0&amp;m=0&amp;s=0&amp;cv=57</v>
      </c>
    </row>
    <row r="2673" spans="1:4" x14ac:dyDescent="0.15">
      <c r="A2673" s="6" t="s">
        <v>133</v>
      </c>
      <c r="B2673" s="6" t="s">
        <v>1685</v>
      </c>
      <c r="C2673" s="6">
        <v>59</v>
      </c>
      <c r="D2673" s="6" t="str">
        <f>HYPERLINK("https://rmda.kulib.kyoto-u.ac.jp/item/rb00002310#?c=0&amp;m=0&amp;s=0&amp;cv=58")</f>
        <v>https://rmda.kulib.kyoto-u.ac.jp/item/rb00002310#?c=0&amp;m=0&amp;s=0&amp;cv=58</v>
      </c>
    </row>
    <row r="2674" spans="1:4" x14ac:dyDescent="0.15">
      <c r="A2674" s="6" t="s">
        <v>133</v>
      </c>
      <c r="B2674" s="6" t="s">
        <v>4623</v>
      </c>
      <c r="C2674" s="6">
        <v>59</v>
      </c>
      <c r="D2674" s="6" t="str">
        <f>HYPERLINK("https://rmda.kulib.kyoto-u.ac.jp/item/rb00002310#?c=0&amp;m=0&amp;s=0&amp;cv=58")</f>
        <v>https://rmda.kulib.kyoto-u.ac.jp/item/rb00002310#?c=0&amp;m=0&amp;s=0&amp;cv=58</v>
      </c>
    </row>
    <row r="2675" spans="1:4" x14ac:dyDescent="0.15">
      <c r="A2675" s="6" t="s">
        <v>133</v>
      </c>
      <c r="B2675" s="6" t="s">
        <v>2496</v>
      </c>
      <c r="C2675" s="6">
        <v>59</v>
      </c>
      <c r="D2675" s="6" t="str">
        <f>HYPERLINK("https://rmda.kulib.kyoto-u.ac.jp/item/rb00002310#?c=0&amp;m=0&amp;s=0&amp;cv=58")</f>
        <v>https://rmda.kulib.kyoto-u.ac.jp/item/rb00002310#?c=0&amp;m=0&amp;s=0&amp;cv=58</v>
      </c>
    </row>
    <row r="2676" spans="1:4" x14ac:dyDescent="0.15">
      <c r="A2676" s="6" t="s">
        <v>133</v>
      </c>
      <c r="B2676" s="63" t="s">
        <v>4594</v>
      </c>
      <c r="C2676" s="6">
        <v>59</v>
      </c>
      <c r="D2676" s="6" t="str">
        <f>HYPERLINK("https://rmda.kulib.kyoto-u.ac.jp/item/rb00002310#?c=0&amp;m=0&amp;s=0&amp;cv=58")</f>
        <v>https://rmda.kulib.kyoto-u.ac.jp/item/rb00002310#?c=0&amp;m=0&amp;s=0&amp;cv=58</v>
      </c>
    </row>
    <row r="2677" spans="1:4" x14ac:dyDescent="0.15">
      <c r="A2677" s="6" t="s">
        <v>133</v>
      </c>
      <c r="B2677" s="6" t="s">
        <v>1857</v>
      </c>
      <c r="C2677" s="6">
        <v>60</v>
      </c>
      <c r="D2677" s="6" t="str">
        <f>HYPERLINK("https://rmda.kulib.kyoto-u.ac.jp/item/rb00002310#?c=0&amp;m=0&amp;s=0&amp;cv=59")</f>
        <v>https://rmda.kulib.kyoto-u.ac.jp/item/rb00002310#?c=0&amp;m=0&amp;s=0&amp;cv=59</v>
      </c>
    </row>
    <row r="2678" spans="1:4" x14ac:dyDescent="0.15">
      <c r="A2678" s="6" t="s">
        <v>133</v>
      </c>
      <c r="B2678" s="6" t="s">
        <v>4595</v>
      </c>
      <c r="C2678" s="6">
        <v>60</v>
      </c>
      <c r="D2678" s="6" t="str">
        <f>HYPERLINK("https://rmda.kulib.kyoto-u.ac.jp/item/rb00002310#?c=0&amp;m=0&amp;s=0&amp;cv=59")</f>
        <v>https://rmda.kulib.kyoto-u.ac.jp/item/rb00002310#?c=0&amp;m=0&amp;s=0&amp;cv=59</v>
      </c>
    </row>
    <row r="2679" spans="1:4" x14ac:dyDescent="0.15">
      <c r="A2679" s="6" t="s">
        <v>133</v>
      </c>
      <c r="B2679" s="6" t="s">
        <v>4773</v>
      </c>
      <c r="C2679" s="6">
        <v>61</v>
      </c>
      <c r="D2679" s="6" t="str">
        <f>HYPERLINK("https://rmda.kulib.kyoto-u.ac.jp/item/rb00002310#?c=0&amp;m=0&amp;s=0&amp;cv=60")</f>
        <v>https://rmda.kulib.kyoto-u.ac.jp/item/rb00002310#?c=0&amp;m=0&amp;s=0&amp;cv=60</v>
      </c>
    </row>
    <row r="2680" spans="1:4" x14ac:dyDescent="0.15">
      <c r="A2680" s="6" t="s">
        <v>133</v>
      </c>
      <c r="B2680" s="6" t="s">
        <v>4596</v>
      </c>
      <c r="C2680" s="6">
        <v>61</v>
      </c>
      <c r="D2680" s="6" t="str">
        <f>HYPERLINK("https://rmda.kulib.kyoto-u.ac.jp/item/rb00002310#?c=0&amp;m=0&amp;s=0&amp;cv=60")</f>
        <v>https://rmda.kulib.kyoto-u.ac.jp/item/rb00002310#?c=0&amp;m=0&amp;s=0&amp;cv=60</v>
      </c>
    </row>
    <row r="2681" spans="1:4" x14ac:dyDescent="0.15">
      <c r="A2681" s="6" t="s">
        <v>133</v>
      </c>
      <c r="B2681" s="6" t="s">
        <v>4597</v>
      </c>
      <c r="C2681" s="6">
        <v>61</v>
      </c>
      <c r="D2681" s="6" t="str">
        <f>HYPERLINK("https://rmda.kulib.kyoto-u.ac.jp/item/rb00002310#?c=0&amp;m=0&amp;s=0&amp;cv=60")</f>
        <v>https://rmda.kulib.kyoto-u.ac.jp/item/rb00002310#?c=0&amp;m=0&amp;s=0&amp;cv=60</v>
      </c>
    </row>
    <row r="2682" spans="1:4" x14ac:dyDescent="0.15">
      <c r="A2682" s="6" t="s">
        <v>133</v>
      </c>
      <c r="B2682" s="63" t="s">
        <v>4591</v>
      </c>
      <c r="C2682" s="6">
        <v>62</v>
      </c>
      <c r="D2682" s="6" t="str">
        <f>HYPERLINK("https://rmda.kulib.kyoto-u.ac.jp/item/rb00002310#?c=0&amp;m=0&amp;s=0&amp;cv=61")</f>
        <v>https://rmda.kulib.kyoto-u.ac.jp/item/rb00002310#?c=0&amp;m=0&amp;s=0&amp;cv=61</v>
      </c>
    </row>
    <row r="2683" spans="1:4" x14ac:dyDescent="0.15">
      <c r="A2683" s="6" t="s">
        <v>133</v>
      </c>
      <c r="B2683" s="6" t="s">
        <v>1655</v>
      </c>
      <c r="C2683" s="6">
        <v>63</v>
      </c>
      <c r="D2683" s="6" t="str">
        <f>HYPERLINK("https://rmda.kulib.kyoto-u.ac.jp/item/rb00002310#?c=0&amp;m=0&amp;s=0&amp;cv=62")</f>
        <v>https://rmda.kulib.kyoto-u.ac.jp/item/rb00002310#?c=0&amp;m=0&amp;s=0&amp;cv=62</v>
      </c>
    </row>
    <row r="2684" spans="1:4" x14ac:dyDescent="0.15">
      <c r="A2684" s="6" t="s">
        <v>133</v>
      </c>
      <c r="B2684" s="6" t="s">
        <v>4592</v>
      </c>
      <c r="C2684" s="6">
        <v>63</v>
      </c>
      <c r="D2684" s="6" t="str">
        <f>HYPERLINK("https://rmda.kulib.kyoto-u.ac.jp/item/rb00002310#?c=0&amp;m=0&amp;s=0&amp;cv=62")</f>
        <v>https://rmda.kulib.kyoto-u.ac.jp/item/rb00002310#?c=0&amp;m=0&amp;s=0&amp;cv=62</v>
      </c>
    </row>
    <row r="2685" spans="1:4" x14ac:dyDescent="0.15">
      <c r="A2685" s="6" t="s">
        <v>133</v>
      </c>
      <c r="B2685" s="6" t="s">
        <v>1858</v>
      </c>
      <c r="C2685" s="6">
        <v>64</v>
      </c>
      <c r="D2685" s="6" t="str">
        <f>HYPERLINK("https://rmda.kulib.kyoto-u.ac.jp/item/rb00002310#?c=0&amp;m=0&amp;s=0&amp;cv=63")</f>
        <v>https://rmda.kulib.kyoto-u.ac.jp/item/rb00002310#?c=0&amp;m=0&amp;s=0&amp;cv=63</v>
      </c>
    </row>
    <row r="2686" spans="1:4" x14ac:dyDescent="0.15">
      <c r="A2686" s="6" t="s">
        <v>133</v>
      </c>
      <c r="B2686" s="6" t="s">
        <v>4593</v>
      </c>
      <c r="C2686" s="6">
        <v>64</v>
      </c>
      <c r="D2686" s="6" t="str">
        <f>HYPERLINK("https://rmda.kulib.kyoto-u.ac.jp/item/rb00002310#?c=0&amp;m=0&amp;s=0&amp;cv=63")</f>
        <v>https://rmda.kulib.kyoto-u.ac.jp/item/rb00002310#?c=0&amp;m=0&amp;s=0&amp;cv=63</v>
      </c>
    </row>
    <row r="2687" spans="1:4" x14ac:dyDescent="0.15">
      <c r="A2687" s="6" t="s">
        <v>133</v>
      </c>
      <c r="B2687" s="6" t="s">
        <v>4308</v>
      </c>
      <c r="C2687" s="6">
        <v>65</v>
      </c>
      <c r="D2687" s="6" t="str">
        <f>HYPERLINK("https://rmda.kulib.kyoto-u.ac.jp/item/rb00002310#?c=0&amp;m=0&amp;s=0&amp;cv=64")</f>
        <v>https://rmda.kulib.kyoto-u.ac.jp/item/rb00002310#?c=0&amp;m=0&amp;s=0&amp;cv=64</v>
      </c>
    </row>
    <row r="2688" spans="1:4" x14ac:dyDescent="0.15">
      <c r="A2688" s="6" t="s">
        <v>133</v>
      </c>
      <c r="B2688" s="63" t="s">
        <v>4598</v>
      </c>
      <c r="C2688" s="6">
        <v>65</v>
      </c>
      <c r="D2688" s="6" t="str">
        <f>HYPERLINK("https://rmda.kulib.kyoto-u.ac.jp/item/rb00002310#?c=0&amp;m=0&amp;s=0&amp;cv=64")</f>
        <v>https://rmda.kulib.kyoto-u.ac.jp/item/rb00002310#?c=0&amp;m=0&amp;s=0&amp;cv=64</v>
      </c>
    </row>
    <row r="2689" spans="1:4" x14ac:dyDescent="0.15">
      <c r="A2689" s="6" t="s">
        <v>133</v>
      </c>
      <c r="B2689" s="6" t="s">
        <v>4599</v>
      </c>
      <c r="C2689" s="6">
        <v>66</v>
      </c>
      <c r="D2689" s="6" t="str">
        <f>HYPERLINK("https://rmda.kulib.kyoto-u.ac.jp/item/rb00002310#?c=0&amp;m=0&amp;s=0&amp;cv=65")</f>
        <v>https://rmda.kulib.kyoto-u.ac.jp/item/rb00002310#?c=0&amp;m=0&amp;s=0&amp;cv=65</v>
      </c>
    </row>
    <row r="2690" spans="1:4" x14ac:dyDescent="0.15">
      <c r="A2690" s="6" t="s">
        <v>133</v>
      </c>
      <c r="B2690" s="6" t="s">
        <v>1617</v>
      </c>
      <c r="C2690" s="6">
        <v>66</v>
      </c>
      <c r="D2690" s="6" t="str">
        <f>HYPERLINK("https://rmda.kulib.kyoto-u.ac.jp/item/rb00002310#?c=0&amp;m=0&amp;s=0&amp;cv=65")</f>
        <v>https://rmda.kulib.kyoto-u.ac.jp/item/rb00002310#?c=0&amp;m=0&amp;s=0&amp;cv=65</v>
      </c>
    </row>
    <row r="2691" spans="1:4" x14ac:dyDescent="0.15">
      <c r="A2691" s="6" t="s">
        <v>133</v>
      </c>
      <c r="B2691" s="6" t="s">
        <v>4827</v>
      </c>
      <c r="C2691" s="6">
        <v>66</v>
      </c>
      <c r="D2691" s="6" t="str">
        <f>HYPERLINK("https://rmda.kulib.kyoto-u.ac.jp/item/rb00002310#?c=0&amp;m=0&amp;s=0&amp;cv=65")</f>
        <v>https://rmda.kulib.kyoto-u.ac.jp/item/rb00002310#?c=0&amp;m=0&amp;s=0&amp;cv=65</v>
      </c>
    </row>
    <row r="2692" spans="1:4" x14ac:dyDescent="0.15">
      <c r="A2692" s="6" t="s">
        <v>133</v>
      </c>
      <c r="B2692" s="6" t="s">
        <v>2166</v>
      </c>
      <c r="C2692" s="6">
        <v>67</v>
      </c>
      <c r="D2692" s="6" t="str">
        <f>HYPERLINK("https://rmda.kulib.kyoto-u.ac.jp/item/rb00002310#?c=0&amp;m=0&amp;s=0&amp;cv=66")</f>
        <v>https://rmda.kulib.kyoto-u.ac.jp/item/rb00002310#?c=0&amp;m=0&amp;s=0&amp;cv=66</v>
      </c>
    </row>
    <row r="2693" spans="1:4" x14ac:dyDescent="0.15">
      <c r="A2693" s="6" t="s">
        <v>133</v>
      </c>
      <c r="B2693" s="6" t="s">
        <v>4774</v>
      </c>
      <c r="C2693" s="6">
        <v>67</v>
      </c>
      <c r="D2693" s="6" t="str">
        <f>HYPERLINK("https://rmda.kulib.kyoto-u.ac.jp/item/rb00002310#?c=0&amp;m=0&amp;s=0&amp;cv=66")</f>
        <v>https://rmda.kulib.kyoto-u.ac.jp/item/rb00002310#?c=0&amp;m=0&amp;s=0&amp;cv=66</v>
      </c>
    </row>
    <row r="2694" spans="1:4" x14ac:dyDescent="0.15">
      <c r="A2694" s="6" t="s">
        <v>133</v>
      </c>
      <c r="B2694" s="6" t="s">
        <v>4600</v>
      </c>
      <c r="C2694" s="6">
        <v>68</v>
      </c>
      <c r="D2694" s="6" t="str">
        <f>HYPERLINK("https://rmda.kulib.kyoto-u.ac.jp/item/rb00002310#?c=0&amp;m=0&amp;s=0&amp;cv=67")</f>
        <v>https://rmda.kulib.kyoto-u.ac.jp/item/rb00002310#?c=0&amp;m=0&amp;s=0&amp;cv=67</v>
      </c>
    </row>
    <row r="2695" spans="1:4" x14ac:dyDescent="0.15">
      <c r="A2695" s="6" t="s">
        <v>133</v>
      </c>
      <c r="B2695" s="63" t="s">
        <v>4619</v>
      </c>
      <c r="C2695" s="6">
        <v>68</v>
      </c>
      <c r="D2695" s="6" t="str">
        <f>HYPERLINK("https://rmda.kulib.kyoto-u.ac.jp/item/rb00002310#?c=0&amp;m=0&amp;s=0&amp;cv=67")</f>
        <v>https://rmda.kulib.kyoto-u.ac.jp/item/rb00002310#?c=0&amp;m=0&amp;s=0&amp;cv=67</v>
      </c>
    </row>
    <row r="2696" spans="1:4" x14ac:dyDescent="0.15">
      <c r="A2696" s="6" t="s">
        <v>133</v>
      </c>
      <c r="B2696" s="6" t="s">
        <v>1758</v>
      </c>
      <c r="C2696" s="6">
        <v>68</v>
      </c>
      <c r="D2696" s="6" t="str">
        <f>HYPERLINK("https://rmda.kulib.kyoto-u.ac.jp/item/rb00002310#?c=0&amp;m=0&amp;s=0&amp;cv=67")</f>
        <v>https://rmda.kulib.kyoto-u.ac.jp/item/rb00002310#?c=0&amp;m=0&amp;s=0&amp;cv=67</v>
      </c>
    </row>
    <row r="2697" spans="1:4" x14ac:dyDescent="0.15">
      <c r="A2697" s="6" t="s">
        <v>133</v>
      </c>
      <c r="B2697" s="6" t="s">
        <v>4620</v>
      </c>
      <c r="C2697" s="6">
        <v>69</v>
      </c>
      <c r="D2697" s="6" t="str">
        <f>HYPERLINK("https://rmda.kulib.kyoto-u.ac.jp/item/rb00002310#?c=0&amp;m=0&amp;s=0&amp;cv=68")</f>
        <v>https://rmda.kulib.kyoto-u.ac.jp/item/rb00002310#?c=0&amp;m=0&amp;s=0&amp;cv=68</v>
      </c>
    </row>
    <row r="2698" spans="1:4" x14ac:dyDescent="0.15">
      <c r="A2698" s="6" t="s">
        <v>133</v>
      </c>
      <c r="B2698" s="6" t="s">
        <v>4786</v>
      </c>
      <c r="C2698" s="6">
        <v>69</v>
      </c>
      <c r="D2698" s="6" t="str">
        <f>HYPERLINK("https://rmda.kulib.kyoto-u.ac.jp/item/rb00002310#?c=0&amp;m=0&amp;s=0&amp;cv=68")</f>
        <v>https://rmda.kulib.kyoto-u.ac.jp/item/rb00002310#?c=0&amp;m=0&amp;s=0&amp;cv=68</v>
      </c>
    </row>
    <row r="2699" spans="1:4" x14ac:dyDescent="0.15">
      <c r="A2699" s="6" t="s">
        <v>133</v>
      </c>
      <c r="B2699" s="65" t="s">
        <v>4570</v>
      </c>
      <c r="C2699" s="6">
        <v>74</v>
      </c>
      <c r="D2699" s="6" t="str">
        <f>HYPERLINK("https://rmda.kulib.kyoto-u.ac.jp/item/rb00002310#?c=0&amp;m=0&amp;s=0&amp;cv=73")</f>
        <v>https://rmda.kulib.kyoto-u.ac.jp/item/rb00002310#?c=0&amp;m=0&amp;s=0&amp;cv=73</v>
      </c>
    </row>
    <row r="2700" spans="1:4" x14ac:dyDescent="0.15">
      <c r="A2700" s="6" t="s">
        <v>133</v>
      </c>
      <c r="B2700" s="6" t="s">
        <v>4571</v>
      </c>
      <c r="C2700" s="6">
        <v>75</v>
      </c>
      <c r="D2700" s="6" t="str">
        <f>HYPERLINK("https://rmda.kulib.kyoto-u.ac.jp/item/rb00002310#?c=0&amp;m=0&amp;s=0&amp;cv=74")</f>
        <v>https://rmda.kulib.kyoto-u.ac.jp/item/rb00002310#?c=0&amp;m=0&amp;s=0&amp;cv=74</v>
      </c>
    </row>
    <row r="2701" spans="1:4" x14ac:dyDescent="0.15">
      <c r="A2701" s="6" t="s">
        <v>133</v>
      </c>
      <c r="B2701" s="6" t="s">
        <v>4261</v>
      </c>
      <c r="C2701" s="6">
        <v>75</v>
      </c>
      <c r="D2701" s="6" t="str">
        <f>HYPERLINK("https://rmda.kulib.kyoto-u.ac.jp/item/rb00002310#?c=0&amp;m=0&amp;s=0&amp;cv=74")</f>
        <v>https://rmda.kulib.kyoto-u.ac.jp/item/rb00002310#?c=0&amp;m=0&amp;s=0&amp;cv=74</v>
      </c>
    </row>
    <row r="2702" spans="1:4" x14ac:dyDescent="0.15">
      <c r="A2702" s="6" t="s">
        <v>133</v>
      </c>
      <c r="B2702" s="6" t="s">
        <v>4572</v>
      </c>
      <c r="C2702" s="6">
        <v>75</v>
      </c>
      <c r="D2702" s="6" t="str">
        <f>HYPERLINK("https://rmda.kulib.kyoto-u.ac.jp/item/rb00002310#?c=0&amp;m=0&amp;s=0&amp;cv=74")</f>
        <v>https://rmda.kulib.kyoto-u.ac.jp/item/rb00002310#?c=0&amp;m=0&amp;s=0&amp;cv=74</v>
      </c>
    </row>
    <row r="2703" spans="1:4" x14ac:dyDescent="0.15">
      <c r="A2703" s="6" t="s">
        <v>133</v>
      </c>
      <c r="B2703" s="6" t="s">
        <v>1593</v>
      </c>
      <c r="C2703" s="6">
        <v>76</v>
      </c>
      <c r="D2703" s="6" t="str">
        <f>HYPERLINK("https://rmda.kulib.kyoto-u.ac.jp/item/rb00002310#?c=0&amp;m=0&amp;s=0&amp;cv=75")</f>
        <v>https://rmda.kulib.kyoto-u.ac.jp/item/rb00002310#?c=0&amp;m=0&amp;s=0&amp;cv=75</v>
      </c>
    </row>
    <row r="2704" spans="1:4" x14ac:dyDescent="0.15">
      <c r="A2704" s="6" t="s">
        <v>133</v>
      </c>
      <c r="B2704" s="6" t="s">
        <v>2286</v>
      </c>
      <c r="C2704" s="6">
        <v>76</v>
      </c>
      <c r="D2704" s="6" t="str">
        <f>HYPERLINK("https://rmda.kulib.kyoto-u.ac.jp/item/rb00002310#?c=0&amp;m=0&amp;s=0&amp;cv=75")</f>
        <v>https://rmda.kulib.kyoto-u.ac.jp/item/rb00002310#?c=0&amp;m=0&amp;s=0&amp;cv=75</v>
      </c>
    </row>
    <row r="2705" spans="1:4" x14ac:dyDescent="0.15">
      <c r="A2705" s="6" t="s">
        <v>133</v>
      </c>
      <c r="B2705" s="63" t="s">
        <v>4637</v>
      </c>
      <c r="C2705" s="6">
        <v>76</v>
      </c>
      <c r="D2705" s="6" t="str">
        <f>HYPERLINK("https://rmda.kulib.kyoto-u.ac.jp/item/rb00002310#?c=0&amp;m=0&amp;s=0&amp;cv=75")</f>
        <v>https://rmda.kulib.kyoto-u.ac.jp/item/rb00002310#?c=0&amp;m=0&amp;s=0&amp;cv=75</v>
      </c>
    </row>
    <row r="2706" spans="1:4" x14ac:dyDescent="0.15">
      <c r="A2706" s="6" t="s">
        <v>133</v>
      </c>
      <c r="B2706" s="6" t="s">
        <v>4638</v>
      </c>
      <c r="C2706" s="6">
        <v>77</v>
      </c>
      <c r="D2706" s="6" t="str">
        <f>HYPERLINK("https://rmda.kulib.kyoto-u.ac.jp/item/rb00002310#?c=0&amp;m=0&amp;s=0&amp;cv=76")</f>
        <v>https://rmda.kulib.kyoto-u.ac.jp/item/rb00002310#?c=0&amp;m=0&amp;s=0&amp;cv=76</v>
      </c>
    </row>
    <row r="2707" spans="1:4" x14ac:dyDescent="0.15">
      <c r="A2707" s="6" t="s">
        <v>133</v>
      </c>
      <c r="B2707" s="6" t="s">
        <v>4639</v>
      </c>
      <c r="C2707" s="6">
        <v>77</v>
      </c>
      <c r="D2707" s="6" t="str">
        <f>HYPERLINK("https://rmda.kulib.kyoto-u.ac.jp/item/rb00002310#?c=0&amp;m=0&amp;s=0&amp;cv=76")</f>
        <v>https://rmda.kulib.kyoto-u.ac.jp/item/rb00002310#?c=0&amp;m=0&amp;s=0&amp;cv=76</v>
      </c>
    </row>
    <row r="2708" spans="1:4" x14ac:dyDescent="0.15">
      <c r="A2708" s="6" t="s">
        <v>133</v>
      </c>
      <c r="B2708" s="6" t="s">
        <v>6085</v>
      </c>
      <c r="C2708" s="6">
        <v>77</v>
      </c>
      <c r="D2708" s="6" t="str">
        <f>HYPERLINK("https://rmda.kulib.kyoto-u.ac.jp/item/rb00002310#?c=0&amp;m=0&amp;s=0&amp;cv=76")</f>
        <v>https://rmda.kulib.kyoto-u.ac.jp/item/rb00002310#?c=0&amp;m=0&amp;s=0&amp;cv=76</v>
      </c>
    </row>
    <row r="2709" spans="1:4" x14ac:dyDescent="0.15">
      <c r="A2709" s="6" t="s">
        <v>133</v>
      </c>
      <c r="B2709" s="6" t="s">
        <v>4640</v>
      </c>
      <c r="C2709" s="6">
        <v>78</v>
      </c>
      <c r="D2709" s="6" t="str">
        <f>HYPERLINK("https://rmda.kulib.kyoto-u.ac.jp/item/rb00002310#?c=0&amp;m=0&amp;s=0&amp;cv=77")</f>
        <v>https://rmda.kulib.kyoto-u.ac.jp/item/rb00002310#?c=0&amp;m=0&amp;s=0&amp;cv=77</v>
      </c>
    </row>
    <row r="2710" spans="1:4" x14ac:dyDescent="0.15">
      <c r="A2710" s="6" t="s">
        <v>133</v>
      </c>
      <c r="B2710" s="6" t="s">
        <v>1640</v>
      </c>
      <c r="C2710" s="6">
        <v>79</v>
      </c>
      <c r="D2710" s="6" t="str">
        <f>HYPERLINK("https://rmda.kulib.kyoto-u.ac.jp/item/rb00002310#?c=0&amp;m=0&amp;s=0&amp;cv=78")</f>
        <v>https://rmda.kulib.kyoto-u.ac.jp/item/rb00002310#?c=0&amp;m=0&amp;s=0&amp;cv=78</v>
      </c>
    </row>
    <row r="2711" spans="1:4" x14ac:dyDescent="0.15">
      <c r="A2711" s="6" t="s">
        <v>133</v>
      </c>
      <c r="B2711" s="6" t="s">
        <v>4226</v>
      </c>
      <c r="C2711" s="6">
        <v>79</v>
      </c>
      <c r="D2711" s="6" t="str">
        <f>HYPERLINK("https://rmda.kulib.kyoto-u.ac.jp/item/rb00002310#?c=0&amp;m=0&amp;s=0&amp;cv=78")</f>
        <v>https://rmda.kulib.kyoto-u.ac.jp/item/rb00002310#?c=0&amp;m=0&amp;s=0&amp;cv=78</v>
      </c>
    </row>
    <row r="2712" spans="1:4" x14ac:dyDescent="0.15">
      <c r="A2712" s="6" t="s">
        <v>133</v>
      </c>
      <c r="B2712" s="63" t="s">
        <v>4636</v>
      </c>
      <c r="C2712" s="6">
        <v>79</v>
      </c>
      <c r="D2712" s="6" t="str">
        <f>HYPERLINK("https://rmda.kulib.kyoto-u.ac.jp/item/rb00002310#?c=0&amp;m=0&amp;s=0&amp;cv=78")</f>
        <v>https://rmda.kulib.kyoto-u.ac.jp/item/rb00002310#?c=0&amp;m=0&amp;s=0&amp;cv=78</v>
      </c>
    </row>
    <row r="2713" spans="1:4" x14ac:dyDescent="0.15">
      <c r="A2713" s="6" t="s">
        <v>133</v>
      </c>
      <c r="B2713" s="6" t="s">
        <v>1732</v>
      </c>
      <c r="C2713" s="6">
        <v>79</v>
      </c>
      <c r="D2713" s="6" t="str">
        <f>HYPERLINK("https://rmda.kulib.kyoto-u.ac.jp/item/rb00002310#?c=0&amp;m=0&amp;s=0&amp;cv=78")</f>
        <v>https://rmda.kulib.kyoto-u.ac.jp/item/rb00002310#?c=0&amp;m=0&amp;s=0&amp;cv=78</v>
      </c>
    </row>
    <row r="2714" spans="1:4" x14ac:dyDescent="0.15">
      <c r="A2714" s="6" t="s">
        <v>133</v>
      </c>
      <c r="B2714" s="6" t="s">
        <v>4332</v>
      </c>
      <c r="C2714" s="6">
        <v>80</v>
      </c>
      <c r="D2714" s="6" t="str">
        <f>HYPERLINK("https://rmda.kulib.kyoto-u.ac.jp/item/rb00002310#?c=0&amp;m=0&amp;s=0&amp;cv=79")</f>
        <v>https://rmda.kulib.kyoto-u.ac.jp/item/rb00002310#?c=0&amp;m=0&amp;s=0&amp;cv=79</v>
      </c>
    </row>
    <row r="2715" spans="1:4" x14ac:dyDescent="0.15">
      <c r="A2715" s="6" t="s">
        <v>133</v>
      </c>
      <c r="B2715" s="63" t="s">
        <v>4828</v>
      </c>
      <c r="C2715" s="6">
        <v>80</v>
      </c>
      <c r="D2715" s="6" t="str">
        <f>HYPERLINK("https://rmda.kulib.kyoto-u.ac.jp/item/rb00002310#?c=0&amp;m=0&amp;s=0&amp;cv=79")</f>
        <v>https://rmda.kulib.kyoto-u.ac.jp/item/rb00002310#?c=0&amp;m=0&amp;s=0&amp;cv=79</v>
      </c>
    </row>
    <row r="2716" spans="1:4" x14ac:dyDescent="0.15">
      <c r="A2716" s="6" t="s">
        <v>133</v>
      </c>
      <c r="B2716" s="6" t="s">
        <v>4641</v>
      </c>
      <c r="C2716" s="6">
        <v>80</v>
      </c>
      <c r="D2716" s="6" t="str">
        <f>HYPERLINK("https://rmda.kulib.kyoto-u.ac.jp/item/rb00002310#?c=0&amp;m=0&amp;s=0&amp;cv=79")</f>
        <v>https://rmda.kulib.kyoto-u.ac.jp/item/rb00002310#?c=0&amp;m=0&amp;s=0&amp;cv=79</v>
      </c>
    </row>
    <row r="2717" spans="1:4" x14ac:dyDescent="0.15">
      <c r="A2717" s="6" t="s">
        <v>133</v>
      </c>
      <c r="B2717" s="63" t="s">
        <v>4642</v>
      </c>
      <c r="C2717" s="6">
        <v>80</v>
      </c>
      <c r="D2717" s="6" t="str">
        <f>HYPERLINK("https://rmda.kulib.kyoto-u.ac.jp/item/rb00002310#?c=0&amp;m=0&amp;s=0&amp;cv=79")</f>
        <v>https://rmda.kulib.kyoto-u.ac.jp/item/rb00002310#?c=0&amp;m=0&amp;s=0&amp;cv=79</v>
      </c>
    </row>
    <row r="2718" spans="1:4" x14ac:dyDescent="0.15">
      <c r="A2718" s="6" t="s">
        <v>133</v>
      </c>
      <c r="B2718" s="6" t="s">
        <v>1752</v>
      </c>
      <c r="C2718" s="6">
        <v>81</v>
      </c>
      <c r="D2718" s="6" t="str">
        <f>HYPERLINK("https://rmda.kulib.kyoto-u.ac.jp/item/rb00002310#?c=0&amp;m=0&amp;s=0&amp;cv=80")</f>
        <v>https://rmda.kulib.kyoto-u.ac.jp/item/rb00002310#?c=0&amp;m=0&amp;s=0&amp;cv=80</v>
      </c>
    </row>
    <row r="2719" spans="1:4" x14ac:dyDescent="0.15">
      <c r="A2719" s="6" t="s">
        <v>133</v>
      </c>
      <c r="B2719" s="6" t="s">
        <v>4643</v>
      </c>
      <c r="C2719" s="6">
        <v>81</v>
      </c>
      <c r="D2719" s="6" t="str">
        <f>HYPERLINK("https://rmda.kulib.kyoto-u.ac.jp/item/rb00002310#?c=0&amp;m=0&amp;s=0&amp;cv=80")</f>
        <v>https://rmda.kulib.kyoto-u.ac.jp/item/rb00002310#?c=0&amp;m=0&amp;s=0&amp;cv=80</v>
      </c>
    </row>
    <row r="2720" spans="1:4" x14ac:dyDescent="0.15">
      <c r="A2720" s="6" t="s">
        <v>133</v>
      </c>
      <c r="B2720" s="6" t="s">
        <v>4558</v>
      </c>
      <c r="C2720" s="6">
        <v>82</v>
      </c>
      <c r="D2720" s="6" t="str">
        <f>HYPERLINK("https://rmda.kulib.kyoto-u.ac.jp/item/rb00002310#?c=0&amp;m=0&amp;s=0&amp;cv=81")</f>
        <v>https://rmda.kulib.kyoto-u.ac.jp/item/rb00002310#?c=0&amp;m=0&amp;s=0&amp;cv=81</v>
      </c>
    </row>
    <row r="2721" spans="1:4" x14ac:dyDescent="0.15">
      <c r="A2721" s="6" t="s">
        <v>133</v>
      </c>
      <c r="B2721" s="63" t="s">
        <v>4644</v>
      </c>
      <c r="C2721" s="6">
        <v>82</v>
      </c>
      <c r="D2721" s="6" t="str">
        <f>HYPERLINK("https://rmda.kulib.kyoto-u.ac.jp/item/rb00002310#?c=0&amp;m=0&amp;s=0&amp;cv=81")</f>
        <v>https://rmda.kulib.kyoto-u.ac.jp/item/rb00002310#?c=0&amp;m=0&amp;s=0&amp;cv=81</v>
      </c>
    </row>
    <row r="2722" spans="1:4" x14ac:dyDescent="0.15">
      <c r="A2722" s="6" t="s">
        <v>133</v>
      </c>
      <c r="B2722" s="6" t="s">
        <v>4792</v>
      </c>
      <c r="C2722" s="6">
        <v>82</v>
      </c>
      <c r="D2722" s="6" t="str">
        <f>HYPERLINK("https://rmda.kulib.kyoto-u.ac.jp/item/rb00002310#?c=0&amp;m=0&amp;s=0&amp;cv=81")</f>
        <v>https://rmda.kulib.kyoto-u.ac.jp/item/rb00002310#?c=0&amp;m=0&amp;s=0&amp;cv=81</v>
      </c>
    </row>
    <row r="2723" spans="1:4" x14ac:dyDescent="0.15">
      <c r="A2723" s="6" t="s">
        <v>133</v>
      </c>
      <c r="B2723" s="6" t="s">
        <v>4793</v>
      </c>
      <c r="C2723" s="6">
        <v>83</v>
      </c>
      <c r="D2723" s="6" t="str">
        <f>HYPERLINK("https://rmda.kulib.kyoto-u.ac.jp/item/rb00002310#?c=0&amp;m=0&amp;s=0&amp;cv=82")</f>
        <v>https://rmda.kulib.kyoto-u.ac.jp/item/rb00002310#?c=0&amp;m=0&amp;s=0&amp;cv=82</v>
      </c>
    </row>
    <row r="2724" spans="1:4" x14ac:dyDescent="0.15">
      <c r="A2724" s="6" t="s">
        <v>133</v>
      </c>
      <c r="B2724" s="6" t="s">
        <v>4794</v>
      </c>
      <c r="C2724" s="6">
        <v>83</v>
      </c>
      <c r="D2724" s="6" t="str">
        <f>HYPERLINK("https://rmda.kulib.kyoto-u.ac.jp/item/rb00002310#?c=0&amp;m=0&amp;s=0&amp;cv=82")</f>
        <v>https://rmda.kulib.kyoto-u.ac.jp/item/rb00002310#?c=0&amp;m=0&amp;s=0&amp;cv=82</v>
      </c>
    </row>
    <row r="2725" spans="1:4" x14ac:dyDescent="0.15">
      <c r="A2725" s="6" t="s">
        <v>133</v>
      </c>
      <c r="B2725" s="63" t="s">
        <v>4549</v>
      </c>
      <c r="C2725" s="6">
        <v>83</v>
      </c>
      <c r="D2725" s="6" t="str">
        <f>HYPERLINK("https://rmda.kulib.kyoto-u.ac.jp/item/rb00002310#?c=0&amp;m=0&amp;s=0&amp;cv=82")</f>
        <v>https://rmda.kulib.kyoto-u.ac.jp/item/rb00002310#?c=0&amp;m=0&amp;s=0&amp;cv=82</v>
      </c>
    </row>
    <row r="2726" spans="1:4" x14ac:dyDescent="0.15">
      <c r="A2726" s="6" t="s">
        <v>133</v>
      </c>
      <c r="B2726" s="6" t="s">
        <v>2003</v>
      </c>
      <c r="C2726" s="6">
        <v>84</v>
      </c>
      <c r="D2726" s="6" t="str">
        <f>HYPERLINK("https://rmda.kulib.kyoto-u.ac.jp/item/rb00002310#?c=0&amp;m=0&amp;s=0&amp;cv=83")</f>
        <v>https://rmda.kulib.kyoto-u.ac.jp/item/rb00002310#?c=0&amp;m=0&amp;s=0&amp;cv=83</v>
      </c>
    </row>
    <row r="2727" spans="1:4" x14ac:dyDescent="0.15">
      <c r="A2727" s="6" t="s">
        <v>133</v>
      </c>
      <c r="B2727" s="6" t="s">
        <v>2000</v>
      </c>
      <c r="C2727" s="6">
        <v>84</v>
      </c>
      <c r="D2727" s="6" t="str">
        <f>HYPERLINK("https://rmda.kulib.kyoto-u.ac.jp/item/rb00002310#?c=0&amp;m=0&amp;s=0&amp;cv=83")</f>
        <v>https://rmda.kulib.kyoto-u.ac.jp/item/rb00002310#?c=0&amp;m=0&amp;s=0&amp;cv=83</v>
      </c>
    </row>
    <row r="2728" spans="1:4" x14ac:dyDescent="0.15">
      <c r="A2728" s="6" t="s">
        <v>133</v>
      </c>
      <c r="B2728" s="6" t="s">
        <v>2168</v>
      </c>
      <c r="C2728" s="6">
        <v>84</v>
      </c>
      <c r="D2728" s="6" t="str">
        <f>HYPERLINK("https://rmda.kulib.kyoto-u.ac.jp/item/rb00002310#?c=0&amp;m=0&amp;s=0&amp;cv=83")</f>
        <v>https://rmda.kulib.kyoto-u.ac.jp/item/rb00002310#?c=0&amp;m=0&amp;s=0&amp;cv=83</v>
      </c>
    </row>
    <row r="2729" spans="1:4" x14ac:dyDescent="0.15">
      <c r="A2729" s="6" t="s">
        <v>133</v>
      </c>
      <c r="B2729" s="6" t="s">
        <v>4550</v>
      </c>
      <c r="C2729" s="6">
        <v>85</v>
      </c>
      <c r="D2729" s="6" t="str">
        <f>HYPERLINK("https://rmda.kulib.kyoto-u.ac.jp/item/rb00002310#?c=0&amp;m=0&amp;s=0&amp;cv=84")</f>
        <v>https://rmda.kulib.kyoto-u.ac.jp/item/rb00002310#?c=0&amp;m=0&amp;s=0&amp;cv=84</v>
      </c>
    </row>
    <row r="2730" spans="1:4" x14ac:dyDescent="0.15">
      <c r="A2730" s="6" t="s">
        <v>133</v>
      </c>
      <c r="B2730" s="6" t="s">
        <v>4551</v>
      </c>
      <c r="C2730" s="6">
        <v>85</v>
      </c>
      <c r="D2730" s="6" t="str">
        <f>HYPERLINK("https://rmda.kulib.kyoto-u.ac.jp/item/rb00002310#?c=0&amp;m=0&amp;s=0&amp;cv=84")</f>
        <v>https://rmda.kulib.kyoto-u.ac.jp/item/rb00002310#?c=0&amp;m=0&amp;s=0&amp;cv=84</v>
      </c>
    </row>
    <row r="2731" spans="1:4" x14ac:dyDescent="0.15">
      <c r="A2731" s="6" t="s">
        <v>133</v>
      </c>
      <c r="B2731" s="6" t="s">
        <v>1858</v>
      </c>
      <c r="C2731" s="6">
        <v>85</v>
      </c>
      <c r="D2731" s="6" t="str">
        <f>HYPERLINK("https://rmda.kulib.kyoto-u.ac.jp/item/rb00002310#?c=0&amp;m=0&amp;s=0&amp;cv=84")</f>
        <v>https://rmda.kulib.kyoto-u.ac.jp/item/rb00002310#?c=0&amp;m=0&amp;s=0&amp;cv=84</v>
      </c>
    </row>
    <row r="2732" spans="1:4" x14ac:dyDescent="0.15">
      <c r="A2732" s="6" t="s">
        <v>133</v>
      </c>
      <c r="B2732" s="6" t="s">
        <v>4552</v>
      </c>
      <c r="C2732" s="6">
        <v>86</v>
      </c>
      <c r="D2732" s="6" t="str">
        <f>HYPERLINK("https://rmda.kulib.kyoto-u.ac.jp/item/rb00002310#?c=0&amp;m=0&amp;s=0&amp;cv=85")</f>
        <v>https://rmda.kulib.kyoto-u.ac.jp/item/rb00002310#?c=0&amp;m=0&amp;s=0&amp;cv=85</v>
      </c>
    </row>
    <row r="2733" spans="1:4" x14ac:dyDescent="0.15">
      <c r="A2733" s="6" t="s">
        <v>133</v>
      </c>
      <c r="B2733" s="6" t="s">
        <v>2303</v>
      </c>
      <c r="C2733" s="6">
        <v>86</v>
      </c>
      <c r="D2733" s="6" t="str">
        <f>HYPERLINK("https://rmda.kulib.kyoto-u.ac.jp/item/rb00002310#?c=0&amp;m=0&amp;s=0&amp;cv=85")</f>
        <v>https://rmda.kulib.kyoto-u.ac.jp/item/rb00002310#?c=0&amp;m=0&amp;s=0&amp;cv=85</v>
      </c>
    </row>
    <row r="2734" spans="1:4" x14ac:dyDescent="0.15">
      <c r="A2734" s="6" t="s">
        <v>133</v>
      </c>
      <c r="B2734" s="6" t="s">
        <v>1750</v>
      </c>
      <c r="C2734" s="6">
        <v>86</v>
      </c>
      <c r="D2734" s="6" t="str">
        <f>HYPERLINK("https://rmda.kulib.kyoto-u.ac.jp/item/rb00002310#?c=0&amp;m=0&amp;s=0&amp;cv=85")</f>
        <v>https://rmda.kulib.kyoto-u.ac.jp/item/rb00002310#?c=0&amp;m=0&amp;s=0&amp;cv=85</v>
      </c>
    </row>
    <row r="2735" spans="1:4" x14ac:dyDescent="0.15">
      <c r="A2735" s="6" t="s">
        <v>133</v>
      </c>
      <c r="B2735" s="6" t="s">
        <v>4761</v>
      </c>
      <c r="C2735" s="6">
        <v>87</v>
      </c>
      <c r="D2735" s="6" t="str">
        <f>HYPERLINK("https://rmda.kulib.kyoto-u.ac.jp/item/rb00002310#?c=0&amp;m=0&amp;s=0&amp;cv=86")</f>
        <v>https://rmda.kulib.kyoto-u.ac.jp/item/rb00002310#?c=0&amp;m=0&amp;s=0&amp;cv=86</v>
      </c>
    </row>
    <row r="2736" spans="1:4" x14ac:dyDescent="0.15">
      <c r="A2736" s="6" t="s">
        <v>133</v>
      </c>
      <c r="B2736" s="6" t="s">
        <v>1748</v>
      </c>
      <c r="C2736" s="6">
        <v>87</v>
      </c>
      <c r="D2736" s="6" t="str">
        <f>HYPERLINK("https://rmda.kulib.kyoto-u.ac.jp/item/rb00002310#?c=0&amp;m=0&amp;s=0&amp;cv=86")</f>
        <v>https://rmda.kulib.kyoto-u.ac.jp/item/rb00002310#?c=0&amp;m=0&amp;s=0&amp;cv=86</v>
      </c>
    </row>
    <row r="2737" spans="1:4" x14ac:dyDescent="0.15">
      <c r="A2737" s="6" t="s">
        <v>133</v>
      </c>
      <c r="B2737" s="6" t="s">
        <v>4553</v>
      </c>
      <c r="C2737" s="6">
        <v>88</v>
      </c>
      <c r="D2737" s="6" t="str">
        <f>HYPERLINK("https://rmda.kulib.kyoto-u.ac.jp/item/rb00002310#?c=0&amp;m=0&amp;s=0&amp;cv=87")</f>
        <v>https://rmda.kulib.kyoto-u.ac.jp/item/rb00002310#?c=0&amp;m=0&amp;s=0&amp;cv=87</v>
      </c>
    </row>
    <row r="2738" spans="1:4" x14ac:dyDescent="0.15">
      <c r="A2738" s="6" t="s">
        <v>133</v>
      </c>
      <c r="B2738" s="6" t="s">
        <v>1700</v>
      </c>
      <c r="C2738" s="6">
        <v>88</v>
      </c>
      <c r="D2738" s="6" t="str">
        <f>HYPERLINK("https://rmda.kulib.kyoto-u.ac.jp/item/rb00002310#?c=0&amp;m=0&amp;s=0&amp;cv=87")</f>
        <v>https://rmda.kulib.kyoto-u.ac.jp/item/rb00002310#?c=0&amp;m=0&amp;s=0&amp;cv=87</v>
      </c>
    </row>
    <row r="2739" spans="1:4" x14ac:dyDescent="0.15">
      <c r="A2739" s="6" t="s">
        <v>133</v>
      </c>
      <c r="B2739" s="6" t="s">
        <v>4515</v>
      </c>
      <c r="C2739" s="6">
        <v>89</v>
      </c>
      <c r="D2739" s="6" t="str">
        <f>HYPERLINK("https://rmda.kulib.kyoto-u.ac.jp/item/rb00002310#?c=0&amp;m=0&amp;s=0&amp;cv=88")</f>
        <v>https://rmda.kulib.kyoto-u.ac.jp/item/rb00002310#?c=0&amp;m=0&amp;s=0&amp;cv=88</v>
      </c>
    </row>
    <row r="2740" spans="1:4" x14ac:dyDescent="0.15">
      <c r="A2740" s="6" t="s">
        <v>133</v>
      </c>
      <c r="B2740" s="6" t="s">
        <v>2132</v>
      </c>
      <c r="C2740" s="6">
        <v>89</v>
      </c>
      <c r="D2740" s="6" t="str">
        <f>HYPERLINK("https://rmda.kulib.kyoto-u.ac.jp/item/rb00002310#?c=0&amp;m=0&amp;s=0&amp;cv=88")</f>
        <v>https://rmda.kulib.kyoto-u.ac.jp/item/rb00002310#?c=0&amp;m=0&amp;s=0&amp;cv=88</v>
      </c>
    </row>
    <row r="2741" spans="1:4" x14ac:dyDescent="0.15">
      <c r="A2741" s="6" t="s">
        <v>133</v>
      </c>
      <c r="B2741" s="6" t="s">
        <v>1747</v>
      </c>
      <c r="C2741" s="6">
        <v>89</v>
      </c>
      <c r="D2741" s="6" t="str">
        <f>HYPERLINK("https://rmda.kulib.kyoto-u.ac.jp/item/rb00002310#?c=0&amp;m=0&amp;s=0&amp;cv=88")</f>
        <v>https://rmda.kulib.kyoto-u.ac.jp/item/rb00002310#?c=0&amp;m=0&amp;s=0&amp;cv=88</v>
      </c>
    </row>
    <row r="2742" spans="1:4" x14ac:dyDescent="0.15">
      <c r="A2742" s="6" t="s">
        <v>133</v>
      </c>
      <c r="B2742" s="6" t="s">
        <v>1751</v>
      </c>
      <c r="C2742" s="6">
        <v>90</v>
      </c>
      <c r="D2742" s="6" t="str">
        <f>HYPERLINK("https://rmda.kulib.kyoto-u.ac.jp/item/rb00002310#?c=0&amp;m=0&amp;s=0&amp;cv=89")</f>
        <v>https://rmda.kulib.kyoto-u.ac.jp/item/rb00002310#?c=0&amp;m=0&amp;s=0&amp;cv=89</v>
      </c>
    </row>
    <row r="2743" spans="1:4" x14ac:dyDescent="0.15">
      <c r="A2743" s="6" t="s">
        <v>133</v>
      </c>
      <c r="B2743" s="6" t="s">
        <v>1701</v>
      </c>
      <c r="C2743" s="6">
        <v>90</v>
      </c>
      <c r="D2743" s="6" t="str">
        <f>HYPERLINK("https://rmda.kulib.kyoto-u.ac.jp/item/rb00002310#?c=0&amp;m=0&amp;s=0&amp;cv=89")</f>
        <v>https://rmda.kulib.kyoto-u.ac.jp/item/rb00002310#?c=0&amp;m=0&amp;s=0&amp;cv=89</v>
      </c>
    </row>
    <row r="2744" spans="1:4" x14ac:dyDescent="0.15">
      <c r="A2744" s="6" t="s">
        <v>133</v>
      </c>
      <c r="B2744" s="6" t="s">
        <v>4528</v>
      </c>
      <c r="C2744" s="6">
        <v>90</v>
      </c>
      <c r="D2744" s="6" t="str">
        <f>HYPERLINK("https://rmda.kulib.kyoto-u.ac.jp/item/rb00002310#?c=0&amp;m=0&amp;s=0&amp;cv=89")</f>
        <v>https://rmda.kulib.kyoto-u.ac.jp/item/rb00002310#?c=0&amp;m=0&amp;s=0&amp;cv=89</v>
      </c>
    </row>
    <row r="2745" spans="1:4" x14ac:dyDescent="0.15">
      <c r="A2745" s="6" t="s">
        <v>133</v>
      </c>
      <c r="B2745" s="6" t="s">
        <v>4762</v>
      </c>
      <c r="C2745" s="6">
        <v>91</v>
      </c>
      <c r="D2745" s="6" t="str">
        <f>HYPERLINK("https://rmda.kulib.kyoto-u.ac.jp/item/rb00002310#?c=0&amp;m=0&amp;s=0&amp;cv=90")</f>
        <v>https://rmda.kulib.kyoto-u.ac.jp/item/rb00002310#?c=0&amp;m=0&amp;s=0&amp;cv=90</v>
      </c>
    </row>
    <row r="2746" spans="1:4" x14ac:dyDescent="0.15">
      <c r="A2746" s="6" t="s">
        <v>133</v>
      </c>
      <c r="B2746" s="6" t="s">
        <v>4554</v>
      </c>
      <c r="C2746" s="6">
        <v>91</v>
      </c>
      <c r="D2746" s="6" t="str">
        <f>HYPERLINK("https://rmda.kulib.kyoto-u.ac.jp/item/rb00002310#?c=0&amp;m=0&amp;s=0&amp;cv=90")</f>
        <v>https://rmda.kulib.kyoto-u.ac.jp/item/rb00002310#?c=0&amp;m=0&amp;s=0&amp;cv=90</v>
      </c>
    </row>
    <row r="2747" spans="1:4" x14ac:dyDescent="0.15">
      <c r="A2747" s="6" t="s">
        <v>133</v>
      </c>
      <c r="B2747" s="6" t="s">
        <v>4238</v>
      </c>
      <c r="C2747" s="6">
        <v>91</v>
      </c>
      <c r="D2747" s="6" t="str">
        <f>HYPERLINK("https://rmda.kulib.kyoto-u.ac.jp/item/rb00002310#?c=0&amp;m=0&amp;s=0&amp;cv=90")</f>
        <v>https://rmda.kulib.kyoto-u.ac.jp/item/rb00002310#?c=0&amp;m=0&amp;s=0&amp;cv=90</v>
      </c>
    </row>
    <row r="2748" spans="1:4" x14ac:dyDescent="0.15">
      <c r="A2748" s="6" t="s">
        <v>133</v>
      </c>
      <c r="B2748" s="63" t="s">
        <v>4544</v>
      </c>
      <c r="C2748" s="6">
        <v>92</v>
      </c>
      <c r="D2748" s="6" t="str">
        <f>HYPERLINK("https://rmda.kulib.kyoto-u.ac.jp/item/rb00002310#?c=0&amp;m=0&amp;s=0&amp;cv=91")</f>
        <v>https://rmda.kulib.kyoto-u.ac.jp/item/rb00002310#?c=0&amp;m=0&amp;s=0&amp;cv=91</v>
      </c>
    </row>
    <row r="2749" spans="1:4" x14ac:dyDescent="0.15">
      <c r="A2749" s="6" t="s">
        <v>133</v>
      </c>
      <c r="B2749" s="6" t="s">
        <v>4545</v>
      </c>
      <c r="C2749" s="6">
        <v>93</v>
      </c>
      <c r="D2749" s="6" t="str">
        <f>HYPERLINK("https://rmda.kulib.kyoto-u.ac.jp/item/rb00002310#?c=0&amp;m=0&amp;s=0&amp;cv=92")</f>
        <v>https://rmda.kulib.kyoto-u.ac.jp/item/rb00002310#?c=0&amp;m=0&amp;s=0&amp;cv=92</v>
      </c>
    </row>
    <row r="2750" spans="1:4" x14ac:dyDescent="0.15">
      <c r="A2750" s="6" t="s">
        <v>133</v>
      </c>
      <c r="B2750" s="6" t="s">
        <v>4371</v>
      </c>
      <c r="C2750" s="6">
        <v>93</v>
      </c>
      <c r="D2750" s="6" t="str">
        <f>HYPERLINK("https://rmda.kulib.kyoto-u.ac.jp/item/rb00002310#?c=0&amp;m=0&amp;s=0&amp;cv=92")</f>
        <v>https://rmda.kulib.kyoto-u.ac.jp/item/rb00002310#?c=0&amp;m=0&amp;s=0&amp;cv=92</v>
      </c>
    </row>
    <row r="2751" spans="1:4" x14ac:dyDescent="0.15">
      <c r="A2751" s="6" t="s">
        <v>133</v>
      </c>
      <c r="B2751" s="6" t="s">
        <v>4546</v>
      </c>
      <c r="C2751" s="6">
        <v>93</v>
      </c>
      <c r="D2751" s="6" t="str">
        <f>HYPERLINK("https://rmda.kulib.kyoto-u.ac.jp/item/rb00002310#?c=0&amp;m=0&amp;s=0&amp;cv=92")</f>
        <v>https://rmda.kulib.kyoto-u.ac.jp/item/rb00002310#?c=0&amp;m=0&amp;s=0&amp;cv=92</v>
      </c>
    </row>
    <row r="2752" spans="1:4" x14ac:dyDescent="0.15">
      <c r="A2752" s="6" t="s">
        <v>133</v>
      </c>
      <c r="B2752" s="6" t="s">
        <v>4350</v>
      </c>
      <c r="C2752" s="6">
        <v>94</v>
      </c>
      <c r="D2752" s="6" t="str">
        <f>HYPERLINK("https://rmda.kulib.kyoto-u.ac.jp/item/rb00002310#?c=0&amp;m=0&amp;s=0&amp;cv=93")</f>
        <v>https://rmda.kulib.kyoto-u.ac.jp/item/rb00002310#?c=0&amp;m=0&amp;s=0&amp;cv=93</v>
      </c>
    </row>
    <row r="2753" spans="1:4" x14ac:dyDescent="0.15">
      <c r="A2753" s="6" t="s">
        <v>133</v>
      </c>
      <c r="B2753" s="63" t="s">
        <v>4547</v>
      </c>
      <c r="C2753" s="6">
        <v>94</v>
      </c>
      <c r="D2753" s="6" t="str">
        <f>HYPERLINK("https://rmda.kulib.kyoto-u.ac.jp/item/rb00002310#?c=0&amp;m=0&amp;s=0&amp;cv=93")</f>
        <v>https://rmda.kulib.kyoto-u.ac.jp/item/rb00002310#?c=0&amp;m=0&amp;s=0&amp;cv=93</v>
      </c>
    </row>
    <row r="2754" spans="1:4" x14ac:dyDescent="0.15">
      <c r="A2754" s="6" t="s">
        <v>133</v>
      </c>
      <c r="B2754" s="6" t="s">
        <v>4548</v>
      </c>
      <c r="C2754" s="6">
        <v>95</v>
      </c>
      <c r="D2754" s="6" t="str">
        <f>HYPERLINK("https://rmda.kulib.kyoto-u.ac.jp/item/rb00002310#?c=0&amp;m=0&amp;s=0&amp;cv=94")</f>
        <v>https://rmda.kulib.kyoto-u.ac.jp/item/rb00002310#?c=0&amp;m=0&amp;s=0&amp;cv=94</v>
      </c>
    </row>
    <row r="2755" spans="1:4" x14ac:dyDescent="0.15">
      <c r="A2755" s="6" t="s">
        <v>133</v>
      </c>
      <c r="B2755" s="6" t="s">
        <v>4756</v>
      </c>
      <c r="C2755" s="6">
        <v>95</v>
      </c>
      <c r="D2755" s="6" t="str">
        <f>HYPERLINK("https://rmda.kulib.kyoto-u.ac.jp/item/rb00002310#?c=0&amp;m=0&amp;s=0&amp;cv=94")</f>
        <v>https://rmda.kulib.kyoto-u.ac.jp/item/rb00002310#?c=0&amp;m=0&amp;s=0&amp;cv=94</v>
      </c>
    </row>
    <row r="2756" spans="1:4" x14ac:dyDescent="0.15">
      <c r="A2756" s="6" t="s">
        <v>133</v>
      </c>
      <c r="B2756" s="6" t="s">
        <v>4757</v>
      </c>
      <c r="C2756" s="6">
        <v>96</v>
      </c>
      <c r="D2756" s="6" t="str">
        <f>HYPERLINK("https://rmda.kulib.kyoto-u.ac.jp/item/rb00002310#?c=0&amp;m=0&amp;s=0&amp;cv=95")</f>
        <v>https://rmda.kulib.kyoto-u.ac.jp/item/rb00002310#?c=0&amp;m=0&amp;s=0&amp;cv=95</v>
      </c>
    </row>
    <row r="2757" spans="1:4" x14ac:dyDescent="0.15">
      <c r="A2757" s="6" t="s">
        <v>133</v>
      </c>
      <c r="B2757" s="6" t="s">
        <v>4758</v>
      </c>
      <c r="C2757" s="6">
        <v>96</v>
      </c>
      <c r="D2757" s="6" t="str">
        <f>HYPERLINK("https://rmda.kulib.kyoto-u.ac.jp/item/rb00002310#?c=0&amp;m=0&amp;s=0&amp;cv=95")</f>
        <v>https://rmda.kulib.kyoto-u.ac.jp/item/rb00002310#?c=0&amp;m=0&amp;s=0&amp;cv=95</v>
      </c>
    </row>
    <row r="2758" spans="1:4" x14ac:dyDescent="0.15">
      <c r="A2758" s="6" t="s">
        <v>133</v>
      </c>
      <c r="B2758" s="6" t="s">
        <v>4759</v>
      </c>
      <c r="C2758" s="6">
        <v>96</v>
      </c>
      <c r="D2758" s="6" t="str">
        <f>HYPERLINK("https://rmda.kulib.kyoto-u.ac.jp/item/rb00002310#?c=0&amp;m=0&amp;s=0&amp;cv=95")</f>
        <v>https://rmda.kulib.kyoto-u.ac.jp/item/rb00002310#?c=0&amp;m=0&amp;s=0&amp;cv=95</v>
      </c>
    </row>
    <row r="2759" spans="1:4" x14ac:dyDescent="0.15">
      <c r="A2759" s="6" t="s">
        <v>133</v>
      </c>
      <c r="B2759" s="6" t="s">
        <v>4309</v>
      </c>
      <c r="C2759" s="6">
        <v>97</v>
      </c>
      <c r="D2759" s="6" t="str">
        <f>HYPERLINK("https://rmda.kulib.kyoto-u.ac.jp/item/rb00002310#?c=0&amp;m=0&amp;s=0&amp;cv=96")</f>
        <v>https://rmda.kulib.kyoto-u.ac.jp/item/rb00002310#?c=0&amp;m=0&amp;s=0&amp;cv=96</v>
      </c>
    </row>
    <row r="2760" spans="1:4" x14ac:dyDescent="0.15">
      <c r="A2760" s="6" t="s">
        <v>133</v>
      </c>
      <c r="B2760" s="6" t="s">
        <v>6086</v>
      </c>
      <c r="C2760" s="6">
        <v>97</v>
      </c>
      <c r="D2760" s="6" t="str">
        <f>HYPERLINK("https://rmda.kulib.kyoto-u.ac.jp/item/rb00002310#?c=0&amp;m=0&amp;s=0&amp;cv=96")</f>
        <v>https://rmda.kulib.kyoto-u.ac.jp/item/rb00002310#?c=0&amp;m=0&amp;s=0&amp;cv=96</v>
      </c>
    </row>
    <row r="2761" spans="1:4" x14ac:dyDescent="0.15">
      <c r="A2761" s="6" t="s">
        <v>133</v>
      </c>
      <c r="B2761" s="6" t="s">
        <v>4760</v>
      </c>
      <c r="C2761" s="6">
        <v>98</v>
      </c>
      <c r="D2761" s="6" t="str">
        <f>HYPERLINK("https://rmda.kulib.kyoto-u.ac.jp/item/rb00002310#?c=0&amp;m=0&amp;s=0&amp;cv=97")</f>
        <v>https://rmda.kulib.kyoto-u.ac.jp/item/rb00002310#?c=0&amp;m=0&amp;s=0&amp;cv=97</v>
      </c>
    </row>
    <row r="2762" spans="1:4" x14ac:dyDescent="0.15">
      <c r="A2762" s="6" t="s">
        <v>133</v>
      </c>
      <c r="B2762" s="63" t="s">
        <v>6087</v>
      </c>
      <c r="C2762" s="6">
        <v>98</v>
      </c>
      <c r="D2762" s="6" t="str">
        <f>HYPERLINK("https://rmda.kulib.kyoto-u.ac.jp/item/rb00002310#?c=0&amp;m=0&amp;s=0&amp;cv=97")</f>
        <v>https://rmda.kulib.kyoto-u.ac.jp/item/rb00002310#?c=0&amp;m=0&amp;s=0&amp;cv=97</v>
      </c>
    </row>
    <row r="2763" spans="1:4" x14ac:dyDescent="0.15">
      <c r="A2763" s="6" t="s">
        <v>133</v>
      </c>
      <c r="B2763" s="6" t="s">
        <v>4783</v>
      </c>
      <c r="C2763" s="6">
        <v>99</v>
      </c>
      <c r="D2763" s="6" t="str">
        <f>HYPERLINK("https://rmda.kulib.kyoto-u.ac.jp/item/rb00002310#?c=0&amp;m=0&amp;s=0&amp;cv=98")</f>
        <v>https://rmda.kulib.kyoto-u.ac.jp/item/rb00002310#?c=0&amp;m=0&amp;s=0&amp;cv=98</v>
      </c>
    </row>
    <row r="2764" spans="1:4" x14ac:dyDescent="0.15">
      <c r="A2764" s="6" t="s">
        <v>133</v>
      </c>
      <c r="B2764" s="6" t="s">
        <v>4784</v>
      </c>
      <c r="C2764" s="6">
        <v>99</v>
      </c>
      <c r="D2764" s="6" t="str">
        <f>HYPERLINK("https://rmda.kulib.kyoto-u.ac.jp/item/rb00002310#?c=0&amp;m=0&amp;s=0&amp;cv=98")</f>
        <v>https://rmda.kulib.kyoto-u.ac.jp/item/rb00002310#?c=0&amp;m=0&amp;s=0&amp;cv=98</v>
      </c>
    </row>
    <row r="2765" spans="1:4" x14ac:dyDescent="0.15">
      <c r="A2765" s="6" t="s">
        <v>133</v>
      </c>
      <c r="B2765" s="6" t="s">
        <v>4756</v>
      </c>
      <c r="C2765" s="6">
        <v>100</v>
      </c>
      <c r="D2765" s="6" t="str">
        <f>HYPERLINK("https://rmda.kulib.kyoto-u.ac.jp/item/rb00002310#?c=0&amp;m=0&amp;s=0&amp;cv=99")</f>
        <v>https://rmda.kulib.kyoto-u.ac.jp/item/rb00002310#?c=0&amp;m=0&amp;s=0&amp;cv=99</v>
      </c>
    </row>
    <row r="2766" spans="1:4" x14ac:dyDescent="0.15">
      <c r="A2766" s="6" t="s">
        <v>133</v>
      </c>
      <c r="B2766" s="6" t="s">
        <v>6088</v>
      </c>
      <c r="C2766" s="6">
        <v>100</v>
      </c>
      <c r="D2766" s="6" t="str">
        <f>HYPERLINK("https://rmda.kulib.kyoto-u.ac.jp/item/rb00002310#?c=0&amp;m=0&amp;s=0&amp;cv=99")</f>
        <v>https://rmda.kulib.kyoto-u.ac.jp/item/rb00002310#?c=0&amp;m=0&amp;s=0&amp;cv=99</v>
      </c>
    </row>
    <row r="2767" spans="1:4" x14ac:dyDescent="0.15">
      <c r="A2767" s="6" t="s">
        <v>133</v>
      </c>
      <c r="B2767" s="63" t="s">
        <v>4676</v>
      </c>
      <c r="C2767" s="6">
        <v>100</v>
      </c>
      <c r="D2767" s="6" t="str">
        <f>HYPERLINK("https://rmda.kulib.kyoto-u.ac.jp/item/rb00002310#?c=0&amp;m=0&amp;s=0&amp;cv=99")</f>
        <v>https://rmda.kulib.kyoto-u.ac.jp/item/rb00002310#?c=0&amp;m=0&amp;s=0&amp;cv=99</v>
      </c>
    </row>
    <row r="2768" spans="1:4" x14ac:dyDescent="0.15">
      <c r="A2768" s="6" t="s">
        <v>133</v>
      </c>
      <c r="B2768" s="6" t="s">
        <v>1663</v>
      </c>
      <c r="C2768" s="6">
        <v>101</v>
      </c>
      <c r="D2768" s="6" t="str">
        <f>HYPERLINK("https://rmda.kulib.kyoto-u.ac.jp/item/rb00002310#?c=0&amp;m=0&amp;s=0&amp;cv=100")</f>
        <v>https://rmda.kulib.kyoto-u.ac.jp/item/rb00002310#?c=0&amp;m=0&amp;s=0&amp;cv=100</v>
      </c>
    </row>
    <row r="2769" spans="1:4" x14ac:dyDescent="0.15">
      <c r="A2769" s="6" t="s">
        <v>133</v>
      </c>
      <c r="B2769" s="6" t="s">
        <v>4833</v>
      </c>
      <c r="C2769" s="6">
        <v>101</v>
      </c>
      <c r="D2769" s="6" t="str">
        <f>HYPERLINK("https://rmda.kulib.kyoto-u.ac.jp/item/rb00002310#?c=0&amp;m=0&amp;s=0&amp;cv=100")</f>
        <v>https://rmda.kulib.kyoto-u.ac.jp/item/rb00002310#?c=0&amp;m=0&amp;s=0&amp;cv=100</v>
      </c>
    </row>
    <row r="2770" spans="1:4" x14ac:dyDescent="0.15">
      <c r="A2770" s="6" t="s">
        <v>133</v>
      </c>
      <c r="B2770" s="6" t="s">
        <v>1649</v>
      </c>
      <c r="C2770" s="6">
        <v>101</v>
      </c>
      <c r="D2770" s="6" t="str">
        <f>HYPERLINK("https://rmda.kulib.kyoto-u.ac.jp/item/rb00002310#?c=0&amp;m=0&amp;s=0&amp;cv=100")</f>
        <v>https://rmda.kulib.kyoto-u.ac.jp/item/rb00002310#?c=0&amp;m=0&amp;s=0&amp;cv=100</v>
      </c>
    </row>
    <row r="2771" spans="1:4" x14ac:dyDescent="0.15">
      <c r="A2771" s="6" t="s">
        <v>133</v>
      </c>
      <c r="B2771" s="6" t="s">
        <v>4268</v>
      </c>
      <c r="C2771" s="6">
        <v>101</v>
      </c>
      <c r="D2771" s="6" t="str">
        <f>HYPERLINK("https://rmda.kulib.kyoto-u.ac.jp/item/rb00002310#?c=0&amp;m=0&amp;s=0&amp;cv=100")</f>
        <v>https://rmda.kulib.kyoto-u.ac.jp/item/rb00002310#?c=0&amp;m=0&amp;s=0&amp;cv=100</v>
      </c>
    </row>
    <row r="2772" spans="1:4" x14ac:dyDescent="0.15">
      <c r="A2772" s="6" t="s">
        <v>133</v>
      </c>
      <c r="B2772" s="6" t="s">
        <v>4806</v>
      </c>
      <c r="C2772" s="6">
        <v>101</v>
      </c>
      <c r="D2772" s="6" t="str">
        <f>HYPERLINK("https://rmda.kulib.kyoto-u.ac.jp/item/rb00002310#?c=0&amp;m=0&amp;s=0&amp;cv=100")</f>
        <v>https://rmda.kulib.kyoto-u.ac.jp/item/rb00002310#?c=0&amp;m=0&amp;s=0&amp;cv=100</v>
      </c>
    </row>
    <row r="2773" spans="1:4" x14ac:dyDescent="0.15">
      <c r="A2773" s="6" t="s">
        <v>133</v>
      </c>
      <c r="B2773" s="30" t="s">
        <v>6089</v>
      </c>
      <c r="C2773" s="6">
        <v>102</v>
      </c>
      <c r="D2773" s="6" t="str">
        <f>HYPERLINK("https://rmda.kulib.kyoto-u.ac.jp/item/rb00002310#?c=0&amp;m=0&amp;s=0&amp;cv=101")</f>
        <v>https://rmda.kulib.kyoto-u.ac.jp/item/rb00002310#?c=0&amp;m=0&amp;s=0&amp;cv=101</v>
      </c>
    </row>
    <row r="2774" spans="1:4" x14ac:dyDescent="0.15">
      <c r="A2774" s="6" t="s">
        <v>133</v>
      </c>
      <c r="B2774" s="63" t="s">
        <v>4834</v>
      </c>
      <c r="C2774" s="6">
        <v>102</v>
      </c>
      <c r="D2774" s="6" t="str">
        <f>HYPERLINK("https://rmda.kulib.kyoto-u.ac.jp/item/rb00002310#?c=0&amp;m=0&amp;s=0&amp;cv=101")</f>
        <v>https://rmda.kulib.kyoto-u.ac.jp/item/rb00002310#?c=0&amp;m=0&amp;s=0&amp;cv=101</v>
      </c>
    </row>
    <row r="2775" spans="1:4" x14ac:dyDescent="0.15">
      <c r="A2775" s="6" t="s">
        <v>133</v>
      </c>
      <c r="B2775" s="6" t="s">
        <v>4790</v>
      </c>
      <c r="C2775" s="6">
        <v>102</v>
      </c>
      <c r="D2775" s="6" t="str">
        <f>HYPERLINK("https://rmda.kulib.kyoto-u.ac.jp/item/rb00002310#?c=0&amp;m=0&amp;s=0&amp;cv=101")</f>
        <v>https://rmda.kulib.kyoto-u.ac.jp/item/rb00002310#?c=0&amp;m=0&amp;s=0&amp;cv=101</v>
      </c>
    </row>
    <row r="2776" spans="1:4" x14ac:dyDescent="0.15">
      <c r="A2776" s="6" t="s">
        <v>133</v>
      </c>
      <c r="B2776" s="6" t="s">
        <v>4632</v>
      </c>
      <c r="C2776" s="6">
        <v>103</v>
      </c>
      <c r="D2776" s="6" t="str">
        <f>HYPERLINK("https://rmda.kulib.kyoto-u.ac.jp/item/rb00002310#?c=0&amp;m=0&amp;s=0&amp;cv=102")</f>
        <v>https://rmda.kulib.kyoto-u.ac.jp/item/rb00002310#?c=0&amp;m=0&amp;s=0&amp;cv=102</v>
      </c>
    </row>
    <row r="2777" spans="1:4" x14ac:dyDescent="0.15">
      <c r="A2777" s="6" t="s">
        <v>133</v>
      </c>
      <c r="B2777" s="6" t="s">
        <v>2496</v>
      </c>
      <c r="C2777" s="6">
        <v>103</v>
      </c>
      <c r="D2777" s="6" t="str">
        <f>HYPERLINK("https://rmda.kulib.kyoto-u.ac.jp/item/rb00002310#?c=0&amp;m=0&amp;s=0&amp;cv=102")</f>
        <v>https://rmda.kulib.kyoto-u.ac.jp/item/rb00002310#?c=0&amp;m=0&amp;s=0&amp;cv=102</v>
      </c>
    </row>
    <row r="2778" spans="1:4" x14ac:dyDescent="0.15">
      <c r="A2778" s="6" t="s">
        <v>133</v>
      </c>
      <c r="B2778" s="63" t="s">
        <v>4555</v>
      </c>
      <c r="C2778" s="6">
        <v>103</v>
      </c>
      <c r="D2778" s="6" t="str">
        <f>HYPERLINK("https://rmda.kulib.kyoto-u.ac.jp/item/rb00002310#?c=0&amp;m=0&amp;s=0&amp;cv=102")</f>
        <v>https://rmda.kulib.kyoto-u.ac.jp/item/rb00002310#?c=0&amp;m=0&amp;s=0&amp;cv=102</v>
      </c>
    </row>
    <row r="2779" spans="1:4" x14ac:dyDescent="0.15">
      <c r="A2779" s="6" t="s">
        <v>133</v>
      </c>
      <c r="B2779" s="6" t="s">
        <v>4556</v>
      </c>
      <c r="C2779" s="6">
        <v>105</v>
      </c>
      <c r="D2779" s="6" t="str">
        <f>HYPERLINK("https://rmda.kulib.kyoto-u.ac.jp/item/rb00002310#?c=0&amp;m=0&amp;s=0&amp;cv=104")</f>
        <v>https://rmda.kulib.kyoto-u.ac.jp/item/rb00002310#?c=0&amp;m=0&amp;s=0&amp;cv=104</v>
      </c>
    </row>
    <row r="2780" spans="1:4" x14ac:dyDescent="0.15">
      <c r="A2780" s="6" t="s">
        <v>133</v>
      </c>
      <c r="B2780" s="30" t="s">
        <v>6090</v>
      </c>
      <c r="C2780" s="6">
        <v>105</v>
      </c>
      <c r="D2780" s="6" t="str">
        <f>HYPERLINK("https://rmda.kulib.kyoto-u.ac.jp/item/rb00002310#?c=0&amp;m=0&amp;s=0&amp;cv=104")</f>
        <v>https://rmda.kulib.kyoto-u.ac.jp/item/rb00002310#?c=0&amp;m=0&amp;s=0&amp;cv=104</v>
      </c>
    </row>
    <row r="2781" spans="1:4" x14ac:dyDescent="0.15">
      <c r="A2781" s="6" t="s">
        <v>133</v>
      </c>
      <c r="B2781" s="6" t="s">
        <v>4763</v>
      </c>
      <c r="C2781" s="6">
        <v>106</v>
      </c>
      <c r="D2781" s="6" t="str">
        <f>HYPERLINK("https://rmda.kulib.kyoto-u.ac.jp/item/rb00002310#?c=0&amp;m=0&amp;s=0&amp;cv=105")</f>
        <v>https://rmda.kulib.kyoto-u.ac.jp/item/rb00002310#?c=0&amp;m=0&amp;s=0&amp;cv=105</v>
      </c>
    </row>
    <row r="2782" spans="1:4" x14ac:dyDescent="0.15">
      <c r="A2782" s="6" t="s">
        <v>133</v>
      </c>
      <c r="B2782" s="6" t="s">
        <v>4557</v>
      </c>
      <c r="C2782" s="6">
        <v>106</v>
      </c>
      <c r="D2782" s="6" t="str">
        <f>HYPERLINK("https://rmda.kulib.kyoto-u.ac.jp/item/rb00002310#?c=0&amp;m=0&amp;s=0&amp;cv=105")</f>
        <v>https://rmda.kulib.kyoto-u.ac.jp/item/rb00002310#?c=0&amp;m=0&amp;s=0&amp;cv=105</v>
      </c>
    </row>
    <row r="2783" spans="1:4" x14ac:dyDescent="0.15">
      <c r="A2783" s="6" t="s">
        <v>133</v>
      </c>
      <c r="B2783" s="6" t="s">
        <v>4764</v>
      </c>
      <c r="C2783" s="6">
        <v>108</v>
      </c>
      <c r="D2783" s="6" t="str">
        <f>HYPERLINK("https://rmda.kulib.kyoto-u.ac.jp/item/rb00002310#?c=0&amp;m=0&amp;s=0&amp;cv=107")</f>
        <v>https://rmda.kulib.kyoto-u.ac.jp/item/rb00002310#?c=0&amp;m=0&amp;s=0&amp;cv=107</v>
      </c>
    </row>
    <row r="2784" spans="1:4" x14ac:dyDescent="0.15">
      <c r="A2784" s="6" t="s">
        <v>133</v>
      </c>
      <c r="B2784" s="6" t="s">
        <v>4558</v>
      </c>
      <c r="C2784" s="6">
        <v>108</v>
      </c>
      <c r="D2784" s="6" t="str">
        <f>HYPERLINK("https://rmda.kulib.kyoto-u.ac.jp/item/rb00002310#?c=0&amp;m=0&amp;s=0&amp;cv=107")</f>
        <v>https://rmda.kulib.kyoto-u.ac.jp/item/rb00002310#?c=0&amp;m=0&amp;s=0&amp;cv=107</v>
      </c>
    </row>
    <row r="2785" spans="1:4" x14ac:dyDescent="0.15">
      <c r="A2785" s="6" t="s">
        <v>133</v>
      </c>
      <c r="B2785" s="71" t="s">
        <v>4559</v>
      </c>
      <c r="C2785" s="6">
        <v>108</v>
      </c>
      <c r="D2785" s="6" t="str">
        <f>HYPERLINK("https://rmda.kulib.kyoto-u.ac.jp/item/rb00002310#?c=0&amp;m=0&amp;s=0&amp;cv=107")</f>
        <v>https://rmda.kulib.kyoto-u.ac.jp/item/rb00002310#?c=0&amp;m=0&amp;s=0&amp;cv=107</v>
      </c>
    </row>
    <row r="2786" spans="1:4" x14ac:dyDescent="0.15">
      <c r="A2786" s="6" t="s">
        <v>133</v>
      </c>
      <c r="B2786" s="71" t="s">
        <v>4560</v>
      </c>
      <c r="C2786" s="6">
        <v>109</v>
      </c>
      <c r="D2786" s="6" t="str">
        <f>HYPERLINK("https://rmda.kulib.kyoto-u.ac.jp/item/rb00002310#?c=0&amp;m=0&amp;s=0&amp;cv=108")</f>
        <v>https://rmda.kulib.kyoto-u.ac.jp/item/rb00002310#?c=0&amp;m=0&amp;s=0&amp;cv=108</v>
      </c>
    </row>
    <row r="2787" spans="1:4" x14ac:dyDescent="0.15">
      <c r="A2787" s="6" t="s">
        <v>133</v>
      </c>
      <c r="B2787" s="71" t="s">
        <v>4561</v>
      </c>
      <c r="C2787" s="6">
        <v>114</v>
      </c>
      <c r="D2787" s="6" t="str">
        <f>HYPERLINK("https://rmda.kulib.kyoto-u.ac.jp/item/rb00002310#?c=0&amp;m=0&amp;s=0&amp;cv=113")</f>
        <v>https://rmda.kulib.kyoto-u.ac.jp/item/rb00002310#?c=0&amp;m=0&amp;s=0&amp;cv=113</v>
      </c>
    </row>
    <row r="2788" spans="1:4" x14ac:dyDescent="0.15">
      <c r="A2788" s="6" t="s">
        <v>133</v>
      </c>
      <c r="B2788" s="71" t="s">
        <v>4562</v>
      </c>
      <c r="C2788" s="6">
        <v>114</v>
      </c>
      <c r="D2788" s="6" t="str">
        <f>HYPERLINK("https://rmda.kulib.kyoto-u.ac.jp/item/rb00002310#?c=0&amp;m=0&amp;s=0&amp;cv=113")</f>
        <v>https://rmda.kulib.kyoto-u.ac.jp/item/rb00002310#?c=0&amp;m=0&amp;s=0&amp;cv=113</v>
      </c>
    </row>
    <row r="2789" spans="1:4" x14ac:dyDescent="0.15">
      <c r="A2789" s="6" t="s">
        <v>133</v>
      </c>
      <c r="B2789" s="71" t="s">
        <v>4563</v>
      </c>
      <c r="C2789" s="6">
        <v>114</v>
      </c>
      <c r="D2789" s="6" t="str">
        <f>HYPERLINK("https://rmda.kulib.kyoto-u.ac.jp/item/rb00002310#?c=0&amp;m=0&amp;s=0&amp;cv=113")</f>
        <v>https://rmda.kulib.kyoto-u.ac.jp/item/rb00002310#?c=0&amp;m=0&amp;s=0&amp;cv=113</v>
      </c>
    </row>
    <row r="2790" spans="1:4" x14ac:dyDescent="0.15">
      <c r="A2790" s="6" t="s">
        <v>133</v>
      </c>
      <c r="B2790" s="63" t="s">
        <v>4645</v>
      </c>
      <c r="C2790" s="6">
        <v>114</v>
      </c>
      <c r="D2790" s="6" t="str">
        <f>HYPERLINK("https://rmda.kulib.kyoto-u.ac.jp/item/rb00002310#?c=0&amp;m=0&amp;s=0&amp;cv=113")</f>
        <v>https://rmda.kulib.kyoto-u.ac.jp/item/rb00002310#?c=0&amp;m=0&amp;s=0&amp;cv=113</v>
      </c>
    </row>
    <row r="2791" spans="1:4" x14ac:dyDescent="0.15">
      <c r="A2791" s="6" t="s">
        <v>133</v>
      </c>
      <c r="B2791" s="6" t="s">
        <v>1654</v>
      </c>
      <c r="C2791" s="6">
        <v>115</v>
      </c>
      <c r="D2791" s="6" t="str">
        <f>HYPERLINK("https://rmda.kulib.kyoto-u.ac.jp/item/rb00002310#?c=0&amp;m=0&amp;s=0&amp;cv=114")</f>
        <v>https://rmda.kulib.kyoto-u.ac.jp/item/rb00002310#?c=0&amp;m=0&amp;s=0&amp;cv=114</v>
      </c>
    </row>
    <row r="2792" spans="1:4" x14ac:dyDescent="0.15">
      <c r="A2792" s="6" t="s">
        <v>133</v>
      </c>
      <c r="B2792" s="6" t="s">
        <v>4243</v>
      </c>
      <c r="C2792" s="6">
        <v>115</v>
      </c>
      <c r="D2792" s="6" t="str">
        <f>HYPERLINK("https://rmda.kulib.kyoto-u.ac.jp/item/rb00002310#?c=0&amp;m=0&amp;s=0&amp;cv=114")</f>
        <v>https://rmda.kulib.kyoto-u.ac.jp/item/rb00002310#?c=0&amp;m=0&amp;s=0&amp;cv=114</v>
      </c>
    </row>
    <row r="2793" spans="1:4" x14ac:dyDescent="0.15">
      <c r="A2793" s="6" t="s">
        <v>133</v>
      </c>
      <c r="B2793" s="6" t="s">
        <v>4455</v>
      </c>
      <c r="C2793" s="6">
        <v>115</v>
      </c>
      <c r="D2793" s="6" t="str">
        <f>HYPERLINK("https://rmda.kulib.kyoto-u.ac.jp/item/rb00002310#?c=0&amp;m=0&amp;s=0&amp;cv=114")</f>
        <v>https://rmda.kulib.kyoto-u.ac.jp/item/rb00002310#?c=0&amp;m=0&amp;s=0&amp;cv=114</v>
      </c>
    </row>
    <row r="2794" spans="1:4" x14ac:dyDescent="0.15">
      <c r="A2794" s="6" t="s">
        <v>133</v>
      </c>
      <c r="B2794" s="30" t="s">
        <v>6091</v>
      </c>
      <c r="C2794" s="6">
        <v>115</v>
      </c>
      <c r="D2794" s="6" t="str">
        <f>HYPERLINK("https://rmda.kulib.kyoto-u.ac.jp/item/rb00002310#?c=0&amp;m=0&amp;s=0&amp;cv=114")</f>
        <v>https://rmda.kulib.kyoto-u.ac.jp/item/rb00002310#?c=0&amp;m=0&amp;s=0&amp;cv=114</v>
      </c>
    </row>
    <row r="2795" spans="1:4" x14ac:dyDescent="0.15">
      <c r="A2795" s="6" t="s">
        <v>133</v>
      </c>
      <c r="B2795" s="30" t="s">
        <v>6092</v>
      </c>
      <c r="C2795" s="6">
        <v>116</v>
      </c>
      <c r="D2795" s="6" t="str">
        <f>HYPERLINK("https://rmda.kulib.kyoto-u.ac.jp/item/rb00002310#?c=0&amp;m=0&amp;s=0&amp;cv=115")</f>
        <v>https://rmda.kulib.kyoto-u.ac.jp/item/rb00002310#?c=0&amp;m=0&amp;s=0&amp;cv=115</v>
      </c>
    </row>
    <row r="2796" spans="1:4" x14ac:dyDescent="0.15">
      <c r="A2796" s="6" t="s">
        <v>133</v>
      </c>
      <c r="B2796" s="63" t="s">
        <v>4625</v>
      </c>
      <c r="C2796" s="6">
        <v>116</v>
      </c>
      <c r="D2796" s="6" t="str">
        <f>HYPERLINK("https://rmda.kulib.kyoto-u.ac.jp/item/rb00002310#?c=0&amp;m=0&amp;s=0&amp;cv=115")</f>
        <v>https://rmda.kulib.kyoto-u.ac.jp/item/rb00002310#?c=0&amp;m=0&amp;s=0&amp;cv=115</v>
      </c>
    </row>
    <row r="2797" spans="1:4" x14ac:dyDescent="0.15">
      <c r="A2797" s="6" t="s">
        <v>133</v>
      </c>
      <c r="B2797" s="6" t="s">
        <v>4788</v>
      </c>
      <c r="C2797" s="6">
        <v>116</v>
      </c>
      <c r="D2797" s="6" t="str">
        <f>HYPERLINK("https://rmda.kulib.kyoto-u.ac.jp/item/rb00002310#?c=0&amp;m=0&amp;s=0&amp;cv=115")</f>
        <v>https://rmda.kulib.kyoto-u.ac.jp/item/rb00002310#?c=0&amp;m=0&amp;s=0&amp;cv=115</v>
      </c>
    </row>
    <row r="2798" spans="1:4" x14ac:dyDescent="0.15">
      <c r="A2798" s="6" t="s">
        <v>133</v>
      </c>
      <c r="B2798" s="30" t="s">
        <v>6091</v>
      </c>
      <c r="C2798" s="6">
        <v>117</v>
      </c>
      <c r="D2798" s="6" t="str">
        <f>HYPERLINK("https://rmda.kulib.kyoto-u.ac.jp/item/rb00002310#?c=0&amp;m=0&amp;s=0&amp;cv=116")</f>
        <v>https://rmda.kulib.kyoto-u.ac.jp/item/rb00002310#?c=0&amp;m=0&amp;s=0&amp;cv=116</v>
      </c>
    </row>
    <row r="2799" spans="1:4" x14ac:dyDescent="0.15">
      <c r="A2799" s="6" t="s">
        <v>133</v>
      </c>
      <c r="B2799" s="30" t="s">
        <v>6093</v>
      </c>
      <c r="C2799" s="6">
        <v>117</v>
      </c>
      <c r="D2799" s="6" t="str">
        <f>HYPERLINK("https://rmda.kulib.kyoto-u.ac.jp/item/rb00002310#?c=0&amp;m=0&amp;s=0&amp;cv=116")</f>
        <v>https://rmda.kulib.kyoto-u.ac.jp/item/rb00002310#?c=0&amp;m=0&amp;s=0&amp;cv=116</v>
      </c>
    </row>
    <row r="2800" spans="1:4" x14ac:dyDescent="0.15">
      <c r="A2800" s="6" t="s">
        <v>133</v>
      </c>
      <c r="B2800" s="6" t="s">
        <v>4789</v>
      </c>
      <c r="C2800" s="6">
        <v>117</v>
      </c>
      <c r="D2800" s="6" t="str">
        <f>HYPERLINK("https://rmda.kulib.kyoto-u.ac.jp/item/rb00002310#?c=0&amp;m=0&amp;s=0&amp;cv=116")</f>
        <v>https://rmda.kulib.kyoto-u.ac.jp/item/rb00002310#?c=0&amp;m=0&amp;s=0&amp;cv=116</v>
      </c>
    </row>
    <row r="2801" spans="1:4" x14ac:dyDescent="0.15">
      <c r="A2801" s="6" t="s">
        <v>133</v>
      </c>
      <c r="B2801" s="63" t="s">
        <v>4586</v>
      </c>
      <c r="C2801" s="6">
        <v>118</v>
      </c>
      <c r="D2801" s="6" t="str">
        <f>HYPERLINK("https://rmda.kulib.kyoto-u.ac.jp/item/rb00002310#?c=0&amp;m=0&amp;s=0&amp;cv=117")</f>
        <v>https://rmda.kulib.kyoto-u.ac.jp/item/rb00002310#?c=0&amp;m=0&amp;s=0&amp;cv=117</v>
      </c>
    </row>
    <row r="2802" spans="1:4" x14ac:dyDescent="0.15">
      <c r="A2802" s="6" t="s">
        <v>133</v>
      </c>
      <c r="B2802" s="30" t="s">
        <v>6094</v>
      </c>
      <c r="C2802" s="6">
        <v>119</v>
      </c>
      <c r="D2802" s="6" t="str">
        <f>HYPERLINK("https://rmda.kulib.kyoto-u.ac.jp/item/rb00002310#?c=0&amp;m=0&amp;s=0&amp;cv=118")</f>
        <v>https://rmda.kulib.kyoto-u.ac.jp/item/rb00002310#?c=0&amp;m=0&amp;s=0&amp;cv=118</v>
      </c>
    </row>
    <row r="2803" spans="1:4" x14ac:dyDescent="0.15">
      <c r="A2803" s="6" t="s">
        <v>133</v>
      </c>
      <c r="B2803" s="6" t="s">
        <v>4587</v>
      </c>
      <c r="C2803" s="6">
        <v>119</v>
      </c>
      <c r="D2803" s="6" t="str">
        <f>HYPERLINK("https://rmda.kulib.kyoto-u.ac.jp/item/rb00002310#?c=0&amp;m=0&amp;s=0&amp;cv=118")</f>
        <v>https://rmda.kulib.kyoto-u.ac.jp/item/rb00002310#?c=0&amp;m=0&amp;s=0&amp;cv=118</v>
      </c>
    </row>
    <row r="2804" spans="1:4" x14ac:dyDescent="0.15">
      <c r="A2804" s="6" t="s">
        <v>133</v>
      </c>
      <c r="B2804" s="6" t="s">
        <v>4835</v>
      </c>
      <c r="C2804" s="6">
        <v>119</v>
      </c>
      <c r="D2804" s="6" t="str">
        <f>HYPERLINK("https://rmda.kulib.kyoto-u.ac.jp/item/rb00002310#?c=0&amp;m=0&amp;s=0&amp;cv=118")</f>
        <v>https://rmda.kulib.kyoto-u.ac.jp/item/rb00002310#?c=0&amp;m=0&amp;s=0&amp;cv=118</v>
      </c>
    </row>
    <row r="2805" spans="1:4" x14ac:dyDescent="0.15">
      <c r="A2805" s="6" t="s">
        <v>133</v>
      </c>
      <c r="B2805" s="6" t="s">
        <v>1668</v>
      </c>
      <c r="C2805" s="6">
        <v>119</v>
      </c>
      <c r="D2805" s="6" t="str">
        <f>HYPERLINK("https://rmda.kulib.kyoto-u.ac.jp/item/rb00002310#?c=0&amp;m=0&amp;s=0&amp;cv=118")</f>
        <v>https://rmda.kulib.kyoto-u.ac.jp/item/rb00002310#?c=0&amp;m=0&amp;s=0&amp;cv=118</v>
      </c>
    </row>
    <row r="2806" spans="1:4" x14ac:dyDescent="0.15">
      <c r="A2806" s="6" t="s">
        <v>133</v>
      </c>
      <c r="B2806" s="6" t="s">
        <v>2142</v>
      </c>
      <c r="C2806" s="6">
        <v>120</v>
      </c>
      <c r="D2806" s="6" t="str">
        <f>HYPERLINK("https://rmda.kulib.kyoto-u.ac.jp/item/rb00002310#?c=0&amp;m=0&amp;s=0&amp;cv=119")</f>
        <v>https://rmda.kulib.kyoto-u.ac.jp/item/rb00002310#?c=0&amp;m=0&amp;s=0&amp;cv=119</v>
      </c>
    </row>
    <row r="2807" spans="1:4" x14ac:dyDescent="0.15">
      <c r="A2807" s="6" t="s">
        <v>133</v>
      </c>
      <c r="B2807" s="6" t="s">
        <v>4588</v>
      </c>
      <c r="C2807" s="6">
        <v>120</v>
      </c>
      <c r="D2807" s="6" t="str">
        <f>HYPERLINK("https://rmda.kulib.kyoto-u.ac.jp/item/rb00002310#?c=0&amp;m=0&amp;s=0&amp;cv=119")</f>
        <v>https://rmda.kulib.kyoto-u.ac.jp/item/rb00002310#?c=0&amp;m=0&amp;s=0&amp;cv=119</v>
      </c>
    </row>
    <row r="2808" spans="1:4" x14ac:dyDescent="0.15">
      <c r="A2808" s="6" t="s">
        <v>133</v>
      </c>
      <c r="B2808" s="6" t="s">
        <v>4589</v>
      </c>
      <c r="C2808" s="6">
        <v>120</v>
      </c>
      <c r="D2808" s="6" t="str">
        <f>HYPERLINK("https://rmda.kulib.kyoto-u.ac.jp/item/rb00002310#?c=0&amp;m=0&amp;s=0&amp;cv=119")</f>
        <v>https://rmda.kulib.kyoto-u.ac.jp/item/rb00002310#?c=0&amp;m=0&amp;s=0&amp;cv=119</v>
      </c>
    </row>
    <row r="2809" spans="1:4" x14ac:dyDescent="0.15">
      <c r="A2809" s="6" t="s">
        <v>133</v>
      </c>
      <c r="B2809" s="6" t="s">
        <v>4590</v>
      </c>
      <c r="C2809" s="6">
        <v>120</v>
      </c>
      <c r="D2809" s="6" t="str">
        <f>HYPERLINK("https://rmda.kulib.kyoto-u.ac.jp/item/rb00002310#?c=0&amp;m=0&amp;s=0&amp;cv=119")</f>
        <v>https://rmda.kulib.kyoto-u.ac.jp/item/rb00002310#?c=0&amp;m=0&amp;s=0&amp;cv=119</v>
      </c>
    </row>
    <row r="2810" spans="1:4" x14ac:dyDescent="0.15">
      <c r="A2810" s="6" t="s">
        <v>133</v>
      </c>
      <c r="B2810" s="63" t="s">
        <v>4610</v>
      </c>
      <c r="C2810" s="6">
        <v>121</v>
      </c>
      <c r="D2810" s="6" t="str">
        <f>HYPERLINK("https://rmda.kulib.kyoto-u.ac.jp/item/rb00002310#?c=0&amp;m=0&amp;s=0&amp;cv=120")</f>
        <v>https://rmda.kulib.kyoto-u.ac.jp/item/rb00002310#?c=0&amp;m=0&amp;s=0&amp;cv=120</v>
      </c>
    </row>
    <row r="2811" spans="1:4" x14ac:dyDescent="0.15">
      <c r="A2811" s="6" t="s">
        <v>133</v>
      </c>
      <c r="B2811" s="6" t="s">
        <v>1851</v>
      </c>
      <c r="C2811" s="6">
        <v>121</v>
      </c>
      <c r="D2811" s="6" t="str">
        <f>HYPERLINK("https://rmda.kulib.kyoto-u.ac.jp/item/rb00002310#?c=0&amp;m=0&amp;s=0&amp;cv=120")</f>
        <v>https://rmda.kulib.kyoto-u.ac.jp/item/rb00002310#?c=0&amp;m=0&amp;s=0&amp;cv=120</v>
      </c>
    </row>
    <row r="2812" spans="1:4" x14ac:dyDescent="0.15">
      <c r="A2812" s="6" t="s">
        <v>133</v>
      </c>
      <c r="B2812" s="6" t="s">
        <v>4611</v>
      </c>
      <c r="C2812" s="6">
        <v>122</v>
      </c>
      <c r="D2812" s="6" t="str">
        <f>HYPERLINK("https://rmda.kulib.kyoto-u.ac.jp/item/rb00002310#?c=0&amp;m=0&amp;s=0&amp;cv=121")</f>
        <v>https://rmda.kulib.kyoto-u.ac.jp/item/rb00002310#?c=0&amp;m=0&amp;s=0&amp;cv=121</v>
      </c>
    </row>
    <row r="2813" spans="1:4" x14ac:dyDescent="0.15">
      <c r="A2813" s="6" t="s">
        <v>133</v>
      </c>
      <c r="B2813" s="6" t="s">
        <v>2016</v>
      </c>
      <c r="C2813" s="6">
        <v>122</v>
      </c>
      <c r="D2813" s="6" t="str">
        <f>HYPERLINK("https://rmda.kulib.kyoto-u.ac.jp/item/rb00002310#?c=0&amp;m=0&amp;s=0&amp;cv=121")</f>
        <v>https://rmda.kulib.kyoto-u.ac.jp/item/rb00002310#?c=0&amp;m=0&amp;s=0&amp;cv=121</v>
      </c>
    </row>
    <row r="2814" spans="1:4" x14ac:dyDescent="0.15">
      <c r="A2814" s="6" t="s">
        <v>133</v>
      </c>
      <c r="B2814" s="6" t="s">
        <v>4612</v>
      </c>
      <c r="C2814" s="6">
        <v>122</v>
      </c>
      <c r="D2814" s="6" t="str">
        <f>HYPERLINK("https://rmda.kulib.kyoto-u.ac.jp/item/rb00002310#?c=0&amp;m=0&amp;s=0&amp;cv=121")</f>
        <v>https://rmda.kulib.kyoto-u.ac.jp/item/rb00002310#?c=0&amp;m=0&amp;s=0&amp;cv=121</v>
      </c>
    </row>
    <row r="2815" spans="1:4" x14ac:dyDescent="0.15">
      <c r="A2815" s="6" t="s">
        <v>133</v>
      </c>
      <c r="B2815" s="6" t="s">
        <v>4782</v>
      </c>
      <c r="C2815" s="6">
        <v>122</v>
      </c>
      <c r="D2815" s="6" t="str">
        <f>HYPERLINK("https://rmda.kulib.kyoto-u.ac.jp/item/rb00002310#?c=0&amp;m=0&amp;s=0&amp;cv=121")</f>
        <v>https://rmda.kulib.kyoto-u.ac.jp/item/rb00002310#?c=0&amp;m=0&amp;s=0&amp;cv=121</v>
      </c>
    </row>
    <row r="2816" spans="1:4" x14ac:dyDescent="0.15">
      <c r="A2816" s="6" t="s">
        <v>133</v>
      </c>
      <c r="B2816" s="6" t="s">
        <v>4473</v>
      </c>
      <c r="C2816" s="6">
        <v>123</v>
      </c>
      <c r="D2816" s="6" t="str">
        <f>HYPERLINK("https://rmda.kulib.kyoto-u.ac.jp/item/rb00002310#?c=0&amp;m=0&amp;s=0&amp;cv=122")</f>
        <v>https://rmda.kulib.kyoto-u.ac.jp/item/rb00002310#?c=0&amp;m=0&amp;s=0&amp;cv=122</v>
      </c>
    </row>
    <row r="2817" spans="1:4" x14ac:dyDescent="0.15">
      <c r="A2817" s="6" t="s">
        <v>133</v>
      </c>
      <c r="B2817" s="65" t="s">
        <v>4566</v>
      </c>
      <c r="C2817" s="6">
        <v>123</v>
      </c>
      <c r="D2817" s="6" t="str">
        <f>HYPERLINK("https://rmda.kulib.kyoto-u.ac.jp/item/rb00002310#?c=0&amp;m=0&amp;s=0&amp;cv=122")</f>
        <v>https://rmda.kulib.kyoto-u.ac.jp/item/rb00002310#?c=0&amp;m=0&amp;s=0&amp;cv=122</v>
      </c>
    </row>
    <row r="2818" spans="1:4" x14ac:dyDescent="0.15">
      <c r="A2818" s="6" t="s">
        <v>133</v>
      </c>
      <c r="B2818" s="30" t="s">
        <v>6095</v>
      </c>
      <c r="C2818" s="6">
        <v>123</v>
      </c>
      <c r="D2818" s="6" t="str">
        <f>HYPERLINK("https://rmda.kulib.kyoto-u.ac.jp/item/rb00002310#?c=0&amp;m=0&amp;s=0&amp;cv=122")</f>
        <v>https://rmda.kulib.kyoto-u.ac.jp/item/rb00002310#?c=0&amp;m=0&amp;s=0&amp;cv=122</v>
      </c>
    </row>
    <row r="2819" spans="1:4" x14ac:dyDescent="0.15">
      <c r="A2819" s="6" t="s">
        <v>133</v>
      </c>
      <c r="B2819" s="6" t="s">
        <v>4671</v>
      </c>
      <c r="C2819" s="6">
        <v>124</v>
      </c>
      <c r="D2819" s="6" t="str">
        <f>HYPERLINK("https://rmda.kulib.kyoto-u.ac.jp/item/rb00002310#?c=0&amp;m=0&amp;s=0&amp;cv=123")</f>
        <v>https://rmda.kulib.kyoto-u.ac.jp/item/rb00002310#?c=0&amp;m=0&amp;s=0&amp;cv=123</v>
      </c>
    </row>
    <row r="2820" spans="1:4" x14ac:dyDescent="0.15">
      <c r="A2820" s="6" t="s">
        <v>133</v>
      </c>
      <c r="B2820" s="6" t="s">
        <v>4672</v>
      </c>
      <c r="C2820" s="6">
        <v>124</v>
      </c>
      <c r="D2820" s="6" t="str">
        <f>HYPERLINK("https://rmda.kulib.kyoto-u.ac.jp/item/rb00002310#?c=0&amp;m=0&amp;s=0&amp;cv=123")</f>
        <v>https://rmda.kulib.kyoto-u.ac.jp/item/rb00002310#?c=0&amp;m=0&amp;s=0&amp;cv=123</v>
      </c>
    </row>
    <row r="2821" spans="1:4" x14ac:dyDescent="0.15">
      <c r="A2821" s="6" t="s">
        <v>133</v>
      </c>
      <c r="B2821" s="6" t="s">
        <v>4567</v>
      </c>
      <c r="C2821" s="6">
        <v>124</v>
      </c>
      <c r="D2821" s="6" t="str">
        <f>HYPERLINK("https://rmda.kulib.kyoto-u.ac.jp/item/rb00002310#?c=0&amp;m=0&amp;s=0&amp;cv=123")</f>
        <v>https://rmda.kulib.kyoto-u.ac.jp/item/rb00002310#?c=0&amp;m=0&amp;s=0&amp;cv=123</v>
      </c>
    </row>
    <row r="2822" spans="1:4" x14ac:dyDescent="0.15">
      <c r="A2822" s="6" t="s">
        <v>133</v>
      </c>
      <c r="B2822" s="6" t="s">
        <v>4568</v>
      </c>
      <c r="C2822" s="6">
        <v>125</v>
      </c>
      <c r="D2822" s="6" t="str">
        <f>HYPERLINK("https://rmda.kulib.kyoto-u.ac.jp/item/rb00002310#?c=0&amp;m=0&amp;s=0&amp;cv=124")</f>
        <v>https://rmda.kulib.kyoto-u.ac.jp/item/rb00002310#?c=0&amp;m=0&amp;s=0&amp;cv=124</v>
      </c>
    </row>
    <row r="2823" spans="1:4" x14ac:dyDescent="0.15">
      <c r="A2823" s="6" t="s">
        <v>133</v>
      </c>
      <c r="B2823" s="6" t="s">
        <v>4569</v>
      </c>
      <c r="C2823" s="6">
        <v>125</v>
      </c>
      <c r="D2823" s="6" t="str">
        <f>HYPERLINK("https://rmda.kulib.kyoto-u.ac.jp/item/rb00002310#?c=0&amp;m=0&amp;s=0&amp;cv=124")</f>
        <v>https://rmda.kulib.kyoto-u.ac.jp/item/rb00002310#?c=0&amp;m=0&amp;s=0&amp;cv=124</v>
      </c>
    </row>
    <row r="2824" spans="1:4" x14ac:dyDescent="0.15">
      <c r="A2824" s="6" t="s">
        <v>133</v>
      </c>
      <c r="B2824" s="6" t="s">
        <v>2059</v>
      </c>
      <c r="C2824" s="6">
        <v>125</v>
      </c>
      <c r="D2824" s="6" t="str">
        <f>HYPERLINK("https://rmda.kulib.kyoto-u.ac.jp/item/rb00002310#?c=0&amp;m=0&amp;s=0&amp;cv=124")</f>
        <v>https://rmda.kulib.kyoto-u.ac.jp/item/rb00002310#?c=0&amp;m=0&amp;s=0&amp;cv=124</v>
      </c>
    </row>
    <row r="2825" spans="1:4" x14ac:dyDescent="0.15">
      <c r="A2825" s="6" t="s">
        <v>133</v>
      </c>
      <c r="B2825" s="6" t="s">
        <v>2141</v>
      </c>
      <c r="C2825" s="6">
        <v>126</v>
      </c>
      <c r="D2825" s="6" t="str">
        <f>HYPERLINK("https://rmda.kulib.kyoto-u.ac.jp/item/rb00002310#?c=0&amp;m=0&amp;s=0&amp;cv=125")</f>
        <v>https://rmda.kulib.kyoto-u.ac.jp/item/rb00002310#?c=0&amp;m=0&amp;s=0&amp;cv=125</v>
      </c>
    </row>
    <row r="2826" spans="1:4" x14ac:dyDescent="0.15">
      <c r="A2826" s="6" t="s">
        <v>133</v>
      </c>
      <c r="B2826" s="6" t="s">
        <v>6096</v>
      </c>
      <c r="C2826" s="6">
        <v>126</v>
      </c>
      <c r="D2826" s="6" t="str">
        <f>HYPERLINK("https://rmda.kulib.kyoto-u.ac.jp/item/rb00002310#?c=0&amp;m=0&amp;s=0&amp;cv=125")</f>
        <v>https://rmda.kulib.kyoto-u.ac.jp/item/rb00002310#?c=0&amp;m=0&amp;s=0&amp;cv=125</v>
      </c>
    </row>
    <row r="2827" spans="1:4" x14ac:dyDescent="0.15">
      <c r="A2827" s="6" t="s">
        <v>133</v>
      </c>
      <c r="B2827" s="63" t="s">
        <v>4580</v>
      </c>
      <c r="C2827" s="6">
        <v>131</v>
      </c>
      <c r="D2827" s="6" t="str">
        <f>HYPERLINK("https://rmda.kulib.kyoto-u.ac.jp/item/rb00002310#?c=0&amp;m=0&amp;s=0&amp;cv=130")</f>
        <v>https://rmda.kulib.kyoto-u.ac.jp/item/rb00002310#?c=0&amp;m=0&amp;s=0&amp;cv=130</v>
      </c>
    </row>
    <row r="2828" spans="1:4" x14ac:dyDescent="0.15">
      <c r="A2828" s="6" t="s">
        <v>133</v>
      </c>
      <c r="B2828" s="6" t="s">
        <v>4581</v>
      </c>
      <c r="C2828" s="6">
        <v>132</v>
      </c>
      <c r="D2828" s="6" t="str">
        <f>HYPERLINK("https://rmda.kulib.kyoto-u.ac.jp/item/rb00002310#?c=0&amp;m=0&amp;s=0&amp;cv=131")</f>
        <v>https://rmda.kulib.kyoto-u.ac.jp/item/rb00002310#?c=0&amp;m=0&amp;s=0&amp;cv=131</v>
      </c>
    </row>
    <row r="2829" spans="1:4" x14ac:dyDescent="0.15">
      <c r="A2829" s="6" t="s">
        <v>133</v>
      </c>
      <c r="B2829" s="6" t="s">
        <v>1877</v>
      </c>
      <c r="C2829" s="6">
        <v>133</v>
      </c>
      <c r="D2829" s="6" t="str">
        <f>HYPERLINK("https://rmda.kulib.kyoto-u.ac.jp/item/rb00002310#?c=0&amp;m=0&amp;s=0&amp;cv=132")</f>
        <v>https://rmda.kulib.kyoto-u.ac.jp/item/rb00002310#?c=0&amp;m=0&amp;s=0&amp;cv=132</v>
      </c>
    </row>
    <row r="2830" spans="1:4" x14ac:dyDescent="0.15">
      <c r="A2830" s="6" t="s">
        <v>133</v>
      </c>
      <c r="B2830" s="6" t="s">
        <v>4582</v>
      </c>
      <c r="C2830" s="6">
        <v>133</v>
      </c>
      <c r="D2830" s="6" t="str">
        <f>HYPERLINK("https://rmda.kulib.kyoto-u.ac.jp/item/rb00002310#?c=0&amp;m=0&amp;s=0&amp;cv=132")</f>
        <v>https://rmda.kulib.kyoto-u.ac.jp/item/rb00002310#?c=0&amp;m=0&amp;s=0&amp;cv=132</v>
      </c>
    </row>
    <row r="2831" spans="1:4" x14ac:dyDescent="0.15">
      <c r="A2831" s="6" t="s">
        <v>133</v>
      </c>
      <c r="B2831" s="6" t="s">
        <v>4770</v>
      </c>
      <c r="C2831" s="6">
        <v>134</v>
      </c>
      <c r="D2831" s="6" t="str">
        <f>HYPERLINK("https://rmda.kulib.kyoto-u.ac.jp/item/rb00002310#?c=0&amp;m=0&amp;s=0&amp;cv=133")</f>
        <v>https://rmda.kulib.kyoto-u.ac.jp/item/rb00002310#?c=0&amp;m=0&amp;s=0&amp;cv=133</v>
      </c>
    </row>
    <row r="2832" spans="1:4" x14ac:dyDescent="0.15">
      <c r="A2832" s="6" t="s">
        <v>133</v>
      </c>
      <c r="B2832" s="6" t="s">
        <v>1878</v>
      </c>
      <c r="C2832" s="6">
        <v>134</v>
      </c>
      <c r="D2832" s="6" t="str">
        <f>HYPERLINK("https://rmda.kulib.kyoto-u.ac.jp/item/rb00002310#?c=0&amp;m=0&amp;s=0&amp;cv=133")</f>
        <v>https://rmda.kulib.kyoto-u.ac.jp/item/rb00002310#?c=0&amp;m=0&amp;s=0&amp;cv=133</v>
      </c>
    </row>
    <row r="2833" spans="1:4" x14ac:dyDescent="0.15">
      <c r="A2833" s="6" t="s">
        <v>133</v>
      </c>
      <c r="B2833" s="6" t="s">
        <v>4583</v>
      </c>
      <c r="C2833" s="6">
        <v>134</v>
      </c>
      <c r="D2833" s="6" t="str">
        <f>HYPERLINK("https://rmda.kulib.kyoto-u.ac.jp/item/rb00002310#?c=0&amp;m=0&amp;s=0&amp;cv=133")</f>
        <v>https://rmda.kulib.kyoto-u.ac.jp/item/rb00002310#?c=0&amp;m=0&amp;s=0&amp;cv=133</v>
      </c>
    </row>
    <row r="2834" spans="1:4" x14ac:dyDescent="0.15">
      <c r="A2834" s="6" t="s">
        <v>133</v>
      </c>
      <c r="B2834" s="6" t="s">
        <v>4771</v>
      </c>
      <c r="C2834" s="6">
        <v>135</v>
      </c>
      <c r="D2834" s="6" t="str">
        <f>HYPERLINK("https://rmda.kulib.kyoto-u.ac.jp/item/rb00002310#?c=0&amp;m=0&amp;s=0&amp;cv=134")</f>
        <v>https://rmda.kulib.kyoto-u.ac.jp/item/rb00002310#?c=0&amp;m=0&amp;s=0&amp;cv=134</v>
      </c>
    </row>
    <row r="2835" spans="1:4" x14ac:dyDescent="0.15">
      <c r="A2835" s="6" t="s">
        <v>133</v>
      </c>
      <c r="B2835" s="6" t="s">
        <v>6097</v>
      </c>
      <c r="C2835" s="6">
        <v>135</v>
      </c>
      <c r="D2835" s="6" t="str">
        <f>HYPERLINK("https://rmda.kulib.kyoto-u.ac.jp/item/rb00002310#?c=0&amp;m=0&amp;s=0&amp;cv=134")</f>
        <v>https://rmda.kulib.kyoto-u.ac.jp/item/rb00002310#?c=0&amp;m=0&amp;s=0&amp;cv=134</v>
      </c>
    </row>
    <row r="2836" spans="1:4" x14ac:dyDescent="0.15">
      <c r="A2836" s="6" t="s">
        <v>133</v>
      </c>
      <c r="B2836" s="63" t="s">
        <v>4584</v>
      </c>
      <c r="C2836" s="6">
        <v>135</v>
      </c>
      <c r="D2836" s="6" t="str">
        <f>HYPERLINK("https://rmda.kulib.kyoto-u.ac.jp/item/rb00002310#?c=0&amp;m=0&amp;s=0&amp;cv=134")</f>
        <v>https://rmda.kulib.kyoto-u.ac.jp/item/rb00002310#?c=0&amp;m=0&amp;s=0&amp;cv=134</v>
      </c>
    </row>
    <row r="2837" spans="1:4" x14ac:dyDescent="0.15">
      <c r="A2837" s="6" t="s">
        <v>133</v>
      </c>
      <c r="B2837" s="6" t="s">
        <v>4772</v>
      </c>
      <c r="C2837" s="6">
        <v>136</v>
      </c>
      <c r="D2837" s="6" t="str">
        <f>HYPERLINK("https://rmda.kulib.kyoto-u.ac.jp/item/rb00002310#?c=0&amp;m=0&amp;s=0&amp;cv=135")</f>
        <v>https://rmda.kulib.kyoto-u.ac.jp/item/rb00002310#?c=0&amp;m=0&amp;s=0&amp;cv=135</v>
      </c>
    </row>
    <row r="2838" spans="1:4" x14ac:dyDescent="0.15">
      <c r="A2838" s="6" t="s">
        <v>133</v>
      </c>
      <c r="B2838" s="6" t="s">
        <v>4585</v>
      </c>
      <c r="C2838" s="6">
        <v>136</v>
      </c>
      <c r="D2838" s="6" t="str">
        <f>HYPERLINK("https://rmda.kulib.kyoto-u.ac.jp/item/rb00002310#?c=0&amp;m=0&amp;s=0&amp;cv=135")</f>
        <v>https://rmda.kulib.kyoto-u.ac.jp/item/rb00002310#?c=0&amp;m=0&amp;s=0&amp;cv=135</v>
      </c>
    </row>
    <row r="2839" spans="1:4" x14ac:dyDescent="0.15">
      <c r="A2839" s="6" t="s">
        <v>133</v>
      </c>
      <c r="B2839" s="6" t="s">
        <v>1797</v>
      </c>
      <c r="C2839" s="6">
        <v>137</v>
      </c>
      <c r="D2839" s="6" t="str">
        <f>HYPERLINK("https://rmda.kulib.kyoto-u.ac.jp/item/rb00002310#?c=0&amp;m=0&amp;s=0&amp;cv=136")</f>
        <v>https://rmda.kulib.kyoto-u.ac.jp/item/rb00002310#?c=0&amp;m=0&amp;s=0&amp;cv=136</v>
      </c>
    </row>
    <row r="2840" spans="1:4" x14ac:dyDescent="0.15">
      <c r="A2840" s="6" t="s">
        <v>133</v>
      </c>
      <c r="B2840" s="63" t="s">
        <v>4575</v>
      </c>
      <c r="C2840" s="6">
        <v>137</v>
      </c>
      <c r="D2840" s="6" t="str">
        <f>HYPERLINK("https://rmda.kulib.kyoto-u.ac.jp/item/rb00002310#?c=0&amp;m=0&amp;s=0&amp;cv=136")</f>
        <v>https://rmda.kulib.kyoto-u.ac.jp/item/rb00002310#?c=0&amp;m=0&amp;s=0&amp;cv=136</v>
      </c>
    </row>
    <row r="2841" spans="1:4" x14ac:dyDescent="0.15">
      <c r="A2841" s="6" t="s">
        <v>133</v>
      </c>
      <c r="B2841" s="6" t="s">
        <v>4576</v>
      </c>
      <c r="C2841" s="6">
        <v>137</v>
      </c>
      <c r="D2841" s="6" t="str">
        <f>HYPERLINK("https://rmda.kulib.kyoto-u.ac.jp/item/rb00002310#?c=0&amp;m=0&amp;s=0&amp;cv=136")</f>
        <v>https://rmda.kulib.kyoto-u.ac.jp/item/rb00002310#?c=0&amp;m=0&amp;s=0&amp;cv=136</v>
      </c>
    </row>
    <row r="2842" spans="1:4" x14ac:dyDescent="0.15">
      <c r="A2842" s="6" t="s">
        <v>133</v>
      </c>
      <c r="B2842" s="6" t="s">
        <v>1651</v>
      </c>
      <c r="C2842" s="6">
        <v>138</v>
      </c>
      <c r="D2842" s="6" t="str">
        <f>HYPERLINK("https://rmda.kulib.kyoto-u.ac.jp/item/rb00002310#?c=0&amp;m=0&amp;s=0&amp;cv=137")</f>
        <v>https://rmda.kulib.kyoto-u.ac.jp/item/rb00002310#?c=0&amp;m=0&amp;s=0&amp;cv=137</v>
      </c>
    </row>
    <row r="2843" spans="1:4" x14ac:dyDescent="0.15">
      <c r="A2843" s="6" t="s">
        <v>133</v>
      </c>
      <c r="B2843" s="6" t="s">
        <v>4577</v>
      </c>
      <c r="C2843" s="6">
        <v>138</v>
      </c>
      <c r="D2843" s="6" t="str">
        <f>HYPERLINK("https://rmda.kulib.kyoto-u.ac.jp/item/rb00002310#?c=0&amp;m=0&amp;s=0&amp;cv=137")</f>
        <v>https://rmda.kulib.kyoto-u.ac.jp/item/rb00002310#?c=0&amp;m=0&amp;s=0&amp;cv=137</v>
      </c>
    </row>
    <row r="2844" spans="1:4" x14ac:dyDescent="0.15">
      <c r="A2844" s="6" t="s">
        <v>133</v>
      </c>
      <c r="B2844" s="6" t="s">
        <v>4578</v>
      </c>
      <c r="C2844" s="6">
        <v>139</v>
      </c>
      <c r="D2844" s="6" t="str">
        <f>HYPERLINK("https://rmda.kulib.kyoto-u.ac.jp/item/rb00002310#?c=0&amp;m=0&amp;s=0&amp;cv=138")</f>
        <v>https://rmda.kulib.kyoto-u.ac.jp/item/rb00002310#?c=0&amp;m=0&amp;s=0&amp;cv=138</v>
      </c>
    </row>
    <row r="2845" spans="1:4" x14ac:dyDescent="0.15">
      <c r="A2845" s="6" t="s">
        <v>133</v>
      </c>
      <c r="B2845" s="6" t="s">
        <v>4579</v>
      </c>
      <c r="C2845" s="6">
        <v>139</v>
      </c>
      <c r="D2845" s="6" t="str">
        <f>HYPERLINK("https://rmda.kulib.kyoto-u.ac.jp/item/rb00002310#?c=0&amp;m=0&amp;s=0&amp;cv=138")</f>
        <v>https://rmda.kulib.kyoto-u.ac.jp/item/rb00002310#?c=0&amp;m=0&amp;s=0&amp;cv=138</v>
      </c>
    </row>
    <row r="2846" spans="1:4" x14ac:dyDescent="0.15">
      <c r="A2846" s="6" t="s">
        <v>133</v>
      </c>
      <c r="B2846" s="6" t="s">
        <v>4769</v>
      </c>
      <c r="C2846" s="6">
        <v>139</v>
      </c>
      <c r="D2846" s="6" t="str">
        <f>HYPERLINK("https://rmda.kulib.kyoto-u.ac.jp/item/rb00002310#?c=0&amp;m=0&amp;s=0&amp;cv=138")</f>
        <v>https://rmda.kulib.kyoto-u.ac.jp/item/rb00002310#?c=0&amp;m=0&amp;s=0&amp;cv=138</v>
      </c>
    </row>
    <row r="2847" spans="1:4" x14ac:dyDescent="0.15">
      <c r="A2847" s="6" t="s">
        <v>133</v>
      </c>
      <c r="B2847" s="6" t="s">
        <v>1884</v>
      </c>
      <c r="C2847" s="6">
        <v>139</v>
      </c>
      <c r="D2847" s="6" t="str">
        <f>HYPERLINK("https://rmda.kulib.kyoto-u.ac.jp/item/rb00002310#?c=0&amp;m=0&amp;s=0&amp;cv=138")</f>
        <v>https://rmda.kulib.kyoto-u.ac.jp/item/rb00002310#?c=0&amp;m=0&amp;s=0&amp;cv=138</v>
      </c>
    </row>
    <row r="2848" spans="1:4" x14ac:dyDescent="0.15">
      <c r="A2848" s="6" t="s">
        <v>133</v>
      </c>
      <c r="B2848" s="6" t="s">
        <v>1716</v>
      </c>
      <c r="C2848" s="6">
        <v>140</v>
      </c>
      <c r="D2848" s="6" t="str">
        <f>HYPERLINK("https://rmda.kulib.kyoto-u.ac.jp/item/rb00002310#?c=0&amp;m=0&amp;s=0&amp;cv=139")</f>
        <v>https://rmda.kulib.kyoto-u.ac.jp/item/rb00002310#?c=0&amp;m=0&amp;s=0&amp;cv=139</v>
      </c>
    </row>
    <row r="2849" spans="1:4" x14ac:dyDescent="0.15">
      <c r="A2849" s="6" t="s">
        <v>133</v>
      </c>
      <c r="B2849" s="63" t="s">
        <v>4573</v>
      </c>
      <c r="C2849" s="6">
        <v>140</v>
      </c>
      <c r="D2849" s="6" t="str">
        <f>HYPERLINK("https://rmda.kulib.kyoto-u.ac.jp/item/rb00002310#?c=0&amp;m=0&amp;s=0&amp;cv=139")</f>
        <v>https://rmda.kulib.kyoto-u.ac.jp/item/rb00002310#?c=0&amp;m=0&amp;s=0&amp;cv=139</v>
      </c>
    </row>
    <row r="2850" spans="1:4" x14ac:dyDescent="0.15">
      <c r="A2850" s="6" t="s">
        <v>133</v>
      </c>
      <c r="B2850" s="6" t="s">
        <v>6098</v>
      </c>
      <c r="C2850" s="6">
        <v>142</v>
      </c>
      <c r="D2850" s="6" t="str">
        <f>HYPERLINK("https://rmda.kulib.kyoto-u.ac.jp/item/rb00002310#?c=0&amp;m=0&amp;s=0&amp;cv=141")</f>
        <v>https://rmda.kulib.kyoto-u.ac.jp/item/rb00002310#?c=0&amp;m=0&amp;s=0&amp;cv=141</v>
      </c>
    </row>
    <row r="2851" spans="1:4" x14ac:dyDescent="0.15">
      <c r="A2851" s="6" t="s">
        <v>133</v>
      </c>
      <c r="B2851" s="6" t="s">
        <v>4765</v>
      </c>
      <c r="C2851" s="6">
        <v>142</v>
      </c>
      <c r="D2851" s="6" t="str">
        <f>HYPERLINK("https://rmda.kulib.kyoto-u.ac.jp/item/rb00002310#?c=0&amp;m=0&amp;s=0&amp;cv=141")</f>
        <v>https://rmda.kulib.kyoto-u.ac.jp/item/rb00002310#?c=0&amp;m=0&amp;s=0&amp;cv=141</v>
      </c>
    </row>
    <row r="2852" spans="1:4" x14ac:dyDescent="0.15">
      <c r="A2852" s="6" t="s">
        <v>133</v>
      </c>
      <c r="B2852" s="6" t="s">
        <v>4450</v>
      </c>
      <c r="C2852" s="6">
        <v>142</v>
      </c>
      <c r="D2852" s="6" t="str">
        <f>HYPERLINK("https://rmda.kulib.kyoto-u.ac.jp/item/rb00002310#?c=0&amp;m=0&amp;s=0&amp;cv=141")</f>
        <v>https://rmda.kulib.kyoto-u.ac.jp/item/rb00002310#?c=0&amp;m=0&amp;s=0&amp;cv=141</v>
      </c>
    </row>
    <row r="2853" spans="1:4" x14ac:dyDescent="0.15">
      <c r="A2853" s="6" t="s">
        <v>133</v>
      </c>
      <c r="B2853" s="6" t="s">
        <v>1756</v>
      </c>
      <c r="C2853" s="6">
        <v>143</v>
      </c>
      <c r="D2853" s="6" t="str">
        <f>HYPERLINK("https://rmda.kulib.kyoto-u.ac.jp/item/rb00002310#?c=0&amp;m=0&amp;s=0&amp;cv=142")</f>
        <v>https://rmda.kulib.kyoto-u.ac.jp/item/rb00002310#?c=0&amp;m=0&amp;s=0&amp;cv=142</v>
      </c>
    </row>
    <row r="2854" spans="1:4" x14ac:dyDescent="0.15">
      <c r="A2854" s="6" t="s">
        <v>133</v>
      </c>
      <c r="B2854" s="63" t="s">
        <v>4574</v>
      </c>
      <c r="C2854" s="6">
        <v>143</v>
      </c>
      <c r="D2854" s="6" t="str">
        <f>HYPERLINK("https://rmda.kulib.kyoto-u.ac.jp/item/rb00002310#?c=0&amp;m=0&amp;s=0&amp;cv=142")</f>
        <v>https://rmda.kulib.kyoto-u.ac.jp/item/rb00002310#?c=0&amp;m=0&amp;s=0&amp;cv=142</v>
      </c>
    </row>
    <row r="2855" spans="1:4" x14ac:dyDescent="0.15">
      <c r="A2855" s="6" t="s">
        <v>133</v>
      </c>
      <c r="B2855" s="6" t="s">
        <v>4767</v>
      </c>
      <c r="C2855" s="6">
        <v>144</v>
      </c>
      <c r="D2855" s="6" t="str">
        <f>HYPERLINK("https://rmda.kulib.kyoto-u.ac.jp/item/rb00002310#?c=0&amp;m=0&amp;s=0&amp;cv=143")</f>
        <v>https://rmda.kulib.kyoto-u.ac.jp/item/rb00002310#?c=0&amp;m=0&amp;s=0&amp;cv=143</v>
      </c>
    </row>
    <row r="2856" spans="1:4" x14ac:dyDescent="0.15">
      <c r="A2856" s="6" t="s">
        <v>133</v>
      </c>
      <c r="B2856" s="6" t="s">
        <v>4768</v>
      </c>
      <c r="C2856" s="6">
        <v>144</v>
      </c>
      <c r="D2856" s="6" t="str">
        <f>HYPERLINK("https://rmda.kulib.kyoto-u.ac.jp/item/rb00002310#?c=0&amp;m=0&amp;s=0&amp;cv=143")</f>
        <v>https://rmda.kulib.kyoto-u.ac.jp/item/rb00002310#?c=0&amp;m=0&amp;s=0&amp;cv=143</v>
      </c>
    </row>
    <row r="2857" spans="1:4" x14ac:dyDescent="0.15">
      <c r="A2857" s="6" t="s">
        <v>133</v>
      </c>
      <c r="B2857" s="6" t="s">
        <v>4766</v>
      </c>
      <c r="C2857" s="6">
        <v>145</v>
      </c>
      <c r="D2857" s="6" t="str">
        <f>HYPERLINK("https://rmda.kulib.kyoto-u.ac.jp/item/rb00002310#?c=0&amp;m=0&amp;s=0&amp;cv=144")</f>
        <v>https://rmda.kulib.kyoto-u.ac.jp/item/rb00002310#?c=0&amp;m=0&amp;s=0&amp;cv=144</v>
      </c>
    </row>
    <row r="2858" spans="1:4" x14ac:dyDescent="0.15">
      <c r="A2858" s="6" t="s">
        <v>133</v>
      </c>
      <c r="B2858" s="63" t="s">
        <v>4607</v>
      </c>
      <c r="C2858" s="6">
        <v>145</v>
      </c>
      <c r="D2858" s="6" t="str">
        <f>HYPERLINK("https://rmda.kulib.kyoto-u.ac.jp/item/rb00002310#?c=0&amp;m=0&amp;s=0&amp;cv=144")</f>
        <v>https://rmda.kulib.kyoto-u.ac.jp/item/rb00002310#?c=0&amp;m=0&amp;s=0&amp;cv=144</v>
      </c>
    </row>
    <row r="2859" spans="1:4" x14ac:dyDescent="0.15">
      <c r="A2859" s="6" t="s">
        <v>133</v>
      </c>
      <c r="B2859" s="6" t="s">
        <v>4767</v>
      </c>
      <c r="C2859" s="6">
        <v>146</v>
      </c>
      <c r="D2859" s="6" t="str">
        <f>HYPERLINK("https://rmda.kulib.kyoto-u.ac.jp/item/rb00002310#?c=0&amp;m=0&amp;s=0&amp;cv=145")</f>
        <v>https://rmda.kulib.kyoto-u.ac.jp/item/rb00002310#?c=0&amp;m=0&amp;s=0&amp;cv=145</v>
      </c>
    </row>
    <row r="2860" spans="1:4" x14ac:dyDescent="0.15">
      <c r="A2860" s="6" t="s">
        <v>133</v>
      </c>
      <c r="B2860" s="6" t="s">
        <v>4777</v>
      </c>
      <c r="C2860" s="6">
        <v>146</v>
      </c>
      <c r="D2860" s="6" t="str">
        <f>HYPERLINK("https://rmda.kulib.kyoto-u.ac.jp/item/rb00002310#?c=0&amp;m=0&amp;s=0&amp;cv=145")</f>
        <v>https://rmda.kulib.kyoto-u.ac.jp/item/rb00002310#?c=0&amp;m=0&amp;s=0&amp;cv=145</v>
      </c>
    </row>
    <row r="2861" spans="1:4" x14ac:dyDescent="0.15">
      <c r="A2861" s="6" t="s">
        <v>133</v>
      </c>
      <c r="B2861" s="6" t="s">
        <v>4352</v>
      </c>
      <c r="C2861" s="6">
        <v>147</v>
      </c>
      <c r="D2861" s="6" t="str">
        <f>HYPERLINK("https://rmda.kulib.kyoto-u.ac.jp/item/rb00002310#?c=0&amp;m=0&amp;s=0&amp;cv=146")</f>
        <v>https://rmda.kulib.kyoto-u.ac.jp/item/rb00002310#?c=0&amp;m=0&amp;s=0&amp;cv=146</v>
      </c>
    </row>
    <row r="2862" spans="1:4" x14ac:dyDescent="0.15">
      <c r="A2862" s="6" t="s">
        <v>133</v>
      </c>
      <c r="B2862" s="6" t="s">
        <v>1781</v>
      </c>
      <c r="C2862" s="6">
        <v>147</v>
      </c>
      <c r="D2862" s="6" t="str">
        <f>HYPERLINK("https://rmda.kulib.kyoto-u.ac.jp/item/rb00002310#?c=0&amp;m=0&amp;s=0&amp;cv=146")</f>
        <v>https://rmda.kulib.kyoto-u.ac.jp/item/rb00002310#?c=0&amp;m=0&amp;s=0&amp;cv=146</v>
      </c>
    </row>
    <row r="2863" spans="1:4" x14ac:dyDescent="0.15">
      <c r="A2863" s="6" t="s">
        <v>133</v>
      </c>
      <c r="B2863" s="6" t="s">
        <v>4386</v>
      </c>
      <c r="C2863" s="6">
        <v>147</v>
      </c>
      <c r="D2863" s="6" t="str">
        <f>HYPERLINK("https://rmda.kulib.kyoto-u.ac.jp/item/rb00002310#?c=0&amp;m=0&amp;s=0&amp;cv=146")</f>
        <v>https://rmda.kulib.kyoto-u.ac.jp/item/rb00002310#?c=0&amp;m=0&amp;s=0&amp;cv=146</v>
      </c>
    </row>
    <row r="2864" spans="1:4" x14ac:dyDescent="0.15">
      <c r="A2864" s="6" t="s">
        <v>133</v>
      </c>
      <c r="B2864" s="6" t="s">
        <v>4405</v>
      </c>
      <c r="C2864" s="6">
        <v>148</v>
      </c>
      <c r="D2864" s="6" t="str">
        <f>HYPERLINK("https://rmda.kulib.kyoto-u.ac.jp/item/rb00002310#?c=0&amp;m=0&amp;s=0&amp;cv=147")</f>
        <v>https://rmda.kulib.kyoto-u.ac.jp/item/rb00002310#?c=0&amp;m=0&amp;s=0&amp;cv=147</v>
      </c>
    </row>
    <row r="2865" spans="1:4" x14ac:dyDescent="0.15">
      <c r="A2865" s="6" t="s">
        <v>133</v>
      </c>
      <c r="B2865" s="6" t="s">
        <v>4778</v>
      </c>
      <c r="C2865" s="6">
        <v>148</v>
      </c>
      <c r="D2865" s="6" t="str">
        <f>HYPERLINK("https://rmda.kulib.kyoto-u.ac.jp/item/rb00002310#?c=0&amp;m=0&amp;s=0&amp;cv=147")</f>
        <v>https://rmda.kulib.kyoto-u.ac.jp/item/rb00002310#?c=0&amp;m=0&amp;s=0&amp;cv=147</v>
      </c>
    </row>
    <row r="2866" spans="1:4" x14ac:dyDescent="0.15">
      <c r="A2866" s="6" t="s">
        <v>133</v>
      </c>
      <c r="B2866" s="6" t="s">
        <v>4779</v>
      </c>
      <c r="C2866" s="6">
        <v>148</v>
      </c>
      <c r="D2866" s="6" t="str">
        <f>HYPERLINK("https://rmda.kulib.kyoto-u.ac.jp/item/rb00002310#?c=0&amp;m=0&amp;s=0&amp;cv=147")</f>
        <v>https://rmda.kulib.kyoto-u.ac.jp/item/rb00002310#?c=0&amp;m=0&amp;s=0&amp;cv=147</v>
      </c>
    </row>
    <row r="2867" spans="1:4" x14ac:dyDescent="0.15">
      <c r="A2867" s="6" t="s">
        <v>133</v>
      </c>
      <c r="B2867" s="63" t="s">
        <v>4608</v>
      </c>
      <c r="C2867" s="6">
        <v>149</v>
      </c>
      <c r="D2867" s="6" t="str">
        <f>HYPERLINK("https://rmda.kulib.kyoto-u.ac.jp/item/rb00002310#?c=0&amp;m=0&amp;s=0&amp;cv=148")</f>
        <v>https://rmda.kulib.kyoto-u.ac.jp/item/rb00002310#?c=0&amp;m=0&amp;s=0&amp;cv=148</v>
      </c>
    </row>
    <row r="2868" spans="1:4" x14ac:dyDescent="0.15">
      <c r="A2868" s="6" t="s">
        <v>133</v>
      </c>
      <c r="B2868" s="6" t="s">
        <v>4360</v>
      </c>
      <c r="C2868" s="6">
        <v>149</v>
      </c>
      <c r="D2868" s="6" t="str">
        <f>HYPERLINK("https://rmda.kulib.kyoto-u.ac.jp/item/rb00002310#?c=0&amp;m=0&amp;s=0&amp;cv=148")</f>
        <v>https://rmda.kulib.kyoto-u.ac.jp/item/rb00002310#?c=0&amp;m=0&amp;s=0&amp;cv=148</v>
      </c>
    </row>
    <row r="2869" spans="1:4" x14ac:dyDescent="0.15">
      <c r="A2869" s="6" t="s">
        <v>133</v>
      </c>
      <c r="B2869" s="6" t="s">
        <v>4749</v>
      </c>
      <c r="C2869" s="6">
        <v>149</v>
      </c>
      <c r="D2869" s="6" t="str">
        <f>HYPERLINK("https://rmda.kulib.kyoto-u.ac.jp/item/rb00002310#?c=0&amp;m=0&amp;s=0&amp;cv=148")</f>
        <v>https://rmda.kulib.kyoto-u.ac.jp/item/rb00002310#?c=0&amp;m=0&amp;s=0&amp;cv=148</v>
      </c>
    </row>
    <row r="2870" spans="1:4" x14ac:dyDescent="0.15">
      <c r="A2870" s="6" t="s">
        <v>133</v>
      </c>
      <c r="B2870" s="6" t="s">
        <v>4364</v>
      </c>
      <c r="C2870" s="6">
        <v>150</v>
      </c>
      <c r="D2870" s="6" t="str">
        <f>HYPERLINK("https://rmda.kulib.kyoto-u.ac.jp/item/rb00002310#?c=0&amp;m=0&amp;s=0&amp;cv=149")</f>
        <v>https://rmda.kulib.kyoto-u.ac.jp/item/rb00002310#?c=0&amp;m=0&amp;s=0&amp;cv=149</v>
      </c>
    </row>
    <row r="2871" spans="1:4" x14ac:dyDescent="0.15">
      <c r="A2871" s="6" t="s">
        <v>133</v>
      </c>
      <c r="B2871" s="6" t="s">
        <v>4780</v>
      </c>
      <c r="C2871" s="6">
        <v>150</v>
      </c>
      <c r="D2871" s="6" t="str">
        <f>HYPERLINK("https://rmda.kulib.kyoto-u.ac.jp/item/rb00002310#?c=0&amp;m=0&amp;s=0&amp;cv=149")</f>
        <v>https://rmda.kulib.kyoto-u.ac.jp/item/rb00002310#?c=0&amp;m=0&amp;s=0&amp;cv=149</v>
      </c>
    </row>
    <row r="2872" spans="1:4" x14ac:dyDescent="0.15">
      <c r="A2872" s="6" t="s">
        <v>133</v>
      </c>
      <c r="B2872" s="6" t="s">
        <v>4609</v>
      </c>
      <c r="C2872" s="6">
        <v>150</v>
      </c>
      <c r="D2872" s="6" t="str">
        <f>HYPERLINK("https://rmda.kulib.kyoto-u.ac.jp/item/rb00002310#?c=0&amp;m=0&amp;s=0&amp;cv=149")</f>
        <v>https://rmda.kulib.kyoto-u.ac.jp/item/rb00002310#?c=0&amp;m=0&amp;s=0&amp;cv=149</v>
      </c>
    </row>
    <row r="2873" spans="1:4" x14ac:dyDescent="0.15">
      <c r="A2873" s="6" t="s">
        <v>133</v>
      </c>
      <c r="B2873" s="6" t="s">
        <v>1617</v>
      </c>
      <c r="C2873" s="6">
        <v>150</v>
      </c>
      <c r="D2873" s="6" t="str">
        <f>HYPERLINK("https://rmda.kulib.kyoto-u.ac.jp/item/rb00002310#?c=0&amp;m=0&amp;s=0&amp;cv=149")</f>
        <v>https://rmda.kulib.kyoto-u.ac.jp/item/rb00002310#?c=0&amp;m=0&amp;s=0&amp;cv=149</v>
      </c>
    </row>
    <row r="2874" spans="1:4" x14ac:dyDescent="0.15">
      <c r="A2874" s="6" t="s">
        <v>133</v>
      </c>
      <c r="B2874" s="6" t="s">
        <v>4781</v>
      </c>
      <c r="C2874" s="6">
        <v>150</v>
      </c>
      <c r="D2874" s="6" t="str">
        <f>HYPERLINK("https://rmda.kulib.kyoto-u.ac.jp/item/rb00002310#?c=0&amp;m=0&amp;s=0&amp;cv=149")</f>
        <v>https://rmda.kulib.kyoto-u.ac.jp/item/rb00002310#?c=0&amp;m=0&amp;s=0&amp;cv=149</v>
      </c>
    </row>
    <row r="2875" spans="1:4" x14ac:dyDescent="0.15">
      <c r="A2875" s="6" t="s">
        <v>133</v>
      </c>
      <c r="B2875" s="6" t="s">
        <v>6099</v>
      </c>
      <c r="C2875" s="6">
        <v>151</v>
      </c>
      <c r="D2875" s="6" t="str">
        <f>HYPERLINK("https://rmda.kulib.kyoto-u.ac.jp/item/rb00002310#?c=0&amp;m=0&amp;s=0&amp;cv=150")</f>
        <v>https://rmda.kulib.kyoto-u.ac.jp/item/rb00002310#?c=0&amp;m=0&amp;s=0&amp;cv=150</v>
      </c>
    </row>
    <row r="2876" spans="1:4" x14ac:dyDescent="0.15">
      <c r="A2876" s="6" t="s">
        <v>133</v>
      </c>
      <c r="B2876" s="63" t="s">
        <v>4603</v>
      </c>
      <c r="C2876" s="6">
        <v>151</v>
      </c>
      <c r="D2876" s="6" t="str">
        <f>HYPERLINK("https://rmda.kulib.kyoto-u.ac.jp/item/rb00002310#?c=0&amp;m=0&amp;s=0&amp;cv=150")</f>
        <v>https://rmda.kulib.kyoto-u.ac.jp/item/rb00002310#?c=0&amp;m=0&amp;s=0&amp;cv=150</v>
      </c>
    </row>
    <row r="2877" spans="1:4" x14ac:dyDescent="0.15">
      <c r="A2877" s="6" t="s">
        <v>133</v>
      </c>
      <c r="B2877" s="66" t="s">
        <v>6100</v>
      </c>
      <c r="C2877" s="6">
        <v>151</v>
      </c>
      <c r="D2877" s="6" t="str">
        <f>HYPERLINK("https://rmda.kulib.kyoto-u.ac.jp/item/rb00002310#?c=0&amp;m=0&amp;s=0&amp;cv=150")</f>
        <v>https://rmda.kulib.kyoto-u.ac.jp/item/rb00002310#?c=0&amp;m=0&amp;s=0&amp;cv=150</v>
      </c>
    </row>
    <row r="2878" spans="1:4" x14ac:dyDescent="0.15">
      <c r="A2878" s="6" t="s">
        <v>133</v>
      </c>
      <c r="B2878" s="6" t="s">
        <v>4604</v>
      </c>
      <c r="C2878" s="6">
        <v>152</v>
      </c>
      <c r="D2878" s="6" t="str">
        <f>HYPERLINK("https://rmda.kulib.kyoto-u.ac.jp/item/rb00002310#?c=0&amp;m=0&amp;s=0&amp;cv=151")</f>
        <v>https://rmda.kulib.kyoto-u.ac.jp/item/rb00002310#?c=0&amp;m=0&amp;s=0&amp;cv=151</v>
      </c>
    </row>
    <row r="2879" spans="1:4" x14ac:dyDescent="0.15">
      <c r="A2879" s="6" t="s">
        <v>133</v>
      </c>
      <c r="B2879" s="6" t="s">
        <v>4775</v>
      </c>
      <c r="C2879" s="6">
        <v>152</v>
      </c>
      <c r="D2879" s="6" t="str">
        <f>HYPERLINK("https://rmda.kulib.kyoto-u.ac.jp/item/rb00002310#?c=0&amp;m=0&amp;s=0&amp;cv=151")</f>
        <v>https://rmda.kulib.kyoto-u.ac.jp/item/rb00002310#?c=0&amp;m=0&amp;s=0&amp;cv=151</v>
      </c>
    </row>
    <row r="2880" spans="1:4" x14ac:dyDescent="0.15">
      <c r="A2880" s="6" t="s">
        <v>133</v>
      </c>
      <c r="B2880" s="6" t="s">
        <v>4776</v>
      </c>
      <c r="C2880" s="6">
        <v>152</v>
      </c>
      <c r="D2880" s="6" t="str">
        <f>HYPERLINK("https://rmda.kulib.kyoto-u.ac.jp/item/rb00002310#?c=0&amp;m=0&amp;s=0&amp;cv=151")</f>
        <v>https://rmda.kulib.kyoto-u.ac.jp/item/rb00002310#?c=0&amp;m=0&amp;s=0&amp;cv=151</v>
      </c>
    </row>
    <row r="2881" spans="1:4" x14ac:dyDescent="0.15">
      <c r="A2881" s="6" t="s">
        <v>133</v>
      </c>
      <c r="B2881" s="6" t="s">
        <v>4605</v>
      </c>
      <c r="C2881" s="6">
        <v>152</v>
      </c>
      <c r="D2881" s="6" t="str">
        <f>HYPERLINK("https://rmda.kulib.kyoto-u.ac.jp/item/rb00002310#?c=0&amp;m=0&amp;s=0&amp;cv=151")</f>
        <v>https://rmda.kulib.kyoto-u.ac.jp/item/rb00002310#?c=0&amp;m=0&amp;s=0&amp;cv=151</v>
      </c>
    </row>
    <row r="2882" spans="1:4" x14ac:dyDescent="0.15">
      <c r="A2882" s="6" t="s">
        <v>133</v>
      </c>
      <c r="B2882" s="6" t="s">
        <v>2273</v>
      </c>
      <c r="C2882" s="6">
        <v>153</v>
      </c>
      <c r="D2882" s="6" t="str">
        <f>HYPERLINK("https://rmda.kulib.kyoto-u.ac.jp/item/rb00002310#?c=0&amp;m=0&amp;s=0&amp;cv=152")</f>
        <v>https://rmda.kulib.kyoto-u.ac.jp/item/rb00002310#?c=0&amp;m=0&amp;s=0&amp;cv=152</v>
      </c>
    </row>
    <row r="2883" spans="1:4" x14ac:dyDescent="0.15">
      <c r="A2883" s="6" t="s">
        <v>133</v>
      </c>
      <c r="B2883" s="6" t="s">
        <v>4399</v>
      </c>
      <c r="C2883" s="6">
        <v>153</v>
      </c>
      <c r="D2883" s="6" t="str">
        <f>HYPERLINK("https://rmda.kulib.kyoto-u.ac.jp/item/rb00002310#?c=0&amp;m=0&amp;s=0&amp;cv=152")</f>
        <v>https://rmda.kulib.kyoto-u.ac.jp/item/rb00002310#?c=0&amp;m=0&amp;s=0&amp;cv=152</v>
      </c>
    </row>
    <row r="2884" spans="1:4" x14ac:dyDescent="0.15">
      <c r="A2884" s="6" t="s">
        <v>133</v>
      </c>
      <c r="B2884" s="6" t="s">
        <v>4606</v>
      </c>
      <c r="C2884" s="6">
        <v>153</v>
      </c>
      <c r="D2884" s="6" t="str">
        <f>HYPERLINK("https://rmda.kulib.kyoto-u.ac.jp/item/rb00002310#?c=0&amp;m=0&amp;s=0&amp;cv=152")</f>
        <v>https://rmda.kulib.kyoto-u.ac.jp/item/rb00002310#?c=0&amp;m=0&amp;s=0&amp;cv=152</v>
      </c>
    </row>
    <row r="2885" spans="1:4" x14ac:dyDescent="0.15">
      <c r="A2885" s="6" t="s">
        <v>133</v>
      </c>
      <c r="B2885" s="63" t="s">
        <v>4734</v>
      </c>
      <c r="C2885" s="6">
        <v>154</v>
      </c>
      <c r="D2885" s="6" t="str">
        <f>HYPERLINK("https://rmda.kulib.kyoto-u.ac.jp/item/rb00002310#?c=0&amp;m=0&amp;s=0&amp;cv=153")</f>
        <v>https://rmda.kulib.kyoto-u.ac.jp/item/rb00002310#?c=0&amp;m=0&amp;s=0&amp;cv=153</v>
      </c>
    </row>
    <row r="2886" spans="1:4" x14ac:dyDescent="0.15">
      <c r="A2886" s="6" t="s">
        <v>133</v>
      </c>
      <c r="B2886" s="30" t="s">
        <v>6101</v>
      </c>
      <c r="C2886" s="6">
        <v>155</v>
      </c>
      <c r="D2886" s="6" t="str">
        <f>HYPERLINK("https://rmda.kulib.kyoto-u.ac.jp/item/rb00002310#?c=0&amp;m=0&amp;s=0&amp;cv=154")</f>
        <v>https://rmda.kulib.kyoto-u.ac.jp/item/rb00002310#?c=0&amp;m=0&amp;s=0&amp;cv=154</v>
      </c>
    </row>
    <row r="2887" spans="1:4" x14ac:dyDescent="0.15">
      <c r="A2887" s="6" t="s">
        <v>133</v>
      </c>
      <c r="B2887" s="30" t="s">
        <v>6102</v>
      </c>
      <c r="C2887" s="6">
        <v>155</v>
      </c>
      <c r="D2887" s="6" t="str">
        <f>HYPERLINK("https://rmda.kulib.kyoto-u.ac.jp/item/rb00002310#?c=0&amp;m=0&amp;s=0&amp;cv=154")</f>
        <v>https://rmda.kulib.kyoto-u.ac.jp/item/rb00002310#?c=0&amp;m=0&amp;s=0&amp;cv=154</v>
      </c>
    </row>
    <row r="2888" spans="1:4" x14ac:dyDescent="0.15">
      <c r="A2888" s="6" t="s">
        <v>133</v>
      </c>
      <c r="B2888" s="6" t="s">
        <v>4735</v>
      </c>
      <c r="C2888" s="6">
        <v>155</v>
      </c>
      <c r="D2888" s="6" t="str">
        <f>HYPERLINK("https://rmda.kulib.kyoto-u.ac.jp/item/rb00002310#?c=0&amp;m=0&amp;s=0&amp;cv=154")</f>
        <v>https://rmda.kulib.kyoto-u.ac.jp/item/rb00002310#?c=0&amp;m=0&amp;s=0&amp;cv=154</v>
      </c>
    </row>
    <row r="2889" spans="1:4" x14ac:dyDescent="0.15">
      <c r="A2889" s="6" t="s">
        <v>133</v>
      </c>
      <c r="B2889" s="6" t="s">
        <v>4736</v>
      </c>
      <c r="C2889" s="6">
        <v>156</v>
      </c>
      <c r="D2889" s="6" t="str">
        <f>HYPERLINK("https://rmda.kulib.kyoto-u.ac.jp/item/rb00002310#?c=0&amp;m=0&amp;s=0&amp;cv=155")</f>
        <v>https://rmda.kulib.kyoto-u.ac.jp/item/rb00002310#?c=0&amp;m=0&amp;s=0&amp;cv=155</v>
      </c>
    </row>
    <row r="2890" spans="1:4" x14ac:dyDescent="0.15">
      <c r="A2890" s="6" t="s">
        <v>133</v>
      </c>
      <c r="B2890" s="63" t="s">
        <v>4829</v>
      </c>
      <c r="C2890" s="6">
        <v>156</v>
      </c>
      <c r="D2890" s="6" t="str">
        <f>HYPERLINK("https://rmda.kulib.kyoto-u.ac.jp/item/rb00002310#?c=0&amp;m=0&amp;s=0&amp;cv=155")</f>
        <v>https://rmda.kulib.kyoto-u.ac.jp/item/rb00002310#?c=0&amp;m=0&amp;s=0&amp;cv=155</v>
      </c>
    </row>
    <row r="2891" spans="1:4" x14ac:dyDescent="0.15">
      <c r="A2891" s="6" t="s">
        <v>133</v>
      </c>
      <c r="B2891" s="6" t="s">
        <v>2164</v>
      </c>
      <c r="C2891" s="6">
        <v>156</v>
      </c>
      <c r="D2891" s="6" t="str">
        <f>HYPERLINK("https://rmda.kulib.kyoto-u.ac.jp/item/rb00002310#?c=0&amp;m=0&amp;s=0&amp;cv=155")</f>
        <v>https://rmda.kulib.kyoto-u.ac.jp/item/rb00002310#?c=0&amp;m=0&amp;s=0&amp;cv=155</v>
      </c>
    </row>
    <row r="2892" spans="1:4" x14ac:dyDescent="0.15">
      <c r="A2892" s="6" t="s">
        <v>133</v>
      </c>
      <c r="B2892" s="6" t="s">
        <v>4822</v>
      </c>
      <c r="C2892" s="6">
        <v>157</v>
      </c>
      <c r="D2892" s="6" t="str">
        <f>HYPERLINK("https://rmda.kulib.kyoto-u.ac.jp/item/rb00002310#?c=0&amp;m=0&amp;s=0&amp;cv=156")</f>
        <v>https://rmda.kulib.kyoto-u.ac.jp/item/rb00002310#?c=0&amp;m=0&amp;s=0&amp;cv=156</v>
      </c>
    </row>
    <row r="2893" spans="1:4" x14ac:dyDescent="0.15">
      <c r="A2893" s="6" t="s">
        <v>133</v>
      </c>
      <c r="B2893" s="6" t="s">
        <v>4823</v>
      </c>
      <c r="C2893" s="6">
        <v>157</v>
      </c>
      <c r="D2893" s="6" t="str">
        <f>HYPERLINK("https://rmda.kulib.kyoto-u.ac.jp/item/rb00002310#?c=0&amp;m=0&amp;s=0&amp;cv=156")</f>
        <v>https://rmda.kulib.kyoto-u.ac.jp/item/rb00002310#?c=0&amp;m=0&amp;s=0&amp;cv=156</v>
      </c>
    </row>
    <row r="2894" spans="1:4" x14ac:dyDescent="0.15">
      <c r="A2894" s="6" t="s">
        <v>133</v>
      </c>
      <c r="B2894" s="6" t="s">
        <v>4824</v>
      </c>
      <c r="C2894" s="6">
        <v>157</v>
      </c>
      <c r="D2894" s="6" t="str">
        <f>HYPERLINK("https://rmda.kulib.kyoto-u.ac.jp/item/rb00002310#?c=0&amp;m=0&amp;s=0&amp;cv=156")</f>
        <v>https://rmda.kulib.kyoto-u.ac.jp/item/rb00002310#?c=0&amp;m=0&amp;s=0&amp;cv=156</v>
      </c>
    </row>
    <row r="2895" spans="1:4" x14ac:dyDescent="0.15">
      <c r="A2895" s="6" t="s">
        <v>133</v>
      </c>
      <c r="B2895" s="63" t="s">
        <v>4713</v>
      </c>
      <c r="C2895" s="6">
        <v>158</v>
      </c>
      <c r="D2895" s="6" t="str">
        <f>HYPERLINK("https://rmda.kulib.kyoto-u.ac.jp/item/rb00002310#?c=0&amp;m=0&amp;s=0&amp;cv=157")</f>
        <v>https://rmda.kulib.kyoto-u.ac.jp/item/rb00002310#?c=0&amp;m=0&amp;s=0&amp;cv=157</v>
      </c>
    </row>
    <row r="2896" spans="1:4" x14ac:dyDescent="0.15">
      <c r="A2896" s="6" t="s">
        <v>133</v>
      </c>
      <c r="B2896" s="6" t="s">
        <v>4818</v>
      </c>
      <c r="C2896" s="6">
        <v>163</v>
      </c>
      <c r="D2896" s="6" t="str">
        <f>HYPERLINK("https://rmda.kulib.kyoto-u.ac.jp/item/rb00002310#?c=0&amp;m=0&amp;s=0&amp;cv=162")</f>
        <v>https://rmda.kulib.kyoto-u.ac.jp/item/rb00002310#?c=0&amp;m=0&amp;s=0&amp;cv=162</v>
      </c>
    </row>
    <row r="2897" spans="1:4" x14ac:dyDescent="0.15">
      <c r="A2897" s="6" t="s">
        <v>133</v>
      </c>
      <c r="B2897" s="6" t="s">
        <v>4714</v>
      </c>
      <c r="C2897" s="6">
        <v>163</v>
      </c>
      <c r="D2897" s="6" t="str">
        <f>HYPERLINK("https://rmda.kulib.kyoto-u.ac.jp/item/rb00002310#?c=0&amp;m=0&amp;s=0&amp;cv=162")</f>
        <v>https://rmda.kulib.kyoto-u.ac.jp/item/rb00002310#?c=0&amp;m=0&amp;s=0&amp;cv=162</v>
      </c>
    </row>
    <row r="2898" spans="1:4" x14ac:dyDescent="0.15">
      <c r="A2898" s="6" t="s">
        <v>133</v>
      </c>
      <c r="B2898" s="6" t="s">
        <v>4715</v>
      </c>
      <c r="C2898" s="6">
        <v>164</v>
      </c>
      <c r="D2898" s="6" t="str">
        <f>HYPERLINK("https://rmda.kulib.kyoto-u.ac.jp/item/rb00002310#?c=0&amp;m=0&amp;s=0&amp;cv=163")</f>
        <v>https://rmda.kulib.kyoto-u.ac.jp/item/rb00002310#?c=0&amp;m=0&amp;s=0&amp;cv=163</v>
      </c>
    </row>
    <row r="2899" spans="1:4" x14ac:dyDescent="0.15">
      <c r="A2899" s="6" t="s">
        <v>133</v>
      </c>
      <c r="B2899" s="6" t="s">
        <v>4716</v>
      </c>
      <c r="C2899" s="6">
        <v>164</v>
      </c>
      <c r="D2899" s="6" t="str">
        <f>HYPERLINK("https://rmda.kulib.kyoto-u.ac.jp/item/rb00002310#?c=0&amp;m=0&amp;s=0&amp;cv=163")</f>
        <v>https://rmda.kulib.kyoto-u.ac.jp/item/rb00002310#?c=0&amp;m=0&amp;s=0&amp;cv=163</v>
      </c>
    </row>
    <row r="2900" spans="1:4" x14ac:dyDescent="0.15">
      <c r="A2900" s="6" t="s">
        <v>133</v>
      </c>
      <c r="B2900" s="6" t="s">
        <v>4717</v>
      </c>
      <c r="C2900" s="6">
        <v>164</v>
      </c>
      <c r="D2900" s="6" t="str">
        <f>HYPERLINK("https://rmda.kulib.kyoto-u.ac.jp/item/rb00002310#?c=0&amp;m=0&amp;s=0&amp;cv=163")</f>
        <v>https://rmda.kulib.kyoto-u.ac.jp/item/rb00002310#?c=0&amp;m=0&amp;s=0&amp;cv=163</v>
      </c>
    </row>
    <row r="2901" spans="1:4" x14ac:dyDescent="0.15">
      <c r="A2901" s="6" t="s">
        <v>133</v>
      </c>
      <c r="B2901" s="6" t="s">
        <v>1886</v>
      </c>
      <c r="C2901" s="6">
        <v>165</v>
      </c>
      <c r="D2901" s="6" t="str">
        <f>HYPERLINK("https://rmda.kulib.kyoto-u.ac.jp/item/rb00002310#?c=0&amp;m=0&amp;s=0&amp;cv=164")</f>
        <v>https://rmda.kulib.kyoto-u.ac.jp/item/rb00002310#?c=0&amp;m=0&amp;s=0&amp;cv=164</v>
      </c>
    </row>
    <row r="2902" spans="1:4" x14ac:dyDescent="0.15">
      <c r="A2902" s="6" t="s">
        <v>133</v>
      </c>
      <c r="B2902" s="6" t="s">
        <v>4718</v>
      </c>
      <c r="C2902" s="6">
        <v>165</v>
      </c>
      <c r="D2902" s="6" t="str">
        <f>HYPERLINK("https://rmda.kulib.kyoto-u.ac.jp/item/rb00002310#?c=0&amp;m=0&amp;s=0&amp;cv=164")</f>
        <v>https://rmda.kulib.kyoto-u.ac.jp/item/rb00002310#?c=0&amp;m=0&amp;s=0&amp;cv=164</v>
      </c>
    </row>
    <row r="2903" spans="1:4" x14ac:dyDescent="0.15">
      <c r="A2903" s="6" t="s">
        <v>133</v>
      </c>
      <c r="B2903" s="6" t="s">
        <v>4719</v>
      </c>
      <c r="C2903" s="6">
        <v>166</v>
      </c>
      <c r="D2903" s="6" t="str">
        <f>HYPERLINK("https://rmda.kulib.kyoto-u.ac.jp/item/rb00002310#?c=0&amp;m=0&amp;s=0&amp;cv=165")</f>
        <v>https://rmda.kulib.kyoto-u.ac.jp/item/rb00002310#?c=0&amp;m=0&amp;s=0&amp;cv=165</v>
      </c>
    </row>
    <row r="2904" spans="1:4" x14ac:dyDescent="0.15">
      <c r="A2904" s="6" t="s">
        <v>133</v>
      </c>
      <c r="B2904" s="6" t="s">
        <v>1885</v>
      </c>
      <c r="C2904" s="6">
        <v>166</v>
      </c>
      <c r="D2904" s="6" t="str">
        <f>HYPERLINK("https://rmda.kulib.kyoto-u.ac.jp/item/rb00002310#?c=0&amp;m=0&amp;s=0&amp;cv=165")</f>
        <v>https://rmda.kulib.kyoto-u.ac.jp/item/rb00002310#?c=0&amp;m=0&amp;s=0&amp;cv=165</v>
      </c>
    </row>
    <row r="2905" spans="1:4" x14ac:dyDescent="0.15">
      <c r="A2905" s="6" t="s">
        <v>133</v>
      </c>
      <c r="B2905" s="6" t="s">
        <v>2013</v>
      </c>
      <c r="C2905" s="6">
        <v>167</v>
      </c>
      <c r="D2905" s="6" t="str">
        <f>HYPERLINK("https://rmda.kulib.kyoto-u.ac.jp/item/rb00002310#?c=0&amp;m=0&amp;s=0&amp;cv=166")</f>
        <v>https://rmda.kulib.kyoto-u.ac.jp/item/rb00002310#?c=0&amp;m=0&amp;s=0&amp;cv=166</v>
      </c>
    </row>
    <row r="2906" spans="1:4" x14ac:dyDescent="0.15">
      <c r="A2906" s="6" t="s">
        <v>133</v>
      </c>
      <c r="B2906" s="63" t="s">
        <v>4720</v>
      </c>
      <c r="C2906" s="6">
        <v>167</v>
      </c>
      <c r="D2906" s="6" t="str">
        <f>HYPERLINK("https://rmda.kulib.kyoto-u.ac.jp/item/rb00002310#?c=0&amp;m=0&amp;s=0&amp;cv=166")</f>
        <v>https://rmda.kulib.kyoto-u.ac.jp/item/rb00002310#?c=0&amp;m=0&amp;s=0&amp;cv=166</v>
      </c>
    </row>
    <row r="2907" spans="1:4" x14ac:dyDescent="0.15">
      <c r="A2907" s="6" t="s">
        <v>133</v>
      </c>
      <c r="B2907" s="6" t="s">
        <v>2056</v>
      </c>
      <c r="C2907" s="6">
        <v>168</v>
      </c>
      <c r="D2907" s="6" t="str">
        <f>HYPERLINK("https://rmda.kulib.kyoto-u.ac.jp/item/rb00002310#?c=0&amp;m=0&amp;s=0&amp;cv=167")</f>
        <v>https://rmda.kulib.kyoto-u.ac.jp/item/rb00002310#?c=0&amp;m=0&amp;s=0&amp;cv=167</v>
      </c>
    </row>
    <row r="2908" spans="1:4" x14ac:dyDescent="0.15">
      <c r="A2908" s="6" t="s">
        <v>133</v>
      </c>
      <c r="B2908" s="6" t="s">
        <v>4595</v>
      </c>
      <c r="C2908" s="6">
        <v>168</v>
      </c>
      <c r="D2908" s="6" t="str">
        <f>HYPERLINK("https://rmda.kulib.kyoto-u.ac.jp/item/rb00002310#?c=0&amp;m=0&amp;s=0&amp;cv=167")</f>
        <v>https://rmda.kulib.kyoto-u.ac.jp/item/rb00002310#?c=0&amp;m=0&amp;s=0&amp;cv=167</v>
      </c>
    </row>
    <row r="2909" spans="1:4" x14ac:dyDescent="0.15">
      <c r="A2909" s="6" t="s">
        <v>133</v>
      </c>
      <c r="B2909" s="6" t="s">
        <v>4721</v>
      </c>
      <c r="C2909" s="6">
        <v>169</v>
      </c>
      <c r="D2909" s="6" t="str">
        <f>HYPERLINK("https://rmda.kulib.kyoto-u.ac.jp/item/rb00002310#?c=0&amp;m=0&amp;s=0&amp;cv=168")</f>
        <v>https://rmda.kulib.kyoto-u.ac.jp/item/rb00002310#?c=0&amp;m=0&amp;s=0&amp;cv=168</v>
      </c>
    </row>
    <row r="2910" spans="1:4" x14ac:dyDescent="0.15">
      <c r="A2910" s="6" t="s">
        <v>133</v>
      </c>
      <c r="B2910" s="63" t="s">
        <v>4722</v>
      </c>
      <c r="C2910" s="6">
        <v>169</v>
      </c>
      <c r="D2910" s="6" t="str">
        <f>HYPERLINK("https://rmda.kulib.kyoto-u.ac.jp/item/rb00002310#?c=0&amp;m=0&amp;s=0&amp;cv=168")</f>
        <v>https://rmda.kulib.kyoto-u.ac.jp/item/rb00002310#?c=0&amp;m=0&amp;s=0&amp;cv=168</v>
      </c>
    </row>
    <row r="2911" spans="1:4" x14ac:dyDescent="0.15">
      <c r="A2911" s="6" t="s">
        <v>133</v>
      </c>
      <c r="B2911" s="6" t="s">
        <v>4723</v>
      </c>
      <c r="C2911" s="6">
        <v>170</v>
      </c>
      <c r="D2911" s="6" t="str">
        <f>HYPERLINK("https://rmda.kulib.kyoto-u.ac.jp/item/rb00002310#?c=0&amp;m=0&amp;s=0&amp;cv=169")</f>
        <v>https://rmda.kulib.kyoto-u.ac.jp/item/rb00002310#?c=0&amp;m=0&amp;s=0&amp;cv=169</v>
      </c>
    </row>
    <row r="2912" spans="1:4" x14ac:dyDescent="0.15">
      <c r="A2912" s="6" t="s">
        <v>133</v>
      </c>
      <c r="B2912" s="6" t="s">
        <v>1894</v>
      </c>
      <c r="C2912" s="6">
        <v>170</v>
      </c>
      <c r="D2912" s="6" t="str">
        <f>HYPERLINK("https://rmda.kulib.kyoto-u.ac.jp/item/rb00002310#?c=0&amp;m=0&amp;s=0&amp;cv=169")</f>
        <v>https://rmda.kulib.kyoto-u.ac.jp/item/rb00002310#?c=0&amp;m=0&amp;s=0&amp;cv=169</v>
      </c>
    </row>
    <row r="2913" spans="1:4" x14ac:dyDescent="0.15">
      <c r="A2913" s="6" t="s">
        <v>133</v>
      </c>
      <c r="B2913" s="6" t="s">
        <v>4724</v>
      </c>
      <c r="C2913" s="6">
        <v>170</v>
      </c>
      <c r="D2913" s="6" t="str">
        <f>HYPERLINK("https://rmda.kulib.kyoto-u.ac.jp/item/rb00002310#?c=0&amp;m=0&amp;s=0&amp;cv=169")</f>
        <v>https://rmda.kulib.kyoto-u.ac.jp/item/rb00002310#?c=0&amp;m=0&amp;s=0&amp;cv=169</v>
      </c>
    </row>
    <row r="2914" spans="1:4" x14ac:dyDescent="0.15">
      <c r="A2914" s="6" t="s">
        <v>133</v>
      </c>
      <c r="B2914" s="6" t="s">
        <v>2496</v>
      </c>
      <c r="C2914" s="6">
        <v>170</v>
      </c>
      <c r="D2914" s="6" t="str">
        <f>HYPERLINK("https://rmda.kulib.kyoto-u.ac.jp/item/rb00002310#?c=0&amp;m=0&amp;s=0&amp;cv=169")</f>
        <v>https://rmda.kulib.kyoto-u.ac.jp/item/rb00002310#?c=0&amp;m=0&amp;s=0&amp;cv=169</v>
      </c>
    </row>
    <row r="2915" spans="1:4" x14ac:dyDescent="0.15">
      <c r="A2915" s="6" t="s">
        <v>133</v>
      </c>
      <c r="B2915" s="63" t="s">
        <v>4725</v>
      </c>
      <c r="C2915" s="6">
        <v>170</v>
      </c>
      <c r="D2915" s="6" t="str">
        <f>HYPERLINK("https://rmda.kulib.kyoto-u.ac.jp/item/rb00002310#?c=0&amp;m=0&amp;s=0&amp;cv=169")</f>
        <v>https://rmda.kulib.kyoto-u.ac.jp/item/rb00002310#?c=0&amp;m=0&amp;s=0&amp;cv=169</v>
      </c>
    </row>
    <row r="2916" spans="1:4" x14ac:dyDescent="0.15">
      <c r="A2916" s="6" t="s">
        <v>133</v>
      </c>
      <c r="B2916" s="6" t="s">
        <v>4726</v>
      </c>
      <c r="C2916" s="6">
        <v>171</v>
      </c>
      <c r="D2916" s="6" t="str">
        <f>HYPERLINK("https://rmda.kulib.kyoto-u.ac.jp/item/rb00002310#?c=0&amp;m=0&amp;s=0&amp;cv=170")</f>
        <v>https://rmda.kulib.kyoto-u.ac.jp/item/rb00002310#?c=0&amp;m=0&amp;s=0&amp;cv=170</v>
      </c>
    </row>
    <row r="2917" spans="1:4" x14ac:dyDescent="0.15">
      <c r="A2917" s="6" t="s">
        <v>133</v>
      </c>
      <c r="B2917" s="6" t="s">
        <v>4727</v>
      </c>
      <c r="C2917" s="6">
        <v>171</v>
      </c>
      <c r="D2917" s="6" t="str">
        <f>HYPERLINK("https://rmda.kulib.kyoto-u.ac.jp/item/rb00002310#?c=0&amp;m=0&amp;s=0&amp;cv=170")</f>
        <v>https://rmda.kulib.kyoto-u.ac.jp/item/rb00002310#?c=0&amp;m=0&amp;s=0&amp;cv=170</v>
      </c>
    </row>
    <row r="2918" spans="1:4" x14ac:dyDescent="0.15">
      <c r="A2918" s="6" t="s">
        <v>133</v>
      </c>
      <c r="B2918" s="6" t="s">
        <v>4728</v>
      </c>
      <c r="C2918" s="6">
        <v>172</v>
      </c>
      <c r="D2918" s="6" t="str">
        <f>HYPERLINK("https://rmda.kulib.kyoto-u.ac.jp/item/rb00002310#?c=0&amp;m=0&amp;s=0&amp;cv=171")</f>
        <v>https://rmda.kulib.kyoto-u.ac.jp/item/rb00002310#?c=0&amp;m=0&amp;s=0&amp;cv=171</v>
      </c>
    </row>
    <row r="2919" spans="1:4" x14ac:dyDescent="0.15">
      <c r="A2919" s="6" t="s">
        <v>133</v>
      </c>
      <c r="B2919" s="6" t="s">
        <v>4729</v>
      </c>
      <c r="C2919" s="6">
        <v>172</v>
      </c>
      <c r="D2919" s="6" t="str">
        <f>HYPERLINK("https://rmda.kulib.kyoto-u.ac.jp/item/rb00002310#?c=0&amp;m=0&amp;s=0&amp;cv=171")</f>
        <v>https://rmda.kulib.kyoto-u.ac.jp/item/rb00002310#?c=0&amp;m=0&amp;s=0&amp;cv=171</v>
      </c>
    </row>
    <row r="2920" spans="1:4" x14ac:dyDescent="0.15">
      <c r="A2920" s="6" t="s">
        <v>133</v>
      </c>
      <c r="B2920" s="63" t="s">
        <v>4730</v>
      </c>
      <c r="C2920" s="6">
        <v>172</v>
      </c>
      <c r="D2920" s="6" t="str">
        <f>HYPERLINK("https://rmda.kulib.kyoto-u.ac.jp/item/rb00002310#?c=0&amp;m=0&amp;s=0&amp;cv=171")</f>
        <v>https://rmda.kulib.kyoto-u.ac.jp/item/rb00002310#?c=0&amp;m=0&amp;s=0&amp;cv=171</v>
      </c>
    </row>
    <row r="2921" spans="1:4" x14ac:dyDescent="0.15">
      <c r="A2921" s="6" t="s">
        <v>133</v>
      </c>
      <c r="B2921" s="6" t="s">
        <v>2051</v>
      </c>
      <c r="C2921" s="6">
        <v>172</v>
      </c>
      <c r="D2921" s="6" t="str">
        <f>HYPERLINK("https://rmda.kulib.kyoto-u.ac.jp/item/rb00002310#?c=0&amp;m=0&amp;s=0&amp;cv=171")</f>
        <v>https://rmda.kulib.kyoto-u.ac.jp/item/rb00002310#?c=0&amp;m=0&amp;s=0&amp;cv=171</v>
      </c>
    </row>
    <row r="2922" spans="1:4" x14ac:dyDescent="0.15">
      <c r="A2922" s="6" t="s">
        <v>133</v>
      </c>
      <c r="B2922" s="63" t="s">
        <v>4731</v>
      </c>
      <c r="C2922" s="6">
        <v>173</v>
      </c>
      <c r="D2922" s="6" t="str">
        <f>HYPERLINK("https://rmda.kulib.kyoto-u.ac.jp/item/rb00002310#?c=0&amp;m=0&amp;s=0&amp;cv=172")</f>
        <v>https://rmda.kulib.kyoto-u.ac.jp/item/rb00002310#?c=0&amp;m=0&amp;s=0&amp;cv=172</v>
      </c>
    </row>
    <row r="2923" spans="1:4" x14ac:dyDescent="0.15">
      <c r="A2923" s="6" t="s">
        <v>133</v>
      </c>
      <c r="B2923" s="6" t="s">
        <v>4732</v>
      </c>
      <c r="C2923" s="6">
        <v>173</v>
      </c>
      <c r="D2923" s="6" t="str">
        <f>HYPERLINK("https://rmda.kulib.kyoto-u.ac.jp/item/rb00002310#?c=0&amp;m=0&amp;s=0&amp;cv=172")</f>
        <v>https://rmda.kulib.kyoto-u.ac.jp/item/rb00002310#?c=0&amp;m=0&amp;s=0&amp;cv=172</v>
      </c>
    </row>
    <row r="2924" spans="1:4" x14ac:dyDescent="0.15">
      <c r="A2924" s="6" t="s">
        <v>133</v>
      </c>
      <c r="B2924" s="6" t="s">
        <v>4733</v>
      </c>
      <c r="C2924" s="6">
        <v>173</v>
      </c>
      <c r="D2924" s="6" t="str">
        <f>HYPERLINK("https://rmda.kulib.kyoto-u.ac.jp/item/rb00002310#?c=0&amp;m=0&amp;s=0&amp;cv=172")</f>
        <v>https://rmda.kulib.kyoto-u.ac.jp/item/rb00002310#?c=0&amp;m=0&amp;s=0&amp;cv=172</v>
      </c>
    </row>
    <row r="2925" spans="1:4" x14ac:dyDescent="0.15">
      <c r="A2925" s="6" t="s">
        <v>133</v>
      </c>
      <c r="B2925" s="6" t="s">
        <v>4819</v>
      </c>
      <c r="C2925" s="6">
        <v>174</v>
      </c>
      <c r="D2925" s="6" t="str">
        <f>HYPERLINK("https://rmda.kulib.kyoto-u.ac.jp/item/rb00002310#?c=0&amp;m=0&amp;s=0&amp;cv=173")</f>
        <v>https://rmda.kulib.kyoto-u.ac.jp/item/rb00002310#?c=0&amp;m=0&amp;s=0&amp;cv=173</v>
      </c>
    </row>
    <row r="2926" spans="1:4" x14ac:dyDescent="0.15">
      <c r="A2926" s="6" t="s">
        <v>133</v>
      </c>
      <c r="B2926" s="63" t="s">
        <v>4831</v>
      </c>
      <c r="C2926" s="6">
        <v>174</v>
      </c>
      <c r="D2926" s="6" t="str">
        <f>HYPERLINK("https://rmda.kulib.kyoto-u.ac.jp/item/rb00002310#?c=0&amp;m=0&amp;s=0&amp;cv=173")</f>
        <v>https://rmda.kulib.kyoto-u.ac.jp/item/rb00002310#?c=0&amp;m=0&amp;s=0&amp;cv=173</v>
      </c>
    </row>
    <row r="2927" spans="1:4" x14ac:dyDescent="0.15">
      <c r="A2927" s="6" t="s">
        <v>133</v>
      </c>
      <c r="B2927" s="6" t="s">
        <v>4820</v>
      </c>
      <c r="C2927" s="6">
        <v>175</v>
      </c>
      <c r="D2927" s="6" t="str">
        <f>HYPERLINK("https://rmda.kulib.kyoto-u.ac.jp/item/rb00002310#?c=0&amp;m=0&amp;s=0&amp;cv=174")</f>
        <v>https://rmda.kulib.kyoto-u.ac.jp/item/rb00002310#?c=0&amp;m=0&amp;s=0&amp;cv=174</v>
      </c>
    </row>
    <row r="2928" spans="1:4" x14ac:dyDescent="0.15">
      <c r="A2928" s="6" t="s">
        <v>133</v>
      </c>
      <c r="B2928" s="6" t="s">
        <v>4821</v>
      </c>
      <c r="C2928" s="6">
        <v>175</v>
      </c>
      <c r="D2928" s="6" t="str">
        <f>HYPERLINK("https://rmda.kulib.kyoto-u.ac.jp/item/rb00002310#?c=0&amp;m=0&amp;s=0&amp;cv=174")</f>
        <v>https://rmda.kulib.kyoto-u.ac.jp/item/rb00002310#?c=0&amp;m=0&amp;s=0&amp;cv=174</v>
      </c>
    </row>
    <row r="2929" spans="1:4" x14ac:dyDescent="0.15">
      <c r="A2929" s="6" t="s">
        <v>133</v>
      </c>
      <c r="B2929" s="6" t="s">
        <v>4269</v>
      </c>
      <c r="C2929" s="6">
        <v>175</v>
      </c>
      <c r="D2929" s="6" t="str">
        <f>HYPERLINK("https://rmda.kulib.kyoto-u.ac.jp/item/rb00002310#?c=0&amp;m=0&amp;s=0&amp;cv=174")</f>
        <v>https://rmda.kulib.kyoto-u.ac.jp/item/rb00002310#?c=0&amp;m=0&amp;s=0&amp;cv=174</v>
      </c>
    </row>
    <row r="2930" spans="1:4" x14ac:dyDescent="0.15">
      <c r="A2930" s="6" t="s">
        <v>133</v>
      </c>
      <c r="B2930" s="63" t="s">
        <v>4513</v>
      </c>
      <c r="C2930" s="6">
        <v>180</v>
      </c>
      <c r="D2930" s="6" t="str">
        <f>HYPERLINK("https://rmda.kulib.kyoto-u.ac.jp/item/rb00002310#?c=0&amp;m=0&amp;s=0&amp;cv=179")</f>
        <v>https://rmda.kulib.kyoto-u.ac.jp/item/rb00002310#?c=0&amp;m=0&amp;s=0&amp;cv=179</v>
      </c>
    </row>
    <row r="2931" spans="1:4" x14ac:dyDescent="0.15">
      <c r="A2931" s="6" t="s">
        <v>133</v>
      </c>
      <c r="B2931" s="6" t="s">
        <v>4514</v>
      </c>
      <c r="C2931" s="6">
        <v>181</v>
      </c>
      <c r="D2931" s="6" t="str">
        <f>HYPERLINK("https://rmda.kulib.kyoto-u.ac.jp/item/rb00002310#?c=0&amp;m=0&amp;s=0&amp;cv=180")</f>
        <v>https://rmda.kulib.kyoto-u.ac.jp/item/rb00002310#?c=0&amp;m=0&amp;s=0&amp;cv=180</v>
      </c>
    </row>
    <row r="2932" spans="1:4" x14ac:dyDescent="0.15">
      <c r="A2932" s="6" t="s">
        <v>133</v>
      </c>
      <c r="B2932" s="6" t="s">
        <v>2009</v>
      </c>
      <c r="C2932" s="6">
        <v>181</v>
      </c>
      <c r="D2932" s="6" t="str">
        <f>HYPERLINK("https://rmda.kulib.kyoto-u.ac.jp/item/rb00002310#?c=0&amp;m=0&amp;s=0&amp;cv=180")</f>
        <v>https://rmda.kulib.kyoto-u.ac.jp/item/rb00002310#?c=0&amp;m=0&amp;s=0&amp;cv=180</v>
      </c>
    </row>
    <row r="2933" spans="1:4" x14ac:dyDescent="0.15">
      <c r="A2933" s="6" t="s">
        <v>133</v>
      </c>
      <c r="B2933" s="6" t="s">
        <v>4515</v>
      </c>
      <c r="C2933" s="6">
        <v>182</v>
      </c>
      <c r="D2933" s="6" t="str">
        <f>HYPERLINK("https://rmda.kulib.kyoto-u.ac.jp/item/rb00002310#?c=0&amp;m=0&amp;s=0&amp;cv=181")</f>
        <v>https://rmda.kulib.kyoto-u.ac.jp/item/rb00002310#?c=0&amp;m=0&amp;s=0&amp;cv=181</v>
      </c>
    </row>
    <row r="2934" spans="1:4" x14ac:dyDescent="0.15">
      <c r="A2934" s="6" t="s">
        <v>133</v>
      </c>
      <c r="B2934" s="6" t="s">
        <v>4744</v>
      </c>
      <c r="C2934" s="6">
        <v>182</v>
      </c>
      <c r="D2934" s="6" t="str">
        <f>HYPERLINK("https://rmda.kulib.kyoto-u.ac.jp/item/rb00002310#?c=0&amp;m=0&amp;s=0&amp;cv=181")</f>
        <v>https://rmda.kulib.kyoto-u.ac.jp/item/rb00002310#?c=0&amp;m=0&amp;s=0&amp;cv=181</v>
      </c>
    </row>
    <row r="2935" spans="1:4" x14ac:dyDescent="0.15">
      <c r="A2935" s="6" t="s">
        <v>133</v>
      </c>
      <c r="B2935" s="63" t="s">
        <v>4516</v>
      </c>
      <c r="C2935" s="6">
        <v>182</v>
      </c>
      <c r="D2935" s="6" t="str">
        <f>HYPERLINK("https://rmda.kulib.kyoto-u.ac.jp/item/rb00002310#?c=0&amp;m=0&amp;s=0&amp;cv=181")</f>
        <v>https://rmda.kulib.kyoto-u.ac.jp/item/rb00002310#?c=0&amp;m=0&amp;s=0&amp;cv=181</v>
      </c>
    </row>
    <row r="2936" spans="1:4" x14ac:dyDescent="0.15">
      <c r="A2936" s="6" t="s">
        <v>133</v>
      </c>
      <c r="B2936" s="6" t="s">
        <v>4745</v>
      </c>
      <c r="C2936" s="6">
        <v>183</v>
      </c>
      <c r="D2936" s="6" t="str">
        <f>HYPERLINK("https://rmda.kulib.kyoto-u.ac.jp/item/rb00002310#?c=0&amp;m=0&amp;s=0&amp;cv=182")</f>
        <v>https://rmda.kulib.kyoto-u.ac.jp/item/rb00002310#?c=0&amp;m=0&amp;s=0&amp;cv=182</v>
      </c>
    </row>
    <row r="2937" spans="1:4" x14ac:dyDescent="0.15">
      <c r="A2937" s="6" t="s">
        <v>133</v>
      </c>
      <c r="B2937" s="6" t="s">
        <v>4517</v>
      </c>
      <c r="C2937" s="6">
        <v>183</v>
      </c>
      <c r="D2937" s="6" t="str">
        <f>HYPERLINK("https://rmda.kulib.kyoto-u.ac.jp/item/rb00002310#?c=0&amp;m=0&amp;s=0&amp;cv=182")</f>
        <v>https://rmda.kulib.kyoto-u.ac.jp/item/rb00002310#?c=0&amp;m=0&amp;s=0&amp;cv=182</v>
      </c>
    </row>
    <row r="2938" spans="1:4" x14ac:dyDescent="0.15">
      <c r="A2938" s="6" t="s">
        <v>133</v>
      </c>
      <c r="B2938" s="6" t="s">
        <v>1519</v>
      </c>
      <c r="C2938" s="6">
        <v>184</v>
      </c>
      <c r="D2938" s="6" t="str">
        <f>HYPERLINK("https://rmda.kulib.kyoto-u.ac.jp/item/rb00002310#?c=0&amp;m=0&amp;s=0&amp;cv=183")</f>
        <v>https://rmda.kulib.kyoto-u.ac.jp/item/rb00002310#?c=0&amp;m=0&amp;s=0&amp;cv=183</v>
      </c>
    </row>
    <row r="2939" spans="1:4" x14ac:dyDescent="0.15">
      <c r="A2939" s="6" t="s">
        <v>133</v>
      </c>
      <c r="B2939" s="6" t="s">
        <v>4330</v>
      </c>
      <c r="C2939" s="6">
        <v>184</v>
      </c>
      <c r="D2939" s="6" t="str">
        <f>HYPERLINK("https://rmda.kulib.kyoto-u.ac.jp/item/rb00002310#?c=0&amp;m=0&amp;s=0&amp;cv=183")</f>
        <v>https://rmda.kulib.kyoto-u.ac.jp/item/rb00002310#?c=0&amp;m=0&amp;s=0&amp;cv=183</v>
      </c>
    </row>
    <row r="2940" spans="1:4" x14ac:dyDescent="0.15">
      <c r="A2940" s="6" t="s">
        <v>133</v>
      </c>
      <c r="B2940" s="6" t="s">
        <v>4518</v>
      </c>
      <c r="C2940" s="6">
        <v>185</v>
      </c>
      <c r="D2940" s="6" t="str">
        <f>HYPERLINK("https://rmda.kulib.kyoto-u.ac.jp/item/rb00002310#?c=0&amp;m=0&amp;s=0&amp;cv=184")</f>
        <v>https://rmda.kulib.kyoto-u.ac.jp/item/rb00002310#?c=0&amp;m=0&amp;s=0&amp;cv=184</v>
      </c>
    </row>
    <row r="2941" spans="1:4" x14ac:dyDescent="0.15">
      <c r="A2941" s="6" t="s">
        <v>133</v>
      </c>
      <c r="B2941" s="63" t="s">
        <v>4519</v>
      </c>
      <c r="C2941" s="6">
        <v>185</v>
      </c>
      <c r="D2941" s="6" t="str">
        <f>HYPERLINK("https://rmda.kulib.kyoto-u.ac.jp/item/rb00002310#?c=0&amp;m=0&amp;s=0&amp;cv=184")</f>
        <v>https://rmda.kulib.kyoto-u.ac.jp/item/rb00002310#?c=0&amp;m=0&amp;s=0&amp;cv=184</v>
      </c>
    </row>
    <row r="2942" spans="1:4" x14ac:dyDescent="0.15">
      <c r="A2942" s="6" t="s">
        <v>133</v>
      </c>
      <c r="B2942" s="6" t="s">
        <v>2138</v>
      </c>
      <c r="C2942" s="6">
        <v>186</v>
      </c>
      <c r="D2942" s="6" t="str">
        <f>HYPERLINK("https://rmda.kulib.kyoto-u.ac.jp/item/rb00002310#?c=0&amp;m=0&amp;s=0&amp;cv=185")</f>
        <v>https://rmda.kulib.kyoto-u.ac.jp/item/rb00002310#?c=0&amp;m=0&amp;s=0&amp;cv=185</v>
      </c>
    </row>
    <row r="2943" spans="1:4" x14ac:dyDescent="0.15">
      <c r="A2943" s="6" t="s">
        <v>133</v>
      </c>
      <c r="B2943" s="6" t="s">
        <v>4520</v>
      </c>
      <c r="C2943" s="6">
        <v>186</v>
      </c>
      <c r="D2943" s="6" t="str">
        <f>HYPERLINK("https://rmda.kulib.kyoto-u.ac.jp/item/rb00002310#?c=0&amp;m=0&amp;s=0&amp;cv=185")</f>
        <v>https://rmda.kulib.kyoto-u.ac.jp/item/rb00002310#?c=0&amp;m=0&amp;s=0&amp;cv=185</v>
      </c>
    </row>
    <row r="2944" spans="1:4" x14ac:dyDescent="0.15">
      <c r="A2944" s="6" t="s">
        <v>133</v>
      </c>
      <c r="B2944" s="6" t="s">
        <v>4746</v>
      </c>
      <c r="C2944" s="6">
        <v>186</v>
      </c>
      <c r="D2944" s="6" t="str">
        <f>HYPERLINK("https://rmda.kulib.kyoto-u.ac.jp/item/rb00002310#?c=0&amp;m=0&amp;s=0&amp;cv=185")</f>
        <v>https://rmda.kulib.kyoto-u.ac.jp/item/rb00002310#?c=0&amp;m=0&amp;s=0&amp;cv=185</v>
      </c>
    </row>
    <row r="2945" spans="1:4" x14ac:dyDescent="0.15">
      <c r="A2945" s="6" t="s">
        <v>133</v>
      </c>
      <c r="B2945" s="6" t="s">
        <v>4521</v>
      </c>
      <c r="C2945" s="6">
        <v>186</v>
      </c>
      <c r="D2945" s="6" t="str">
        <f>HYPERLINK("https://rmda.kulib.kyoto-u.ac.jp/item/rb00002310#?c=0&amp;m=0&amp;s=0&amp;cv=185")</f>
        <v>https://rmda.kulib.kyoto-u.ac.jp/item/rb00002310#?c=0&amp;m=0&amp;s=0&amp;cv=185</v>
      </c>
    </row>
    <row r="2946" spans="1:4" x14ac:dyDescent="0.15">
      <c r="A2946" s="6" t="s">
        <v>133</v>
      </c>
      <c r="B2946" s="6" t="s">
        <v>4522</v>
      </c>
      <c r="C2946" s="6">
        <v>187</v>
      </c>
      <c r="D2946" s="6" t="str">
        <f>HYPERLINK("https://rmda.kulib.kyoto-u.ac.jp/item/rb00002310#?c=0&amp;m=0&amp;s=0&amp;cv=186")</f>
        <v>https://rmda.kulib.kyoto-u.ac.jp/item/rb00002310#?c=0&amp;m=0&amp;s=0&amp;cv=186</v>
      </c>
    </row>
    <row r="2947" spans="1:4" x14ac:dyDescent="0.15">
      <c r="A2947" s="6" t="s">
        <v>133</v>
      </c>
      <c r="B2947" s="6" t="s">
        <v>4747</v>
      </c>
      <c r="C2947" s="6">
        <v>188</v>
      </c>
      <c r="D2947" s="6" t="str">
        <f>HYPERLINK("https://rmda.kulib.kyoto-u.ac.jp/item/rb00002310#?c=0&amp;m=0&amp;s=0&amp;cv=187")</f>
        <v>https://rmda.kulib.kyoto-u.ac.jp/item/rb00002310#?c=0&amp;m=0&amp;s=0&amp;cv=187</v>
      </c>
    </row>
    <row r="2948" spans="1:4" x14ac:dyDescent="0.15">
      <c r="A2948" s="6" t="s">
        <v>133</v>
      </c>
      <c r="B2948" s="6" t="s">
        <v>4523</v>
      </c>
      <c r="C2948" s="6">
        <v>188</v>
      </c>
      <c r="D2948" s="6" t="str">
        <f>HYPERLINK("https://rmda.kulib.kyoto-u.ac.jp/item/rb00002310#?c=0&amp;m=0&amp;s=0&amp;cv=187")</f>
        <v>https://rmda.kulib.kyoto-u.ac.jp/item/rb00002310#?c=0&amp;m=0&amp;s=0&amp;cv=187</v>
      </c>
    </row>
    <row r="2949" spans="1:4" x14ac:dyDescent="0.15">
      <c r="A2949" s="6" t="s">
        <v>133</v>
      </c>
      <c r="B2949" s="6" t="s">
        <v>4748</v>
      </c>
      <c r="C2949" s="6">
        <v>188</v>
      </c>
      <c r="D2949" s="6" t="str">
        <f>HYPERLINK("https://rmda.kulib.kyoto-u.ac.jp/item/rb00002310#?c=0&amp;m=0&amp;s=0&amp;cv=187")</f>
        <v>https://rmda.kulib.kyoto-u.ac.jp/item/rb00002310#?c=0&amp;m=0&amp;s=0&amp;cv=187</v>
      </c>
    </row>
    <row r="2950" spans="1:4" x14ac:dyDescent="0.15">
      <c r="A2950" s="6" t="s">
        <v>133</v>
      </c>
      <c r="B2950" s="6" t="s">
        <v>1521</v>
      </c>
      <c r="C2950" s="6">
        <v>189</v>
      </c>
      <c r="D2950" s="6" t="str">
        <f>HYPERLINK("https://rmda.kulib.kyoto-u.ac.jp/item/rb00002310#?c=0&amp;m=0&amp;s=0&amp;cv=188")</f>
        <v>https://rmda.kulib.kyoto-u.ac.jp/item/rb00002310#?c=0&amp;m=0&amp;s=0&amp;cv=188</v>
      </c>
    </row>
    <row r="2951" spans="1:4" x14ac:dyDescent="0.15">
      <c r="A2951" s="6" t="s">
        <v>133</v>
      </c>
      <c r="B2951" s="6" t="s">
        <v>4749</v>
      </c>
      <c r="C2951" s="6">
        <v>189</v>
      </c>
      <c r="D2951" s="6" t="str">
        <f>HYPERLINK("https://rmda.kulib.kyoto-u.ac.jp/item/rb00002310#?c=0&amp;m=0&amp;s=0&amp;cv=188")</f>
        <v>https://rmda.kulib.kyoto-u.ac.jp/item/rb00002310#?c=0&amp;m=0&amp;s=0&amp;cv=188</v>
      </c>
    </row>
    <row r="2952" spans="1:4" x14ac:dyDescent="0.15">
      <c r="A2952" s="6" t="s">
        <v>133</v>
      </c>
      <c r="B2952" s="6" t="s">
        <v>1838</v>
      </c>
      <c r="C2952" s="6">
        <v>189</v>
      </c>
      <c r="D2952" s="6" t="str">
        <f>HYPERLINK("https://rmda.kulib.kyoto-u.ac.jp/item/rb00002310#?c=0&amp;m=0&amp;s=0&amp;cv=188")</f>
        <v>https://rmda.kulib.kyoto-u.ac.jp/item/rb00002310#?c=0&amp;m=0&amp;s=0&amp;cv=188</v>
      </c>
    </row>
    <row r="2953" spans="1:4" x14ac:dyDescent="0.15">
      <c r="A2953" s="6" t="s">
        <v>133</v>
      </c>
      <c r="B2953" s="63" t="s">
        <v>4524</v>
      </c>
      <c r="C2953" s="6">
        <v>189</v>
      </c>
      <c r="D2953" s="6" t="str">
        <f>HYPERLINK("https://rmda.kulib.kyoto-u.ac.jp/item/rb00002310#?c=0&amp;m=0&amp;s=0&amp;cv=188")</f>
        <v>https://rmda.kulib.kyoto-u.ac.jp/item/rb00002310#?c=0&amp;m=0&amp;s=0&amp;cv=188</v>
      </c>
    </row>
    <row r="2954" spans="1:4" x14ac:dyDescent="0.15">
      <c r="A2954" s="6" t="s">
        <v>133</v>
      </c>
      <c r="B2954" s="6" t="s">
        <v>4525</v>
      </c>
      <c r="C2954" s="6">
        <v>190</v>
      </c>
      <c r="D2954" s="6" t="str">
        <f>HYPERLINK("https://rmda.kulib.kyoto-u.ac.jp/item/rb00002310#?c=0&amp;m=0&amp;s=0&amp;cv=189")</f>
        <v>https://rmda.kulib.kyoto-u.ac.jp/item/rb00002310#?c=0&amp;m=0&amp;s=0&amp;cv=189</v>
      </c>
    </row>
    <row r="2955" spans="1:4" x14ac:dyDescent="0.15">
      <c r="A2955" s="6" t="s">
        <v>133</v>
      </c>
      <c r="B2955" s="6" t="s">
        <v>1517</v>
      </c>
      <c r="C2955" s="6">
        <v>191</v>
      </c>
      <c r="D2955" s="6" t="str">
        <f>HYPERLINK("https://rmda.kulib.kyoto-u.ac.jp/item/rb00002310#?c=0&amp;m=0&amp;s=0&amp;cv=190")</f>
        <v>https://rmda.kulib.kyoto-u.ac.jp/item/rb00002310#?c=0&amp;m=0&amp;s=0&amp;cv=190</v>
      </c>
    </row>
    <row r="2956" spans="1:4" x14ac:dyDescent="0.15">
      <c r="A2956" s="6" t="s">
        <v>133</v>
      </c>
      <c r="B2956" s="6" t="s">
        <v>4526</v>
      </c>
      <c r="C2956" s="6">
        <v>191</v>
      </c>
      <c r="D2956" s="6" t="str">
        <f>HYPERLINK("https://rmda.kulib.kyoto-u.ac.jp/item/rb00002310#?c=0&amp;m=0&amp;s=0&amp;cv=190")</f>
        <v>https://rmda.kulib.kyoto-u.ac.jp/item/rb00002310#?c=0&amp;m=0&amp;s=0&amp;cv=190</v>
      </c>
    </row>
    <row r="2957" spans="1:4" x14ac:dyDescent="0.15">
      <c r="A2957" s="6" t="s">
        <v>133</v>
      </c>
      <c r="B2957" s="6" t="s">
        <v>2134</v>
      </c>
      <c r="C2957" s="6">
        <v>191</v>
      </c>
      <c r="D2957" s="6" t="str">
        <f>HYPERLINK("https://rmda.kulib.kyoto-u.ac.jp/item/rb00002310#?c=0&amp;m=0&amp;s=0&amp;cv=190")</f>
        <v>https://rmda.kulib.kyoto-u.ac.jp/item/rb00002310#?c=0&amp;m=0&amp;s=0&amp;cv=190</v>
      </c>
    </row>
    <row r="2958" spans="1:4" x14ac:dyDescent="0.15">
      <c r="A2958" s="6" t="s">
        <v>133</v>
      </c>
      <c r="B2958" s="6" t="s">
        <v>4750</v>
      </c>
      <c r="C2958" s="6">
        <v>192</v>
      </c>
      <c r="D2958" s="6" t="str">
        <f>HYPERLINK("https://rmda.kulib.kyoto-u.ac.jp/item/rb00002310#?c=0&amp;m=0&amp;s=0&amp;cv=191")</f>
        <v>https://rmda.kulib.kyoto-u.ac.jp/item/rb00002310#?c=0&amp;m=0&amp;s=0&amp;cv=191</v>
      </c>
    </row>
    <row r="2959" spans="1:4" x14ac:dyDescent="0.15">
      <c r="A2959" s="6" t="s">
        <v>133</v>
      </c>
      <c r="B2959" s="6" t="s">
        <v>4751</v>
      </c>
      <c r="C2959" s="6">
        <v>192</v>
      </c>
      <c r="D2959" s="6" t="str">
        <f>HYPERLINK("https://rmda.kulib.kyoto-u.ac.jp/item/rb00002310#?c=0&amp;m=0&amp;s=0&amp;cv=191")</f>
        <v>https://rmda.kulib.kyoto-u.ac.jp/item/rb00002310#?c=0&amp;m=0&amp;s=0&amp;cv=191</v>
      </c>
    </row>
    <row r="2960" spans="1:4" x14ac:dyDescent="0.15">
      <c r="A2960" s="6" t="s">
        <v>133</v>
      </c>
      <c r="B2960" s="63" t="s">
        <v>4527</v>
      </c>
      <c r="C2960" s="6">
        <v>192</v>
      </c>
      <c r="D2960" s="6" t="str">
        <f>HYPERLINK("https://rmda.kulib.kyoto-u.ac.jp/item/rb00002310#?c=0&amp;m=0&amp;s=0&amp;cv=191")</f>
        <v>https://rmda.kulib.kyoto-u.ac.jp/item/rb00002310#?c=0&amp;m=0&amp;s=0&amp;cv=191</v>
      </c>
    </row>
    <row r="2961" spans="1:4" x14ac:dyDescent="0.15">
      <c r="A2961" s="6" t="s">
        <v>133</v>
      </c>
      <c r="B2961" s="6" t="s">
        <v>4343</v>
      </c>
      <c r="C2961" s="6">
        <v>193</v>
      </c>
      <c r="D2961" s="6" t="str">
        <f>HYPERLINK("https://rmda.kulib.kyoto-u.ac.jp/item/rb00002310#?c=0&amp;m=0&amp;s=0&amp;cv=192")</f>
        <v>https://rmda.kulib.kyoto-u.ac.jp/item/rb00002310#?c=0&amp;m=0&amp;s=0&amp;cv=192</v>
      </c>
    </row>
    <row r="2962" spans="1:4" x14ac:dyDescent="0.15">
      <c r="A2962" s="6" t="s">
        <v>133</v>
      </c>
      <c r="B2962" s="6" t="s">
        <v>4752</v>
      </c>
      <c r="C2962" s="6">
        <v>193</v>
      </c>
      <c r="D2962" s="6" t="str">
        <f>HYPERLINK("https://rmda.kulib.kyoto-u.ac.jp/item/rb00002310#?c=0&amp;m=0&amp;s=0&amp;cv=192")</f>
        <v>https://rmda.kulib.kyoto-u.ac.jp/item/rb00002310#?c=0&amp;m=0&amp;s=0&amp;cv=192</v>
      </c>
    </row>
    <row r="2963" spans="1:4" x14ac:dyDescent="0.15">
      <c r="A2963" s="6" t="s">
        <v>133</v>
      </c>
      <c r="B2963" s="6" t="s">
        <v>4753</v>
      </c>
      <c r="C2963" s="6">
        <v>194</v>
      </c>
      <c r="D2963" s="6" t="str">
        <f>HYPERLINK("https://rmda.kulib.kyoto-u.ac.jp/item/rb00002310#?c=0&amp;m=0&amp;s=0&amp;cv=193")</f>
        <v>https://rmda.kulib.kyoto-u.ac.jp/item/rb00002310#?c=0&amp;m=0&amp;s=0&amp;cv=193</v>
      </c>
    </row>
    <row r="2964" spans="1:4" x14ac:dyDescent="0.15">
      <c r="A2964" s="6" t="s">
        <v>133</v>
      </c>
      <c r="B2964" s="6" t="s">
        <v>4528</v>
      </c>
      <c r="C2964" s="6">
        <v>194</v>
      </c>
      <c r="D2964" s="6" t="str">
        <f>HYPERLINK("https://rmda.kulib.kyoto-u.ac.jp/item/rb00002310#?c=0&amp;m=0&amp;s=0&amp;cv=193")</f>
        <v>https://rmda.kulib.kyoto-u.ac.jp/item/rb00002310#?c=0&amp;m=0&amp;s=0&amp;cv=193</v>
      </c>
    </row>
    <row r="2965" spans="1:4" x14ac:dyDescent="0.15">
      <c r="A2965" s="6" t="s">
        <v>133</v>
      </c>
      <c r="B2965" s="6" t="s">
        <v>4403</v>
      </c>
      <c r="C2965" s="6">
        <v>195</v>
      </c>
      <c r="D2965" s="6" t="str">
        <f>HYPERLINK("https://rmda.kulib.kyoto-u.ac.jp/item/rb00002310#?c=0&amp;m=0&amp;s=0&amp;cv=194")</f>
        <v>https://rmda.kulib.kyoto-u.ac.jp/item/rb00002310#?c=0&amp;m=0&amp;s=0&amp;cv=194</v>
      </c>
    </row>
    <row r="2966" spans="1:4" x14ac:dyDescent="0.15">
      <c r="A2966" s="6" t="s">
        <v>133</v>
      </c>
      <c r="B2966" s="6" t="s">
        <v>4754</v>
      </c>
      <c r="C2966" s="6">
        <v>195</v>
      </c>
      <c r="D2966" s="6" t="str">
        <f>HYPERLINK("https://rmda.kulib.kyoto-u.ac.jp/item/rb00002310#?c=0&amp;m=0&amp;s=0&amp;cv=194")</f>
        <v>https://rmda.kulib.kyoto-u.ac.jp/item/rb00002310#?c=0&amp;m=0&amp;s=0&amp;cv=194</v>
      </c>
    </row>
    <row r="2967" spans="1:4" x14ac:dyDescent="0.15">
      <c r="A2967" s="6" t="s">
        <v>133</v>
      </c>
      <c r="B2967" s="6" t="s">
        <v>2167</v>
      </c>
      <c r="C2967" s="6">
        <v>195</v>
      </c>
      <c r="D2967" s="6" t="str">
        <f>HYPERLINK("https://rmda.kulib.kyoto-u.ac.jp/item/rb00002310#?c=0&amp;m=0&amp;s=0&amp;cv=194")</f>
        <v>https://rmda.kulib.kyoto-u.ac.jp/item/rb00002310#?c=0&amp;m=0&amp;s=0&amp;cv=194</v>
      </c>
    </row>
    <row r="2968" spans="1:4" x14ac:dyDescent="0.15">
      <c r="A2968" s="6" t="s">
        <v>133</v>
      </c>
      <c r="B2968" s="63" t="s">
        <v>4674</v>
      </c>
      <c r="C2968" s="6">
        <v>196</v>
      </c>
      <c r="D2968" s="6" t="str">
        <f>HYPERLINK("https://rmda.kulib.kyoto-u.ac.jp/item/rb00002310#?c=0&amp;m=0&amp;s=0&amp;cv=195")</f>
        <v>https://rmda.kulib.kyoto-u.ac.jp/item/rb00002310#?c=0&amp;m=0&amp;s=0&amp;cv=195</v>
      </c>
    </row>
    <row r="2969" spans="1:4" x14ac:dyDescent="0.15">
      <c r="A2969" s="6" t="s">
        <v>133</v>
      </c>
      <c r="B2969" s="6" t="s">
        <v>1916</v>
      </c>
      <c r="C2969" s="6">
        <v>196</v>
      </c>
      <c r="D2969" s="6" t="str">
        <f>HYPERLINK("https://rmda.kulib.kyoto-u.ac.jp/item/rb00002310#?c=0&amp;m=0&amp;s=0&amp;cv=195")</f>
        <v>https://rmda.kulib.kyoto-u.ac.jp/item/rb00002310#?c=0&amp;m=0&amp;s=0&amp;cv=195</v>
      </c>
    </row>
    <row r="2970" spans="1:4" x14ac:dyDescent="0.15">
      <c r="A2970" s="6" t="s">
        <v>133</v>
      </c>
      <c r="B2970" s="6" t="s">
        <v>2011</v>
      </c>
      <c r="C2970" s="6">
        <v>197</v>
      </c>
      <c r="D2970" s="6" t="str">
        <f>HYPERLINK("https://rmda.kulib.kyoto-u.ac.jp/item/rb00002310#?c=0&amp;m=0&amp;s=0&amp;cv=196")</f>
        <v>https://rmda.kulib.kyoto-u.ac.jp/item/rb00002310#?c=0&amp;m=0&amp;s=0&amp;cv=196</v>
      </c>
    </row>
    <row r="2971" spans="1:4" x14ac:dyDescent="0.15">
      <c r="A2971" s="6" t="s">
        <v>133</v>
      </c>
      <c r="B2971" s="6" t="s">
        <v>4803</v>
      </c>
      <c r="C2971" s="6">
        <v>197</v>
      </c>
      <c r="D2971" s="6" t="str">
        <f>HYPERLINK("https://rmda.kulib.kyoto-u.ac.jp/item/rb00002310#?c=0&amp;m=0&amp;s=0&amp;cv=196")</f>
        <v>https://rmda.kulib.kyoto-u.ac.jp/item/rb00002310#?c=0&amp;m=0&amp;s=0&amp;cv=196</v>
      </c>
    </row>
    <row r="2972" spans="1:4" x14ac:dyDescent="0.15">
      <c r="A2972" s="6" t="s">
        <v>133</v>
      </c>
      <c r="B2972" s="6" t="s">
        <v>4804</v>
      </c>
      <c r="C2972" s="6">
        <v>197</v>
      </c>
      <c r="D2972" s="6" t="str">
        <f>HYPERLINK("https://rmda.kulib.kyoto-u.ac.jp/item/rb00002310#?c=0&amp;m=0&amp;s=0&amp;cv=196")</f>
        <v>https://rmda.kulib.kyoto-u.ac.jp/item/rb00002310#?c=0&amp;m=0&amp;s=0&amp;cv=196</v>
      </c>
    </row>
    <row r="2973" spans="1:4" x14ac:dyDescent="0.15">
      <c r="A2973" s="6" t="s">
        <v>133</v>
      </c>
      <c r="B2973" s="6" t="s">
        <v>4805</v>
      </c>
      <c r="C2973" s="6">
        <v>197</v>
      </c>
      <c r="D2973" s="6" t="str">
        <f>HYPERLINK("https://rmda.kulib.kyoto-u.ac.jp/item/rb00002310#?c=0&amp;m=0&amp;s=0&amp;cv=196")</f>
        <v>https://rmda.kulib.kyoto-u.ac.jp/item/rb00002310#?c=0&amp;m=0&amp;s=0&amp;cv=196</v>
      </c>
    </row>
    <row r="2974" spans="1:4" x14ac:dyDescent="0.15">
      <c r="A2974" s="6" t="s">
        <v>133</v>
      </c>
      <c r="B2974" s="6" t="s">
        <v>4675</v>
      </c>
      <c r="C2974" s="6">
        <v>198</v>
      </c>
      <c r="D2974" s="6" t="str">
        <f>HYPERLINK("https://rmda.kulib.kyoto-u.ac.jp/item/rb00002310#?c=0&amp;m=0&amp;s=0&amp;cv=197")</f>
        <v>https://rmda.kulib.kyoto-u.ac.jp/item/rb00002310#?c=0&amp;m=0&amp;s=0&amp;cv=197</v>
      </c>
    </row>
    <row r="2975" spans="1:4" x14ac:dyDescent="0.15">
      <c r="A2975" s="6" t="s">
        <v>133</v>
      </c>
      <c r="B2975" s="6" t="s">
        <v>1919</v>
      </c>
      <c r="C2975" s="6">
        <v>198</v>
      </c>
      <c r="D2975" s="6" t="str">
        <f>HYPERLINK("https://rmda.kulib.kyoto-u.ac.jp/item/rb00002310#?c=0&amp;m=0&amp;s=0&amp;cv=197")</f>
        <v>https://rmda.kulib.kyoto-u.ac.jp/item/rb00002310#?c=0&amp;m=0&amp;s=0&amp;cv=197</v>
      </c>
    </row>
    <row r="2976" spans="1:4" x14ac:dyDescent="0.15">
      <c r="A2976" s="6" t="s">
        <v>133</v>
      </c>
      <c r="B2976" s="63" t="s">
        <v>4663</v>
      </c>
      <c r="C2976" s="6">
        <v>198</v>
      </c>
      <c r="D2976" s="6" t="str">
        <f>HYPERLINK("https://rmda.kulib.kyoto-u.ac.jp/item/rb00002310#?c=0&amp;m=0&amp;s=0&amp;cv=197")</f>
        <v>https://rmda.kulib.kyoto-u.ac.jp/item/rb00002310#?c=0&amp;m=0&amp;s=0&amp;cv=197</v>
      </c>
    </row>
    <row r="2977" spans="1:4" x14ac:dyDescent="0.15">
      <c r="A2977" s="6" t="s">
        <v>133</v>
      </c>
      <c r="B2977" s="6" t="s">
        <v>4800</v>
      </c>
      <c r="C2977" s="6">
        <v>199</v>
      </c>
      <c r="D2977" s="6" t="str">
        <f>HYPERLINK("https://rmda.kulib.kyoto-u.ac.jp/item/rb00002310#?c=0&amp;m=0&amp;s=0&amp;cv=198")</f>
        <v>https://rmda.kulib.kyoto-u.ac.jp/item/rb00002310#?c=0&amp;m=0&amp;s=0&amp;cv=198</v>
      </c>
    </row>
    <row r="2978" spans="1:4" x14ac:dyDescent="0.15">
      <c r="A2978" s="6" t="s">
        <v>133</v>
      </c>
      <c r="B2978" s="6" t="s">
        <v>4801</v>
      </c>
      <c r="C2978" s="6">
        <v>199</v>
      </c>
      <c r="D2978" s="6" t="str">
        <f>HYPERLINK("https://rmda.kulib.kyoto-u.ac.jp/item/rb00002310#?c=0&amp;m=0&amp;s=0&amp;cv=198")</f>
        <v>https://rmda.kulib.kyoto-u.ac.jp/item/rb00002310#?c=0&amp;m=0&amp;s=0&amp;cv=198</v>
      </c>
    </row>
    <row r="2979" spans="1:4" x14ac:dyDescent="0.15">
      <c r="A2979" s="6" t="s">
        <v>133</v>
      </c>
      <c r="B2979" s="6" t="s">
        <v>4664</v>
      </c>
      <c r="C2979" s="6">
        <v>199</v>
      </c>
      <c r="D2979" s="6" t="str">
        <f>HYPERLINK("https://rmda.kulib.kyoto-u.ac.jp/item/rb00002310#?c=0&amp;m=0&amp;s=0&amp;cv=198")</f>
        <v>https://rmda.kulib.kyoto-u.ac.jp/item/rb00002310#?c=0&amp;m=0&amp;s=0&amp;cv=198</v>
      </c>
    </row>
    <row r="2980" spans="1:4" x14ac:dyDescent="0.15">
      <c r="A2980" s="6" t="s">
        <v>133</v>
      </c>
      <c r="B2980" s="6" t="s">
        <v>4665</v>
      </c>
      <c r="C2980" s="6">
        <v>200</v>
      </c>
      <c r="D2980" s="6" t="str">
        <f>HYPERLINK("https://rmda.kulib.kyoto-u.ac.jp/item/rb00002310#?c=0&amp;m=0&amp;s=0&amp;cv=199")</f>
        <v>https://rmda.kulib.kyoto-u.ac.jp/item/rb00002310#?c=0&amp;m=0&amp;s=0&amp;cv=199</v>
      </c>
    </row>
    <row r="2981" spans="1:4" x14ac:dyDescent="0.15">
      <c r="A2981" s="6" t="s">
        <v>133</v>
      </c>
      <c r="B2981" s="6" t="s">
        <v>1852</v>
      </c>
      <c r="C2981" s="6">
        <v>200</v>
      </c>
      <c r="D2981" s="6" t="str">
        <f>HYPERLINK("https://rmda.kulib.kyoto-u.ac.jp/item/rb00002310#?c=0&amp;m=0&amp;s=0&amp;cv=199")</f>
        <v>https://rmda.kulib.kyoto-u.ac.jp/item/rb00002310#?c=0&amp;m=0&amp;s=0&amp;cv=199</v>
      </c>
    </row>
    <row r="2982" spans="1:4" x14ac:dyDescent="0.15">
      <c r="A2982" s="6" t="s">
        <v>133</v>
      </c>
      <c r="B2982" s="6" t="s">
        <v>4666</v>
      </c>
      <c r="C2982" s="6">
        <v>200</v>
      </c>
      <c r="D2982" s="6" t="str">
        <f>HYPERLINK("https://rmda.kulib.kyoto-u.ac.jp/item/rb00002310#?c=0&amp;m=0&amp;s=0&amp;cv=199")</f>
        <v>https://rmda.kulib.kyoto-u.ac.jp/item/rb00002310#?c=0&amp;m=0&amp;s=0&amp;cv=199</v>
      </c>
    </row>
    <row r="2983" spans="1:4" x14ac:dyDescent="0.15">
      <c r="A2983" s="6" t="s">
        <v>133</v>
      </c>
      <c r="B2983" s="63" t="s">
        <v>4646</v>
      </c>
      <c r="C2983" s="6">
        <v>200</v>
      </c>
      <c r="D2983" s="6" t="str">
        <f>HYPERLINK("https://rmda.kulib.kyoto-u.ac.jp/item/rb00002310#?c=0&amp;m=0&amp;s=0&amp;cv=199")</f>
        <v>https://rmda.kulib.kyoto-u.ac.jp/item/rb00002310#?c=0&amp;m=0&amp;s=0&amp;cv=199</v>
      </c>
    </row>
    <row r="2984" spans="1:4" x14ac:dyDescent="0.15">
      <c r="A2984" s="6" t="s">
        <v>133</v>
      </c>
      <c r="B2984" s="6" t="s">
        <v>4647</v>
      </c>
      <c r="C2984" s="6">
        <v>201</v>
      </c>
      <c r="D2984" s="6" t="str">
        <f>HYPERLINK("https://rmda.kulib.kyoto-u.ac.jp/item/rb00002310#?c=0&amp;m=0&amp;s=0&amp;cv=200")</f>
        <v>https://rmda.kulib.kyoto-u.ac.jp/item/rb00002310#?c=0&amp;m=0&amp;s=0&amp;cv=200</v>
      </c>
    </row>
    <row r="2985" spans="1:4" x14ac:dyDescent="0.15">
      <c r="A2985" s="6" t="s">
        <v>133</v>
      </c>
      <c r="B2985" s="6" t="s">
        <v>2131</v>
      </c>
      <c r="C2985" s="6">
        <v>202</v>
      </c>
      <c r="D2985" s="6" t="str">
        <f>HYPERLINK("https://rmda.kulib.kyoto-u.ac.jp/item/rb00002310#?c=0&amp;m=0&amp;s=0&amp;cv=201")</f>
        <v>https://rmda.kulib.kyoto-u.ac.jp/item/rb00002310#?c=0&amp;m=0&amp;s=0&amp;cv=201</v>
      </c>
    </row>
    <row r="2986" spans="1:4" x14ac:dyDescent="0.15">
      <c r="A2986" s="6" t="s">
        <v>133</v>
      </c>
      <c r="B2986" s="6" t="s">
        <v>4648</v>
      </c>
      <c r="C2986" s="6">
        <v>202</v>
      </c>
      <c r="D2986" s="6" t="str">
        <f>HYPERLINK("https://rmda.kulib.kyoto-u.ac.jp/item/rb00002310#?c=0&amp;m=0&amp;s=0&amp;cv=201")</f>
        <v>https://rmda.kulib.kyoto-u.ac.jp/item/rb00002310#?c=0&amp;m=0&amp;s=0&amp;cv=201</v>
      </c>
    </row>
    <row r="2987" spans="1:4" x14ac:dyDescent="0.15">
      <c r="A2987" s="6" t="s">
        <v>133</v>
      </c>
      <c r="B2987" s="6" t="s">
        <v>4795</v>
      </c>
      <c r="C2987" s="6">
        <v>202</v>
      </c>
      <c r="D2987" s="6" t="str">
        <f>HYPERLINK("https://rmda.kulib.kyoto-u.ac.jp/item/rb00002310#?c=0&amp;m=0&amp;s=0&amp;cv=201")</f>
        <v>https://rmda.kulib.kyoto-u.ac.jp/item/rb00002310#?c=0&amp;m=0&amp;s=0&amp;cv=201</v>
      </c>
    </row>
    <row r="2988" spans="1:4" x14ac:dyDescent="0.15">
      <c r="A2988" s="6" t="s">
        <v>133</v>
      </c>
      <c r="B2988" s="6" t="s">
        <v>4796</v>
      </c>
      <c r="C2988" s="6">
        <v>203</v>
      </c>
      <c r="D2988" s="6" t="str">
        <f>HYPERLINK("https://rmda.kulib.kyoto-u.ac.jp/item/rb00002310#?c=0&amp;m=0&amp;s=0&amp;cv=202")</f>
        <v>https://rmda.kulib.kyoto-u.ac.jp/item/rb00002310#?c=0&amp;m=0&amp;s=0&amp;cv=202</v>
      </c>
    </row>
    <row r="2989" spans="1:4" x14ac:dyDescent="0.15">
      <c r="A2989" s="6" t="s">
        <v>133</v>
      </c>
      <c r="B2989" s="6" t="s">
        <v>2366</v>
      </c>
      <c r="C2989" s="6">
        <v>203</v>
      </c>
      <c r="D2989" s="6" t="str">
        <f>HYPERLINK("https://rmda.kulib.kyoto-u.ac.jp/item/rb00002310#?c=0&amp;m=0&amp;s=0&amp;cv=202")</f>
        <v>https://rmda.kulib.kyoto-u.ac.jp/item/rb00002310#?c=0&amp;m=0&amp;s=0&amp;cv=202</v>
      </c>
    </row>
    <row r="2990" spans="1:4" x14ac:dyDescent="0.15">
      <c r="A2990" s="6" t="s">
        <v>133</v>
      </c>
      <c r="B2990" s="6" t="s">
        <v>4797</v>
      </c>
      <c r="C2990" s="6">
        <v>203</v>
      </c>
      <c r="D2990" s="6" t="str">
        <f>HYPERLINK("https://rmda.kulib.kyoto-u.ac.jp/item/rb00002310#?c=0&amp;m=0&amp;s=0&amp;cv=202")</f>
        <v>https://rmda.kulib.kyoto-u.ac.jp/item/rb00002310#?c=0&amp;m=0&amp;s=0&amp;cv=202</v>
      </c>
    </row>
    <row r="2991" spans="1:4" x14ac:dyDescent="0.15">
      <c r="A2991" s="6" t="s">
        <v>133</v>
      </c>
      <c r="B2991" s="63" t="s">
        <v>4667</v>
      </c>
      <c r="C2991" s="6">
        <v>203</v>
      </c>
      <c r="D2991" s="6" t="str">
        <f>HYPERLINK("https://rmda.kulib.kyoto-u.ac.jp/item/rb00002310#?c=0&amp;m=0&amp;s=0&amp;cv=202")</f>
        <v>https://rmda.kulib.kyoto-u.ac.jp/item/rb00002310#?c=0&amp;m=0&amp;s=0&amp;cv=202</v>
      </c>
    </row>
    <row r="2992" spans="1:4" x14ac:dyDescent="0.15">
      <c r="A2992" s="6" t="s">
        <v>133</v>
      </c>
      <c r="B2992" s="6" t="s">
        <v>4668</v>
      </c>
      <c r="C2992" s="6">
        <v>204</v>
      </c>
      <c r="D2992" s="6" t="str">
        <f>HYPERLINK("https://rmda.kulib.kyoto-u.ac.jp/item/rb00002310#?c=0&amp;m=0&amp;s=0&amp;cv=203")</f>
        <v>https://rmda.kulib.kyoto-u.ac.jp/item/rb00002310#?c=0&amp;m=0&amp;s=0&amp;cv=203</v>
      </c>
    </row>
    <row r="2993" spans="1:4" x14ac:dyDescent="0.15">
      <c r="A2993" s="6" t="s">
        <v>133</v>
      </c>
      <c r="B2993" s="6" t="s">
        <v>4669</v>
      </c>
      <c r="C2993" s="6">
        <v>204</v>
      </c>
      <c r="D2993" s="6" t="str">
        <f>HYPERLINK("https://rmda.kulib.kyoto-u.ac.jp/item/rb00002310#?c=0&amp;m=0&amp;s=0&amp;cv=203")</f>
        <v>https://rmda.kulib.kyoto-u.ac.jp/item/rb00002310#?c=0&amp;m=0&amp;s=0&amp;cv=203</v>
      </c>
    </row>
    <row r="2994" spans="1:4" x14ac:dyDescent="0.15">
      <c r="A2994" s="6" t="s">
        <v>133</v>
      </c>
      <c r="B2994" s="6" t="s">
        <v>1588</v>
      </c>
      <c r="C2994" s="6">
        <v>204</v>
      </c>
      <c r="D2994" s="6" t="str">
        <f>HYPERLINK("https://rmda.kulib.kyoto-u.ac.jp/item/rb00002310#?c=0&amp;m=0&amp;s=0&amp;cv=203")</f>
        <v>https://rmda.kulib.kyoto-u.ac.jp/item/rb00002310#?c=0&amp;m=0&amp;s=0&amp;cv=203</v>
      </c>
    </row>
    <row r="2995" spans="1:4" x14ac:dyDescent="0.15">
      <c r="A2995" s="6" t="s">
        <v>133</v>
      </c>
      <c r="B2995" s="6" t="s">
        <v>4670</v>
      </c>
      <c r="C2995" s="6">
        <v>205</v>
      </c>
      <c r="D2995" s="6" t="str">
        <f>HYPERLINK("https://rmda.kulib.kyoto-u.ac.jp/item/rb00002310#?c=0&amp;m=0&amp;s=0&amp;cv=204")</f>
        <v>https://rmda.kulib.kyoto-u.ac.jp/item/rb00002310#?c=0&amp;m=0&amp;s=0&amp;cv=204</v>
      </c>
    </row>
    <row r="2996" spans="1:4" x14ac:dyDescent="0.15">
      <c r="A2996" s="6" t="s">
        <v>133</v>
      </c>
      <c r="B2996" s="6" t="s">
        <v>4802</v>
      </c>
      <c r="C2996" s="6">
        <v>205</v>
      </c>
      <c r="D2996" s="6" t="str">
        <f>HYPERLINK("https://rmda.kulib.kyoto-u.ac.jp/item/rb00002310#?c=0&amp;m=0&amp;s=0&amp;cv=204")</f>
        <v>https://rmda.kulib.kyoto-u.ac.jp/item/rb00002310#?c=0&amp;m=0&amp;s=0&amp;cv=204</v>
      </c>
    </row>
    <row r="2997" spans="1:4" x14ac:dyDescent="0.15">
      <c r="A2997" s="6" t="s">
        <v>133</v>
      </c>
      <c r="B2997" s="6" t="s">
        <v>4673</v>
      </c>
      <c r="C2997" s="6">
        <v>205</v>
      </c>
      <c r="D2997" s="6" t="str">
        <f>HYPERLINK("https://rmda.kulib.kyoto-u.ac.jp/item/rb00002310#?c=0&amp;m=0&amp;s=0&amp;cv=204")</f>
        <v>https://rmda.kulib.kyoto-u.ac.jp/item/rb00002310#?c=0&amp;m=0&amp;s=0&amp;cv=204</v>
      </c>
    </row>
    <row r="2998" spans="1:4" x14ac:dyDescent="0.15">
      <c r="A2998" s="6" t="s">
        <v>133</v>
      </c>
      <c r="B2998" s="63" t="s">
        <v>4652</v>
      </c>
      <c r="C2998" s="6">
        <v>205</v>
      </c>
      <c r="D2998" s="6" t="str">
        <f>HYPERLINK("https://rmda.kulib.kyoto-u.ac.jp/item/rb00002310#?c=0&amp;m=0&amp;s=0&amp;cv=204")</f>
        <v>https://rmda.kulib.kyoto-u.ac.jp/item/rb00002310#?c=0&amp;m=0&amp;s=0&amp;cv=204</v>
      </c>
    </row>
    <row r="2999" spans="1:4" x14ac:dyDescent="0.15">
      <c r="A2999" s="6" t="s">
        <v>133</v>
      </c>
      <c r="B2999" s="6" t="s">
        <v>2163</v>
      </c>
      <c r="C2999" s="6">
        <v>205</v>
      </c>
      <c r="D2999" s="6" t="str">
        <f>HYPERLINK("https://rmda.kulib.kyoto-u.ac.jp/item/rb00002310#?c=0&amp;m=0&amp;s=0&amp;cv=204")</f>
        <v>https://rmda.kulib.kyoto-u.ac.jp/item/rb00002310#?c=0&amp;m=0&amp;s=0&amp;cv=204</v>
      </c>
    </row>
    <row r="3000" spans="1:4" x14ac:dyDescent="0.15">
      <c r="A3000" s="6" t="s">
        <v>133</v>
      </c>
      <c r="B3000" s="6" t="s">
        <v>4832</v>
      </c>
      <c r="C3000" s="6">
        <v>206</v>
      </c>
      <c r="D3000" s="6" t="str">
        <f>HYPERLINK("https://rmda.kulib.kyoto-u.ac.jp/item/rb00002310#?c=0&amp;m=0&amp;s=0&amp;cv=205")</f>
        <v>https://rmda.kulib.kyoto-u.ac.jp/item/rb00002310#?c=0&amp;m=0&amp;s=0&amp;cv=205</v>
      </c>
    </row>
    <row r="3001" spans="1:4" x14ac:dyDescent="0.15">
      <c r="A3001" s="6" t="s">
        <v>133</v>
      </c>
      <c r="B3001" s="6" t="s">
        <v>2347</v>
      </c>
      <c r="C3001" s="6">
        <v>206</v>
      </c>
      <c r="D3001" s="6" t="str">
        <f>HYPERLINK("https://rmda.kulib.kyoto-u.ac.jp/item/rb00002310#?c=0&amp;m=0&amp;s=0&amp;cv=205")</f>
        <v>https://rmda.kulib.kyoto-u.ac.jp/item/rb00002310#?c=0&amp;m=0&amp;s=0&amp;cv=205</v>
      </c>
    </row>
    <row r="3002" spans="1:4" x14ac:dyDescent="0.15">
      <c r="A3002" s="6" t="s">
        <v>133</v>
      </c>
      <c r="B3002" s="6" t="s">
        <v>4653</v>
      </c>
      <c r="C3002" s="6">
        <v>206</v>
      </c>
      <c r="D3002" s="6" t="str">
        <f>HYPERLINK("https://rmda.kulib.kyoto-u.ac.jp/item/rb00002310#?c=0&amp;m=0&amp;s=0&amp;cv=205")</f>
        <v>https://rmda.kulib.kyoto-u.ac.jp/item/rb00002310#?c=0&amp;m=0&amp;s=0&amp;cv=205</v>
      </c>
    </row>
    <row r="3003" spans="1:4" x14ac:dyDescent="0.15">
      <c r="A3003" s="6" t="s">
        <v>133</v>
      </c>
      <c r="B3003" s="63" t="s">
        <v>4658</v>
      </c>
      <c r="C3003" s="6">
        <v>206</v>
      </c>
      <c r="D3003" s="6" t="str">
        <f>HYPERLINK("https://rmda.kulib.kyoto-u.ac.jp/item/rb00002310#?c=0&amp;m=0&amp;s=0&amp;cv=205")</f>
        <v>https://rmda.kulib.kyoto-u.ac.jp/item/rb00002310#?c=0&amp;m=0&amp;s=0&amp;cv=205</v>
      </c>
    </row>
    <row r="3004" spans="1:4" x14ac:dyDescent="0.15">
      <c r="A3004" s="6" t="s">
        <v>133</v>
      </c>
      <c r="B3004" s="6" t="s">
        <v>4659</v>
      </c>
      <c r="C3004" s="6">
        <v>207</v>
      </c>
      <c r="D3004" s="6" t="str">
        <f>HYPERLINK("https://rmda.kulib.kyoto-u.ac.jp/item/rb00002310#?c=0&amp;m=0&amp;s=0&amp;cv=206")</f>
        <v>https://rmda.kulib.kyoto-u.ac.jp/item/rb00002310#?c=0&amp;m=0&amp;s=0&amp;cv=206</v>
      </c>
    </row>
    <row r="3005" spans="1:4" x14ac:dyDescent="0.15">
      <c r="A3005" s="6" t="s">
        <v>133</v>
      </c>
      <c r="B3005" s="6" t="s">
        <v>1896</v>
      </c>
      <c r="C3005" s="6">
        <v>207</v>
      </c>
      <c r="D3005" s="6" t="str">
        <f>HYPERLINK("https://rmda.kulib.kyoto-u.ac.jp/item/rb00002310#?c=0&amp;m=0&amp;s=0&amp;cv=206")</f>
        <v>https://rmda.kulib.kyoto-u.ac.jp/item/rb00002310#?c=0&amp;m=0&amp;s=0&amp;cv=206</v>
      </c>
    </row>
    <row r="3006" spans="1:4" x14ac:dyDescent="0.15">
      <c r="A3006" s="6" t="s">
        <v>133</v>
      </c>
      <c r="B3006" s="6" t="s">
        <v>4660</v>
      </c>
      <c r="C3006" s="6">
        <v>207</v>
      </c>
      <c r="D3006" s="6" t="str">
        <f>HYPERLINK("https://rmda.kulib.kyoto-u.ac.jp/item/rb00002310#?c=0&amp;m=0&amp;s=0&amp;cv=206")</f>
        <v>https://rmda.kulib.kyoto-u.ac.jp/item/rb00002310#?c=0&amp;m=0&amp;s=0&amp;cv=206</v>
      </c>
    </row>
    <row r="3007" spans="1:4" x14ac:dyDescent="0.15">
      <c r="A3007" s="6" t="s">
        <v>133</v>
      </c>
      <c r="B3007" s="63" t="s">
        <v>4654</v>
      </c>
      <c r="C3007" s="6">
        <v>207</v>
      </c>
      <c r="D3007" s="6" t="str">
        <f>HYPERLINK("https://rmda.kulib.kyoto-u.ac.jp/item/rb00002310#?c=0&amp;m=0&amp;s=0&amp;cv=206")</f>
        <v>https://rmda.kulib.kyoto-u.ac.jp/item/rb00002310#?c=0&amp;m=0&amp;s=0&amp;cv=206</v>
      </c>
    </row>
    <row r="3008" spans="1:4" x14ac:dyDescent="0.15">
      <c r="A3008" s="6" t="s">
        <v>133</v>
      </c>
      <c r="B3008" s="6" t="s">
        <v>4655</v>
      </c>
      <c r="C3008" s="6">
        <v>208</v>
      </c>
      <c r="D3008" s="6" t="str">
        <f>HYPERLINK("https://rmda.kulib.kyoto-u.ac.jp/item/rb00002310#?c=0&amp;m=0&amp;s=0&amp;cv=207")</f>
        <v>https://rmda.kulib.kyoto-u.ac.jp/item/rb00002310#?c=0&amp;m=0&amp;s=0&amp;cv=207</v>
      </c>
    </row>
    <row r="3009" spans="1:4" x14ac:dyDescent="0.15">
      <c r="A3009" s="6" t="s">
        <v>133</v>
      </c>
      <c r="B3009" s="6" t="s">
        <v>4656</v>
      </c>
      <c r="C3009" s="6">
        <v>208</v>
      </c>
      <c r="D3009" s="6" t="str">
        <f>HYPERLINK("https://rmda.kulib.kyoto-u.ac.jp/item/rb00002310#?c=0&amp;m=0&amp;s=0&amp;cv=207")</f>
        <v>https://rmda.kulib.kyoto-u.ac.jp/item/rb00002310#?c=0&amp;m=0&amp;s=0&amp;cv=207</v>
      </c>
    </row>
    <row r="3010" spans="1:4" x14ac:dyDescent="0.15">
      <c r="A3010" s="6" t="s">
        <v>133</v>
      </c>
      <c r="B3010" s="6" t="s">
        <v>4799</v>
      </c>
      <c r="C3010" s="6">
        <v>208</v>
      </c>
      <c r="D3010" s="6" t="str">
        <f>HYPERLINK("https://rmda.kulib.kyoto-u.ac.jp/item/rb00002310#?c=0&amp;m=0&amp;s=0&amp;cv=207")</f>
        <v>https://rmda.kulib.kyoto-u.ac.jp/item/rb00002310#?c=0&amp;m=0&amp;s=0&amp;cv=207</v>
      </c>
    </row>
    <row r="3011" spans="1:4" x14ac:dyDescent="0.15">
      <c r="A3011" s="6" t="s">
        <v>133</v>
      </c>
      <c r="B3011" s="6" t="s">
        <v>4657</v>
      </c>
      <c r="C3011" s="6">
        <v>209</v>
      </c>
      <c r="D3011" s="6" t="str">
        <f>HYPERLINK("https://rmda.kulib.kyoto-u.ac.jp/item/rb00002310#?c=0&amp;m=0&amp;s=0&amp;cv=208")</f>
        <v>https://rmda.kulib.kyoto-u.ac.jp/item/rb00002310#?c=0&amp;m=0&amp;s=0&amp;cv=208</v>
      </c>
    </row>
    <row r="3012" spans="1:4" x14ac:dyDescent="0.15">
      <c r="A3012" s="6" t="s">
        <v>133</v>
      </c>
      <c r="B3012" s="6" t="s">
        <v>4321</v>
      </c>
      <c r="C3012" s="6">
        <v>209</v>
      </c>
      <c r="D3012" s="6" t="str">
        <f>HYPERLINK("https://rmda.kulib.kyoto-u.ac.jp/item/rb00002310#?c=0&amp;m=0&amp;s=0&amp;cv=208")</f>
        <v>https://rmda.kulib.kyoto-u.ac.jp/item/rb00002310#?c=0&amp;m=0&amp;s=0&amp;cv=208</v>
      </c>
    </row>
    <row r="3013" spans="1:4" x14ac:dyDescent="0.15">
      <c r="A3013" s="6" t="s">
        <v>133</v>
      </c>
      <c r="B3013" s="63" t="s">
        <v>4661</v>
      </c>
      <c r="C3013" s="6">
        <v>209</v>
      </c>
      <c r="D3013" s="6" t="str">
        <f>HYPERLINK("https://rmda.kulib.kyoto-u.ac.jp/item/rb00002310#?c=0&amp;m=0&amp;s=0&amp;cv=208")</f>
        <v>https://rmda.kulib.kyoto-u.ac.jp/item/rb00002310#?c=0&amp;m=0&amp;s=0&amp;cv=208</v>
      </c>
    </row>
    <row r="3014" spans="1:4" x14ac:dyDescent="0.15">
      <c r="A3014" s="6" t="s">
        <v>133</v>
      </c>
      <c r="B3014" s="6" t="s">
        <v>1679</v>
      </c>
      <c r="C3014" s="6">
        <v>209</v>
      </c>
      <c r="D3014" s="6" t="str">
        <f>HYPERLINK("https://rmda.kulib.kyoto-u.ac.jp/item/rb00002310#?c=0&amp;m=0&amp;s=0&amp;cv=208")</f>
        <v>https://rmda.kulib.kyoto-u.ac.jp/item/rb00002310#?c=0&amp;m=0&amp;s=0&amp;cv=208</v>
      </c>
    </row>
    <row r="3015" spans="1:4" x14ac:dyDescent="0.15">
      <c r="A3015" s="6" t="s">
        <v>133</v>
      </c>
      <c r="B3015" s="6" t="s">
        <v>1905</v>
      </c>
      <c r="C3015" s="6">
        <v>210</v>
      </c>
      <c r="D3015" s="6" t="str">
        <f>HYPERLINK("https://rmda.kulib.kyoto-u.ac.jp/item/rb00002310#?c=0&amp;m=0&amp;s=0&amp;cv=209")</f>
        <v>https://rmda.kulib.kyoto-u.ac.jp/item/rb00002310#?c=0&amp;m=0&amp;s=0&amp;cv=209</v>
      </c>
    </row>
    <row r="3016" spans="1:4" x14ac:dyDescent="0.15">
      <c r="A3016" s="6" t="s">
        <v>133</v>
      </c>
      <c r="B3016" s="6" t="s">
        <v>4662</v>
      </c>
      <c r="C3016" s="6">
        <v>210</v>
      </c>
      <c r="D3016" s="6" t="str">
        <f>HYPERLINK("https://rmda.kulib.kyoto-u.ac.jp/item/rb00002310#?c=0&amp;m=0&amp;s=0&amp;cv=209")</f>
        <v>https://rmda.kulib.kyoto-u.ac.jp/item/rb00002310#?c=0&amp;m=0&amp;s=0&amp;cv=209</v>
      </c>
    </row>
    <row r="3017" spans="1:4" x14ac:dyDescent="0.15">
      <c r="A3017" s="6" t="s">
        <v>133</v>
      </c>
      <c r="B3017" s="6" t="s">
        <v>1933</v>
      </c>
      <c r="C3017" s="6">
        <v>210</v>
      </c>
      <c r="D3017" s="6" t="str">
        <f>HYPERLINK("https://rmda.kulib.kyoto-u.ac.jp/item/rb00002310#?c=0&amp;m=0&amp;s=0&amp;cv=209")</f>
        <v>https://rmda.kulib.kyoto-u.ac.jp/item/rb00002310#?c=0&amp;m=0&amp;s=0&amp;cv=209</v>
      </c>
    </row>
    <row r="3018" spans="1:4" x14ac:dyDescent="0.15">
      <c r="A3018" s="6" t="s">
        <v>133</v>
      </c>
      <c r="B3018" s="6" t="s">
        <v>1641</v>
      </c>
      <c r="C3018" s="6">
        <v>210</v>
      </c>
      <c r="D3018" s="6" t="str">
        <f>HYPERLINK("https://rmda.kulib.kyoto-u.ac.jp/item/rb00002310#?c=0&amp;m=0&amp;s=0&amp;cv=209")</f>
        <v>https://rmda.kulib.kyoto-u.ac.jp/item/rb00002310#?c=0&amp;m=0&amp;s=0&amp;cv=209</v>
      </c>
    </row>
    <row r="3019" spans="1:4" x14ac:dyDescent="0.15">
      <c r="A3019" s="6" t="s">
        <v>133</v>
      </c>
      <c r="B3019" s="63" t="s">
        <v>4649</v>
      </c>
      <c r="C3019" s="6">
        <v>210</v>
      </c>
      <c r="D3019" s="6" t="str">
        <f>HYPERLINK("https://rmda.kulib.kyoto-u.ac.jp/item/rb00002310#?c=0&amp;m=0&amp;s=0&amp;cv=209")</f>
        <v>https://rmda.kulib.kyoto-u.ac.jp/item/rb00002310#?c=0&amp;m=0&amp;s=0&amp;cv=209</v>
      </c>
    </row>
    <row r="3020" spans="1:4" x14ac:dyDescent="0.15">
      <c r="A3020" s="6" t="s">
        <v>133</v>
      </c>
      <c r="B3020" s="6" t="s">
        <v>4651</v>
      </c>
      <c r="C3020" s="6">
        <v>211</v>
      </c>
      <c r="D3020" s="6" t="str">
        <f>HYPERLINK("https://rmda.kulib.kyoto-u.ac.jp/item/rb00002310#?c=0&amp;m=0&amp;s=0&amp;cv=210")</f>
        <v>https://rmda.kulib.kyoto-u.ac.jp/item/rb00002310#?c=0&amp;m=0&amp;s=0&amp;cv=210</v>
      </c>
    </row>
    <row r="3021" spans="1:4" x14ac:dyDescent="0.15">
      <c r="A3021" s="6" t="s">
        <v>133</v>
      </c>
      <c r="B3021" s="6" t="s">
        <v>4650</v>
      </c>
      <c r="C3021" s="6">
        <v>211</v>
      </c>
      <c r="D3021" s="6" t="str">
        <f>HYPERLINK("https://rmda.kulib.kyoto-u.ac.jp/item/rb00002310#?c=0&amp;m=0&amp;s=0&amp;cv=210")</f>
        <v>https://rmda.kulib.kyoto-u.ac.jp/item/rb00002310#?c=0&amp;m=0&amp;s=0&amp;cv=210</v>
      </c>
    </row>
    <row r="3022" spans="1:4" x14ac:dyDescent="0.15">
      <c r="A3022" s="6" t="s">
        <v>133</v>
      </c>
      <c r="B3022" s="6" t="s">
        <v>2055</v>
      </c>
      <c r="C3022" s="6">
        <v>211</v>
      </c>
      <c r="D3022" s="6" t="str">
        <f>HYPERLINK("https://rmda.kulib.kyoto-u.ac.jp/item/rb00002310#?c=0&amp;m=0&amp;s=0&amp;cv=210")</f>
        <v>https://rmda.kulib.kyoto-u.ac.jp/item/rb00002310#?c=0&amp;m=0&amp;s=0&amp;cv=210</v>
      </c>
    </row>
    <row r="3023" spans="1:4" x14ac:dyDescent="0.15">
      <c r="A3023" s="6" t="s">
        <v>133</v>
      </c>
      <c r="B3023" s="6" t="s">
        <v>2376</v>
      </c>
      <c r="C3023" s="6">
        <v>212</v>
      </c>
      <c r="D3023" s="6" t="str">
        <f>HYPERLINK("https://rmda.kulib.kyoto-u.ac.jp/item/rb00002310#?c=0&amp;m=0&amp;s=0&amp;cv=211")</f>
        <v>https://rmda.kulib.kyoto-u.ac.jp/item/rb00002310#?c=0&amp;m=0&amp;s=0&amp;cv=211</v>
      </c>
    </row>
    <row r="3024" spans="1:4" x14ac:dyDescent="0.15">
      <c r="A3024" s="6" t="s">
        <v>133</v>
      </c>
      <c r="B3024" s="6" t="s">
        <v>4798</v>
      </c>
      <c r="C3024" s="6">
        <v>212</v>
      </c>
      <c r="D3024" s="6" t="str">
        <f>HYPERLINK("https://rmda.kulib.kyoto-u.ac.jp/item/rb00002310#?c=0&amp;m=0&amp;s=0&amp;cv=211")</f>
        <v>https://rmda.kulib.kyoto-u.ac.jp/item/rb00002310#?c=0&amp;m=0&amp;s=0&amp;cv=211</v>
      </c>
    </row>
    <row r="3025" spans="1:4" x14ac:dyDescent="0.15">
      <c r="A3025" s="6" t="s">
        <v>133</v>
      </c>
      <c r="B3025" s="63" t="s">
        <v>4830</v>
      </c>
      <c r="C3025" s="6">
        <v>218</v>
      </c>
      <c r="D3025" s="6" t="str">
        <f>HYPERLINK("https://rmda.kulib.kyoto-u.ac.jp/item/rb00002310#?c=0&amp;m=0&amp;s=0&amp;cv=217")</f>
        <v>https://rmda.kulib.kyoto-u.ac.jp/item/rb00002310#?c=0&amp;m=0&amp;s=0&amp;cv=217</v>
      </c>
    </row>
    <row r="3026" spans="1:4" x14ac:dyDescent="0.15">
      <c r="A3026" s="6" t="s">
        <v>133</v>
      </c>
      <c r="B3026" s="63" t="s">
        <v>6103</v>
      </c>
      <c r="C3026" s="6">
        <v>218</v>
      </c>
      <c r="D3026" s="6" t="str">
        <f>HYPERLINK("https://rmda.kulib.kyoto-u.ac.jp/item/rb00002310#?c=0&amp;m=0&amp;s=0&amp;cv=217")</f>
        <v>https://rmda.kulib.kyoto-u.ac.jp/item/rb00002310#?c=0&amp;m=0&amp;s=0&amp;cv=217</v>
      </c>
    </row>
    <row r="3027" spans="1:4" x14ac:dyDescent="0.15">
      <c r="A3027" s="6" t="s">
        <v>133</v>
      </c>
      <c r="B3027" s="63" t="s">
        <v>4712</v>
      </c>
      <c r="C3027" s="6">
        <v>219</v>
      </c>
      <c r="D3027" s="6" t="str">
        <f>HYPERLINK("https://rmda.kulib.kyoto-u.ac.jp/item/rb00002310#?c=0&amp;m=0&amp;s=0&amp;cv=218")</f>
        <v>https://rmda.kulib.kyoto-u.ac.jp/item/rb00002310#?c=0&amp;m=0&amp;s=0&amp;cv=218</v>
      </c>
    </row>
    <row r="3028" spans="1:4" x14ac:dyDescent="0.15">
      <c r="A3028" s="6" t="s">
        <v>133</v>
      </c>
      <c r="B3028" s="6" t="s">
        <v>4679</v>
      </c>
      <c r="C3028" s="6">
        <v>219</v>
      </c>
      <c r="D3028" s="6" t="str">
        <f>HYPERLINK("https://rmda.kulib.kyoto-u.ac.jp/item/rb00002310#?c=0&amp;m=0&amp;s=0&amp;cv=218")</f>
        <v>https://rmda.kulib.kyoto-u.ac.jp/item/rb00002310#?c=0&amp;m=0&amp;s=0&amp;cv=218</v>
      </c>
    </row>
    <row r="3029" spans="1:4" x14ac:dyDescent="0.15">
      <c r="A3029" s="6" t="s">
        <v>133</v>
      </c>
      <c r="B3029" s="6" t="s">
        <v>4402</v>
      </c>
      <c r="C3029" s="6">
        <v>220</v>
      </c>
      <c r="D3029" s="6" t="str">
        <f>HYPERLINK("https://rmda.kulib.kyoto-u.ac.jp/item/rb00002310#?c=0&amp;m=0&amp;s=0&amp;cv=219")</f>
        <v>https://rmda.kulib.kyoto-u.ac.jp/item/rb00002310#?c=0&amp;m=0&amp;s=0&amp;cv=219</v>
      </c>
    </row>
    <row r="3030" spans="1:4" x14ac:dyDescent="0.15">
      <c r="A3030" s="6" t="s">
        <v>133</v>
      </c>
      <c r="B3030" s="6" t="s">
        <v>4403</v>
      </c>
      <c r="C3030" s="6">
        <v>220</v>
      </c>
      <c r="D3030" s="6" t="str">
        <f>HYPERLINK("https://rmda.kulib.kyoto-u.ac.jp/item/rb00002310#?c=0&amp;m=0&amp;s=0&amp;cv=219")</f>
        <v>https://rmda.kulib.kyoto-u.ac.jp/item/rb00002310#?c=0&amp;m=0&amp;s=0&amp;cv=219</v>
      </c>
    </row>
    <row r="3031" spans="1:4" x14ac:dyDescent="0.15">
      <c r="A3031" s="6" t="s">
        <v>133</v>
      </c>
      <c r="B3031" s="63" t="s">
        <v>4683</v>
      </c>
      <c r="C3031" s="6">
        <v>221</v>
      </c>
      <c r="D3031" s="6" t="str">
        <f>HYPERLINK("https://rmda.kulib.kyoto-u.ac.jp/item/rb00002310#?c=0&amp;m=0&amp;s=0&amp;cv=220")</f>
        <v>https://rmda.kulib.kyoto-u.ac.jp/item/rb00002310#?c=0&amp;m=0&amp;s=0&amp;cv=220</v>
      </c>
    </row>
    <row r="3032" spans="1:4" x14ac:dyDescent="0.15">
      <c r="A3032" s="6" t="s">
        <v>133</v>
      </c>
      <c r="B3032" s="6" t="s">
        <v>4684</v>
      </c>
      <c r="C3032" s="6">
        <v>221</v>
      </c>
      <c r="D3032" s="6" t="str">
        <f>HYPERLINK("https://rmda.kulib.kyoto-u.ac.jp/item/rb00002310#?c=0&amp;m=0&amp;s=0&amp;cv=220")</f>
        <v>https://rmda.kulib.kyoto-u.ac.jp/item/rb00002310#?c=0&amp;m=0&amp;s=0&amp;cv=220</v>
      </c>
    </row>
    <row r="3033" spans="1:4" x14ac:dyDescent="0.15">
      <c r="A3033" s="6" t="s">
        <v>133</v>
      </c>
      <c r="B3033" s="6" t="s">
        <v>4685</v>
      </c>
      <c r="C3033" s="6">
        <v>222</v>
      </c>
      <c r="D3033" s="6" t="str">
        <f>HYPERLINK("https://rmda.kulib.kyoto-u.ac.jp/item/rb00002310#?c=0&amp;m=0&amp;s=0&amp;cv=221")</f>
        <v>https://rmda.kulib.kyoto-u.ac.jp/item/rb00002310#?c=0&amp;m=0&amp;s=0&amp;cv=221</v>
      </c>
    </row>
    <row r="3034" spans="1:4" x14ac:dyDescent="0.15">
      <c r="A3034" s="6" t="s">
        <v>133</v>
      </c>
      <c r="B3034" s="6" t="s">
        <v>4436</v>
      </c>
      <c r="C3034" s="6">
        <v>222</v>
      </c>
      <c r="D3034" s="6" t="str">
        <f>HYPERLINK("https://rmda.kulib.kyoto-u.ac.jp/item/rb00002310#?c=0&amp;m=0&amp;s=0&amp;cv=221")</f>
        <v>https://rmda.kulib.kyoto-u.ac.jp/item/rb00002310#?c=0&amp;m=0&amp;s=0&amp;cv=221</v>
      </c>
    </row>
    <row r="3035" spans="1:4" x14ac:dyDescent="0.15">
      <c r="A3035" s="6" t="s">
        <v>133</v>
      </c>
      <c r="B3035" s="6" t="s">
        <v>4686</v>
      </c>
      <c r="C3035" s="6">
        <v>222</v>
      </c>
      <c r="D3035" s="6" t="str">
        <f>HYPERLINK("https://rmda.kulib.kyoto-u.ac.jp/item/rb00002310#?c=0&amp;m=0&amp;s=0&amp;cv=221")</f>
        <v>https://rmda.kulib.kyoto-u.ac.jp/item/rb00002310#?c=0&amp;m=0&amp;s=0&amp;cv=221</v>
      </c>
    </row>
    <row r="3036" spans="1:4" x14ac:dyDescent="0.15">
      <c r="A3036" s="6" t="s">
        <v>133</v>
      </c>
      <c r="B3036" s="63" t="s">
        <v>4687</v>
      </c>
      <c r="C3036" s="6">
        <v>222</v>
      </c>
      <c r="D3036" s="6" t="str">
        <f>HYPERLINK("https://rmda.kulib.kyoto-u.ac.jp/item/rb00002310#?c=0&amp;m=0&amp;s=0&amp;cv=221")</f>
        <v>https://rmda.kulib.kyoto-u.ac.jp/item/rb00002310#?c=0&amp;m=0&amp;s=0&amp;cv=221</v>
      </c>
    </row>
    <row r="3037" spans="1:4" x14ac:dyDescent="0.15">
      <c r="A3037" s="6" t="s">
        <v>133</v>
      </c>
      <c r="B3037" s="6" t="s">
        <v>1700</v>
      </c>
      <c r="C3037" s="6">
        <v>223</v>
      </c>
      <c r="D3037" s="6" t="str">
        <f>HYPERLINK("https://rmda.kulib.kyoto-u.ac.jp/item/rb00002310#?c=0&amp;m=0&amp;s=0&amp;cv=222")</f>
        <v>https://rmda.kulib.kyoto-u.ac.jp/item/rb00002310#?c=0&amp;m=0&amp;s=0&amp;cv=222</v>
      </c>
    </row>
    <row r="3038" spans="1:4" x14ac:dyDescent="0.15">
      <c r="A3038" s="6" t="s">
        <v>133</v>
      </c>
      <c r="B3038" s="63" t="s">
        <v>4688</v>
      </c>
      <c r="C3038" s="6">
        <v>223</v>
      </c>
      <c r="D3038" s="6" t="str">
        <f>HYPERLINK("https://rmda.kulib.kyoto-u.ac.jp/item/rb00002310#?c=0&amp;m=0&amp;s=0&amp;cv=222")</f>
        <v>https://rmda.kulib.kyoto-u.ac.jp/item/rb00002310#?c=0&amp;m=0&amp;s=0&amp;cv=222</v>
      </c>
    </row>
    <row r="3039" spans="1:4" x14ac:dyDescent="0.15">
      <c r="A3039" s="6" t="s">
        <v>133</v>
      </c>
      <c r="B3039" s="6" t="s">
        <v>1918</v>
      </c>
      <c r="C3039" s="6">
        <v>223</v>
      </c>
      <c r="D3039" s="6" t="str">
        <f>HYPERLINK("https://rmda.kulib.kyoto-u.ac.jp/item/rb00002310#?c=0&amp;m=0&amp;s=0&amp;cv=222")</f>
        <v>https://rmda.kulib.kyoto-u.ac.jp/item/rb00002310#?c=0&amp;m=0&amp;s=0&amp;cv=222</v>
      </c>
    </row>
    <row r="3040" spans="1:4" x14ac:dyDescent="0.15">
      <c r="A3040" s="6" t="s">
        <v>133</v>
      </c>
      <c r="B3040" s="63" t="s">
        <v>4689</v>
      </c>
      <c r="C3040" s="6">
        <v>223</v>
      </c>
      <c r="D3040" s="6" t="str">
        <f>HYPERLINK("https://rmda.kulib.kyoto-u.ac.jp/item/rb00002310#?c=0&amp;m=0&amp;s=0&amp;cv=222")</f>
        <v>https://rmda.kulib.kyoto-u.ac.jp/item/rb00002310#?c=0&amp;m=0&amp;s=0&amp;cv=222</v>
      </c>
    </row>
    <row r="3041" spans="1:4" x14ac:dyDescent="0.15">
      <c r="A3041" s="6" t="s">
        <v>133</v>
      </c>
      <c r="B3041" s="6" t="s">
        <v>4812</v>
      </c>
      <c r="C3041" s="6">
        <v>224</v>
      </c>
      <c r="D3041" s="6" t="str">
        <f>HYPERLINK("https://rmda.kulib.kyoto-u.ac.jp/item/rb00002310#?c=0&amp;m=0&amp;s=0&amp;cv=223")</f>
        <v>https://rmda.kulib.kyoto-u.ac.jp/item/rb00002310#?c=0&amp;m=0&amp;s=0&amp;cv=223</v>
      </c>
    </row>
    <row r="3042" spans="1:4" x14ac:dyDescent="0.15">
      <c r="A3042" s="6" t="s">
        <v>133</v>
      </c>
      <c r="B3042" s="6" t="s">
        <v>4813</v>
      </c>
      <c r="C3042" s="6">
        <v>224</v>
      </c>
      <c r="D3042" s="6" t="str">
        <f>HYPERLINK("https://rmda.kulib.kyoto-u.ac.jp/item/rb00002310#?c=0&amp;m=0&amp;s=0&amp;cv=223")</f>
        <v>https://rmda.kulib.kyoto-u.ac.jp/item/rb00002310#?c=0&amp;m=0&amp;s=0&amp;cv=223</v>
      </c>
    </row>
    <row r="3043" spans="1:4" x14ac:dyDescent="0.15">
      <c r="A3043" s="6" t="s">
        <v>133</v>
      </c>
      <c r="B3043" s="6" t="s">
        <v>4690</v>
      </c>
      <c r="C3043" s="6">
        <v>225</v>
      </c>
      <c r="D3043" s="6" t="str">
        <f>HYPERLINK("https://rmda.kulib.kyoto-u.ac.jp/item/rb00002310#?c=0&amp;m=0&amp;s=0&amp;cv=224")</f>
        <v>https://rmda.kulib.kyoto-u.ac.jp/item/rb00002310#?c=0&amp;m=0&amp;s=0&amp;cv=224</v>
      </c>
    </row>
    <row r="3044" spans="1:4" x14ac:dyDescent="0.15">
      <c r="A3044" s="6" t="s">
        <v>133</v>
      </c>
      <c r="B3044" s="6" t="s">
        <v>2017</v>
      </c>
      <c r="C3044" s="6">
        <v>225</v>
      </c>
      <c r="D3044" s="6" t="str">
        <f>HYPERLINK("https://rmda.kulib.kyoto-u.ac.jp/item/rb00002310#?c=0&amp;m=0&amp;s=0&amp;cv=224")</f>
        <v>https://rmda.kulib.kyoto-u.ac.jp/item/rb00002310#?c=0&amp;m=0&amp;s=0&amp;cv=224</v>
      </c>
    </row>
    <row r="3045" spans="1:4" x14ac:dyDescent="0.15">
      <c r="A3045" s="6" t="s">
        <v>133</v>
      </c>
      <c r="B3045" s="6" t="s">
        <v>1949</v>
      </c>
      <c r="C3045" s="6">
        <v>225</v>
      </c>
      <c r="D3045" s="6" t="str">
        <f>HYPERLINK("https://rmda.kulib.kyoto-u.ac.jp/item/rb00002310#?c=0&amp;m=0&amp;s=0&amp;cv=224")</f>
        <v>https://rmda.kulib.kyoto-u.ac.jp/item/rb00002310#?c=0&amp;m=0&amp;s=0&amp;cv=224</v>
      </c>
    </row>
    <row r="3046" spans="1:4" x14ac:dyDescent="0.15">
      <c r="A3046" s="6" t="s">
        <v>133</v>
      </c>
      <c r="B3046" s="6" t="s">
        <v>4691</v>
      </c>
      <c r="C3046" s="6">
        <v>226</v>
      </c>
      <c r="D3046" s="6" t="str">
        <f>HYPERLINK("https://rmda.kulib.kyoto-u.ac.jp/item/rb00002310#?c=0&amp;m=0&amp;s=0&amp;cv=225")</f>
        <v>https://rmda.kulib.kyoto-u.ac.jp/item/rb00002310#?c=0&amp;m=0&amp;s=0&amp;cv=225</v>
      </c>
    </row>
    <row r="3047" spans="1:4" x14ac:dyDescent="0.15">
      <c r="A3047" s="6" t="s">
        <v>133</v>
      </c>
      <c r="B3047" s="6" t="s">
        <v>4692</v>
      </c>
      <c r="C3047" s="6">
        <v>226</v>
      </c>
      <c r="D3047" s="6" t="str">
        <f>HYPERLINK("https://rmda.kulib.kyoto-u.ac.jp/item/rb00002310#?c=0&amp;m=0&amp;s=0&amp;cv=225")</f>
        <v>https://rmda.kulib.kyoto-u.ac.jp/item/rb00002310#?c=0&amp;m=0&amp;s=0&amp;cv=225</v>
      </c>
    </row>
    <row r="3048" spans="1:4" x14ac:dyDescent="0.15">
      <c r="A3048" s="6" t="s">
        <v>133</v>
      </c>
      <c r="B3048" s="6" t="s">
        <v>2130</v>
      </c>
      <c r="C3048" s="6">
        <v>226</v>
      </c>
      <c r="D3048" s="6" t="str">
        <f>HYPERLINK("https://rmda.kulib.kyoto-u.ac.jp/item/rb00002310#?c=0&amp;m=0&amp;s=0&amp;cv=225")</f>
        <v>https://rmda.kulib.kyoto-u.ac.jp/item/rb00002310#?c=0&amp;m=0&amp;s=0&amp;cv=225</v>
      </c>
    </row>
    <row r="3049" spans="1:4" x14ac:dyDescent="0.15">
      <c r="A3049" s="6" t="s">
        <v>133</v>
      </c>
      <c r="B3049" s="6" t="s">
        <v>4693</v>
      </c>
      <c r="C3049" s="6">
        <v>227</v>
      </c>
      <c r="D3049" s="6" t="str">
        <f>HYPERLINK("https://rmda.kulib.kyoto-u.ac.jp/item/rb00002310#?c=0&amp;m=0&amp;s=0&amp;cv=226")</f>
        <v>https://rmda.kulib.kyoto-u.ac.jp/item/rb00002310#?c=0&amp;m=0&amp;s=0&amp;cv=226</v>
      </c>
    </row>
    <row r="3050" spans="1:4" x14ac:dyDescent="0.15">
      <c r="A3050" s="6" t="s">
        <v>133</v>
      </c>
      <c r="B3050" s="6" t="s">
        <v>1953</v>
      </c>
      <c r="C3050" s="6">
        <v>227</v>
      </c>
      <c r="D3050" s="6" t="str">
        <f>HYPERLINK("https://rmda.kulib.kyoto-u.ac.jp/item/rb00002310#?c=0&amp;m=0&amp;s=0&amp;cv=226")</f>
        <v>https://rmda.kulib.kyoto-u.ac.jp/item/rb00002310#?c=0&amp;m=0&amp;s=0&amp;cv=226</v>
      </c>
    </row>
    <row r="3051" spans="1:4" x14ac:dyDescent="0.15">
      <c r="A3051" s="6" t="s">
        <v>133</v>
      </c>
      <c r="B3051" s="6" t="s">
        <v>4694</v>
      </c>
      <c r="C3051" s="6">
        <v>228</v>
      </c>
      <c r="D3051" s="6" t="str">
        <f>HYPERLINK("https://rmda.kulib.kyoto-u.ac.jp/item/rb00002310#?c=0&amp;m=0&amp;s=0&amp;cv=227")</f>
        <v>https://rmda.kulib.kyoto-u.ac.jp/item/rb00002310#?c=0&amp;m=0&amp;s=0&amp;cv=227</v>
      </c>
    </row>
    <row r="3052" spans="1:4" x14ac:dyDescent="0.15">
      <c r="A3052" s="6" t="s">
        <v>133</v>
      </c>
      <c r="B3052" s="6" t="s">
        <v>2403</v>
      </c>
      <c r="C3052" s="6">
        <v>229</v>
      </c>
      <c r="D3052" s="6" t="str">
        <f>HYPERLINK("https://rmda.kulib.kyoto-u.ac.jp/item/rb00002310#?c=0&amp;m=0&amp;s=0&amp;cv=228")</f>
        <v>https://rmda.kulib.kyoto-u.ac.jp/item/rb00002310#?c=0&amp;m=0&amp;s=0&amp;cv=228</v>
      </c>
    </row>
    <row r="3053" spans="1:4" x14ac:dyDescent="0.15">
      <c r="A3053" s="6" t="s">
        <v>133</v>
      </c>
      <c r="B3053" s="6" t="s">
        <v>4695</v>
      </c>
      <c r="C3053" s="6">
        <v>229</v>
      </c>
      <c r="D3053" s="6" t="str">
        <f>HYPERLINK("https://rmda.kulib.kyoto-u.ac.jp/item/rb00002310#?c=0&amp;m=0&amp;s=0&amp;cv=228")</f>
        <v>https://rmda.kulib.kyoto-u.ac.jp/item/rb00002310#?c=0&amp;m=0&amp;s=0&amp;cv=228</v>
      </c>
    </row>
    <row r="3054" spans="1:4" x14ac:dyDescent="0.15">
      <c r="A3054" s="6" t="s">
        <v>133</v>
      </c>
      <c r="B3054" s="30" t="s">
        <v>6104</v>
      </c>
      <c r="C3054" s="6">
        <v>229</v>
      </c>
      <c r="D3054" s="6" t="str">
        <f>HYPERLINK("https://rmda.kulib.kyoto-u.ac.jp/item/rb00002310#?c=0&amp;m=0&amp;s=0&amp;cv=228")</f>
        <v>https://rmda.kulib.kyoto-u.ac.jp/item/rb00002310#?c=0&amp;m=0&amp;s=0&amp;cv=228</v>
      </c>
    </row>
    <row r="3055" spans="1:4" x14ac:dyDescent="0.15">
      <c r="A3055" s="6" t="s">
        <v>133</v>
      </c>
      <c r="B3055" s="6" t="s">
        <v>4696</v>
      </c>
      <c r="C3055" s="6">
        <v>230</v>
      </c>
      <c r="D3055" s="6" t="str">
        <f>HYPERLINK("https://rmda.kulib.kyoto-u.ac.jp/item/rb00002310#?c=0&amp;m=0&amp;s=0&amp;cv=229")</f>
        <v>https://rmda.kulib.kyoto-u.ac.jp/item/rb00002310#?c=0&amp;m=0&amp;s=0&amp;cv=229</v>
      </c>
    </row>
    <row r="3056" spans="1:4" x14ac:dyDescent="0.15">
      <c r="A3056" s="6" t="s">
        <v>133</v>
      </c>
      <c r="B3056" s="6" t="s">
        <v>2143</v>
      </c>
      <c r="C3056" s="6">
        <v>230</v>
      </c>
      <c r="D3056" s="6" t="str">
        <f>HYPERLINK("https://rmda.kulib.kyoto-u.ac.jp/item/rb00002310#?c=0&amp;m=0&amp;s=0&amp;cv=229")</f>
        <v>https://rmda.kulib.kyoto-u.ac.jp/item/rb00002310#?c=0&amp;m=0&amp;s=0&amp;cv=229</v>
      </c>
    </row>
    <row r="3057" spans="1:4" x14ac:dyDescent="0.15">
      <c r="A3057" s="6" t="s">
        <v>133</v>
      </c>
      <c r="B3057" s="6" t="s">
        <v>2169</v>
      </c>
      <c r="C3057" s="6">
        <v>230</v>
      </c>
      <c r="D3057" s="6" t="str">
        <f>HYPERLINK("https://rmda.kulib.kyoto-u.ac.jp/item/rb00002310#?c=0&amp;m=0&amp;s=0&amp;cv=229")</f>
        <v>https://rmda.kulib.kyoto-u.ac.jp/item/rb00002310#?c=0&amp;m=0&amp;s=0&amp;cv=229</v>
      </c>
    </row>
    <row r="3058" spans="1:4" x14ac:dyDescent="0.15">
      <c r="A3058" s="6" t="s">
        <v>133</v>
      </c>
      <c r="B3058" s="6" t="s">
        <v>4814</v>
      </c>
      <c r="C3058" s="6">
        <v>231</v>
      </c>
      <c r="D3058" s="6" t="str">
        <f>HYPERLINK("https://rmda.kulib.kyoto-u.ac.jp/item/rb00002310#?c=0&amp;m=0&amp;s=0&amp;cv=230")</f>
        <v>https://rmda.kulib.kyoto-u.ac.jp/item/rb00002310#?c=0&amp;m=0&amp;s=0&amp;cv=230</v>
      </c>
    </row>
    <row r="3059" spans="1:4" x14ac:dyDescent="0.15">
      <c r="A3059" s="6" t="s">
        <v>133</v>
      </c>
      <c r="B3059" s="6" t="s">
        <v>4697</v>
      </c>
      <c r="C3059" s="6">
        <v>231</v>
      </c>
      <c r="D3059" s="6" t="str">
        <f>HYPERLINK("https://rmda.kulib.kyoto-u.ac.jp/item/rb00002310#?c=0&amp;m=0&amp;s=0&amp;cv=230")</f>
        <v>https://rmda.kulib.kyoto-u.ac.jp/item/rb00002310#?c=0&amp;m=0&amp;s=0&amp;cv=230</v>
      </c>
    </row>
    <row r="3060" spans="1:4" x14ac:dyDescent="0.15">
      <c r="A3060" s="6" t="s">
        <v>133</v>
      </c>
      <c r="B3060" s="6" t="s">
        <v>4698</v>
      </c>
      <c r="C3060" s="6">
        <v>231</v>
      </c>
      <c r="D3060" s="6" t="str">
        <f>HYPERLINK("https://rmda.kulib.kyoto-u.ac.jp/item/rb00002310#?c=0&amp;m=0&amp;s=0&amp;cv=230")</f>
        <v>https://rmda.kulib.kyoto-u.ac.jp/item/rb00002310#?c=0&amp;m=0&amp;s=0&amp;cv=230</v>
      </c>
    </row>
    <row r="3061" spans="1:4" x14ac:dyDescent="0.15">
      <c r="A3061" s="6" t="s">
        <v>133</v>
      </c>
      <c r="B3061" s="6" t="s">
        <v>2162</v>
      </c>
      <c r="C3061" s="6">
        <v>232</v>
      </c>
      <c r="D3061" s="6" t="str">
        <f>HYPERLINK("https://rmda.kulib.kyoto-u.ac.jp/item/rb00002310#?c=0&amp;m=0&amp;s=0&amp;cv=231")</f>
        <v>https://rmda.kulib.kyoto-u.ac.jp/item/rb00002310#?c=0&amp;m=0&amp;s=0&amp;cv=231</v>
      </c>
    </row>
    <row r="3062" spans="1:4" x14ac:dyDescent="0.15">
      <c r="A3062" s="6" t="s">
        <v>133</v>
      </c>
      <c r="B3062" s="6" t="s">
        <v>2003</v>
      </c>
      <c r="C3062" s="6">
        <v>232</v>
      </c>
      <c r="D3062" s="6" t="str">
        <f>HYPERLINK("https://rmda.kulib.kyoto-u.ac.jp/item/rb00002310#?c=0&amp;m=0&amp;s=0&amp;cv=231")</f>
        <v>https://rmda.kulib.kyoto-u.ac.jp/item/rb00002310#?c=0&amp;m=0&amp;s=0&amp;cv=231</v>
      </c>
    </row>
    <row r="3063" spans="1:4" x14ac:dyDescent="0.15">
      <c r="A3063" s="6" t="s">
        <v>133</v>
      </c>
      <c r="B3063" s="6" t="s">
        <v>4699</v>
      </c>
      <c r="C3063" s="6">
        <v>233</v>
      </c>
      <c r="D3063" s="6" t="str">
        <f>HYPERLINK("https://rmda.kulib.kyoto-u.ac.jp/item/rb00002310#?c=0&amp;m=0&amp;s=0&amp;cv=232")</f>
        <v>https://rmda.kulib.kyoto-u.ac.jp/item/rb00002310#?c=0&amp;m=0&amp;s=0&amp;cv=232</v>
      </c>
    </row>
    <row r="3064" spans="1:4" x14ac:dyDescent="0.15">
      <c r="A3064" s="6" t="s">
        <v>133</v>
      </c>
      <c r="B3064" s="6" t="s">
        <v>4700</v>
      </c>
      <c r="C3064" s="6">
        <v>233</v>
      </c>
      <c r="D3064" s="6" t="str">
        <f>HYPERLINK("https://rmda.kulib.kyoto-u.ac.jp/item/rb00002310#?c=0&amp;m=0&amp;s=0&amp;cv=232")</f>
        <v>https://rmda.kulib.kyoto-u.ac.jp/item/rb00002310#?c=0&amp;m=0&amp;s=0&amp;cv=232</v>
      </c>
    </row>
    <row r="3065" spans="1:4" x14ac:dyDescent="0.15">
      <c r="A3065" s="6" t="s">
        <v>133</v>
      </c>
      <c r="B3065" s="6" t="s">
        <v>2040</v>
      </c>
      <c r="C3065" s="6">
        <v>234</v>
      </c>
      <c r="D3065" s="6" t="str">
        <f>HYPERLINK("https://rmda.kulib.kyoto-u.ac.jp/item/rb00002310#?c=0&amp;m=0&amp;s=0&amp;cv=233")</f>
        <v>https://rmda.kulib.kyoto-u.ac.jp/item/rb00002310#?c=0&amp;m=0&amp;s=0&amp;cv=233</v>
      </c>
    </row>
    <row r="3066" spans="1:4" x14ac:dyDescent="0.15">
      <c r="A3066" s="6" t="s">
        <v>133</v>
      </c>
      <c r="B3066" s="6" t="s">
        <v>4701</v>
      </c>
      <c r="C3066" s="6">
        <v>234</v>
      </c>
      <c r="D3066" s="6" t="str">
        <f>HYPERLINK("https://rmda.kulib.kyoto-u.ac.jp/item/rb00002310#?c=0&amp;m=0&amp;s=0&amp;cv=233")</f>
        <v>https://rmda.kulib.kyoto-u.ac.jp/item/rb00002310#?c=0&amp;m=0&amp;s=0&amp;cv=233</v>
      </c>
    </row>
    <row r="3067" spans="1:4" x14ac:dyDescent="0.15">
      <c r="A3067" s="6" t="s">
        <v>133</v>
      </c>
      <c r="B3067" s="6" t="s">
        <v>1960</v>
      </c>
      <c r="C3067" s="6">
        <v>235</v>
      </c>
      <c r="D3067" s="6" t="str">
        <f>HYPERLINK("https://rmda.kulib.kyoto-u.ac.jp/item/rb00002310#?c=0&amp;m=0&amp;s=0&amp;cv=234")</f>
        <v>https://rmda.kulib.kyoto-u.ac.jp/item/rb00002310#?c=0&amp;m=0&amp;s=0&amp;cv=234</v>
      </c>
    </row>
    <row r="3068" spans="1:4" x14ac:dyDescent="0.15">
      <c r="A3068" s="6" t="s">
        <v>133</v>
      </c>
      <c r="B3068" s="6" t="s">
        <v>4815</v>
      </c>
      <c r="C3068" s="6">
        <v>235</v>
      </c>
      <c r="D3068" s="6" t="str">
        <f>HYPERLINK("https://rmda.kulib.kyoto-u.ac.jp/item/rb00002310#?c=0&amp;m=0&amp;s=0&amp;cv=234")</f>
        <v>https://rmda.kulib.kyoto-u.ac.jp/item/rb00002310#?c=0&amp;m=0&amp;s=0&amp;cv=234</v>
      </c>
    </row>
    <row r="3069" spans="1:4" x14ac:dyDescent="0.15">
      <c r="A3069" s="6" t="s">
        <v>133</v>
      </c>
      <c r="B3069" s="6" t="s">
        <v>4702</v>
      </c>
      <c r="C3069" s="6">
        <v>236</v>
      </c>
      <c r="D3069" s="6" t="str">
        <f>HYPERLINK("https://rmda.kulib.kyoto-u.ac.jp/item/rb00002310#?c=0&amp;m=0&amp;s=0&amp;cv=235")</f>
        <v>https://rmda.kulib.kyoto-u.ac.jp/item/rb00002310#?c=0&amp;m=0&amp;s=0&amp;cv=235</v>
      </c>
    </row>
    <row r="3070" spans="1:4" x14ac:dyDescent="0.15">
      <c r="A3070" s="6" t="s">
        <v>133</v>
      </c>
      <c r="B3070" s="6" t="s">
        <v>4703</v>
      </c>
      <c r="C3070" s="6">
        <v>236</v>
      </c>
      <c r="D3070" s="6" t="str">
        <f>HYPERLINK("https://rmda.kulib.kyoto-u.ac.jp/item/rb00002310#?c=0&amp;m=0&amp;s=0&amp;cv=235")</f>
        <v>https://rmda.kulib.kyoto-u.ac.jp/item/rb00002310#?c=0&amp;m=0&amp;s=0&amp;cv=235</v>
      </c>
    </row>
    <row r="3071" spans="1:4" x14ac:dyDescent="0.15">
      <c r="A3071" s="6" t="s">
        <v>133</v>
      </c>
      <c r="B3071" s="6" t="s">
        <v>2189</v>
      </c>
      <c r="C3071" s="6">
        <v>236</v>
      </c>
      <c r="D3071" s="6" t="str">
        <f>HYPERLINK("https://rmda.kulib.kyoto-u.ac.jp/item/rb00002310#?c=0&amp;m=0&amp;s=0&amp;cv=235")</f>
        <v>https://rmda.kulib.kyoto-u.ac.jp/item/rb00002310#?c=0&amp;m=0&amp;s=0&amp;cv=235</v>
      </c>
    </row>
    <row r="3072" spans="1:4" x14ac:dyDescent="0.15">
      <c r="A3072" s="6" t="s">
        <v>133</v>
      </c>
      <c r="B3072" s="6" t="s">
        <v>2261</v>
      </c>
      <c r="C3072" s="6">
        <v>237</v>
      </c>
      <c r="D3072" s="6" t="str">
        <f>HYPERLINK("https://rmda.kulib.kyoto-u.ac.jp/item/rb00002310#?c=0&amp;m=0&amp;s=0&amp;cv=236")</f>
        <v>https://rmda.kulib.kyoto-u.ac.jp/item/rb00002310#?c=0&amp;m=0&amp;s=0&amp;cv=236</v>
      </c>
    </row>
    <row r="3073" spans="1:4" x14ac:dyDescent="0.15">
      <c r="A3073" s="6" t="s">
        <v>133</v>
      </c>
      <c r="B3073" s="6" t="s">
        <v>1681</v>
      </c>
      <c r="C3073" s="6">
        <v>237</v>
      </c>
      <c r="D3073" s="6" t="str">
        <f>HYPERLINK("https://rmda.kulib.kyoto-u.ac.jp/item/rb00002310#?c=0&amp;m=0&amp;s=0&amp;cv=236")</f>
        <v>https://rmda.kulib.kyoto-u.ac.jp/item/rb00002310#?c=0&amp;m=0&amp;s=0&amp;cv=236</v>
      </c>
    </row>
    <row r="3074" spans="1:4" x14ac:dyDescent="0.15">
      <c r="A3074" s="6" t="s">
        <v>133</v>
      </c>
      <c r="B3074" s="6" t="s">
        <v>4704</v>
      </c>
      <c r="C3074" s="6">
        <v>238</v>
      </c>
      <c r="D3074" s="6" t="str">
        <f>HYPERLINK("https://rmda.kulib.kyoto-u.ac.jp/item/rb00002310#?c=0&amp;m=0&amp;s=0&amp;cv=237")</f>
        <v>https://rmda.kulib.kyoto-u.ac.jp/item/rb00002310#?c=0&amp;m=0&amp;s=0&amp;cv=237</v>
      </c>
    </row>
    <row r="3075" spans="1:4" x14ac:dyDescent="0.15">
      <c r="A3075" s="6" t="s">
        <v>133</v>
      </c>
      <c r="B3075" s="63" t="s">
        <v>4705</v>
      </c>
      <c r="C3075" s="6">
        <v>238</v>
      </c>
      <c r="D3075" s="6" t="str">
        <f>HYPERLINK("https://rmda.kulib.kyoto-u.ac.jp/item/rb00002310#?c=0&amp;m=0&amp;s=0&amp;cv=237")</f>
        <v>https://rmda.kulib.kyoto-u.ac.jp/item/rb00002310#?c=0&amp;m=0&amp;s=0&amp;cv=237</v>
      </c>
    </row>
    <row r="3076" spans="1:4" x14ac:dyDescent="0.15">
      <c r="A3076" s="6" t="s">
        <v>133</v>
      </c>
      <c r="B3076" s="6" t="s">
        <v>1959</v>
      </c>
      <c r="C3076" s="6">
        <v>239</v>
      </c>
      <c r="D3076" s="6" t="str">
        <f>HYPERLINK("https://rmda.kulib.kyoto-u.ac.jp/item/rb00002310#?c=0&amp;m=0&amp;s=0&amp;cv=238")</f>
        <v>https://rmda.kulib.kyoto-u.ac.jp/item/rb00002310#?c=0&amp;m=0&amp;s=0&amp;cv=238</v>
      </c>
    </row>
    <row r="3077" spans="1:4" x14ac:dyDescent="0.15">
      <c r="A3077" s="6" t="s">
        <v>133</v>
      </c>
      <c r="B3077" s="6" t="s">
        <v>1961</v>
      </c>
      <c r="C3077" s="6">
        <v>239</v>
      </c>
      <c r="D3077" s="6" t="str">
        <f>HYPERLINK("https://rmda.kulib.kyoto-u.ac.jp/item/rb00002310#?c=0&amp;m=0&amp;s=0&amp;cv=238")</f>
        <v>https://rmda.kulib.kyoto-u.ac.jp/item/rb00002310#?c=0&amp;m=0&amp;s=0&amp;cv=238</v>
      </c>
    </row>
    <row r="3078" spans="1:4" x14ac:dyDescent="0.15">
      <c r="A3078" s="6" t="s">
        <v>133</v>
      </c>
      <c r="B3078" s="6" t="s">
        <v>1960</v>
      </c>
      <c r="C3078" s="6">
        <v>240</v>
      </c>
      <c r="D3078" s="6" t="str">
        <f>HYPERLINK("https://rmda.kulib.kyoto-u.ac.jp/item/rb00002310#?c=0&amp;m=0&amp;s=0&amp;cv=239")</f>
        <v>https://rmda.kulib.kyoto-u.ac.jp/item/rb00002310#?c=0&amp;m=0&amp;s=0&amp;cv=239</v>
      </c>
    </row>
    <row r="3079" spans="1:4" x14ac:dyDescent="0.15">
      <c r="A3079" s="6" t="s">
        <v>133</v>
      </c>
      <c r="B3079" s="6" t="s">
        <v>4706</v>
      </c>
      <c r="C3079" s="6">
        <v>240</v>
      </c>
      <c r="D3079" s="6" t="str">
        <f>HYPERLINK("https://rmda.kulib.kyoto-u.ac.jp/item/rb00002310#?c=0&amp;m=0&amp;s=0&amp;cv=239")</f>
        <v>https://rmda.kulib.kyoto-u.ac.jp/item/rb00002310#?c=0&amp;m=0&amp;s=0&amp;cv=239</v>
      </c>
    </row>
    <row r="3080" spans="1:4" x14ac:dyDescent="0.15">
      <c r="A3080" s="6" t="s">
        <v>133</v>
      </c>
      <c r="B3080" s="6" t="s">
        <v>4816</v>
      </c>
      <c r="C3080" s="6">
        <v>241</v>
      </c>
      <c r="D3080" s="6" t="str">
        <f>HYPERLINK("https://rmda.kulib.kyoto-u.ac.jp/item/rb00002310#?c=0&amp;m=0&amp;s=0&amp;cv=240")</f>
        <v>https://rmda.kulib.kyoto-u.ac.jp/item/rb00002310#?c=0&amp;m=0&amp;s=0&amp;cv=240</v>
      </c>
    </row>
    <row r="3081" spans="1:4" x14ac:dyDescent="0.15">
      <c r="A3081" s="6" t="s">
        <v>133</v>
      </c>
      <c r="B3081" s="6" t="s">
        <v>4453</v>
      </c>
      <c r="C3081" s="6">
        <v>242</v>
      </c>
      <c r="D3081" s="6" t="str">
        <f>HYPERLINK("https://rmda.kulib.kyoto-u.ac.jp/item/rb00002310#?c=0&amp;m=0&amp;s=0&amp;cv=241")</f>
        <v>https://rmda.kulib.kyoto-u.ac.jp/item/rb00002310#?c=0&amp;m=0&amp;s=0&amp;cv=241</v>
      </c>
    </row>
    <row r="3082" spans="1:4" x14ac:dyDescent="0.15">
      <c r="A3082" s="6" t="s">
        <v>133</v>
      </c>
      <c r="B3082" s="6" t="s">
        <v>1963</v>
      </c>
      <c r="C3082" s="6">
        <v>243</v>
      </c>
      <c r="D3082" s="6" t="str">
        <f>HYPERLINK("https://rmda.kulib.kyoto-u.ac.jp/item/rb00002310#?c=0&amp;m=0&amp;s=0&amp;cv=242")</f>
        <v>https://rmda.kulib.kyoto-u.ac.jp/item/rb00002310#?c=0&amp;m=0&amp;s=0&amp;cv=242</v>
      </c>
    </row>
    <row r="3083" spans="1:4" x14ac:dyDescent="0.15">
      <c r="A3083" s="6" t="s">
        <v>133</v>
      </c>
      <c r="B3083" s="6" t="s">
        <v>4707</v>
      </c>
      <c r="C3083" s="6">
        <v>243</v>
      </c>
      <c r="D3083" s="6" t="str">
        <f>HYPERLINK("https://rmda.kulib.kyoto-u.ac.jp/item/rb00002310#?c=0&amp;m=0&amp;s=0&amp;cv=242")</f>
        <v>https://rmda.kulib.kyoto-u.ac.jp/item/rb00002310#?c=0&amp;m=0&amp;s=0&amp;cv=242</v>
      </c>
    </row>
    <row r="3084" spans="1:4" x14ac:dyDescent="0.15">
      <c r="A3084" s="6" t="s">
        <v>133</v>
      </c>
      <c r="B3084" s="6" t="s">
        <v>6105</v>
      </c>
      <c r="C3084" s="6">
        <v>244</v>
      </c>
      <c r="D3084" s="6" t="str">
        <f>HYPERLINK("https://rmda.kulib.kyoto-u.ac.jp/item/rb00002310#?c=0&amp;m=0&amp;s=0&amp;cv=243")</f>
        <v>https://rmda.kulib.kyoto-u.ac.jp/item/rb00002310#?c=0&amp;m=0&amp;s=0&amp;cv=243</v>
      </c>
    </row>
    <row r="3085" spans="1:4" x14ac:dyDescent="0.15">
      <c r="A3085" s="6" t="s">
        <v>133</v>
      </c>
      <c r="B3085" s="6" t="s">
        <v>6106</v>
      </c>
      <c r="C3085" s="6">
        <v>245</v>
      </c>
      <c r="D3085" s="6" t="str">
        <f>HYPERLINK("https://rmda.kulib.kyoto-u.ac.jp/item/rb00002310#?c=0&amp;m=0&amp;s=0&amp;cv=244")</f>
        <v>https://rmda.kulib.kyoto-u.ac.jp/item/rb00002310#?c=0&amp;m=0&amp;s=0&amp;cv=244</v>
      </c>
    </row>
    <row r="3086" spans="1:4" x14ac:dyDescent="0.15">
      <c r="A3086" s="6" t="s">
        <v>133</v>
      </c>
      <c r="B3086" s="6" t="s">
        <v>4360</v>
      </c>
      <c r="C3086" s="6">
        <v>245</v>
      </c>
      <c r="D3086" s="6" t="str">
        <f>HYPERLINK("https://rmda.kulib.kyoto-u.ac.jp/item/rb00002310#?c=0&amp;m=0&amp;s=0&amp;cv=244")</f>
        <v>https://rmda.kulib.kyoto-u.ac.jp/item/rb00002310#?c=0&amp;m=0&amp;s=0&amp;cv=244</v>
      </c>
    </row>
    <row r="3087" spans="1:4" x14ac:dyDescent="0.15">
      <c r="A3087" s="6" t="s">
        <v>133</v>
      </c>
      <c r="B3087" s="6" t="s">
        <v>4817</v>
      </c>
      <c r="C3087" s="6">
        <v>246</v>
      </c>
      <c r="D3087" s="6" t="str">
        <f>HYPERLINK("https://rmda.kulib.kyoto-u.ac.jp/item/rb00002310#?c=0&amp;m=0&amp;s=0&amp;cv=245")</f>
        <v>https://rmda.kulib.kyoto-u.ac.jp/item/rb00002310#?c=0&amp;m=0&amp;s=0&amp;cv=245</v>
      </c>
    </row>
    <row r="3088" spans="1:4" x14ac:dyDescent="0.15">
      <c r="A3088" s="6" t="s">
        <v>133</v>
      </c>
      <c r="B3088" s="6" t="s">
        <v>6107</v>
      </c>
      <c r="C3088" s="6">
        <v>247</v>
      </c>
      <c r="D3088" s="6" t="str">
        <f>HYPERLINK("https://rmda.kulib.kyoto-u.ac.jp/item/rb00002310#?c=0&amp;m=0&amp;s=0&amp;cv=246")</f>
        <v>https://rmda.kulib.kyoto-u.ac.jp/item/rb00002310#?c=0&amp;m=0&amp;s=0&amp;cv=246</v>
      </c>
    </row>
    <row r="3089" spans="1:4" x14ac:dyDescent="0.15">
      <c r="A3089" s="6" t="s">
        <v>133</v>
      </c>
      <c r="B3089" s="6" t="s">
        <v>6108</v>
      </c>
      <c r="C3089" s="6">
        <v>248</v>
      </c>
      <c r="D3089" s="6" t="str">
        <f>HYPERLINK("https://rmda.kulib.kyoto-u.ac.jp/item/rb00002310#?c=0&amp;m=0&amp;s=0&amp;cv=247")</f>
        <v>https://rmda.kulib.kyoto-u.ac.jp/item/rb00002310#?c=0&amp;m=0&amp;s=0&amp;cv=247</v>
      </c>
    </row>
    <row r="3090" spans="1:4" x14ac:dyDescent="0.15">
      <c r="A3090" s="6" t="s">
        <v>133</v>
      </c>
      <c r="B3090" s="6" t="s">
        <v>1641</v>
      </c>
      <c r="C3090" s="6">
        <v>248</v>
      </c>
      <c r="D3090" s="6" t="str">
        <f>HYPERLINK("https://rmda.kulib.kyoto-u.ac.jp/item/rb00002310#?c=0&amp;m=0&amp;s=0&amp;cv=247")</f>
        <v>https://rmda.kulib.kyoto-u.ac.jp/item/rb00002310#?c=0&amp;m=0&amp;s=0&amp;cv=247</v>
      </c>
    </row>
    <row r="3091" spans="1:4" x14ac:dyDescent="0.15">
      <c r="A3091" s="6" t="s">
        <v>133</v>
      </c>
      <c r="B3091" s="6" t="s">
        <v>6109</v>
      </c>
      <c r="C3091" s="6">
        <v>249</v>
      </c>
      <c r="D3091" s="6" t="str">
        <f>HYPERLINK("https://rmda.kulib.kyoto-u.ac.jp/item/rb00002310#?c=0&amp;m=0&amp;s=0&amp;cv=248")</f>
        <v>https://rmda.kulib.kyoto-u.ac.jp/item/rb00002310#?c=0&amp;m=0&amp;s=0&amp;cv=248</v>
      </c>
    </row>
    <row r="3092" spans="1:4" x14ac:dyDescent="0.15">
      <c r="A3092" s="6" t="s">
        <v>133</v>
      </c>
      <c r="B3092" s="6" t="s">
        <v>1649</v>
      </c>
      <c r="C3092" s="6">
        <v>249</v>
      </c>
      <c r="D3092" s="6" t="str">
        <f>HYPERLINK("https://rmda.kulib.kyoto-u.ac.jp/item/rb00002310#?c=0&amp;m=0&amp;s=0&amp;cv=248")</f>
        <v>https://rmda.kulib.kyoto-u.ac.jp/item/rb00002310#?c=0&amp;m=0&amp;s=0&amp;cv=248</v>
      </c>
    </row>
    <row r="3093" spans="1:4" x14ac:dyDescent="0.15">
      <c r="A3093" s="6" t="s">
        <v>133</v>
      </c>
      <c r="B3093" s="6" t="s">
        <v>6110</v>
      </c>
      <c r="C3093" s="6">
        <v>250</v>
      </c>
      <c r="D3093" s="6" t="str">
        <f>HYPERLINK("https://rmda.kulib.kyoto-u.ac.jp/item/rb00002310#?c=0&amp;m=0&amp;s=0&amp;cv=249")</f>
        <v>https://rmda.kulib.kyoto-u.ac.jp/item/rb00002310#?c=0&amp;m=0&amp;s=0&amp;cv=249</v>
      </c>
    </row>
    <row r="3094" spans="1:4" x14ac:dyDescent="0.15">
      <c r="A3094" s="6" t="s">
        <v>133</v>
      </c>
      <c r="B3094" s="63" t="s">
        <v>6111</v>
      </c>
      <c r="C3094" s="6">
        <v>250</v>
      </c>
      <c r="D3094" s="6" t="str">
        <f>HYPERLINK("https://rmda.kulib.kyoto-u.ac.jp/item/rb00002310#?c=0&amp;m=0&amp;s=0&amp;cv=249")</f>
        <v>https://rmda.kulib.kyoto-u.ac.jp/item/rb00002310#?c=0&amp;m=0&amp;s=0&amp;cv=249</v>
      </c>
    </row>
    <row r="3095" spans="1:4" x14ac:dyDescent="0.15">
      <c r="A3095" s="6" t="s">
        <v>133</v>
      </c>
      <c r="B3095" s="6" t="s">
        <v>1973</v>
      </c>
      <c r="C3095" s="6">
        <v>250</v>
      </c>
      <c r="D3095" s="6" t="str">
        <f>HYPERLINK("https://rmda.kulib.kyoto-u.ac.jp/item/rb00002310#?c=0&amp;m=0&amp;s=0&amp;cv=249")</f>
        <v>https://rmda.kulib.kyoto-u.ac.jp/item/rb00002310#?c=0&amp;m=0&amp;s=0&amp;cv=249</v>
      </c>
    </row>
    <row r="3096" spans="1:4" x14ac:dyDescent="0.15">
      <c r="A3096" s="6" t="s">
        <v>133</v>
      </c>
      <c r="B3096" s="6" t="s">
        <v>2191</v>
      </c>
      <c r="C3096" s="6">
        <v>251</v>
      </c>
      <c r="D3096" s="6" t="str">
        <f>HYPERLINK("https://rmda.kulib.kyoto-u.ac.jp/item/rb00002310#?c=0&amp;m=0&amp;s=0&amp;cv=250")</f>
        <v>https://rmda.kulib.kyoto-u.ac.jp/item/rb00002310#?c=0&amp;m=0&amp;s=0&amp;cv=250</v>
      </c>
    </row>
    <row r="3097" spans="1:4" x14ac:dyDescent="0.15">
      <c r="A3097" s="6" t="s">
        <v>133</v>
      </c>
      <c r="B3097" s="6" t="s">
        <v>4708</v>
      </c>
      <c r="C3097" s="6">
        <v>251</v>
      </c>
      <c r="D3097" s="6" t="str">
        <f>HYPERLINK("https://rmda.kulib.kyoto-u.ac.jp/item/rb00002310#?c=0&amp;m=0&amp;s=0&amp;cv=250")</f>
        <v>https://rmda.kulib.kyoto-u.ac.jp/item/rb00002310#?c=0&amp;m=0&amp;s=0&amp;cv=250</v>
      </c>
    </row>
    <row r="3098" spans="1:4" x14ac:dyDescent="0.15">
      <c r="A3098" s="6" t="s">
        <v>133</v>
      </c>
      <c r="B3098" s="6" t="s">
        <v>4635</v>
      </c>
      <c r="C3098" s="6">
        <v>252</v>
      </c>
      <c r="D3098" s="6" t="str">
        <f>HYPERLINK("https://rmda.kulib.kyoto-u.ac.jp/item/rb00002310#?c=0&amp;m=0&amp;s=0&amp;cv=251")</f>
        <v>https://rmda.kulib.kyoto-u.ac.jp/item/rb00002310#?c=0&amp;m=0&amp;s=0&amp;cv=251</v>
      </c>
    </row>
    <row r="3099" spans="1:4" x14ac:dyDescent="0.15">
      <c r="A3099" s="6" t="s">
        <v>133</v>
      </c>
      <c r="B3099" s="6" t="s">
        <v>1971</v>
      </c>
      <c r="C3099" s="6">
        <v>252</v>
      </c>
      <c r="D3099" s="6" t="str">
        <f>HYPERLINK("https://rmda.kulib.kyoto-u.ac.jp/item/rb00002310#?c=0&amp;m=0&amp;s=0&amp;cv=251")</f>
        <v>https://rmda.kulib.kyoto-u.ac.jp/item/rb00002310#?c=0&amp;m=0&amp;s=0&amp;cv=251</v>
      </c>
    </row>
    <row r="3100" spans="1:4" x14ac:dyDescent="0.15">
      <c r="A3100" s="6" t="s">
        <v>133</v>
      </c>
      <c r="B3100" s="6" t="s">
        <v>5984</v>
      </c>
      <c r="C3100" s="6">
        <v>252</v>
      </c>
      <c r="D3100" s="6" t="str">
        <f>HYPERLINK("https://rmda.kulib.kyoto-u.ac.jp/item/rb00002310#?c=0&amp;m=0&amp;s=0&amp;cv=251")</f>
        <v>https://rmda.kulib.kyoto-u.ac.jp/item/rb00002310#?c=0&amp;m=0&amp;s=0&amp;cv=251</v>
      </c>
    </row>
    <row r="3101" spans="1:4" x14ac:dyDescent="0.15">
      <c r="A3101" s="6" t="s">
        <v>133</v>
      </c>
      <c r="B3101" s="63" t="s">
        <v>4677</v>
      </c>
      <c r="C3101" s="6">
        <v>252</v>
      </c>
      <c r="D3101" s="6" t="str">
        <f>HYPERLINK("https://rmda.kulib.kyoto-u.ac.jp/item/rb00002310#?c=0&amp;m=0&amp;s=0&amp;cv=251")</f>
        <v>https://rmda.kulib.kyoto-u.ac.jp/item/rb00002310#?c=0&amp;m=0&amp;s=0&amp;cv=251</v>
      </c>
    </row>
    <row r="3102" spans="1:4" x14ac:dyDescent="0.15">
      <c r="A3102" s="6" t="s">
        <v>133</v>
      </c>
      <c r="B3102" s="6" t="s">
        <v>4678</v>
      </c>
      <c r="C3102" s="6">
        <v>253</v>
      </c>
      <c r="D3102" s="6" t="str">
        <f>HYPERLINK("https://rmda.kulib.kyoto-u.ac.jp/item/rb00002310#?c=0&amp;m=0&amp;s=0&amp;cv=252")</f>
        <v>https://rmda.kulib.kyoto-u.ac.jp/item/rb00002310#?c=0&amp;m=0&amp;s=0&amp;cv=252</v>
      </c>
    </row>
    <row r="3103" spans="1:4" x14ac:dyDescent="0.15">
      <c r="A3103" s="6" t="s">
        <v>133</v>
      </c>
      <c r="B3103" s="6" t="s">
        <v>2016</v>
      </c>
      <c r="C3103" s="6">
        <v>253</v>
      </c>
      <c r="D3103" s="6" t="str">
        <f>HYPERLINK("https://rmda.kulib.kyoto-u.ac.jp/item/rb00002310#?c=0&amp;m=0&amp;s=0&amp;cv=252")</f>
        <v>https://rmda.kulib.kyoto-u.ac.jp/item/rb00002310#?c=0&amp;m=0&amp;s=0&amp;cv=252</v>
      </c>
    </row>
    <row r="3104" spans="1:4" x14ac:dyDescent="0.15">
      <c r="A3104" s="6" t="s">
        <v>133</v>
      </c>
      <c r="B3104" s="6" t="s">
        <v>4374</v>
      </c>
      <c r="C3104" s="6">
        <v>254</v>
      </c>
      <c r="D3104" s="6" t="str">
        <f>HYPERLINK("https://rmda.kulib.kyoto-u.ac.jp/item/rb00002310#?c=0&amp;m=0&amp;s=0&amp;cv=253")</f>
        <v>https://rmda.kulib.kyoto-u.ac.jp/item/rb00002310#?c=0&amp;m=0&amp;s=0&amp;cv=253</v>
      </c>
    </row>
    <row r="3105" spans="1:4" x14ac:dyDescent="0.15">
      <c r="A3105" s="6" t="s">
        <v>133</v>
      </c>
      <c r="B3105" s="63" t="s">
        <v>4681</v>
      </c>
      <c r="C3105" s="6">
        <v>254</v>
      </c>
      <c r="D3105" s="6" t="str">
        <f>HYPERLINK("https://rmda.kulib.kyoto-u.ac.jp/item/rb00002310#?c=0&amp;m=0&amp;s=0&amp;cv=253")</f>
        <v>https://rmda.kulib.kyoto-u.ac.jp/item/rb00002310#?c=0&amp;m=0&amp;s=0&amp;cv=253</v>
      </c>
    </row>
    <row r="3106" spans="1:4" x14ac:dyDescent="0.15">
      <c r="A3106" s="6" t="s">
        <v>133</v>
      </c>
      <c r="B3106" s="6" t="s">
        <v>4809</v>
      </c>
      <c r="C3106" s="6">
        <v>255</v>
      </c>
      <c r="D3106" s="6" t="str">
        <f>HYPERLINK("https://rmda.kulib.kyoto-u.ac.jp/item/rb00002310#?c=0&amp;m=0&amp;s=0&amp;cv=254")</f>
        <v>https://rmda.kulib.kyoto-u.ac.jp/item/rb00002310#?c=0&amp;m=0&amp;s=0&amp;cv=254</v>
      </c>
    </row>
    <row r="3107" spans="1:4" x14ac:dyDescent="0.15">
      <c r="A3107" s="6" t="s">
        <v>133</v>
      </c>
      <c r="B3107" s="6" t="s">
        <v>4810</v>
      </c>
      <c r="C3107" s="6">
        <v>255</v>
      </c>
      <c r="D3107" s="6" t="str">
        <f>HYPERLINK("https://rmda.kulib.kyoto-u.ac.jp/item/rb00002310#?c=0&amp;m=0&amp;s=0&amp;cv=254")</f>
        <v>https://rmda.kulib.kyoto-u.ac.jp/item/rb00002310#?c=0&amp;m=0&amp;s=0&amp;cv=254</v>
      </c>
    </row>
    <row r="3108" spans="1:4" x14ac:dyDescent="0.15">
      <c r="A3108" s="6" t="s">
        <v>133</v>
      </c>
      <c r="B3108" s="6" t="s">
        <v>4682</v>
      </c>
      <c r="C3108" s="6">
        <v>255</v>
      </c>
      <c r="D3108" s="6" t="str">
        <f>HYPERLINK("https://rmda.kulib.kyoto-u.ac.jp/item/rb00002310#?c=0&amp;m=0&amp;s=0&amp;cv=254")</f>
        <v>https://rmda.kulib.kyoto-u.ac.jp/item/rb00002310#?c=0&amp;m=0&amp;s=0&amp;cv=254</v>
      </c>
    </row>
    <row r="3109" spans="1:4" x14ac:dyDescent="0.15">
      <c r="A3109" s="6" t="s">
        <v>133</v>
      </c>
      <c r="B3109" s="6" t="s">
        <v>4811</v>
      </c>
      <c r="C3109" s="6">
        <v>256</v>
      </c>
      <c r="D3109" s="6" t="str">
        <f>HYPERLINK("https://rmda.kulib.kyoto-u.ac.jp/item/rb00002310#?c=0&amp;m=0&amp;s=0&amp;cv=255")</f>
        <v>https://rmda.kulib.kyoto-u.ac.jp/item/rb00002310#?c=0&amp;m=0&amp;s=0&amp;cv=255</v>
      </c>
    </row>
    <row r="3110" spans="1:4" x14ac:dyDescent="0.15">
      <c r="A3110" s="6" t="s">
        <v>133</v>
      </c>
      <c r="B3110" s="63" t="s">
        <v>4709</v>
      </c>
      <c r="C3110" s="6">
        <v>256</v>
      </c>
      <c r="D3110" s="6" t="str">
        <f>HYPERLINK("https://rmda.kulib.kyoto-u.ac.jp/item/rb00002310#?c=0&amp;m=0&amp;s=0&amp;cv=255")</f>
        <v>https://rmda.kulib.kyoto-u.ac.jp/item/rb00002310#?c=0&amp;m=0&amp;s=0&amp;cv=255</v>
      </c>
    </row>
    <row r="3111" spans="1:4" x14ac:dyDescent="0.15">
      <c r="A3111" s="6" t="s">
        <v>133</v>
      </c>
      <c r="B3111" s="6" t="s">
        <v>4412</v>
      </c>
      <c r="C3111" s="6">
        <v>257</v>
      </c>
      <c r="D3111" s="6" t="str">
        <f>HYPERLINK("https://rmda.kulib.kyoto-u.ac.jp/item/rb00002310#?c=0&amp;m=0&amp;s=0&amp;cv=256")</f>
        <v>https://rmda.kulib.kyoto-u.ac.jp/item/rb00002310#?c=0&amp;m=0&amp;s=0&amp;cv=256</v>
      </c>
    </row>
    <row r="3112" spans="1:4" x14ac:dyDescent="0.15">
      <c r="A3112" s="6" t="s">
        <v>133</v>
      </c>
      <c r="B3112" s="6" t="s">
        <v>6112</v>
      </c>
      <c r="C3112" s="6">
        <v>257</v>
      </c>
      <c r="D3112" s="6" t="str">
        <f>HYPERLINK("https://rmda.kulib.kyoto-u.ac.jp/item/rb00002310#?c=0&amp;m=0&amp;s=0&amp;cv=256")</f>
        <v>https://rmda.kulib.kyoto-u.ac.jp/item/rb00002310#?c=0&amp;m=0&amp;s=0&amp;cv=256</v>
      </c>
    </row>
    <row r="3113" spans="1:4" x14ac:dyDescent="0.15">
      <c r="A3113" s="6" t="s">
        <v>133</v>
      </c>
      <c r="B3113" s="6" t="s">
        <v>4710</v>
      </c>
      <c r="C3113" s="6">
        <v>258</v>
      </c>
      <c r="D3113" s="6" t="str">
        <f>HYPERLINK("https://rmda.kulib.kyoto-u.ac.jp/item/rb00002310#?c=0&amp;m=0&amp;s=0&amp;cv=257")</f>
        <v>https://rmda.kulib.kyoto-u.ac.jp/item/rb00002310#?c=0&amp;m=0&amp;s=0&amp;cv=257</v>
      </c>
    </row>
    <row r="3114" spans="1:4" x14ac:dyDescent="0.15">
      <c r="A3114" s="6" t="s">
        <v>133</v>
      </c>
      <c r="B3114" s="63" t="s">
        <v>4680</v>
      </c>
      <c r="C3114" s="6">
        <v>258</v>
      </c>
      <c r="D3114" s="6" t="str">
        <f>HYPERLINK("https://rmda.kulib.kyoto-u.ac.jp/item/rb00002310#?c=0&amp;m=0&amp;s=0&amp;cv=257")</f>
        <v>https://rmda.kulib.kyoto-u.ac.jp/item/rb00002310#?c=0&amp;m=0&amp;s=0&amp;cv=257</v>
      </c>
    </row>
    <row r="3115" spans="1:4" x14ac:dyDescent="0.15">
      <c r="A3115" s="6" t="s">
        <v>133</v>
      </c>
      <c r="B3115" s="6" t="s">
        <v>4807</v>
      </c>
      <c r="C3115" s="6">
        <v>259</v>
      </c>
      <c r="D3115" s="6" t="str">
        <f>HYPERLINK("https://rmda.kulib.kyoto-u.ac.jp/item/rb00002310#?c=0&amp;m=0&amp;s=0&amp;cv=258")</f>
        <v>https://rmda.kulib.kyoto-u.ac.jp/item/rb00002310#?c=0&amp;m=0&amp;s=0&amp;cv=258</v>
      </c>
    </row>
    <row r="3116" spans="1:4" x14ac:dyDescent="0.15">
      <c r="A3116" s="6" t="s">
        <v>133</v>
      </c>
      <c r="B3116" s="6" t="s">
        <v>4808</v>
      </c>
      <c r="C3116" s="6">
        <v>259</v>
      </c>
      <c r="D3116" s="6" t="str">
        <f>HYPERLINK("https://rmda.kulib.kyoto-u.ac.jp/item/rb00002310#?c=0&amp;m=0&amp;s=0&amp;cv=258")</f>
        <v>https://rmda.kulib.kyoto-u.ac.jp/item/rb00002310#?c=0&amp;m=0&amp;s=0&amp;cv=258</v>
      </c>
    </row>
    <row r="3117" spans="1:4" x14ac:dyDescent="0.15">
      <c r="A3117" s="6" t="s">
        <v>133</v>
      </c>
      <c r="B3117" s="6" t="s">
        <v>4514</v>
      </c>
      <c r="C3117" s="6">
        <v>260</v>
      </c>
      <c r="D3117" s="6" t="str">
        <f>HYPERLINK("https://rmda.kulib.kyoto-u.ac.jp/item/rb00002310#?c=0&amp;m=0&amp;s=0&amp;cv=259")</f>
        <v>https://rmda.kulib.kyoto-u.ac.jp/item/rb00002310#?c=0&amp;m=0&amp;s=0&amp;cv=259</v>
      </c>
    </row>
    <row r="3118" spans="1:4" x14ac:dyDescent="0.15">
      <c r="A3118" s="6" t="s">
        <v>133</v>
      </c>
      <c r="B3118" s="63" t="s">
        <v>4711</v>
      </c>
      <c r="C3118" s="6">
        <v>260</v>
      </c>
      <c r="D3118" s="6" t="str">
        <f>HYPERLINK("https://rmda.kulib.kyoto-u.ac.jp/item/rb00002310#?c=0&amp;m=0&amp;s=0&amp;cv=259")</f>
        <v>https://rmda.kulib.kyoto-u.ac.jp/item/rb00002310#?c=0&amp;m=0&amp;s=0&amp;cv=259</v>
      </c>
    </row>
    <row r="3119" spans="1:4" x14ac:dyDescent="0.15">
      <c r="A3119" s="6" t="s">
        <v>133</v>
      </c>
      <c r="B3119" s="6" t="s">
        <v>4400</v>
      </c>
      <c r="C3119" s="6">
        <v>261</v>
      </c>
      <c r="D3119" s="6" t="str">
        <f>HYPERLINK("https://rmda.kulib.kyoto-u.ac.jp/item/rb00002310#?c=0&amp;m=0&amp;s=0&amp;cv=260")</f>
        <v>https://rmda.kulib.kyoto-u.ac.jp/item/rb00002310#?c=0&amp;m=0&amp;s=0&amp;cv=260</v>
      </c>
    </row>
    <row r="3120" spans="1:4" x14ac:dyDescent="0.15">
      <c r="A3120" s="6" t="s">
        <v>133</v>
      </c>
      <c r="B3120" s="6" t="s">
        <v>4397</v>
      </c>
      <c r="C3120" s="6">
        <v>261</v>
      </c>
      <c r="D3120" s="6" t="str">
        <f>HYPERLINK("https://rmda.kulib.kyoto-u.ac.jp/item/rb00002310#?c=0&amp;m=0&amp;s=0&amp;cv=260")</f>
        <v>https://rmda.kulib.kyoto-u.ac.jp/item/rb00002310#?c=0&amp;m=0&amp;s=0&amp;cv=260</v>
      </c>
    </row>
    <row r="3121" spans="1:5" x14ac:dyDescent="0.15">
      <c r="A3121" s="114" t="s">
        <v>6066</v>
      </c>
      <c r="B3121" s="11"/>
      <c r="C3121" s="30"/>
      <c r="D3121" s="6"/>
    </row>
    <row r="3122" spans="1:5" x14ac:dyDescent="0.15">
      <c r="A3122" s="84" t="s">
        <v>6298</v>
      </c>
      <c r="B3122" s="67"/>
      <c r="C3122" s="30"/>
      <c r="D3122" s="6"/>
    </row>
    <row r="3123" spans="1:5" x14ac:dyDescent="0.15">
      <c r="A3123" s="8" t="s">
        <v>5478</v>
      </c>
      <c r="B3123" s="8" t="s">
        <v>143</v>
      </c>
      <c r="C3123" s="6"/>
      <c r="D3123" s="6"/>
    </row>
    <row r="3124" spans="1:5" x14ac:dyDescent="0.15">
      <c r="A3124" s="63" t="s">
        <v>5479</v>
      </c>
      <c r="B3124" s="6"/>
      <c r="C3124" s="6"/>
      <c r="D3124" s="9" t="s">
        <v>1115</v>
      </c>
    </row>
    <row r="3125" spans="1:5" x14ac:dyDescent="0.15">
      <c r="A3125" s="6" t="s">
        <v>142</v>
      </c>
      <c r="B3125" s="6" t="s">
        <v>3924</v>
      </c>
      <c r="C3125" s="6">
        <v>4</v>
      </c>
      <c r="D3125" s="6" t="str">
        <f>HYPERLINK("https://rmda.kulib.kyoto-u.ac.jp/item/rb00001995#?c=0&amp;m=0&amp;s=0&amp;cv=3")</f>
        <v>https://rmda.kulib.kyoto-u.ac.jp/item/rb00001995#?c=0&amp;m=0&amp;s=0&amp;cv=3</v>
      </c>
    </row>
    <row r="3126" spans="1:5" x14ac:dyDescent="0.15">
      <c r="A3126" s="6" t="s">
        <v>142</v>
      </c>
      <c r="B3126" s="6" t="s">
        <v>3924</v>
      </c>
      <c r="C3126" s="6">
        <v>6</v>
      </c>
      <c r="D3126" s="6" t="str">
        <f>HYPERLINK("https://rmda.kulib.kyoto-u.ac.jp/item/rb00001995#?c=0&amp;m=0&amp;s=0&amp;cv=5")</f>
        <v>https://rmda.kulib.kyoto-u.ac.jp/item/rb00001995#?c=0&amp;m=0&amp;s=0&amp;cv=5</v>
      </c>
    </row>
    <row r="3127" spans="1:5" x14ac:dyDescent="0.15">
      <c r="A3127" s="6" t="s">
        <v>142</v>
      </c>
      <c r="B3127" s="6" t="s">
        <v>3924</v>
      </c>
      <c r="C3127" s="6">
        <v>8</v>
      </c>
      <c r="D3127" s="6" t="str">
        <f>HYPERLINK("https://rmda.kulib.kyoto-u.ac.jp/item/rb00001995#?c=0&amp;m=0&amp;s=0&amp;cv=7")</f>
        <v>https://rmda.kulib.kyoto-u.ac.jp/item/rb00001995#?c=0&amp;m=0&amp;s=0&amp;cv=7</v>
      </c>
    </row>
    <row r="3128" spans="1:5" x14ac:dyDescent="0.15">
      <c r="A3128" s="6" t="s">
        <v>142</v>
      </c>
      <c r="B3128" s="6" t="s">
        <v>3924</v>
      </c>
      <c r="C3128" s="6">
        <v>11</v>
      </c>
      <c r="D3128" s="6" t="str">
        <f>HYPERLINK("https://rmda.kulib.kyoto-u.ac.jp/item/rb00001995#?c=0&amp;m=0&amp;s=0&amp;cv=10")</f>
        <v>https://rmda.kulib.kyoto-u.ac.jp/item/rb00001995#?c=0&amp;m=0&amp;s=0&amp;cv=10</v>
      </c>
    </row>
    <row r="3129" spans="1:5" x14ac:dyDescent="0.15">
      <c r="A3129" s="6" t="s">
        <v>142</v>
      </c>
      <c r="B3129" s="6" t="s">
        <v>3925</v>
      </c>
      <c r="C3129" s="6">
        <v>13</v>
      </c>
      <c r="D3129" s="6" t="str">
        <f>HYPERLINK("https://rmda.kulib.kyoto-u.ac.jp/item/rb00001995#?c=0&amp;m=0&amp;s=0&amp;cv=12")</f>
        <v>https://rmda.kulib.kyoto-u.ac.jp/item/rb00001995#?c=0&amp;m=0&amp;s=0&amp;cv=12</v>
      </c>
    </row>
    <row r="3130" spans="1:5" x14ac:dyDescent="0.15">
      <c r="A3130" s="6" t="s">
        <v>142</v>
      </c>
      <c r="B3130" s="6" t="s">
        <v>3926</v>
      </c>
      <c r="C3130" s="6">
        <v>14</v>
      </c>
      <c r="D3130" s="6" t="str">
        <f>HYPERLINK("https://rmda.kulib.kyoto-u.ac.jp/item/rb00001995#?c=0&amp;m=0&amp;s=0&amp;cv=13")</f>
        <v>https://rmda.kulib.kyoto-u.ac.jp/item/rb00001995#?c=0&amp;m=0&amp;s=0&amp;cv=13</v>
      </c>
    </row>
    <row r="3131" spans="1:5" x14ac:dyDescent="0.15">
      <c r="A3131" s="6" t="s">
        <v>142</v>
      </c>
      <c r="B3131" s="6" t="s">
        <v>5540</v>
      </c>
      <c r="C3131" s="6">
        <v>92</v>
      </c>
      <c r="D3131" s="6" t="str">
        <f>HYPERLINK("https://rmda.kulib.kyoto-u.ac.jp/item/rb00001995#?c=0&amp;m=0&amp;s=0&amp;cv=91")</f>
        <v>https://rmda.kulib.kyoto-u.ac.jp/item/rb00001995#?c=0&amp;m=0&amp;s=0&amp;cv=91</v>
      </c>
    </row>
    <row r="3132" spans="1:5" x14ac:dyDescent="0.15">
      <c r="A3132" s="6" t="s">
        <v>142</v>
      </c>
      <c r="B3132" s="6" t="s">
        <v>3927</v>
      </c>
      <c r="C3132" s="6">
        <v>116</v>
      </c>
      <c r="D3132" s="6" t="str">
        <f>HYPERLINK("https://rmda.kulib.kyoto-u.ac.jp/item/rb00001995#?c=0&amp;m=0&amp;s=0&amp;cv=115")</f>
        <v>https://rmda.kulib.kyoto-u.ac.jp/item/rb00001995#?c=0&amp;m=0&amp;s=0&amp;cv=115</v>
      </c>
      <c r="E3132" t="s">
        <v>3942</v>
      </c>
    </row>
    <row r="3133" spans="1:5" x14ac:dyDescent="0.15">
      <c r="A3133" s="6" t="s">
        <v>142</v>
      </c>
      <c r="B3133" s="6" t="s">
        <v>2641</v>
      </c>
      <c r="C3133" s="6">
        <v>119</v>
      </c>
      <c r="D3133" s="6" t="str">
        <f>HYPERLINK("https://rmda.kulib.kyoto-u.ac.jp/item/rb00001995#?c=0&amp;m=0&amp;s=0&amp;cv=118")</f>
        <v>https://rmda.kulib.kyoto-u.ac.jp/item/rb00001995#?c=0&amp;m=0&amp;s=0&amp;cv=118</v>
      </c>
    </row>
    <row r="3134" spans="1:5" x14ac:dyDescent="0.15">
      <c r="A3134" s="6" t="s">
        <v>142</v>
      </c>
      <c r="B3134" s="6" t="s">
        <v>2642</v>
      </c>
      <c r="C3134" s="6">
        <v>124</v>
      </c>
      <c r="D3134" s="6" t="str">
        <f>HYPERLINK("https://rmda.kulib.kyoto-u.ac.jp/item/rb00001995#?c=0&amp;m=0&amp;s=0&amp;cv=123")</f>
        <v>https://rmda.kulib.kyoto-u.ac.jp/item/rb00001995#?c=0&amp;m=0&amp;s=0&amp;cv=123</v>
      </c>
    </row>
    <row r="3135" spans="1:5" x14ac:dyDescent="0.15">
      <c r="A3135" s="6" t="s">
        <v>142</v>
      </c>
      <c r="B3135" s="6" t="s">
        <v>2643</v>
      </c>
      <c r="C3135" s="6">
        <v>130</v>
      </c>
      <c r="D3135" s="6" t="str">
        <f>HYPERLINK("https://rmda.kulib.kyoto-u.ac.jp/item/rb00001995#?c=0&amp;m=0&amp;s=0&amp;cv=129")</f>
        <v>https://rmda.kulib.kyoto-u.ac.jp/item/rb00001995#?c=0&amp;m=0&amp;s=0&amp;cv=129</v>
      </c>
    </row>
    <row r="3136" spans="1:5" x14ac:dyDescent="0.15">
      <c r="A3136" s="6" t="s">
        <v>142</v>
      </c>
      <c r="B3136" s="6" t="s">
        <v>2644</v>
      </c>
      <c r="C3136" s="6">
        <v>154</v>
      </c>
      <c r="D3136" s="6" t="str">
        <f>HYPERLINK("https://rmda.kulib.kyoto-u.ac.jp/item/rb00001995#?c=0&amp;m=0&amp;s=0&amp;cv=153")</f>
        <v>https://rmda.kulib.kyoto-u.ac.jp/item/rb00001995#?c=0&amp;m=0&amp;s=0&amp;cv=153</v>
      </c>
    </row>
    <row r="3137" spans="1:4" x14ac:dyDescent="0.15">
      <c r="A3137" s="6" t="s">
        <v>142</v>
      </c>
      <c r="B3137" s="6" t="s">
        <v>2645</v>
      </c>
      <c r="C3137" s="6">
        <v>182</v>
      </c>
      <c r="D3137" s="6" t="str">
        <f>HYPERLINK("https://rmda.kulib.kyoto-u.ac.jp/item/rb00001995#?c=0&amp;m=0&amp;s=0&amp;cv=181")</f>
        <v>https://rmda.kulib.kyoto-u.ac.jp/item/rb00001995#?c=0&amp;m=0&amp;s=0&amp;cv=181</v>
      </c>
    </row>
    <row r="3138" spans="1:4" x14ac:dyDescent="0.15">
      <c r="A3138" s="6" t="s">
        <v>142</v>
      </c>
      <c r="B3138" s="6" t="s">
        <v>2646</v>
      </c>
      <c r="C3138" s="6">
        <v>198</v>
      </c>
      <c r="D3138" s="6" t="str">
        <f>HYPERLINK("https://rmda.kulib.kyoto-u.ac.jp/item/rb00001995#?c=0&amp;m=0&amp;s=0&amp;cv=197")</f>
        <v>https://rmda.kulib.kyoto-u.ac.jp/item/rb00001995#?c=0&amp;m=0&amp;s=0&amp;cv=197</v>
      </c>
    </row>
    <row r="3139" spans="1:4" x14ac:dyDescent="0.15">
      <c r="A3139" s="6" t="s">
        <v>142</v>
      </c>
      <c r="B3139" s="6" t="s">
        <v>2647</v>
      </c>
      <c r="C3139" s="6">
        <v>214</v>
      </c>
      <c r="D3139" s="6" t="str">
        <f>HYPERLINK("https://rmda.kulib.kyoto-u.ac.jp/item/rb00001995#?c=0&amp;m=0&amp;s=0&amp;cv=213")</f>
        <v>https://rmda.kulib.kyoto-u.ac.jp/item/rb00001995#?c=0&amp;m=0&amp;s=0&amp;cv=213</v>
      </c>
    </row>
    <row r="3140" spans="1:4" x14ac:dyDescent="0.15">
      <c r="A3140" s="6" t="s">
        <v>142</v>
      </c>
      <c r="B3140" s="6" t="s">
        <v>3927</v>
      </c>
      <c r="C3140" s="6">
        <v>236</v>
      </c>
      <c r="D3140" s="6" t="str">
        <f>HYPERLINK("https://rmda.kulib.kyoto-u.ac.jp/item/rb00001995#?c=0&amp;m=0&amp;s=0&amp;cv=235")</f>
        <v>https://rmda.kulib.kyoto-u.ac.jp/item/rb00001995#?c=0&amp;m=0&amp;s=0&amp;cv=235</v>
      </c>
    </row>
    <row r="3141" spans="1:4" x14ac:dyDescent="0.15">
      <c r="A3141" s="6" t="s">
        <v>142</v>
      </c>
      <c r="B3141" s="6" t="s">
        <v>2648</v>
      </c>
      <c r="C3141" s="6">
        <v>237</v>
      </c>
      <c r="D3141" s="6" t="str">
        <f>HYPERLINK("https://rmda.kulib.kyoto-u.ac.jp/item/rb00001995#?c=0&amp;m=0&amp;s=0&amp;cv=236")</f>
        <v>https://rmda.kulib.kyoto-u.ac.jp/item/rb00001995#?c=0&amp;m=0&amp;s=0&amp;cv=236</v>
      </c>
    </row>
    <row r="3142" spans="1:4" x14ac:dyDescent="0.15">
      <c r="A3142" s="6" t="s">
        <v>142</v>
      </c>
      <c r="B3142" s="6" t="s">
        <v>3928</v>
      </c>
      <c r="C3142" s="6">
        <v>248</v>
      </c>
      <c r="D3142" s="6" t="str">
        <f>HYPERLINK("https://rmda.kulib.kyoto-u.ac.jp/item/rb00001995#?c=0&amp;m=0&amp;s=0&amp;cv=247")</f>
        <v>https://rmda.kulib.kyoto-u.ac.jp/item/rb00001995#?c=0&amp;m=0&amp;s=0&amp;cv=247</v>
      </c>
    </row>
    <row r="3143" spans="1:4" x14ac:dyDescent="0.15">
      <c r="A3143" s="6" t="s">
        <v>142</v>
      </c>
      <c r="B3143" s="6" t="s">
        <v>2649</v>
      </c>
      <c r="C3143" s="6">
        <v>271</v>
      </c>
      <c r="D3143" s="6" t="str">
        <f>HYPERLINK("https://rmda.kulib.kyoto-u.ac.jp/item/rb00001995#?c=0&amp;m=0&amp;s=0&amp;cv=270")</f>
        <v>https://rmda.kulib.kyoto-u.ac.jp/item/rb00001995#?c=0&amp;m=0&amp;s=0&amp;cv=270</v>
      </c>
    </row>
    <row r="3144" spans="1:4" x14ac:dyDescent="0.15">
      <c r="A3144" s="6" t="s">
        <v>142</v>
      </c>
      <c r="B3144" s="6" t="s">
        <v>2650</v>
      </c>
      <c r="C3144" s="6">
        <v>298</v>
      </c>
      <c r="D3144" s="6" t="str">
        <f>HYPERLINK("https://rmda.kulib.kyoto-u.ac.jp/item/rb00001995#?c=0&amp;m=0&amp;s=0&amp;cv=297")</f>
        <v>https://rmda.kulib.kyoto-u.ac.jp/item/rb00001995#?c=0&amp;m=0&amp;s=0&amp;cv=297</v>
      </c>
    </row>
    <row r="3145" spans="1:4" x14ac:dyDescent="0.15">
      <c r="A3145" s="6" t="s">
        <v>142</v>
      </c>
      <c r="B3145" s="6" t="s">
        <v>2651</v>
      </c>
      <c r="C3145" s="6">
        <v>310</v>
      </c>
      <c r="D3145" s="6" t="str">
        <f>HYPERLINK("https://rmda.kulib.kyoto-u.ac.jp/item/rb00001995#?c=0&amp;m=0&amp;s=0&amp;cv=309")</f>
        <v>https://rmda.kulib.kyoto-u.ac.jp/item/rb00001995#?c=0&amp;m=0&amp;s=0&amp;cv=309</v>
      </c>
    </row>
    <row r="3146" spans="1:4" x14ac:dyDescent="0.15">
      <c r="A3146" s="6" t="s">
        <v>142</v>
      </c>
      <c r="B3146" s="6" t="s">
        <v>2652</v>
      </c>
      <c r="C3146" s="6">
        <v>318</v>
      </c>
      <c r="D3146" s="6" t="str">
        <f>HYPERLINK("https://rmda.kulib.kyoto-u.ac.jp/item/rb00001995#?c=0&amp;m=0&amp;s=0&amp;cv=317")</f>
        <v>https://rmda.kulib.kyoto-u.ac.jp/item/rb00001995#?c=0&amp;m=0&amp;s=0&amp;cv=317</v>
      </c>
    </row>
    <row r="3147" spans="1:4" x14ac:dyDescent="0.15">
      <c r="A3147" s="6" t="s">
        <v>142</v>
      </c>
      <c r="B3147" s="6" t="s">
        <v>2653</v>
      </c>
      <c r="C3147" s="6">
        <v>323</v>
      </c>
      <c r="D3147" s="6" t="str">
        <f>HYPERLINK("https://rmda.kulib.kyoto-u.ac.jp/item/rb00001995#?c=0&amp;m=0&amp;s=0&amp;cv=322")</f>
        <v>https://rmda.kulib.kyoto-u.ac.jp/item/rb00001995#?c=0&amp;m=0&amp;s=0&amp;cv=322</v>
      </c>
    </row>
    <row r="3148" spans="1:4" x14ac:dyDescent="0.15">
      <c r="A3148" s="6" t="s">
        <v>142</v>
      </c>
      <c r="B3148" s="6" t="s">
        <v>3927</v>
      </c>
      <c r="C3148" s="6">
        <v>355</v>
      </c>
      <c r="D3148" s="6" t="str">
        <f>HYPERLINK("https://rmda.kulib.kyoto-u.ac.jp/item/rb00001995#?c=0&amp;m=0&amp;s=0&amp;cv=354")</f>
        <v>https://rmda.kulib.kyoto-u.ac.jp/item/rb00001995#?c=0&amp;m=0&amp;s=0&amp;cv=354</v>
      </c>
    </row>
    <row r="3149" spans="1:4" x14ac:dyDescent="0.15">
      <c r="A3149" s="6" t="s">
        <v>142</v>
      </c>
      <c r="B3149" s="6" t="s">
        <v>2654</v>
      </c>
      <c r="C3149" s="6">
        <v>360</v>
      </c>
      <c r="D3149" s="6" t="str">
        <f>HYPERLINK("https://rmda.kulib.kyoto-u.ac.jp/item/rb00001995#?c=0&amp;m=0&amp;s=0&amp;cv=359")</f>
        <v>https://rmda.kulib.kyoto-u.ac.jp/item/rb00001995#?c=0&amp;m=0&amp;s=0&amp;cv=359</v>
      </c>
    </row>
    <row r="3150" spans="1:4" x14ac:dyDescent="0.15">
      <c r="A3150" s="6" t="s">
        <v>142</v>
      </c>
      <c r="B3150" s="6" t="s">
        <v>3929</v>
      </c>
      <c r="C3150" s="6">
        <v>368</v>
      </c>
      <c r="D3150" s="6" t="str">
        <f>HYPERLINK("https://rmda.kulib.kyoto-u.ac.jp/item/rb00001995#?c=0&amp;m=0&amp;s=0&amp;cv=367")</f>
        <v>https://rmda.kulib.kyoto-u.ac.jp/item/rb00001995#?c=0&amp;m=0&amp;s=0&amp;cv=367</v>
      </c>
    </row>
    <row r="3151" spans="1:4" x14ac:dyDescent="0.15">
      <c r="A3151" s="6" t="s">
        <v>142</v>
      </c>
      <c r="B3151" s="6" t="s">
        <v>2655</v>
      </c>
      <c r="C3151" s="6">
        <v>412</v>
      </c>
      <c r="D3151" s="6" t="str">
        <f>HYPERLINK("https://rmda.kulib.kyoto-u.ac.jp/item/rb00001995#?c=0&amp;m=0&amp;s=0&amp;cv=411")</f>
        <v>https://rmda.kulib.kyoto-u.ac.jp/item/rb00001995#?c=0&amp;m=0&amp;s=0&amp;cv=411</v>
      </c>
    </row>
    <row r="3152" spans="1:4" x14ac:dyDescent="0.15">
      <c r="A3152" s="6" t="s">
        <v>142</v>
      </c>
      <c r="B3152" s="6" t="s">
        <v>2656</v>
      </c>
      <c r="C3152" s="6">
        <v>430</v>
      </c>
      <c r="D3152" s="6" t="str">
        <f>HYPERLINK("https://rmda.kulib.kyoto-u.ac.jp/item/rb00001995#?c=0&amp;m=0&amp;s=0&amp;cv=429")</f>
        <v>https://rmda.kulib.kyoto-u.ac.jp/item/rb00001995#?c=0&amp;m=0&amp;s=0&amp;cv=429</v>
      </c>
    </row>
    <row r="3153" spans="1:4" x14ac:dyDescent="0.15">
      <c r="A3153" s="6" t="s">
        <v>142</v>
      </c>
      <c r="B3153" s="6" t="s">
        <v>3927</v>
      </c>
      <c r="C3153" s="6">
        <v>446</v>
      </c>
      <c r="D3153" s="6" t="str">
        <f>HYPERLINK("https://rmda.kulib.kyoto-u.ac.jp/item/rb00001995#?c=0&amp;m=0&amp;s=0&amp;cv=445")</f>
        <v>https://rmda.kulib.kyoto-u.ac.jp/item/rb00001995#?c=0&amp;m=0&amp;s=0&amp;cv=445</v>
      </c>
    </row>
    <row r="3154" spans="1:4" x14ac:dyDescent="0.15">
      <c r="A3154" s="6" t="s">
        <v>142</v>
      </c>
      <c r="B3154" s="6" t="s">
        <v>2657</v>
      </c>
      <c r="C3154" s="6">
        <v>448</v>
      </c>
      <c r="D3154" s="6" t="str">
        <f>HYPERLINK("https://rmda.kulib.kyoto-u.ac.jp/item/rb00001995#?c=0&amp;m=0&amp;s=0&amp;cv=447")</f>
        <v>https://rmda.kulib.kyoto-u.ac.jp/item/rb00001995#?c=0&amp;m=0&amp;s=0&amp;cv=447</v>
      </c>
    </row>
    <row r="3155" spans="1:4" x14ac:dyDescent="0.15">
      <c r="A3155" s="6" t="s">
        <v>142</v>
      </c>
      <c r="B3155" s="6" t="s">
        <v>2658</v>
      </c>
      <c r="C3155" s="6">
        <v>492</v>
      </c>
      <c r="D3155" s="6" t="str">
        <f>HYPERLINK("https://rmda.kulib.kyoto-u.ac.jp/item/rb00001995#?c=0&amp;m=0&amp;s=0&amp;cv=491")</f>
        <v>https://rmda.kulib.kyoto-u.ac.jp/item/rb00001995#?c=0&amp;m=0&amp;s=0&amp;cv=491</v>
      </c>
    </row>
    <row r="3156" spans="1:4" x14ac:dyDescent="0.15">
      <c r="A3156" s="6" t="s">
        <v>142</v>
      </c>
      <c r="B3156" s="6" t="s">
        <v>2659</v>
      </c>
      <c r="C3156" s="6">
        <v>516</v>
      </c>
      <c r="D3156" s="6" t="str">
        <f>HYPERLINK("https://rmda.kulib.kyoto-u.ac.jp/item/rb00001995#?c=0&amp;m=0&amp;s=0&amp;cv=515")</f>
        <v>https://rmda.kulib.kyoto-u.ac.jp/item/rb00001995#?c=0&amp;m=0&amp;s=0&amp;cv=515</v>
      </c>
    </row>
    <row r="3157" spans="1:4" x14ac:dyDescent="0.15">
      <c r="A3157" s="6" t="s">
        <v>142</v>
      </c>
      <c r="B3157" s="6" t="s">
        <v>2660</v>
      </c>
      <c r="C3157" s="6">
        <v>536</v>
      </c>
      <c r="D3157" s="79" t="str">
        <f>HYPERLINK("https://rmda.kulib.kyoto-u.ac.jp/item/rb00001995#?c=0&amp;m=0&amp;s=0&amp;cv=535")</f>
        <v>https://rmda.kulib.kyoto-u.ac.jp/item/rb00001995#?c=0&amp;m=0&amp;s=0&amp;cv=535</v>
      </c>
    </row>
    <row r="3158" spans="1:4" x14ac:dyDescent="0.15">
      <c r="A3158" s="6" t="s">
        <v>142</v>
      </c>
      <c r="B3158" s="6" t="s">
        <v>2661</v>
      </c>
      <c r="C3158" s="6">
        <v>547</v>
      </c>
      <c r="D3158" s="6" t="str">
        <f>HYPERLINK("https://rmda.kulib.kyoto-u.ac.jp/item/rb00001995#?c=0&amp;m=0&amp;s=0&amp;cv=546")</f>
        <v>https://rmda.kulib.kyoto-u.ac.jp/item/rb00001995#?c=0&amp;m=0&amp;s=0&amp;cv=546</v>
      </c>
    </row>
    <row r="3159" spans="1:4" x14ac:dyDescent="0.15">
      <c r="A3159" s="6" t="s">
        <v>142</v>
      </c>
      <c r="B3159" s="6" t="s">
        <v>2662</v>
      </c>
      <c r="C3159" s="6">
        <v>566</v>
      </c>
      <c r="D3159" s="6" t="str">
        <f>HYPERLINK("https://rmda.kulib.kyoto-u.ac.jp/item/rb00001995#?c=0&amp;m=0&amp;s=0&amp;cv=565")</f>
        <v>https://rmda.kulib.kyoto-u.ac.jp/item/rb00001995#?c=0&amp;m=0&amp;s=0&amp;cv=565</v>
      </c>
    </row>
    <row r="3160" spans="1:4" x14ac:dyDescent="0.15">
      <c r="A3160" s="6" t="s">
        <v>142</v>
      </c>
      <c r="B3160" s="6" t="s">
        <v>2663</v>
      </c>
      <c r="C3160" s="6">
        <v>579</v>
      </c>
      <c r="D3160" s="6" t="str">
        <f>HYPERLINK("https://rmda.kulib.kyoto-u.ac.jp/item/rb00001995#?c=0&amp;m=0&amp;s=0&amp;cv=578")</f>
        <v>https://rmda.kulib.kyoto-u.ac.jp/item/rb00001995#?c=0&amp;m=0&amp;s=0&amp;cv=578</v>
      </c>
    </row>
    <row r="3161" spans="1:4" x14ac:dyDescent="0.15">
      <c r="A3161" s="6" t="s">
        <v>142</v>
      </c>
      <c r="B3161" s="6" t="s">
        <v>3930</v>
      </c>
      <c r="C3161" s="6">
        <v>597</v>
      </c>
      <c r="D3161" s="6" t="str">
        <f>HYPERLINK("https://rmda.kulib.kyoto-u.ac.jp/item/rb00001995#?c=0&amp;m=0&amp;s=0&amp;cv=596")</f>
        <v>https://rmda.kulib.kyoto-u.ac.jp/item/rb00001995#?c=0&amp;m=0&amp;s=0&amp;cv=596</v>
      </c>
    </row>
    <row r="3162" spans="1:4" x14ac:dyDescent="0.15">
      <c r="A3162" s="6" t="s">
        <v>142</v>
      </c>
      <c r="B3162" s="6" t="s">
        <v>2664</v>
      </c>
      <c r="C3162" s="6">
        <v>608</v>
      </c>
      <c r="D3162" s="6" t="str">
        <f>HYPERLINK("https://rmda.kulib.kyoto-u.ac.jp/item/rb00001995#?c=0&amp;m=0&amp;s=0&amp;cv=607")</f>
        <v>https://rmda.kulib.kyoto-u.ac.jp/item/rb00001995#?c=0&amp;m=0&amp;s=0&amp;cv=607</v>
      </c>
    </row>
    <row r="3163" spans="1:4" x14ac:dyDescent="0.15">
      <c r="A3163" s="6" t="s">
        <v>142</v>
      </c>
      <c r="B3163" s="6" t="s">
        <v>2665</v>
      </c>
      <c r="C3163" s="6">
        <v>623</v>
      </c>
      <c r="D3163" s="6" t="str">
        <f>HYPERLINK("https://rmda.kulib.kyoto-u.ac.jp/item/rb00001995#?c=0&amp;m=0&amp;s=0&amp;cv=622")</f>
        <v>https://rmda.kulib.kyoto-u.ac.jp/item/rb00001995#?c=0&amp;m=0&amp;s=0&amp;cv=622</v>
      </c>
    </row>
    <row r="3164" spans="1:4" x14ac:dyDescent="0.15">
      <c r="A3164" s="6" t="s">
        <v>142</v>
      </c>
      <c r="B3164" s="6" t="s">
        <v>2666</v>
      </c>
      <c r="C3164" s="6">
        <v>631</v>
      </c>
      <c r="D3164" s="6" t="str">
        <f>HYPERLINK("https://rmda.kulib.kyoto-u.ac.jp/item/rb00001995#?c=0&amp;m=0&amp;s=0&amp;cv=630")</f>
        <v>https://rmda.kulib.kyoto-u.ac.jp/item/rb00001995#?c=0&amp;m=0&amp;s=0&amp;cv=630</v>
      </c>
    </row>
    <row r="3165" spans="1:4" x14ac:dyDescent="0.15">
      <c r="A3165" s="6" t="s">
        <v>142</v>
      </c>
      <c r="B3165" s="6" t="s">
        <v>3927</v>
      </c>
      <c r="C3165" s="6">
        <v>646</v>
      </c>
      <c r="D3165" s="6" t="str">
        <f>HYPERLINK("https://rmda.kulib.kyoto-u.ac.jp/item/rb00001995#?c=0&amp;m=0&amp;s=0&amp;cv=645")</f>
        <v>https://rmda.kulib.kyoto-u.ac.jp/item/rb00001995#?c=0&amp;m=0&amp;s=0&amp;cv=645</v>
      </c>
    </row>
    <row r="3166" spans="1:4" x14ac:dyDescent="0.15">
      <c r="A3166" s="6" t="s">
        <v>142</v>
      </c>
      <c r="B3166" s="6" t="s">
        <v>2667</v>
      </c>
      <c r="C3166" s="6">
        <v>646</v>
      </c>
      <c r="D3166" s="6" t="str">
        <f>HYPERLINK("https://rmda.kulib.kyoto-u.ac.jp/item/rb00001995#?c=0&amp;m=0&amp;s=0&amp;cv=645")</f>
        <v>https://rmda.kulib.kyoto-u.ac.jp/item/rb00001995#?c=0&amp;m=0&amp;s=0&amp;cv=645</v>
      </c>
    </row>
    <row r="3167" spans="1:4" x14ac:dyDescent="0.15">
      <c r="A3167" s="6" t="s">
        <v>142</v>
      </c>
      <c r="B3167" s="6" t="s">
        <v>3931</v>
      </c>
      <c r="C3167" s="6">
        <v>667</v>
      </c>
      <c r="D3167" s="6" t="str">
        <f>HYPERLINK("https://rmda.kulib.kyoto-u.ac.jp/item/rb00001995#?c=0&amp;m=0&amp;s=0&amp;cv=666")</f>
        <v>https://rmda.kulib.kyoto-u.ac.jp/item/rb00001995#?c=0&amp;m=0&amp;s=0&amp;cv=666</v>
      </c>
    </row>
    <row r="3168" spans="1:4" x14ac:dyDescent="0.15">
      <c r="A3168" s="6" t="s">
        <v>142</v>
      </c>
      <c r="B3168" s="6" t="s">
        <v>3932</v>
      </c>
      <c r="C3168" s="6">
        <v>675</v>
      </c>
      <c r="D3168" s="6" t="str">
        <f>HYPERLINK("https://rmda.kulib.kyoto-u.ac.jp/item/rb00001995#?c=0&amp;m=0&amp;s=0&amp;cv=674")</f>
        <v>https://rmda.kulib.kyoto-u.ac.jp/item/rb00001995#?c=0&amp;m=0&amp;s=0&amp;cv=674</v>
      </c>
    </row>
    <row r="3169" spans="1:4" x14ac:dyDescent="0.15">
      <c r="A3169" s="6" t="s">
        <v>142</v>
      </c>
      <c r="B3169" s="6" t="s">
        <v>2668</v>
      </c>
      <c r="C3169" s="6">
        <v>685</v>
      </c>
      <c r="D3169" s="6" t="str">
        <f>HYPERLINK("https://rmda.kulib.kyoto-u.ac.jp/item/rb00001995#?c=0&amp;m=0&amp;s=0&amp;cv=684")</f>
        <v>https://rmda.kulib.kyoto-u.ac.jp/item/rb00001995#?c=0&amp;m=0&amp;s=0&amp;cv=684</v>
      </c>
    </row>
    <row r="3170" spans="1:4" x14ac:dyDescent="0.15">
      <c r="A3170" s="6" t="s">
        <v>142</v>
      </c>
      <c r="B3170" s="6" t="s">
        <v>3933</v>
      </c>
      <c r="C3170" s="6">
        <v>694</v>
      </c>
      <c r="D3170" s="6" t="str">
        <f>HYPERLINK("https://rmda.kulib.kyoto-u.ac.jp/item/rb00001995#?c=0&amp;m=0&amp;s=0&amp;cv=693")</f>
        <v>https://rmda.kulib.kyoto-u.ac.jp/item/rb00001995#?c=0&amp;m=0&amp;s=0&amp;cv=693</v>
      </c>
    </row>
    <row r="3171" spans="1:4" x14ac:dyDescent="0.15">
      <c r="A3171" s="6" t="s">
        <v>142</v>
      </c>
      <c r="B3171" s="6" t="s">
        <v>2669</v>
      </c>
      <c r="C3171" s="6">
        <v>694</v>
      </c>
      <c r="D3171" s="6" t="str">
        <f>HYPERLINK("https://rmda.kulib.kyoto-u.ac.jp/item/rb00001995#?c=0&amp;m=0&amp;s=0&amp;cv=693")</f>
        <v>https://rmda.kulib.kyoto-u.ac.jp/item/rb00001995#?c=0&amp;m=0&amp;s=0&amp;cv=693</v>
      </c>
    </row>
    <row r="3172" spans="1:4" x14ac:dyDescent="0.15">
      <c r="A3172" s="6" t="s">
        <v>142</v>
      </c>
      <c r="B3172" s="6" t="s">
        <v>2670</v>
      </c>
      <c r="C3172" s="6">
        <v>701</v>
      </c>
      <c r="D3172" s="6" t="str">
        <f>HYPERLINK("https://rmda.kulib.kyoto-u.ac.jp/item/rb00001995#?c=0&amp;m=0&amp;s=0&amp;cv=700")</f>
        <v>https://rmda.kulib.kyoto-u.ac.jp/item/rb00001995#?c=0&amp;m=0&amp;s=0&amp;cv=700</v>
      </c>
    </row>
    <row r="3173" spans="1:4" x14ac:dyDescent="0.15">
      <c r="A3173" s="6" t="s">
        <v>142</v>
      </c>
      <c r="B3173" s="6" t="s">
        <v>2671</v>
      </c>
      <c r="C3173" s="6">
        <v>711</v>
      </c>
      <c r="D3173" s="6" t="str">
        <f>HYPERLINK("https://rmda.kulib.kyoto-u.ac.jp/item/rb00001995#?c=0&amp;m=0&amp;s=0&amp;cv=710")</f>
        <v>https://rmda.kulib.kyoto-u.ac.jp/item/rb00001995#?c=0&amp;m=0&amp;s=0&amp;cv=710</v>
      </c>
    </row>
    <row r="3174" spans="1:4" x14ac:dyDescent="0.15">
      <c r="A3174" s="6" t="s">
        <v>142</v>
      </c>
      <c r="B3174" s="6" t="s">
        <v>2672</v>
      </c>
      <c r="C3174" s="6">
        <v>725</v>
      </c>
      <c r="D3174" s="6" t="str">
        <f>HYPERLINK("https://rmda.kulib.kyoto-u.ac.jp/item/rb00001995#?c=0&amp;m=0&amp;s=0&amp;cv=724")</f>
        <v>https://rmda.kulib.kyoto-u.ac.jp/item/rb00001995#?c=0&amp;m=0&amp;s=0&amp;cv=724</v>
      </c>
    </row>
    <row r="3175" spans="1:4" x14ac:dyDescent="0.15">
      <c r="A3175" s="6" t="s">
        <v>142</v>
      </c>
      <c r="B3175" s="6" t="s">
        <v>2673</v>
      </c>
      <c r="C3175" s="6">
        <v>732</v>
      </c>
      <c r="D3175" s="6" t="str">
        <f>HYPERLINK("https://rmda.kulib.kyoto-u.ac.jp/item/rb00001995#?c=0&amp;m=0&amp;s=0&amp;cv=731")</f>
        <v>https://rmda.kulib.kyoto-u.ac.jp/item/rb00001995#?c=0&amp;m=0&amp;s=0&amp;cv=731</v>
      </c>
    </row>
    <row r="3176" spans="1:4" x14ac:dyDescent="0.15">
      <c r="A3176" s="6" t="s">
        <v>142</v>
      </c>
      <c r="B3176" s="6" t="s">
        <v>3927</v>
      </c>
      <c r="C3176" s="6">
        <v>742</v>
      </c>
      <c r="D3176" s="6" t="str">
        <f>HYPERLINK("https://rmda.kulib.kyoto-u.ac.jp/item/rb00001995#?c=0&amp;m=0&amp;s=0&amp;cv=741")</f>
        <v>https://rmda.kulib.kyoto-u.ac.jp/item/rb00001995#?c=0&amp;m=0&amp;s=0&amp;cv=741</v>
      </c>
    </row>
    <row r="3177" spans="1:4" x14ac:dyDescent="0.15">
      <c r="A3177" s="6" t="s">
        <v>142</v>
      </c>
      <c r="B3177" s="6" t="s">
        <v>2674</v>
      </c>
      <c r="C3177" s="6">
        <v>742</v>
      </c>
      <c r="D3177" s="6" t="str">
        <f>HYPERLINK("https://rmda.kulib.kyoto-u.ac.jp/item/rb00001995#?c=0&amp;m=0&amp;s=0&amp;cv=741")</f>
        <v>https://rmda.kulib.kyoto-u.ac.jp/item/rb00001995#?c=0&amp;m=0&amp;s=0&amp;cv=741</v>
      </c>
    </row>
    <row r="3178" spans="1:4" x14ac:dyDescent="0.15">
      <c r="A3178" s="6" t="s">
        <v>142</v>
      </c>
      <c r="B3178" s="6" t="s">
        <v>2675</v>
      </c>
      <c r="C3178" s="6">
        <v>751</v>
      </c>
      <c r="D3178" s="6" t="str">
        <f>HYPERLINK("https://rmda.kulib.kyoto-u.ac.jp/item/rb00001995#?c=0&amp;m=0&amp;s=0&amp;cv=750")</f>
        <v>https://rmda.kulib.kyoto-u.ac.jp/item/rb00001995#?c=0&amp;m=0&amp;s=0&amp;cv=750</v>
      </c>
    </row>
    <row r="3179" spans="1:4" x14ac:dyDescent="0.15">
      <c r="A3179" s="6" t="s">
        <v>142</v>
      </c>
      <c r="B3179" s="6" t="s">
        <v>2676</v>
      </c>
      <c r="C3179" s="6">
        <v>755</v>
      </c>
      <c r="D3179" s="6" t="str">
        <f>HYPERLINK("https://rmda.kulib.kyoto-u.ac.jp/item/rb00001995#?c=0&amp;m=0&amp;s=0&amp;cv=754")</f>
        <v>https://rmda.kulib.kyoto-u.ac.jp/item/rb00001995#?c=0&amp;m=0&amp;s=0&amp;cv=754</v>
      </c>
    </row>
    <row r="3180" spans="1:4" x14ac:dyDescent="0.15">
      <c r="A3180" s="6" t="s">
        <v>142</v>
      </c>
      <c r="B3180" s="6" t="s">
        <v>3934</v>
      </c>
      <c r="C3180" s="6">
        <v>767</v>
      </c>
      <c r="D3180" s="6" t="str">
        <f>HYPERLINK("https://rmda.kulib.kyoto-u.ac.jp/item/rb00001995#?c=0&amp;m=0&amp;s=0&amp;cv=766")</f>
        <v>https://rmda.kulib.kyoto-u.ac.jp/item/rb00001995#?c=0&amp;m=0&amp;s=0&amp;cv=766</v>
      </c>
    </row>
    <row r="3181" spans="1:4" x14ac:dyDescent="0.15">
      <c r="A3181" s="6" t="s">
        <v>142</v>
      </c>
      <c r="B3181" s="6" t="s">
        <v>3933</v>
      </c>
      <c r="C3181" s="6">
        <v>768</v>
      </c>
      <c r="D3181" s="6" t="str">
        <f>HYPERLINK("https://rmda.kulib.kyoto-u.ac.jp/item/rb00001995#?c=0&amp;m=0&amp;s=0&amp;cv=767")</f>
        <v>https://rmda.kulib.kyoto-u.ac.jp/item/rb00001995#?c=0&amp;m=0&amp;s=0&amp;cv=767</v>
      </c>
    </row>
    <row r="3182" spans="1:4" x14ac:dyDescent="0.15">
      <c r="A3182" s="6" t="s">
        <v>142</v>
      </c>
      <c r="B3182" s="6" t="s">
        <v>3935</v>
      </c>
      <c r="C3182" s="6">
        <v>768</v>
      </c>
      <c r="D3182" s="6" t="str">
        <f>HYPERLINK("https://rmda.kulib.kyoto-u.ac.jp/item/rb00001995#?c=0&amp;m=0&amp;s=0&amp;cv=767")</f>
        <v>https://rmda.kulib.kyoto-u.ac.jp/item/rb00001995#?c=0&amp;m=0&amp;s=0&amp;cv=767</v>
      </c>
    </row>
    <row r="3183" spans="1:4" x14ac:dyDescent="0.15">
      <c r="A3183" s="6" t="s">
        <v>142</v>
      </c>
      <c r="B3183" s="6" t="s">
        <v>2677</v>
      </c>
      <c r="C3183" s="6">
        <v>777</v>
      </c>
      <c r="D3183" s="6" t="str">
        <f>HYPERLINK("https://rmda.kulib.kyoto-u.ac.jp/item/rb00001995#?c=0&amp;m=0&amp;s=0&amp;cv=776")</f>
        <v>https://rmda.kulib.kyoto-u.ac.jp/item/rb00001995#?c=0&amp;m=0&amp;s=0&amp;cv=776</v>
      </c>
    </row>
    <row r="3184" spans="1:4" x14ac:dyDescent="0.15">
      <c r="A3184" s="6" t="s">
        <v>142</v>
      </c>
      <c r="B3184" s="6" t="s">
        <v>3933</v>
      </c>
      <c r="C3184" s="6">
        <v>777</v>
      </c>
      <c r="D3184" s="6" t="str">
        <f>HYPERLINK("https://rmda.kulib.kyoto-u.ac.jp/item/rb00001995#?c=0&amp;m=0&amp;s=0&amp;cv=776")</f>
        <v>https://rmda.kulib.kyoto-u.ac.jp/item/rb00001995#?c=0&amp;m=0&amp;s=0&amp;cv=776</v>
      </c>
    </row>
    <row r="3185" spans="1:9" x14ac:dyDescent="0.15">
      <c r="A3185" s="6" t="s">
        <v>142</v>
      </c>
      <c r="B3185" s="6" t="s">
        <v>2678</v>
      </c>
      <c r="C3185" s="6">
        <v>788</v>
      </c>
      <c r="D3185" s="6" t="str">
        <f>HYPERLINK("https://rmda.kulib.kyoto-u.ac.jp/item/rb00001995#?c=0&amp;m=0&amp;s=0&amp;cv=787")</f>
        <v>https://rmda.kulib.kyoto-u.ac.jp/item/rb00001995#?c=0&amp;m=0&amp;s=0&amp;cv=787</v>
      </c>
    </row>
    <row r="3186" spans="1:9" x14ac:dyDescent="0.15">
      <c r="A3186" s="6" t="s">
        <v>142</v>
      </c>
      <c r="B3186" s="6" t="s">
        <v>3933</v>
      </c>
      <c r="C3186" s="6">
        <v>790</v>
      </c>
      <c r="D3186" s="6" t="str">
        <f>HYPERLINK("https://rmda.kulib.kyoto-u.ac.jp/item/rb00001995#?c=0&amp;m=0&amp;s=0&amp;cv=789")</f>
        <v>https://rmda.kulib.kyoto-u.ac.jp/item/rb00001995#?c=0&amp;m=0&amp;s=0&amp;cv=789</v>
      </c>
    </row>
    <row r="3187" spans="1:9" x14ac:dyDescent="0.15">
      <c r="A3187" s="6" t="s">
        <v>142</v>
      </c>
      <c r="B3187" s="6" t="s">
        <v>2679</v>
      </c>
      <c r="C3187" s="6">
        <v>795</v>
      </c>
      <c r="D3187" s="6" t="str">
        <f>HYPERLINK("https://rmda.kulib.kyoto-u.ac.jp/item/rb00001995#?c=0&amp;m=0&amp;s=0&amp;cv=794")</f>
        <v>https://rmda.kulib.kyoto-u.ac.jp/item/rb00001995#?c=0&amp;m=0&amp;s=0&amp;cv=794</v>
      </c>
    </row>
    <row r="3188" spans="1:9" x14ac:dyDescent="0.15">
      <c r="A3188" s="6" t="s">
        <v>142</v>
      </c>
      <c r="B3188" s="6" t="s">
        <v>3936</v>
      </c>
      <c r="C3188" s="6">
        <v>805</v>
      </c>
      <c r="D3188" s="6" t="str">
        <f>HYPERLINK("https://rmda.kulib.kyoto-u.ac.jp/item/rb00001995#?c=0&amp;m=0&amp;s=0&amp;cv=804")</f>
        <v>https://rmda.kulib.kyoto-u.ac.jp/item/rb00001995#?c=0&amp;m=0&amp;s=0&amp;cv=804</v>
      </c>
    </row>
    <row r="3189" spans="1:9" x14ac:dyDescent="0.15">
      <c r="A3189" s="6" t="s">
        <v>142</v>
      </c>
      <c r="B3189" s="6" t="s">
        <v>3937</v>
      </c>
      <c r="C3189" s="6">
        <v>811</v>
      </c>
      <c r="D3189" s="6" t="str">
        <f>HYPERLINK("https://rmda.kulib.kyoto-u.ac.jp/item/rb00001995#?c=0&amp;m=0&amp;s=0&amp;cv=810")</f>
        <v>https://rmda.kulib.kyoto-u.ac.jp/item/rb00001995#?c=0&amp;m=0&amp;s=0&amp;cv=810</v>
      </c>
    </row>
    <row r="3190" spans="1:9" x14ac:dyDescent="0.15">
      <c r="A3190" s="6" t="s">
        <v>142</v>
      </c>
      <c r="B3190" s="6" t="s">
        <v>2680</v>
      </c>
      <c r="C3190" s="6">
        <v>822</v>
      </c>
      <c r="D3190" s="6" t="str">
        <f>HYPERLINK("https://rmda.kulib.kyoto-u.ac.jp/item/rb00001995#?c=0&amp;m=0&amp;s=0&amp;cv=821")</f>
        <v>https://rmda.kulib.kyoto-u.ac.jp/item/rb00001995#?c=0&amp;m=0&amp;s=0&amp;cv=821</v>
      </c>
    </row>
    <row r="3191" spans="1:9" x14ac:dyDescent="0.15">
      <c r="A3191" s="6" t="s">
        <v>142</v>
      </c>
      <c r="B3191" s="6" t="s">
        <v>3938</v>
      </c>
      <c r="C3191" s="6">
        <v>830</v>
      </c>
      <c r="D3191" s="6" t="str">
        <f>HYPERLINK("https://rmda.kulib.kyoto-u.ac.jp/item/rb00001995#?c=0&amp;m=0&amp;s=0&amp;cv=829")</f>
        <v>https://rmda.kulib.kyoto-u.ac.jp/item/rb00001995#?c=0&amp;m=0&amp;s=0&amp;cv=829</v>
      </c>
    </row>
    <row r="3192" spans="1:9" x14ac:dyDescent="0.15">
      <c r="A3192" s="6" t="s">
        <v>142</v>
      </c>
      <c r="B3192" s="6" t="s">
        <v>2681</v>
      </c>
      <c r="C3192" s="6">
        <v>830</v>
      </c>
      <c r="D3192" s="6" t="str">
        <f>HYPERLINK("https://rmda.kulib.kyoto-u.ac.jp/item/rb00001995#?c=0&amp;m=0&amp;s=0&amp;cv=829")</f>
        <v>https://rmda.kulib.kyoto-u.ac.jp/item/rb00001995#?c=0&amp;m=0&amp;s=0&amp;cv=829</v>
      </c>
    </row>
    <row r="3193" spans="1:9" x14ac:dyDescent="0.15">
      <c r="A3193" s="6" t="s">
        <v>142</v>
      </c>
      <c r="B3193" s="6" t="s">
        <v>2682</v>
      </c>
      <c r="C3193" s="6">
        <v>835</v>
      </c>
      <c r="D3193" s="6" t="str">
        <f>HYPERLINK("https://rmda.kulib.kyoto-u.ac.jp/item/rb00001995#?c=0&amp;m=0&amp;s=0&amp;cv=834")</f>
        <v>https://rmda.kulib.kyoto-u.ac.jp/item/rb00001995#?c=0&amp;m=0&amp;s=0&amp;cv=834</v>
      </c>
    </row>
    <row r="3194" spans="1:9" x14ac:dyDescent="0.15">
      <c r="A3194" s="6" t="s">
        <v>142</v>
      </c>
      <c r="B3194" s="6" t="s">
        <v>2683</v>
      </c>
      <c r="C3194" s="6">
        <v>844</v>
      </c>
      <c r="D3194" s="6" t="str">
        <f>HYPERLINK("https://rmda.kulib.kyoto-u.ac.jp/item/rb00001995#?c=0&amp;m=0&amp;s=0&amp;cv=843")</f>
        <v>https://rmda.kulib.kyoto-u.ac.jp/item/rb00001995#?c=0&amp;m=0&amp;s=0&amp;cv=843</v>
      </c>
    </row>
    <row r="3195" spans="1:9" x14ac:dyDescent="0.15">
      <c r="A3195" s="6" t="s">
        <v>142</v>
      </c>
      <c r="B3195" s="6" t="s">
        <v>3938</v>
      </c>
      <c r="C3195" s="6">
        <v>868</v>
      </c>
      <c r="D3195" s="6" t="str">
        <f>HYPERLINK("https://rmda.kulib.kyoto-u.ac.jp/item/rb00001995#?c=0&amp;m=0&amp;s=0&amp;cv=867")</f>
        <v>https://rmda.kulib.kyoto-u.ac.jp/item/rb00001995#?c=0&amp;m=0&amp;s=0&amp;cv=867</v>
      </c>
    </row>
    <row r="3196" spans="1:9" x14ac:dyDescent="0.15">
      <c r="A3196" s="6" t="s">
        <v>142</v>
      </c>
      <c r="B3196" s="6" t="s">
        <v>3939</v>
      </c>
      <c r="C3196" s="6">
        <v>886</v>
      </c>
      <c r="D3196" s="6" t="str">
        <f>HYPERLINK("https://rmda.kulib.kyoto-u.ac.jp/item/rb00001995#?c=0&amp;m=0&amp;s=0&amp;cv=885")</f>
        <v>https://rmda.kulib.kyoto-u.ac.jp/item/rb00001995#?c=0&amp;m=0&amp;s=0&amp;cv=885</v>
      </c>
    </row>
    <row r="3197" spans="1:9" x14ac:dyDescent="0.15">
      <c r="A3197" s="6" t="s">
        <v>142</v>
      </c>
      <c r="B3197" s="6" t="s">
        <v>3940</v>
      </c>
      <c r="C3197" s="6">
        <v>933</v>
      </c>
      <c r="D3197" s="6" t="str">
        <f>HYPERLINK("https://rmda.kulib.kyoto-u.ac.jp/item/rb00001995#?c=0&amp;m=0&amp;s=0&amp;cv=932")</f>
        <v>https://rmda.kulib.kyoto-u.ac.jp/item/rb00001995#?c=0&amp;m=0&amp;s=0&amp;cv=932</v>
      </c>
    </row>
    <row r="3198" spans="1:9" x14ac:dyDescent="0.15">
      <c r="A3198" s="6" t="s">
        <v>142</v>
      </c>
      <c r="B3198" s="6" t="s">
        <v>3941</v>
      </c>
      <c r="C3198" s="6">
        <v>936</v>
      </c>
      <c r="D3198" s="6" t="str">
        <f>HYPERLINK("https://rmda.kulib.kyoto-u.ac.jp/item/rb00001995#?c=0&amp;m=0&amp;s=0&amp;cv=935")</f>
        <v>https://rmda.kulib.kyoto-u.ac.jp/item/rb00001995#?c=0&amp;m=0&amp;s=0&amp;cv=935</v>
      </c>
    </row>
    <row r="3199" spans="1:9" x14ac:dyDescent="0.15">
      <c r="A3199" s="6" t="s">
        <v>142</v>
      </c>
      <c r="B3199" s="6" t="s">
        <v>3220</v>
      </c>
      <c r="C3199" s="6">
        <v>951</v>
      </c>
      <c r="D3199" s="6" t="str">
        <f>HYPERLINK("https://rmda.kulib.kyoto-u.ac.jp/item/rb00001995#?c=0&amp;m=0&amp;s=0&amp;cv=950")</f>
        <v>https://rmda.kulib.kyoto-u.ac.jp/item/rb00001995#?c=0&amp;m=0&amp;s=0&amp;cv=950</v>
      </c>
    </row>
    <row r="3200" spans="1:9" x14ac:dyDescent="0.15">
      <c r="A3200" s="84" t="s">
        <v>6299</v>
      </c>
      <c r="B3200" s="11" t="s">
        <v>146</v>
      </c>
      <c r="C3200" s="11"/>
      <c r="D3200" s="9" t="s">
        <v>1116</v>
      </c>
      <c r="E3200" s="6"/>
      <c r="F3200" s="9" t="s">
        <v>147</v>
      </c>
      <c r="G3200" s="6" t="s">
        <v>83</v>
      </c>
      <c r="H3200" s="6" t="str">
        <f>HYPERLINK("06-00-12.pdf")</f>
        <v>06-00-12.pdf</v>
      </c>
      <c r="I3200" s="6"/>
    </row>
    <row r="3201" spans="1:9" x14ac:dyDescent="0.15">
      <c r="A3201" s="112"/>
      <c r="B3201" s="11"/>
      <c r="C3201" s="11"/>
      <c r="D3201" s="9" t="s">
        <v>148</v>
      </c>
      <c r="E3201" s="9" t="s">
        <v>1116</v>
      </c>
      <c r="F3201" s="6"/>
      <c r="G3201" s="6"/>
      <c r="H3201" s="6"/>
      <c r="I3201" s="6"/>
    </row>
    <row r="3202" spans="1:9" x14ac:dyDescent="0.15">
      <c r="A3202" s="108" t="s">
        <v>6300</v>
      </c>
      <c r="B3202" s="11" t="s">
        <v>150</v>
      </c>
      <c r="C3202" s="11" t="s">
        <v>151</v>
      </c>
      <c r="D3202" s="6"/>
      <c r="E3202" s="9" t="s">
        <v>1116</v>
      </c>
      <c r="F3202" s="6"/>
      <c r="G3202" s="6"/>
      <c r="H3202" s="6" t="str">
        <f>HYPERLINK("06-01.pdf")</f>
        <v>06-01.pdf</v>
      </c>
      <c r="I3202" s="6" t="str">
        <f>HYPERLINK("503-脈訣.txt")</f>
        <v>503-脈訣.txt</v>
      </c>
    </row>
    <row r="3203" spans="1:9" x14ac:dyDescent="0.15">
      <c r="A3203" s="108" t="s">
        <v>6301</v>
      </c>
      <c r="B3203" s="11" t="s">
        <v>6273</v>
      </c>
      <c r="C3203" s="11" t="s">
        <v>153</v>
      </c>
      <c r="D3203" s="6"/>
      <c r="E3203" s="9" t="s">
        <v>1116</v>
      </c>
      <c r="F3203" s="9" t="s">
        <v>154</v>
      </c>
      <c r="G3203" s="6" t="s">
        <v>83</v>
      </c>
      <c r="H3203" s="6" t="str">
        <f>HYPERLINK("06-02.pdf")</f>
        <v>06-02.pdf</v>
      </c>
      <c r="I3203" s="6" t="str">
        <f>HYPERLINK("232-内外傷弁.txt")</f>
        <v>232-内外傷弁.txt</v>
      </c>
    </row>
    <row r="3204" spans="1:9" x14ac:dyDescent="0.15">
      <c r="A3204" s="112"/>
      <c r="B3204" s="11"/>
      <c r="C3204" s="11"/>
      <c r="D3204" s="9" t="s">
        <v>155</v>
      </c>
      <c r="E3204" s="6"/>
      <c r="F3204" s="6"/>
      <c r="G3204" s="6"/>
      <c r="H3204" s="6"/>
      <c r="I3204" s="6"/>
    </row>
    <row r="3205" spans="1:9" x14ac:dyDescent="0.15">
      <c r="A3205" s="108" t="s">
        <v>6302</v>
      </c>
      <c r="B3205" s="11" t="s">
        <v>157</v>
      </c>
      <c r="C3205" s="11" t="s">
        <v>153</v>
      </c>
      <c r="D3205" s="6"/>
      <c r="E3205" s="9" t="s">
        <v>1116</v>
      </c>
      <c r="F3205" s="9" t="s">
        <v>154</v>
      </c>
      <c r="G3205" s="6" t="s">
        <v>83</v>
      </c>
      <c r="H3205" s="6" t="str">
        <f>HYPERLINK("06-03.pdf")</f>
        <v>06-03.pdf</v>
      </c>
      <c r="I3205" s="6" t="str">
        <f>HYPERLINK("614-脾胃論.txt")</f>
        <v>614-脾胃論.txt</v>
      </c>
    </row>
    <row r="3206" spans="1:9" x14ac:dyDescent="0.15">
      <c r="A3206" s="108" t="s">
        <v>6303</v>
      </c>
      <c r="B3206" s="11" t="s">
        <v>159</v>
      </c>
      <c r="C3206" s="11" t="s">
        <v>153</v>
      </c>
      <c r="D3206" s="6"/>
      <c r="E3206" s="9" t="s">
        <v>1116</v>
      </c>
      <c r="F3206" s="9" t="s">
        <v>154</v>
      </c>
      <c r="G3206" s="6" t="s">
        <v>83</v>
      </c>
      <c r="H3206" s="6" t="str">
        <f>HYPERLINK("06-04.pdf")</f>
        <v>06-04.pdf</v>
      </c>
      <c r="I3206" s="6" t="str">
        <f>HYPERLINK("581-蘭室秘蔵.txt")</f>
        <v>581-蘭室秘蔵.txt</v>
      </c>
    </row>
    <row r="3207" spans="1:9" x14ac:dyDescent="0.15">
      <c r="A3207" s="108" t="s">
        <v>6304</v>
      </c>
      <c r="B3207" s="11" t="s">
        <v>161</v>
      </c>
      <c r="C3207" s="11" t="s">
        <v>162</v>
      </c>
      <c r="D3207" s="6"/>
      <c r="E3207" s="9" t="s">
        <v>1116</v>
      </c>
      <c r="F3207" s="9" t="s">
        <v>163</v>
      </c>
      <c r="G3207" s="6" t="s">
        <v>83</v>
      </c>
      <c r="H3207" s="6" t="str">
        <f>HYPERLINK("06-05.pdf")</f>
        <v>06-05.pdf</v>
      </c>
      <c r="I3207" s="6" t="str">
        <f>HYPERLINK("008-湯液本草.txt")</f>
        <v>008-湯液本草.txt</v>
      </c>
    </row>
    <row r="3208" spans="1:9" x14ac:dyDescent="0.15">
      <c r="A3208" s="108" t="s">
        <v>6305</v>
      </c>
      <c r="B3208" s="11" t="s">
        <v>165</v>
      </c>
      <c r="C3208" s="11" t="s">
        <v>162</v>
      </c>
      <c r="D3208" s="6"/>
      <c r="E3208" s="9" t="s">
        <v>1116</v>
      </c>
      <c r="F3208" s="9" t="s">
        <v>163</v>
      </c>
      <c r="G3208" s="6" t="s">
        <v>83</v>
      </c>
      <c r="H3208" s="6" t="str">
        <f>HYPERLINK("06-06.pdf")</f>
        <v>06-06.pdf</v>
      </c>
      <c r="I3208" s="6" t="str">
        <f>HYPERLINK("563-此事難知.txt")</f>
        <v>563-此事難知.txt</v>
      </c>
    </row>
    <row r="3209" spans="1:9" x14ac:dyDescent="0.15">
      <c r="A3209" s="108" t="s">
        <v>6306</v>
      </c>
      <c r="B3209" s="11" t="s">
        <v>167</v>
      </c>
      <c r="C3209" s="11" t="s">
        <v>168</v>
      </c>
      <c r="D3209" s="6"/>
      <c r="E3209" s="9" t="s">
        <v>1116</v>
      </c>
      <c r="F3209" s="9" t="s">
        <v>169</v>
      </c>
      <c r="G3209" s="6" t="s">
        <v>83</v>
      </c>
      <c r="H3209" s="6" t="str">
        <f>HYPERLINK("06-07.pdf")</f>
        <v>06-07.pdf</v>
      </c>
      <c r="I3209" s="6" t="str">
        <f>HYPERLINK("618-格致余論.txt")</f>
        <v>618-格致余論.txt</v>
      </c>
    </row>
    <row r="3210" spans="1:9" x14ac:dyDescent="0.15">
      <c r="A3210" s="108" t="s">
        <v>6307</v>
      </c>
      <c r="B3210" s="11" t="s">
        <v>171</v>
      </c>
      <c r="C3210" s="11" t="s">
        <v>168</v>
      </c>
      <c r="D3210" s="6"/>
      <c r="E3210" s="9" t="s">
        <v>1116</v>
      </c>
      <c r="F3210" s="9" t="s">
        <v>169</v>
      </c>
      <c r="G3210" s="6" t="s">
        <v>83</v>
      </c>
      <c r="H3210" s="6" t="str">
        <f>HYPERLINK("06-08.pdf")</f>
        <v>06-08.pdf</v>
      </c>
      <c r="I3210" s="6"/>
    </row>
    <row r="3211" spans="1:9" x14ac:dyDescent="0.15">
      <c r="A3211" s="108" t="s">
        <v>6308</v>
      </c>
      <c r="B3211" s="11" t="s">
        <v>173</v>
      </c>
      <c r="C3211" s="11" t="s">
        <v>174</v>
      </c>
      <c r="D3211" s="9" t="s">
        <v>175</v>
      </c>
      <c r="E3211" s="9" t="s">
        <v>1116</v>
      </c>
      <c r="F3211" s="6"/>
      <c r="G3211" s="6"/>
      <c r="H3211" s="6" t="str">
        <f>HYPERLINK("06-09.pdf")</f>
        <v>06-09.pdf</v>
      </c>
      <c r="I3211" s="6" t="str">
        <f>HYPERLINK("210-外科精義.txt")</f>
        <v>210-外科精義.txt</v>
      </c>
    </row>
    <row r="3212" spans="1:9" x14ac:dyDescent="0.15">
      <c r="A3212" s="108" t="s">
        <v>6309</v>
      </c>
      <c r="B3212" s="11" t="s">
        <v>177</v>
      </c>
      <c r="C3212" s="11" t="s">
        <v>178</v>
      </c>
      <c r="D3212" s="9" t="s">
        <v>179</v>
      </c>
      <c r="E3212" s="9" t="s">
        <v>1116</v>
      </c>
      <c r="F3212" s="6"/>
      <c r="G3212" s="6"/>
      <c r="H3212" s="6" t="str">
        <f>HYPERLINK("06-10.pdf")</f>
        <v>06-10.pdf</v>
      </c>
      <c r="I3212" s="6" t="str">
        <f>HYPERLINK("370-医経遡洄集.txt")</f>
        <v>370-医経遡洄集.txt</v>
      </c>
    </row>
    <row r="3213" spans="1:9" x14ac:dyDescent="0.15">
      <c r="A3213" s="112"/>
      <c r="B3213" s="11"/>
      <c r="C3213" s="11"/>
      <c r="D3213" s="18" t="s">
        <v>1206</v>
      </c>
      <c r="E3213" s="9"/>
      <c r="F3213" s="6"/>
      <c r="G3213" s="6"/>
      <c r="H3213" s="6"/>
      <c r="I3213" s="6"/>
    </row>
    <row r="3214" spans="1:9" x14ac:dyDescent="0.15">
      <c r="A3214" s="112"/>
      <c r="B3214" s="12" t="s">
        <v>81</v>
      </c>
      <c r="C3214" s="12"/>
      <c r="D3214" s="6"/>
      <c r="E3214" s="6"/>
      <c r="F3214" s="6"/>
      <c r="G3214" s="6"/>
      <c r="H3214" s="6" t="str">
        <f>HYPERLINK("06-00-11　目次.pdf")</f>
        <v>06-00-11　目次.pdf</v>
      </c>
      <c r="I3214" s="6"/>
    </row>
    <row r="3215" spans="1:9" x14ac:dyDescent="0.15">
      <c r="A3215" s="110" t="s">
        <v>6310</v>
      </c>
      <c r="B3215" s="8" t="s">
        <v>181</v>
      </c>
      <c r="C3215" s="8" t="s">
        <v>168</v>
      </c>
      <c r="D3215" s="6"/>
      <c r="E3215" s="6"/>
      <c r="F3215" s="6"/>
      <c r="G3215" s="6"/>
      <c r="H3215" s="6" t="str">
        <f>HYPERLINK("06-12-01.pdf")</f>
        <v>06-12-01.pdf</v>
      </c>
      <c r="I3215" s="6"/>
    </row>
    <row r="3216" spans="1:9" x14ac:dyDescent="0.15">
      <c r="A3216" s="110" t="s">
        <v>6311</v>
      </c>
      <c r="B3216" s="8" t="s">
        <v>183</v>
      </c>
      <c r="C3216" s="8" t="s">
        <v>168</v>
      </c>
      <c r="D3216" s="6"/>
      <c r="E3216" s="6"/>
      <c r="F3216" s="6"/>
      <c r="G3216" s="6"/>
      <c r="H3216" s="6" t="str">
        <f>HYPERLINK("06-12-02.pdf")</f>
        <v>06-12-02.pdf</v>
      </c>
      <c r="I3216" s="6"/>
    </row>
    <row r="3217" spans="1:9" x14ac:dyDescent="0.15">
      <c r="A3217" s="110" t="s">
        <v>6312</v>
      </c>
      <c r="B3217" s="8" t="s">
        <v>1205</v>
      </c>
      <c r="C3217" s="8" t="s">
        <v>178</v>
      </c>
      <c r="D3217" s="6"/>
      <c r="E3217" s="6"/>
      <c r="F3217" s="6"/>
      <c r="G3217" s="6"/>
      <c r="H3217" s="6" t="str">
        <f>HYPERLINK("06-12-03.pdf")</f>
        <v>06-12-03.pdf</v>
      </c>
      <c r="I3217" s="6"/>
    </row>
    <row r="3218" spans="1:9" x14ac:dyDescent="0.15">
      <c r="A3218" s="110" t="s">
        <v>6313</v>
      </c>
      <c r="B3218" s="8" t="s">
        <v>186</v>
      </c>
      <c r="C3218" s="8" t="s">
        <v>187</v>
      </c>
      <c r="D3218" s="6"/>
      <c r="E3218" s="6"/>
      <c r="F3218" s="6"/>
      <c r="G3218" s="6"/>
      <c r="H3218" s="6" t="str">
        <f>HYPERLINK("06-11.pdf")</f>
        <v>06-11.pdf</v>
      </c>
      <c r="I3218" s="6" t="str">
        <f>HYPERLINK("513-脈訣刊誤.txt")</f>
        <v>513-脈訣刊誤.txt</v>
      </c>
    </row>
    <row r="3219" spans="1:9" x14ac:dyDescent="0.15">
      <c r="A3219" s="6"/>
      <c r="B3219" s="6"/>
      <c r="C3219" s="6"/>
      <c r="D3219" s="6"/>
      <c r="E3219" s="6"/>
      <c r="F3219" s="6"/>
    </row>
    <row r="3220" spans="1:9" x14ac:dyDescent="0.15">
      <c r="A3220" s="11" t="s">
        <v>5476</v>
      </c>
      <c r="B3220" s="11" t="s">
        <v>192</v>
      </c>
      <c r="C3220" s="11"/>
      <c r="D3220" s="6"/>
      <c r="E3220" s="6"/>
      <c r="F3220" s="6"/>
    </row>
    <row r="3221" spans="1:9" x14ac:dyDescent="0.15">
      <c r="A3221" s="63" t="s">
        <v>5475</v>
      </c>
      <c r="B3221" s="63" t="s">
        <v>5477</v>
      </c>
      <c r="C3221" s="6"/>
      <c r="D3221" s="6"/>
      <c r="E3221" s="6"/>
      <c r="F3221" s="6"/>
    </row>
    <row r="3222" spans="1:9" x14ac:dyDescent="0.15">
      <c r="A3222" s="6"/>
      <c r="B3222" s="11" t="s">
        <v>192</v>
      </c>
      <c r="C3222" s="6"/>
      <c r="D3222" s="9" t="s">
        <v>1117</v>
      </c>
      <c r="E3222" s="6"/>
      <c r="F3222" s="6"/>
    </row>
    <row r="3223" spans="1:9" x14ac:dyDescent="0.15">
      <c r="A3223" s="66"/>
      <c r="B3223" s="71" t="s">
        <v>3642</v>
      </c>
      <c r="C3223" s="9"/>
      <c r="D3223" s="6"/>
      <c r="E3223" s="9"/>
      <c r="F3223" s="6"/>
    </row>
    <row r="3224" spans="1:9" x14ac:dyDescent="0.15">
      <c r="A3224" s="66"/>
      <c r="B3224" s="71" t="s">
        <v>3648</v>
      </c>
      <c r="C3224" s="9"/>
      <c r="D3224" s="6"/>
      <c r="E3224" s="9"/>
      <c r="F3224" s="6"/>
    </row>
    <row r="3225" spans="1:9" x14ac:dyDescent="0.15">
      <c r="A3225" s="66"/>
      <c r="B3225" s="71" t="s">
        <v>5230</v>
      </c>
      <c r="C3225" s="9"/>
      <c r="D3225" s="6"/>
      <c r="E3225" s="6"/>
      <c r="F3225" s="6"/>
    </row>
    <row r="3226" spans="1:9" x14ac:dyDescent="0.15">
      <c r="A3226" s="63" t="s">
        <v>6272</v>
      </c>
      <c r="B3226" s="6" t="s">
        <v>6279</v>
      </c>
      <c r="C3226" s="6" t="s">
        <v>6279</v>
      </c>
      <c r="D3226" s="6" t="s">
        <v>6279</v>
      </c>
      <c r="E3226" s="11" t="s">
        <v>194</v>
      </c>
      <c r="F3226" s="11" t="s">
        <v>192</v>
      </c>
    </row>
    <row r="3227" spans="1:9" x14ac:dyDescent="0.15">
      <c r="A3227" s="66"/>
      <c r="B3227" s="6"/>
      <c r="C3227" s="6"/>
      <c r="D3227" s="6"/>
      <c r="E3227" s="71" t="s">
        <v>5474</v>
      </c>
      <c r="F3227" s="9" t="s">
        <v>3647</v>
      </c>
      <c r="G3227" s="18" t="s">
        <v>3647</v>
      </c>
      <c r="H3227" s="18"/>
    </row>
    <row r="3228" spans="1:9" x14ac:dyDescent="0.15">
      <c r="A3228" s="6" t="s">
        <v>6278</v>
      </c>
      <c r="B3228" s="6" t="s">
        <v>1371</v>
      </c>
      <c r="C3228" s="6">
        <v>4</v>
      </c>
      <c r="D3228" s="6" t="str">
        <f>HYPERLINK("https://rmda.kulib.kyoto-u.ac.jp/item/rb00003208#?c=0&amp;m=0&amp;s=0&amp;cv=3")</f>
        <v>https://rmda.kulib.kyoto-u.ac.jp/item/rb00003208#?c=0&amp;m=0&amp;s=0&amp;cv=3</v>
      </c>
      <c r="E3228" s="6"/>
      <c r="F3228" s="9"/>
    </row>
    <row r="3229" spans="1:9" x14ac:dyDescent="0.15">
      <c r="A3229" s="6" t="s">
        <v>6278</v>
      </c>
      <c r="B3229" s="4" t="s">
        <v>2684</v>
      </c>
      <c r="C3229" s="6">
        <v>7</v>
      </c>
      <c r="D3229" s="6" t="str">
        <f>HYPERLINK("https://rmda.kulib.kyoto-u.ac.jp/item/rb00003208#?c=0&amp;m=0&amp;s=0&amp;cv=6")</f>
        <v>https://rmda.kulib.kyoto-u.ac.jp/item/rb00003208#?c=0&amp;m=0&amp;s=0&amp;cv=6</v>
      </c>
      <c r="E3229" s="6"/>
      <c r="F3229" s="6"/>
    </row>
    <row r="3230" spans="1:9" x14ac:dyDescent="0.15">
      <c r="A3230" s="6" t="s">
        <v>6278</v>
      </c>
      <c r="B3230" s="6" t="s">
        <v>2685</v>
      </c>
      <c r="C3230" s="6">
        <v>7</v>
      </c>
      <c r="D3230" s="6" t="str">
        <f>HYPERLINK("https://rmda.kulib.kyoto-u.ac.jp/item/rb00003208#?c=0&amp;m=0&amp;s=0&amp;cv=6")</f>
        <v>https://rmda.kulib.kyoto-u.ac.jp/item/rb00003208#?c=0&amp;m=0&amp;s=0&amp;cv=6</v>
      </c>
      <c r="E3230" s="6">
        <v>4</v>
      </c>
      <c r="F3230" s="9" t="str">
        <f>HYPERLINK("https://kotenseki.nijl.ac.jp/biblio/100245458/viewer/4")</f>
        <v>https://kotenseki.nijl.ac.jp/biblio/100245458/viewer/4</v>
      </c>
    </row>
    <row r="3231" spans="1:9" x14ac:dyDescent="0.15">
      <c r="A3231" s="6" t="s">
        <v>6278</v>
      </c>
      <c r="B3231" s="6" t="s">
        <v>2686</v>
      </c>
      <c r="C3231" s="6">
        <v>10</v>
      </c>
      <c r="D3231" s="6" t="str">
        <f>HYPERLINK("https://rmda.kulib.kyoto-u.ac.jp/item/rb00003208#?c=0&amp;m=0&amp;s=0&amp;cv=9")</f>
        <v>https://rmda.kulib.kyoto-u.ac.jp/item/rb00003208#?c=0&amp;m=0&amp;s=0&amp;cv=9</v>
      </c>
      <c r="E3231" s="6">
        <v>17</v>
      </c>
      <c r="F3231" s="6" t="str">
        <f>HYPERLINK("https://kotenseki.nijl.ac.jp/biblio/100245458/viewer/17")</f>
        <v>https://kotenseki.nijl.ac.jp/biblio/100245458/viewer/17</v>
      </c>
    </row>
    <row r="3232" spans="1:9" x14ac:dyDescent="0.15">
      <c r="A3232" s="6" t="s">
        <v>6278</v>
      </c>
      <c r="B3232" s="6" t="s">
        <v>2687</v>
      </c>
      <c r="C3232" s="6">
        <v>10</v>
      </c>
      <c r="D3232" s="6" t="str">
        <f>HYPERLINK("https://rmda.kulib.kyoto-u.ac.jp/item/rb00003208#?c=0&amp;m=0&amp;s=0&amp;cv=9")</f>
        <v>https://rmda.kulib.kyoto-u.ac.jp/item/rb00003208#?c=0&amp;m=0&amp;s=0&amp;cv=9</v>
      </c>
      <c r="E3232" s="6">
        <v>17</v>
      </c>
      <c r="F3232" s="6" t="str">
        <f>HYPERLINK("https://kotenseki.nijl.ac.jp/biblio/100245458/viewer/17")</f>
        <v>https://kotenseki.nijl.ac.jp/biblio/100245458/viewer/17</v>
      </c>
    </row>
    <row r="3233" spans="1:6" x14ac:dyDescent="0.15">
      <c r="A3233" s="6" t="s">
        <v>6278</v>
      </c>
      <c r="B3233" s="6" t="s">
        <v>2688</v>
      </c>
      <c r="C3233" s="6">
        <v>11</v>
      </c>
      <c r="D3233" s="6" t="str">
        <f>HYPERLINK("https://rmda.kulib.kyoto-u.ac.jp/item/rb00003208#?c=0&amp;m=0&amp;s=0&amp;cv=10")</f>
        <v>https://rmda.kulib.kyoto-u.ac.jp/item/rb00003208#?c=0&amp;m=0&amp;s=0&amp;cv=10</v>
      </c>
      <c r="E3233" s="6">
        <v>18</v>
      </c>
      <c r="F3233" s="6" t="str">
        <f>HYPERLINK("https://kotenseki.nijl.ac.jp/biblio/100245458/viewer/18")</f>
        <v>https://kotenseki.nijl.ac.jp/biblio/100245458/viewer/18</v>
      </c>
    </row>
    <row r="3234" spans="1:6" x14ac:dyDescent="0.15">
      <c r="A3234" s="6" t="s">
        <v>6278</v>
      </c>
      <c r="B3234" s="6" t="s">
        <v>2689</v>
      </c>
      <c r="C3234" s="6">
        <v>11</v>
      </c>
      <c r="D3234" s="6" t="str">
        <f>HYPERLINK("https://rmda.kulib.kyoto-u.ac.jp/item/rb00003208#?c=0&amp;m=0&amp;s=0&amp;cv=10")</f>
        <v>https://rmda.kulib.kyoto-u.ac.jp/item/rb00003208#?c=0&amp;m=0&amp;s=0&amp;cv=10</v>
      </c>
      <c r="E3234" s="6">
        <v>20</v>
      </c>
      <c r="F3234" s="6" t="str">
        <f>HYPERLINK("https://kotenseki.nijl.ac.jp/biblio/100245458/viewer/20")</f>
        <v>https://kotenseki.nijl.ac.jp/biblio/100245458/viewer/20</v>
      </c>
    </row>
    <row r="3235" spans="1:6" x14ac:dyDescent="0.15">
      <c r="A3235" s="6" t="s">
        <v>6278</v>
      </c>
      <c r="B3235" s="6" t="s">
        <v>2690</v>
      </c>
      <c r="C3235" s="6">
        <v>11</v>
      </c>
      <c r="D3235" s="6" t="str">
        <f>HYPERLINK("https://rmda.kulib.kyoto-u.ac.jp/item/rb00003208#?c=0&amp;m=0&amp;s=0&amp;cv=10")</f>
        <v>https://rmda.kulib.kyoto-u.ac.jp/item/rb00003208#?c=0&amp;m=0&amp;s=0&amp;cv=10</v>
      </c>
      <c r="E3235" s="6">
        <v>20</v>
      </c>
      <c r="F3235" s="6" t="str">
        <f>HYPERLINK("https://kotenseki.nijl.ac.jp/biblio/100245458/viewer/20")</f>
        <v>https://kotenseki.nijl.ac.jp/biblio/100245458/viewer/20</v>
      </c>
    </row>
    <row r="3236" spans="1:6" x14ac:dyDescent="0.15">
      <c r="A3236" s="6" t="s">
        <v>6278</v>
      </c>
      <c r="B3236" s="6" t="s">
        <v>1439</v>
      </c>
      <c r="C3236" s="6">
        <v>12</v>
      </c>
      <c r="D3236" s="6" t="str">
        <f>HYPERLINK("https://rmda.kulib.kyoto-u.ac.jp/item/rb00003208#?c=0&amp;m=0&amp;s=0&amp;cv=11")</f>
        <v>https://rmda.kulib.kyoto-u.ac.jp/item/rb00003208#?c=0&amp;m=0&amp;s=0&amp;cv=11</v>
      </c>
      <c r="E3236" s="6"/>
      <c r="F3236" s="6"/>
    </row>
    <row r="3237" spans="1:6" x14ac:dyDescent="0.15">
      <c r="A3237" s="6" t="s">
        <v>6278</v>
      </c>
      <c r="B3237" s="4" t="s">
        <v>2691</v>
      </c>
      <c r="C3237" s="6">
        <v>12</v>
      </c>
      <c r="D3237" s="6" t="str">
        <f>HYPERLINK("https://rmda.kulib.kyoto-u.ac.jp/item/rb00003208#?c=0&amp;m=0&amp;s=0&amp;cv=11")</f>
        <v>https://rmda.kulib.kyoto-u.ac.jp/item/rb00003208#?c=0&amp;m=0&amp;s=0&amp;cv=11</v>
      </c>
      <c r="E3237" s="6">
        <v>22</v>
      </c>
      <c r="F3237" s="6" t="str">
        <f>HYPERLINK("https://kotenseki.nijl.ac.jp/biblio/100245458/viewer/22")</f>
        <v>https://kotenseki.nijl.ac.jp/biblio/100245458/viewer/22</v>
      </c>
    </row>
    <row r="3238" spans="1:6" x14ac:dyDescent="0.15">
      <c r="A3238" s="6" t="s">
        <v>6278</v>
      </c>
      <c r="B3238" s="6" t="s">
        <v>2692</v>
      </c>
      <c r="C3238" s="6">
        <v>12</v>
      </c>
      <c r="D3238" s="6" t="str">
        <f>HYPERLINK("https://rmda.kulib.kyoto-u.ac.jp/item/rb00003208#?c=0&amp;m=0&amp;s=0&amp;cv=11")</f>
        <v>https://rmda.kulib.kyoto-u.ac.jp/item/rb00003208#?c=0&amp;m=0&amp;s=0&amp;cv=11</v>
      </c>
      <c r="E3238" s="6">
        <v>22</v>
      </c>
      <c r="F3238" s="6" t="str">
        <f>HYPERLINK("https://kotenseki.nijl.ac.jp/biblio/100245458/viewer/22")</f>
        <v>https://kotenseki.nijl.ac.jp/biblio/100245458/viewer/22</v>
      </c>
    </row>
    <row r="3239" spans="1:6" x14ac:dyDescent="0.15">
      <c r="A3239" s="6" t="s">
        <v>6278</v>
      </c>
      <c r="B3239" s="6" t="s">
        <v>2523</v>
      </c>
      <c r="C3239" s="6">
        <v>17</v>
      </c>
      <c r="D3239" s="6" t="str">
        <f>HYPERLINK("https://rmda.kulib.kyoto-u.ac.jp/item/rb00003208#?c=0&amp;m=0&amp;s=0&amp;cv=16")</f>
        <v>https://rmda.kulib.kyoto-u.ac.jp/item/rb00003208#?c=0&amp;m=0&amp;s=0&amp;cv=16</v>
      </c>
      <c r="E3239" s="6">
        <v>39</v>
      </c>
      <c r="F3239" s="6" t="str">
        <f>HYPERLINK("https://kotenseki.nijl.ac.jp/biblio/100245458/viewer/39")</f>
        <v>https://kotenseki.nijl.ac.jp/biblio/100245458/viewer/39</v>
      </c>
    </row>
    <row r="3240" spans="1:6" x14ac:dyDescent="0.15">
      <c r="A3240" s="6" t="s">
        <v>6278</v>
      </c>
      <c r="B3240" s="6" t="s">
        <v>2693</v>
      </c>
      <c r="C3240" s="6">
        <v>17</v>
      </c>
      <c r="D3240" s="6" t="str">
        <f>HYPERLINK("https://rmda.kulib.kyoto-u.ac.jp/item/rb00003208#?c=0&amp;m=0&amp;s=0&amp;cv=16")</f>
        <v>https://rmda.kulib.kyoto-u.ac.jp/item/rb00003208#?c=0&amp;m=0&amp;s=0&amp;cv=16</v>
      </c>
      <c r="E3240" s="6">
        <v>41</v>
      </c>
      <c r="F3240" s="6" t="str">
        <f>HYPERLINK("https://kotenseki.nijl.ac.jp/biblio/100245458/viewer/41")</f>
        <v>https://kotenseki.nijl.ac.jp/biblio/100245458/viewer/41</v>
      </c>
    </row>
    <row r="3241" spans="1:6" x14ac:dyDescent="0.15">
      <c r="A3241" s="6" t="s">
        <v>6278</v>
      </c>
      <c r="B3241" s="6" t="s">
        <v>2694</v>
      </c>
      <c r="C3241" s="6">
        <v>18</v>
      </c>
      <c r="D3241" s="6" t="str">
        <f t="shared" ref="D3241:D3246" si="6">HYPERLINK("https://rmda.kulib.kyoto-u.ac.jp/item/rb00003208#?c=0&amp;m=0&amp;s=0&amp;cv=17")</f>
        <v>https://rmda.kulib.kyoto-u.ac.jp/item/rb00003208#?c=0&amp;m=0&amp;s=0&amp;cv=17</v>
      </c>
      <c r="E3241" s="6">
        <v>43</v>
      </c>
      <c r="F3241" s="6" t="str">
        <f>HYPERLINK("https://kotenseki.nijl.ac.jp/biblio/100245458/viewer/43")</f>
        <v>https://kotenseki.nijl.ac.jp/biblio/100245458/viewer/43</v>
      </c>
    </row>
    <row r="3242" spans="1:6" x14ac:dyDescent="0.15">
      <c r="A3242" s="6" t="s">
        <v>6278</v>
      </c>
      <c r="B3242" s="6" t="s">
        <v>2640</v>
      </c>
      <c r="C3242" s="6">
        <v>18</v>
      </c>
      <c r="D3242" s="6" t="str">
        <f t="shared" si="6"/>
        <v>https://rmda.kulib.kyoto-u.ac.jp/item/rb00003208#?c=0&amp;m=0&amp;s=0&amp;cv=17</v>
      </c>
      <c r="E3242" s="6">
        <v>43</v>
      </c>
      <c r="F3242" s="6" t="str">
        <f>HYPERLINK("https://kotenseki.nijl.ac.jp/biblio/100245458/viewer/43")</f>
        <v>https://kotenseki.nijl.ac.jp/biblio/100245458/viewer/43</v>
      </c>
    </row>
    <row r="3243" spans="1:6" x14ac:dyDescent="0.15">
      <c r="A3243" s="6" t="s">
        <v>6278</v>
      </c>
      <c r="B3243" s="6" t="s">
        <v>2695</v>
      </c>
      <c r="C3243" s="6">
        <v>18</v>
      </c>
      <c r="D3243" s="6" t="str">
        <f t="shared" si="6"/>
        <v>https://rmda.kulib.kyoto-u.ac.jp/item/rb00003208#?c=0&amp;m=0&amp;s=0&amp;cv=17</v>
      </c>
      <c r="E3243" s="6">
        <v>44</v>
      </c>
      <c r="F3243" s="6" t="str">
        <f>HYPERLINK("https://kotenseki.nijl.ac.jp/biblio/100245458/viewer/44")</f>
        <v>https://kotenseki.nijl.ac.jp/biblio/100245458/viewer/44</v>
      </c>
    </row>
    <row r="3244" spans="1:6" x14ac:dyDescent="0.15">
      <c r="A3244" s="6" t="s">
        <v>6278</v>
      </c>
      <c r="B3244" s="4" t="s">
        <v>2696</v>
      </c>
      <c r="C3244" s="6">
        <v>18</v>
      </c>
      <c r="D3244" s="6" t="str">
        <f t="shared" si="6"/>
        <v>https://rmda.kulib.kyoto-u.ac.jp/item/rb00003208#?c=0&amp;m=0&amp;s=0&amp;cv=17</v>
      </c>
      <c r="E3244" s="6">
        <v>45</v>
      </c>
      <c r="F3244" s="6" t="str">
        <f>HYPERLINK("https://kotenseki.nijl.ac.jp/biblio/100245458/viewer/45")</f>
        <v>https://kotenseki.nijl.ac.jp/biblio/100245458/viewer/45</v>
      </c>
    </row>
    <row r="3245" spans="1:6" x14ac:dyDescent="0.15">
      <c r="A3245" s="6" t="s">
        <v>6278</v>
      </c>
      <c r="B3245" s="6" t="s">
        <v>2697</v>
      </c>
      <c r="C3245" s="6">
        <v>18</v>
      </c>
      <c r="D3245" s="6" t="str">
        <f t="shared" si="6"/>
        <v>https://rmda.kulib.kyoto-u.ac.jp/item/rb00003208#?c=0&amp;m=0&amp;s=0&amp;cv=17</v>
      </c>
      <c r="E3245" s="6">
        <v>45</v>
      </c>
      <c r="F3245" s="6" t="str">
        <f>HYPERLINK("https://kotenseki.nijl.ac.jp/biblio/100245458/viewer/45")</f>
        <v>https://kotenseki.nijl.ac.jp/biblio/100245458/viewer/45</v>
      </c>
    </row>
    <row r="3246" spans="1:6" x14ac:dyDescent="0.15">
      <c r="A3246" s="6" t="s">
        <v>6278</v>
      </c>
      <c r="B3246" s="6" t="s">
        <v>2698</v>
      </c>
      <c r="C3246" s="6">
        <v>18</v>
      </c>
      <c r="D3246" s="6" t="str">
        <f t="shared" si="6"/>
        <v>https://rmda.kulib.kyoto-u.ac.jp/item/rb00003208#?c=0&amp;m=0&amp;s=0&amp;cv=17</v>
      </c>
      <c r="E3246" s="6">
        <v>46</v>
      </c>
      <c r="F3246" s="6" t="str">
        <f>HYPERLINK("https://kotenseki.nijl.ac.jp/biblio/100245458/viewer/46")</f>
        <v>https://kotenseki.nijl.ac.jp/biblio/100245458/viewer/46</v>
      </c>
    </row>
    <row r="3247" spans="1:6" x14ac:dyDescent="0.15">
      <c r="A3247" s="6" t="s">
        <v>6278</v>
      </c>
      <c r="B3247" s="6" t="s">
        <v>2699</v>
      </c>
      <c r="C3247" s="6">
        <v>19</v>
      </c>
      <c r="D3247" s="6" t="str">
        <f>HYPERLINK("https://rmda.kulib.kyoto-u.ac.jp/item/rb00003208#?c=0&amp;m=0&amp;s=0&amp;cv=18")</f>
        <v>https://rmda.kulib.kyoto-u.ac.jp/item/rb00003208#?c=0&amp;m=0&amp;s=0&amp;cv=18</v>
      </c>
      <c r="E3247" s="6">
        <v>49</v>
      </c>
      <c r="F3247" s="6" t="str">
        <f>HYPERLINK("https://kotenseki.nijl.ac.jp/biblio/100245458/viewer/49")</f>
        <v>https://kotenseki.nijl.ac.jp/biblio/100245458/viewer/49</v>
      </c>
    </row>
    <row r="3248" spans="1:6" x14ac:dyDescent="0.15">
      <c r="A3248" s="6" t="s">
        <v>6278</v>
      </c>
      <c r="B3248" s="6" t="s">
        <v>2700</v>
      </c>
      <c r="C3248" s="6">
        <v>19</v>
      </c>
      <c r="D3248" s="6" t="str">
        <f>HYPERLINK("https://rmda.kulib.kyoto-u.ac.jp/item/rb00003208#?c=0&amp;m=0&amp;s=0&amp;cv=18")</f>
        <v>https://rmda.kulib.kyoto-u.ac.jp/item/rb00003208#?c=0&amp;m=0&amp;s=0&amp;cv=18</v>
      </c>
      <c r="E3248" s="6">
        <v>50</v>
      </c>
      <c r="F3248" s="6" t="str">
        <f>HYPERLINK("https://kotenseki.nijl.ac.jp/biblio/100245458/viewer/50")</f>
        <v>https://kotenseki.nijl.ac.jp/biblio/100245458/viewer/50</v>
      </c>
    </row>
    <row r="3249" spans="1:6" x14ac:dyDescent="0.15">
      <c r="A3249" s="6" t="s">
        <v>6278</v>
      </c>
      <c r="B3249" s="6" t="s">
        <v>2701</v>
      </c>
      <c r="C3249" s="6">
        <v>20</v>
      </c>
      <c r="D3249" s="6" t="str">
        <f>HYPERLINK("https://rmda.kulib.kyoto-u.ac.jp/item/rb00003208#?c=0&amp;m=0&amp;s=0&amp;cv=19")</f>
        <v>https://rmda.kulib.kyoto-u.ac.jp/item/rb00003208#?c=0&amp;m=0&amp;s=0&amp;cv=19</v>
      </c>
      <c r="E3249" s="6">
        <v>53</v>
      </c>
      <c r="F3249" s="6" t="str">
        <f>HYPERLINK("https://kotenseki.nijl.ac.jp/biblio/100245458/viewer/53")</f>
        <v>https://kotenseki.nijl.ac.jp/biblio/100245458/viewer/53</v>
      </c>
    </row>
    <row r="3250" spans="1:6" x14ac:dyDescent="0.15">
      <c r="A3250" s="6" t="s">
        <v>6278</v>
      </c>
      <c r="B3250" s="6" t="s">
        <v>3637</v>
      </c>
      <c r="C3250" s="6">
        <v>20</v>
      </c>
      <c r="D3250" s="6" t="str">
        <f>HYPERLINK("https://rmda.kulib.kyoto-u.ac.jp/item/rb00003208#?c=0&amp;m=0&amp;s=0&amp;cv=19")</f>
        <v>https://rmda.kulib.kyoto-u.ac.jp/item/rb00003208#?c=0&amp;m=0&amp;s=0&amp;cv=19</v>
      </c>
      <c r="E3250" s="6">
        <v>54</v>
      </c>
      <c r="F3250" s="6" t="str">
        <f>HYPERLINK("https://kotenseki.nijl.ac.jp/biblio/100245458/viewer/54")</f>
        <v>https://kotenseki.nijl.ac.jp/biblio/100245458/viewer/54</v>
      </c>
    </row>
    <row r="3251" spans="1:6" x14ac:dyDescent="0.15">
      <c r="A3251" s="6" t="s">
        <v>6278</v>
      </c>
      <c r="B3251" s="6" t="s">
        <v>3638</v>
      </c>
      <c r="C3251" s="6">
        <v>23</v>
      </c>
      <c r="D3251" s="6" t="str">
        <f>HYPERLINK("https://rmda.kulib.kyoto-u.ac.jp/item/rb00003208#?c=0&amp;m=0&amp;s=0&amp;cv=22")</f>
        <v>https://rmda.kulib.kyoto-u.ac.jp/item/rb00003208#?c=0&amp;m=0&amp;s=0&amp;cv=22</v>
      </c>
      <c r="E3251" s="6">
        <v>56</v>
      </c>
      <c r="F3251" s="6" t="str">
        <f>HYPERLINK("https://kotenseki.nijl.ac.jp/biblio/100245458/viewer/56")</f>
        <v>https://kotenseki.nijl.ac.jp/biblio/100245458/viewer/56</v>
      </c>
    </row>
    <row r="3252" spans="1:6" x14ac:dyDescent="0.15">
      <c r="A3252" s="6" t="s">
        <v>6278</v>
      </c>
      <c r="B3252" s="6" t="s">
        <v>2702</v>
      </c>
      <c r="C3252" s="6">
        <v>24</v>
      </c>
      <c r="D3252" s="6" t="str">
        <f>HYPERLINK("https://rmda.kulib.kyoto-u.ac.jp/item/rb00003208#?c=0&amp;m=0&amp;s=0&amp;cv=23")</f>
        <v>https://rmda.kulib.kyoto-u.ac.jp/item/rb00003208#?c=0&amp;m=0&amp;s=0&amp;cv=23</v>
      </c>
      <c r="E3252" s="6">
        <v>57</v>
      </c>
      <c r="F3252" s="6" t="str">
        <f>HYPERLINK("https://kotenseki.nijl.ac.jp/biblio/100245458/viewer/57")</f>
        <v>https://kotenseki.nijl.ac.jp/biblio/100245458/viewer/57</v>
      </c>
    </row>
    <row r="3253" spans="1:6" x14ac:dyDescent="0.15">
      <c r="A3253" s="6" t="s">
        <v>6278</v>
      </c>
      <c r="B3253" s="6" t="s">
        <v>2703</v>
      </c>
      <c r="C3253" s="6">
        <v>24</v>
      </c>
      <c r="D3253" s="6" t="str">
        <f>HYPERLINK("https://rmda.kulib.kyoto-u.ac.jp/item/rb00003208#?c=0&amp;m=0&amp;s=0&amp;cv=23")</f>
        <v>https://rmda.kulib.kyoto-u.ac.jp/item/rb00003208#?c=0&amp;m=0&amp;s=0&amp;cv=23</v>
      </c>
      <c r="E3253" s="6">
        <v>58</v>
      </c>
      <c r="F3253" s="6" t="str">
        <f>HYPERLINK("https://kotenseki.nijl.ac.jp/biblio/100245458/viewer/58")</f>
        <v>https://kotenseki.nijl.ac.jp/biblio/100245458/viewer/58</v>
      </c>
    </row>
    <row r="3254" spans="1:6" x14ac:dyDescent="0.15">
      <c r="A3254" s="6" t="s">
        <v>6278</v>
      </c>
      <c r="B3254" s="4" t="s">
        <v>2704</v>
      </c>
      <c r="C3254" s="6">
        <v>25</v>
      </c>
      <c r="D3254" s="6" t="str">
        <f>HYPERLINK("https://rmda.kulib.kyoto-u.ac.jp/item/rb00003208#?c=0&amp;m=0&amp;s=0&amp;cv=24")</f>
        <v>https://rmda.kulib.kyoto-u.ac.jp/item/rb00003208#?c=0&amp;m=0&amp;s=0&amp;cv=24</v>
      </c>
      <c r="E3254" s="6">
        <v>58</v>
      </c>
      <c r="F3254" s="6" t="str">
        <f>HYPERLINK("https://kotenseki.nijl.ac.jp/biblio/100245458/viewer/58")</f>
        <v>https://kotenseki.nijl.ac.jp/biblio/100245458/viewer/58</v>
      </c>
    </row>
    <row r="3255" spans="1:6" x14ac:dyDescent="0.15">
      <c r="A3255" s="6" t="s">
        <v>6278</v>
      </c>
      <c r="B3255" s="6" t="s">
        <v>2566</v>
      </c>
      <c r="C3255" s="6">
        <v>25</v>
      </c>
      <c r="D3255" s="6" t="str">
        <f>HYPERLINK("https://rmda.kulib.kyoto-u.ac.jp/item/rb00003208#?c=0&amp;m=0&amp;s=0&amp;cv=24")</f>
        <v>https://rmda.kulib.kyoto-u.ac.jp/item/rb00003208#?c=0&amp;m=0&amp;s=0&amp;cv=24</v>
      </c>
      <c r="E3255" s="6">
        <v>58</v>
      </c>
      <c r="F3255" s="6" t="str">
        <f>HYPERLINK("https://kotenseki.nijl.ac.jp/biblio/100245458/viewer/58")</f>
        <v>https://kotenseki.nijl.ac.jp/biblio/100245458/viewer/58</v>
      </c>
    </row>
    <row r="3256" spans="1:6" x14ac:dyDescent="0.15">
      <c r="A3256" s="6" t="s">
        <v>6278</v>
      </c>
      <c r="B3256" s="6" t="s">
        <v>2705</v>
      </c>
      <c r="C3256" s="6">
        <v>26</v>
      </c>
      <c r="D3256" s="6" t="str">
        <f>HYPERLINK("https://rmda.kulib.kyoto-u.ac.jp/item/rb00003208#?c=0&amp;m=0&amp;s=0&amp;cv=25")</f>
        <v>https://rmda.kulib.kyoto-u.ac.jp/item/rb00003208#?c=0&amp;m=0&amp;s=0&amp;cv=25</v>
      </c>
      <c r="E3256" s="6">
        <v>61</v>
      </c>
      <c r="F3256" s="6" t="str">
        <f>HYPERLINK("https://kotenseki.nijl.ac.jp/biblio/100245458/viewer/61")</f>
        <v>https://kotenseki.nijl.ac.jp/biblio/100245458/viewer/61</v>
      </c>
    </row>
    <row r="3257" spans="1:6" x14ac:dyDescent="0.15">
      <c r="A3257" s="6" t="s">
        <v>6278</v>
      </c>
      <c r="B3257" s="6" t="s">
        <v>2706</v>
      </c>
      <c r="C3257" s="6">
        <v>26</v>
      </c>
      <c r="D3257" s="6" t="str">
        <f>HYPERLINK("https://rmda.kulib.kyoto-u.ac.jp/item/rb00003208#?c=0&amp;m=0&amp;s=0&amp;cv=25")</f>
        <v>https://rmda.kulib.kyoto-u.ac.jp/item/rb00003208#?c=0&amp;m=0&amp;s=0&amp;cv=25</v>
      </c>
      <c r="E3257" s="6"/>
      <c r="F3257" s="6"/>
    </row>
    <row r="3258" spans="1:6" x14ac:dyDescent="0.15">
      <c r="A3258" s="6" t="s">
        <v>6278</v>
      </c>
      <c r="B3258" s="6" t="s">
        <v>2707</v>
      </c>
      <c r="C3258" s="6">
        <v>26</v>
      </c>
      <c r="D3258" s="6" t="str">
        <f>HYPERLINK("https://rmda.kulib.kyoto-u.ac.jp/item/rb00003208#?c=0&amp;m=0&amp;s=0&amp;cv=25")</f>
        <v>https://rmda.kulib.kyoto-u.ac.jp/item/rb00003208#?c=0&amp;m=0&amp;s=0&amp;cv=25</v>
      </c>
      <c r="E3258" s="6">
        <v>61</v>
      </c>
      <c r="F3258" s="6" t="str">
        <f>HYPERLINK("https://kotenseki.nijl.ac.jp/biblio/100245458/viewer/61")</f>
        <v>https://kotenseki.nijl.ac.jp/biblio/100245458/viewer/61</v>
      </c>
    </row>
    <row r="3259" spans="1:6" x14ac:dyDescent="0.15">
      <c r="A3259" s="6" t="s">
        <v>6278</v>
      </c>
      <c r="B3259" s="6" t="s">
        <v>2567</v>
      </c>
      <c r="C3259" s="6">
        <v>26</v>
      </c>
      <c r="D3259" s="6" t="str">
        <f>HYPERLINK("https://rmda.kulib.kyoto-u.ac.jp/item/rb00003208#?c=0&amp;m=0&amp;s=0&amp;cv=25")</f>
        <v>https://rmda.kulib.kyoto-u.ac.jp/item/rb00003208#?c=0&amp;m=0&amp;s=0&amp;cv=25</v>
      </c>
      <c r="E3259" s="6">
        <v>61</v>
      </c>
      <c r="F3259" s="6" t="str">
        <f>HYPERLINK("https://kotenseki.nijl.ac.jp/biblio/100245458/viewer/61")</f>
        <v>https://kotenseki.nijl.ac.jp/biblio/100245458/viewer/61</v>
      </c>
    </row>
    <row r="3260" spans="1:6" x14ac:dyDescent="0.15">
      <c r="A3260" s="6" t="s">
        <v>6278</v>
      </c>
      <c r="B3260" s="6" t="s">
        <v>2708</v>
      </c>
      <c r="C3260" s="6">
        <v>27</v>
      </c>
      <c r="D3260" s="6" t="str">
        <f>HYPERLINK("https://rmda.kulib.kyoto-u.ac.jp/item/rb00003208#?c=0&amp;m=0&amp;s=0&amp;cv=26")</f>
        <v>https://rmda.kulib.kyoto-u.ac.jp/item/rb00003208#?c=0&amp;m=0&amp;s=0&amp;cv=26</v>
      </c>
      <c r="E3260" s="6">
        <v>62</v>
      </c>
      <c r="F3260" s="6" t="str">
        <f>HYPERLINK("https://kotenseki.nijl.ac.jp/biblio/100245458/viewer/62")</f>
        <v>https://kotenseki.nijl.ac.jp/biblio/100245458/viewer/62</v>
      </c>
    </row>
    <row r="3261" spans="1:6" x14ac:dyDescent="0.15">
      <c r="A3261" s="6" t="s">
        <v>6278</v>
      </c>
      <c r="B3261" s="6" t="s">
        <v>2709</v>
      </c>
      <c r="C3261" s="6">
        <v>27</v>
      </c>
      <c r="D3261" s="6" t="str">
        <f>HYPERLINK("https://rmda.kulib.kyoto-u.ac.jp/item/rb00003208#?c=0&amp;m=0&amp;s=0&amp;cv=26")</f>
        <v>https://rmda.kulib.kyoto-u.ac.jp/item/rb00003208#?c=0&amp;m=0&amp;s=0&amp;cv=26</v>
      </c>
      <c r="E3261" s="6">
        <v>63</v>
      </c>
      <c r="F3261" s="6" t="str">
        <f>HYPERLINK("https://kotenseki.nijl.ac.jp/biblio/100245458/viewer/63")</f>
        <v>https://kotenseki.nijl.ac.jp/biblio/100245458/viewer/63</v>
      </c>
    </row>
    <row r="3262" spans="1:6" x14ac:dyDescent="0.15">
      <c r="A3262" s="6" t="s">
        <v>6278</v>
      </c>
      <c r="B3262" s="6" t="s">
        <v>2710</v>
      </c>
      <c r="C3262" s="6">
        <v>27</v>
      </c>
      <c r="D3262" s="6" t="str">
        <f>HYPERLINK("https://rmda.kulib.kyoto-u.ac.jp/item/rb00003208#?c=0&amp;m=0&amp;s=0&amp;cv=26")</f>
        <v>https://rmda.kulib.kyoto-u.ac.jp/item/rb00003208#?c=0&amp;m=0&amp;s=0&amp;cv=26</v>
      </c>
      <c r="E3262" s="6">
        <v>64</v>
      </c>
      <c r="F3262" s="6" t="str">
        <f>HYPERLINK("https://kotenseki.nijl.ac.jp/biblio/100245458/viewer/64")</f>
        <v>https://kotenseki.nijl.ac.jp/biblio/100245458/viewer/64</v>
      </c>
    </row>
    <row r="3263" spans="1:6" x14ac:dyDescent="0.15">
      <c r="A3263" s="6" t="s">
        <v>6278</v>
      </c>
      <c r="B3263" s="4" t="s">
        <v>2711</v>
      </c>
      <c r="C3263" s="6">
        <v>28</v>
      </c>
      <c r="D3263" s="6" t="str">
        <f>HYPERLINK("https://rmda.kulib.kyoto-u.ac.jp/item/rb00003208#?c=0&amp;m=0&amp;s=0&amp;cv=27")</f>
        <v>https://rmda.kulib.kyoto-u.ac.jp/item/rb00003208#?c=0&amp;m=0&amp;s=0&amp;cv=27</v>
      </c>
      <c r="E3263" s="6">
        <v>65</v>
      </c>
      <c r="F3263" s="6" t="str">
        <f>HYPERLINK("https://kotenseki.nijl.ac.jp/biblio/100245458/viewer/65")</f>
        <v>https://kotenseki.nijl.ac.jp/biblio/100245458/viewer/65</v>
      </c>
    </row>
    <row r="3264" spans="1:6" x14ac:dyDescent="0.15">
      <c r="A3264" s="6" t="s">
        <v>6278</v>
      </c>
      <c r="B3264" s="6" t="s">
        <v>1418</v>
      </c>
      <c r="C3264" s="6">
        <v>28</v>
      </c>
      <c r="D3264" s="6" t="str">
        <f>HYPERLINK("https://rmda.kulib.kyoto-u.ac.jp/item/rb00003208#?c=0&amp;m=0&amp;s=0&amp;cv=27")</f>
        <v>https://rmda.kulib.kyoto-u.ac.jp/item/rb00003208#?c=0&amp;m=0&amp;s=0&amp;cv=27</v>
      </c>
      <c r="E3264" s="6">
        <v>65</v>
      </c>
      <c r="F3264" s="6" t="str">
        <f>HYPERLINK("https://kotenseki.nijl.ac.jp/biblio/100245458/viewer/65")</f>
        <v>https://kotenseki.nijl.ac.jp/biblio/100245458/viewer/65</v>
      </c>
    </row>
    <row r="3265" spans="1:6" x14ac:dyDescent="0.15">
      <c r="A3265" s="6" t="s">
        <v>6278</v>
      </c>
      <c r="B3265" s="6" t="s">
        <v>2712</v>
      </c>
      <c r="C3265" s="6">
        <v>29</v>
      </c>
      <c r="D3265" s="6" t="str">
        <f>HYPERLINK("https://rmda.kulib.kyoto-u.ac.jp/item/rb00003208#?c=0&amp;m=0&amp;s=0&amp;cv=28")</f>
        <v>https://rmda.kulib.kyoto-u.ac.jp/item/rb00003208#?c=0&amp;m=0&amp;s=0&amp;cv=28</v>
      </c>
      <c r="E3265" s="6">
        <v>69</v>
      </c>
      <c r="F3265" s="6" t="str">
        <f>HYPERLINK("https://kotenseki.nijl.ac.jp/biblio/100245458/viewer/69")</f>
        <v>https://kotenseki.nijl.ac.jp/biblio/100245458/viewer/69</v>
      </c>
    </row>
    <row r="3266" spans="1:6" x14ac:dyDescent="0.15">
      <c r="A3266" s="6" t="s">
        <v>6278</v>
      </c>
      <c r="B3266" s="6" t="s">
        <v>2713</v>
      </c>
      <c r="C3266" s="6">
        <v>29</v>
      </c>
      <c r="D3266" s="6" t="str">
        <f>HYPERLINK("https://rmda.kulib.kyoto-u.ac.jp/item/rb00003208#?c=0&amp;m=0&amp;s=0&amp;cv=28")</f>
        <v>https://rmda.kulib.kyoto-u.ac.jp/item/rb00003208#?c=0&amp;m=0&amp;s=0&amp;cv=28</v>
      </c>
      <c r="E3266" s="6">
        <v>69</v>
      </c>
      <c r="F3266" s="6" t="str">
        <f>HYPERLINK("https://kotenseki.nijl.ac.jp/biblio/100245458/viewer/69")</f>
        <v>https://kotenseki.nijl.ac.jp/biblio/100245458/viewer/69</v>
      </c>
    </row>
    <row r="3267" spans="1:6" x14ac:dyDescent="0.15">
      <c r="A3267" s="6" t="s">
        <v>6278</v>
      </c>
      <c r="B3267" s="6" t="s">
        <v>2714</v>
      </c>
      <c r="C3267" s="6">
        <v>29</v>
      </c>
      <c r="D3267" s="6" t="str">
        <f>HYPERLINK("https://rmda.kulib.kyoto-u.ac.jp/item/rb00003208#?c=0&amp;m=0&amp;s=0&amp;cv=28")</f>
        <v>https://rmda.kulib.kyoto-u.ac.jp/item/rb00003208#?c=0&amp;m=0&amp;s=0&amp;cv=28</v>
      </c>
      <c r="E3267" s="6">
        <v>69</v>
      </c>
      <c r="F3267" s="6" t="str">
        <f>HYPERLINK("https://kotenseki.nijl.ac.jp/biblio/100245458/viewer/69")</f>
        <v>https://kotenseki.nijl.ac.jp/biblio/100245458/viewer/69</v>
      </c>
    </row>
    <row r="3268" spans="1:6" x14ac:dyDescent="0.15">
      <c r="A3268" s="6" t="s">
        <v>6278</v>
      </c>
      <c r="B3268" s="6" t="s">
        <v>2715</v>
      </c>
      <c r="C3268" s="6">
        <v>30</v>
      </c>
      <c r="D3268" s="6" t="str">
        <f>HYPERLINK("https://rmda.kulib.kyoto-u.ac.jp/item/rb00003208#?c=0&amp;m=0&amp;s=0&amp;cv=29")</f>
        <v>https://rmda.kulib.kyoto-u.ac.jp/item/rb00003208#?c=0&amp;m=0&amp;s=0&amp;cv=29</v>
      </c>
      <c r="E3268" s="6">
        <v>71</v>
      </c>
      <c r="F3268" s="6" t="str">
        <f>HYPERLINK("https://kotenseki.nijl.ac.jp/biblio/100245458/viewer/71")</f>
        <v>https://kotenseki.nijl.ac.jp/biblio/100245458/viewer/71</v>
      </c>
    </row>
    <row r="3269" spans="1:6" x14ac:dyDescent="0.15">
      <c r="A3269" s="6" t="s">
        <v>6278</v>
      </c>
      <c r="B3269" s="6" t="s">
        <v>2716</v>
      </c>
      <c r="C3269" s="6">
        <v>30</v>
      </c>
      <c r="D3269" s="6" t="str">
        <f>HYPERLINK("https://rmda.kulib.kyoto-u.ac.jp/item/rb00003208#?c=0&amp;m=0&amp;s=0&amp;cv=29")</f>
        <v>https://rmda.kulib.kyoto-u.ac.jp/item/rb00003208#?c=0&amp;m=0&amp;s=0&amp;cv=29</v>
      </c>
      <c r="E3269" s="6">
        <v>71</v>
      </c>
      <c r="F3269" s="6" t="str">
        <f>HYPERLINK("https://kotenseki.nijl.ac.jp/biblio/100245458/viewer/71")</f>
        <v>https://kotenseki.nijl.ac.jp/biblio/100245458/viewer/71</v>
      </c>
    </row>
    <row r="3270" spans="1:6" x14ac:dyDescent="0.15">
      <c r="A3270" s="6" t="s">
        <v>6278</v>
      </c>
      <c r="B3270" s="6" t="s">
        <v>2717</v>
      </c>
      <c r="C3270" s="6">
        <v>30</v>
      </c>
      <c r="D3270" s="6" t="str">
        <f>HYPERLINK("https://rmda.kulib.kyoto-u.ac.jp/item/rb00003208#?c=0&amp;m=0&amp;s=0&amp;cv=29")</f>
        <v>https://rmda.kulib.kyoto-u.ac.jp/item/rb00003208#?c=0&amp;m=0&amp;s=0&amp;cv=29</v>
      </c>
      <c r="E3270" s="6"/>
      <c r="F3270" s="6"/>
    </row>
    <row r="3271" spans="1:6" x14ac:dyDescent="0.15">
      <c r="A3271" s="6" t="s">
        <v>6278</v>
      </c>
      <c r="B3271" s="6" t="s">
        <v>2718</v>
      </c>
      <c r="C3271" s="6">
        <v>30</v>
      </c>
      <c r="D3271" s="6" t="str">
        <f>HYPERLINK("https://rmda.kulib.kyoto-u.ac.jp/item/rb00003208#?c=0&amp;m=0&amp;s=0&amp;cv=29")</f>
        <v>https://rmda.kulib.kyoto-u.ac.jp/item/rb00003208#?c=0&amp;m=0&amp;s=0&amp;cv=29</v>
      </c>
      <c r="E3271" s="6">
        <v>72</v>
      </c>
      <c r="F3271" s="6" t="str">
        <f>HYPERLINK("https://kotenseki.nijl.ac.jp/biblio/100245458/viewer/72")</f>
        <v>https://kotenseki.nijl.ac.jp/biblio/100245458/viewer/72</v>
      </c>
    </row>
    <row r="3272" spans="1:6" x14ac:dyDescent="0.15">
      <c r="A3272" s="6" t="s">
        <v>6278</v>
      </c>
      <c r="B3272" s="6" t="s">
        <v>2719</v>
      </c>
      <c r="C3272" s="6">
        <v>30</v>
      </c>
      <c r="D3272" s="6" t="str">
        <f>HYPERLINK("https://rmda.kulib.kyoto-u.ac.jp/item/rb00003208#?c=0&amp;m=0&amp;s=0&amp;cv=29")</f>
        <v>https://rmda.kulib.kyoto-u.ac.jp/item/rb00003208#?c=0&amp;m=0&amp;s=0&amp;cv=29</v>
      </c>
      <c r="E3272" s="6">
        <v>73</v>
      </c>
      <c r="F3272" s="6" t="str">
        <f>HYPERLINK("https://kotenseki.nijl.ac.jp/biblio/100245458/viewer/73")</f>
        <v>https://kotenseki.nijl.ac.jp/biblio/100245458/viewer/73</v>
      </c>
    </row>
    <row r="3273" spans="1:6" x14ac:dyDescent="0.15">
      <c r="A3273" s="6" t="s">
        <v>6278</v>
      </c>
      <c r="B3273" s="6" t="s">
        <v>2720</v>
      </c>
      <c r="C3273" s="6">
        <v>31</v>
      </c>
      <c r="D3273" s="6" t="str">
        <f>HYPERLINK("https://rmda.kulib.kyoto-u.ac.jp/item/rb00003208#?c=0&amp;m=0&amp;s=0&amp;cv=30")</f>
        <v>https://rmda.kulib.kyoto-u.ac.jp/item/rb00003208#?c=0&amp;m=0&amp;s=0&amp;cv=30</v>
      </c>
      <c r="E3273" s="6">
        <v>74</v>
      </c>
      <c r="F3273" s="6" t="str">
        <f>HYPERLINK("https://kotenseki.nijl.ac.jp/biblio/100245458/viewer/74")</f>
        <v>https://kotenseki.nijl.ac.jp/biblio/100245458/viewer/74</v>
      </c>
    </row>
    <row r="3274" spans="1:6" x14ac:dyDescent="0.15">
      <c r="A3274" s="6" t="s">
        <v>6278</v>
      </c>
      <c r="B3274" s="6" t="s">
        <v>2721</v>
      </c>
      <c r="C3274" s="6">
        <v>31</v>
      </c>
      <c r="D3274" s="6" t="str">
        <f>HYPERLINK("https://rmda.kulib.kyoto-u.ac.jp/item/rb00003208#?c=0&amp;m=0&amp;s=0&amp;cv=30")</f>
        <v>https://rmda.kulib.kyoto-u.ac.jp/item/rb00003208#?c=0&amp;m=0&amp;s=0&amp;cv=30</v>
      </c>
      <c r="E3274" s="6">
        <v>75</v>
      </c>
      <c r="F3274" s="6" t="str">
        <f>HYPERLINK("https://kotenseki.nijl.ac.jp/biblio/100245458/viewer/75")</f>
        <v>https://kotenseki.nijl.ac.jp/biblio/100245458/viewer/75</v>
      </c>
    </row>
    <row r="3275" spans="1:6" x14ac:dyDescent="0.15">
      <c r="A3275" s="6" t="s">
        <v>6278</v>
      </c>
      <c r="B3275" s="6" t="s">
        <v>2555</v>
      </c>
      <c r="C3275" s="6">
        <v>31</v>
      </c>
      <c r="D3275" s="6" t="str">
        <f>HYPERLINK("https://rmda.kulib.kyoto-u.ac.jp/item/rb00003208#?c=0&amp;m=0&amp;s=0&amp;cv=30")</f>
        <v>https://rmda.kulib.kyoto-u.ac.jp/item/rb00003208#?c=0&amp;m=0&amp;s=0&amp;cv=30</v>
      </c>
      <c r="E3275" s="6">
        <v>76</v>
      </c>
      <c r="F3275" s="6" t="str">
        <f>HYPERLINK("https://kotenseki.nijl.ac.jp/biblio/100245458/viewer/76")</f>
        <v>https://kotenseki.nijl.ac.jp/biblio/100245458/viewer/76</v>
      </c>
    </row>
    <row r="3276" spans="1:6" x14ac:dyDescent="0.15">
      <c r="A3276" s="6" t="s">
        <v>6278</v>
      </c>
      <c r="B3276" s="4" t="s">
        <v>2722</v>
      </c>
      <c r="C3276" s="6">
        <v>32</v>
      </c>
      <c r="D3276" s="6" t="str">
        <f>HYPERLINK("https://rmda.kulib.kyoto-u.ac.jp/item/rb00003208#?c=0&amp;m=0&amp;s=0&amp;cv=31")</f>
        <v>https://rmda.kulib.kyoto-u.ac.jp/item/rb00003208#?c=0&amp;m=0&amp;s=0&amp;cv=31</v>
      </c>
      <c r="E3276" s="6">
        <v>76</v>
      </c>
      <c r="F3276" s="6" t="str">
        <f>HYPERLINK("https://kotenseki.nijl.ac.jp/biblio/100245458/viewer/76")</f>
        <v>https://kotenseki.nijl.ac.jp/biblio/100245458/viewer/76</v>
      </c>
    </row>
    <row r="3277" spans="1:6" x14ac:dyDescent="0.15">
      <c r="A3277" s="6" t="s">
        <v>6278</v>
      </c>
      <c r="B3277" s="6" t="s">
        <v>2723</v>
      </c>
      <c r="C3277" s="6">
        <v>32</v>
      </c>
      <c r="D3277" s="6" t="str">
        <f>HYPERLINK("https://rmda.kulib.kyoto-u.ac.jp/item/rb00003208#?c=0&amp;m=0&amp;s=0&amp;cv=31")</f>
        <v>https://rmda.kulib.kyoto-u.ac.jp/item/rb00003208#?c=0&amp;m=0&amp;s=0&amp;cv=31</v>
      </c>
      <c r="E3277" s="6">
        <v>76</v>
      </c>
      <c r="F3277" s="6" t="str">
        <f>HYPERLINK("https://kotenseki.nijl.ac.jp/biblio/100245458/viewer/76")</f>
        <v>https://kotenseki.nijl.ac.jp/biblio/100245458/viewer/76</v>
      </c>
    </row>
    <row r="3278" spans="1:6" x14ac:dyDescent="0.15">
      <c r="A3278" s="6" t="s">
        <v>6278</v>
      </c>
      <c r="B3278" s="6" t="s">
        <v>2724</v>
      </c>
      <c r="C3278" s="6">
        <v>33</v>
      </c>
      <c r="D3278" s="6" t="str">
        <f>HYPERLINK("https://rmda.kulib.kyoto-u.ac.jp/item/rb00003208#?c=0&amp;m=0&amp;s=0&amp;cv=32")</f>
        <v>https://rmda.kulib.kyoto-u.ac.jp/item/rb00003208#?c=0&amp;m=0&amp;s=0&amp;cv=32</v>
      </c>
      <c r="E3278" s="6">
        <v>80</v>
      </c>
      <c r="F3278" s="6" t="str">
        <f>HYPERLINK("https://kotenseki.nijl.ac.jp/biblio/100245458/viewer/80")</f>
        <v>https://kotenseki.nijl.ac.jp/biblio/100245458/viewer/80</v>
      </c>
    </row>
    <row r="3279" spans="1:6" x14ac:dyDescent="0.15">
      <c r="A3279" s="6" t="s">
        <v>6278</v>
      </c>
      <c r="B3279" s="6" t="s">
        <v>1433</v>
      </c>
      <c r="C3279" s="6">
        <v>33</v>
      </c>
      <c r="D3279" s="6" t="str">
        <f>HYPERLINK("https://rmda.kulib.kyoto-u.ac.jp/item/rb00003208#?c=0&amp;m=0&amp;s=0&amp;cv=32")</f>
        <v>https://rmda.kulib.kyoto-u.ac.jp/item/rb00003208#?c=0&amp;m=0&amp;s=0&amp;cv=32</v>
      </c>
      <c r="E3279" s="6">
        <v>81</v>
      </c>
      <c r="F3279" s="6" t="str">
        <f>HYPERLINK("https://kotenseki.nijl.ac.jp/biblio/100245458/viewer/81")</f>
        <v>https://kotenseki.nijl.ac.jp/biblio/100245458/viewer/81</v>
      </c>
    </row>
    <row r="3280" spans="1:6" x14ac:dyDescent="0.15">
      <c r="A3280" s="6" t="s">
        <v>6278</v>
      </c>
      <c r="B3280" s="6" t="s">
        <v>6277</v>
      </c>
      <c r="C3280" s="6">
        <v>34</v>
      </c>
      <c r="D3280" s="6" t="str">
        <f>HYPERLINK("https://rmda.kulib.kyoto-u.ac.jp/item/rb00003208#?c=0&amp;m=0&amp;s=0&amp;cv=33")</f>
        <v>https://rmda.kulib.kyoto-u.ac.jp/item/rb00003208#?c=0&amp;m=0&amp;s=0&amp;cv=33</v>
      </c>
      <c r="E3280" s="6">
        <v>82</v>
      </c>
      <c r="F3280" s="6" t="str">
        <f>HYPERLINK("https://kotenseki.nijl.ac.jp/biblio/100245458/viewer/82")</f>
        <v>https://kotenseki.nijl.ac.jp/biblio/100245458/viewer/82</v>
      </c>
    </row>
    <row r="3281" spans="1:6" x14ac:dyDescent="0.15">
      <c r="A3281" s="6" t="s">
        <v>6278</v>
      </c>
      <c r="B3281" s="6" t="s">
        <v>2725</v>
      </c>
      <c r="C3281" s="6">
        <v>34</v>
      </c>
      <c r="D3281" s="6" t="str">
        <f>HYPERLINK("https://rmda.kulib.kyoto-u.ac.jp/item/rb00003208#?c=0&amp;m=0&amp;s=0&amp;cv=33")</f>
        <v>https://rmda.kulib.kyoto-u.ac.jp/item/rb00003208#?c=0&amp;m=0&amp;s=0&amp;cv=33</v>
      </c>
      <c r="E3281" s="6">
        <v>83</v>
      </c>
      <c r="F3281" s="6" t="str">
        <f>HYPERLINK("https://kotenseki.nijl.ac.jp/biblio/100245458/viewer/83")</f>
        <v>https://kotenseki.nijl.ac.jp/biblio/100245458/viewer/83</v>
      </c>
    </row>
    <row r="3282" spans="1:6" x14ac:dyDescent="0.15">
      <c r="A3282" s="6" t="s">
        <v>6278</v>
      </c>
      <c r="B3282" s="6" t="s">
        <v>2726</v>
      </c>
      <c r="C3282" s="6">
        <v>35</v>
      </c>
      <c r="D3282" s="6" t="str">
        <f>HYPERLINK("https://rmda.kulib.kyoto-u.ac.jp/item/rb00003208#?c=0&amp;m=0&amp;s=0&amp;cv=34")</f>
        <v>https://rmda.kulib.kyoto-u.ac.jp/item/rb00003208#?c=0&amp;m=0&amp;s=0&amp;cv=34</v>
      </c>
      <c r="E3282" s="6">
        <v>84</v>
      </c>
      <c r="F3282" s="6" t="str">
        <f>HYPERLINK("https://kotenseki.nijl.ac.jp/biblio/100245458/viewer/84")</f>
        <v>https://kotenseki.nijl.ac.jp/biblio/100245458/viewer/84</v>
      </c>
    </row>
    <row r="3283" spans="1:6" x14ac:dyDescent="0.15">
      <c r="A3283" s="6" t="s">
        <v>6278</v>
      </c>
      <c r="B3283" s="6" t="s">
        <v>2727</v>
      </c>
      <c r="C3283" s="6">
        <v>35</v>
      </c>
      <c r="D3283" s="6" t="str">
        <f>HYPERLINK("https://rmda.kulib.kyoto-u.ac.jp/item/rb00003208#?c=0&amp;m=0&amp;s=0&amp;cv=34")</f>
        <v>https://rmda.kulib.kyoto-u.ac.jp/item/rb00003208#?c=0&amp;m=0&amp;s=0&amp;cv=34</v>
      </c>
      <c r="E3283" s="6">
        <v>85</v>
      </c>
      <c r="F3283" s="6" t="str">
        <f>HYPERLINK("https://kotenseki.nijl.ac.jp/biblio/100245458/viewer/85")</f>
        <v>https://kotenseki.nijl.ac.jp/biblio/100245458/viewer/85</v>
      </c>
    </row>
    <row r="3284" spans="1:6" x14ac:dyDescent="0.15">
      <c r="A3284" s="6" t="s">
        <v>6278</v>
      </c>
      <c r="B3284" s="6" t="s">
        <v>2558</v>
      </c>
      <c r="C3284" s="6">
        <v>35</v>
      </c>
      <c r="D3284" s="6" t="str">
        <f>HYPERLINK("https://rmda.kulib.kyoto-u.ac.jp/item/rb00003208#?c=0&amp;m=0&amp;s=0&amp;cv=34")</f>
        <v>https://rmda.kulib.kyoto-u.ac.jp/item/rb00003208#?c=0&amp;m=0&amp;s=0&amp;cv=34</v>
      </c>
      <c r="E3284" s="6">
        <v>85</v>
      </c>
      <c r="F3284" s="6" t="str">
        <f>HYPERLINK("https://kotenseki.nijl.ac.jp/biblio/100245458/viewer/85")</f>
        <v>https://kotenseki.nijl.ac.jp/biblio/100245458/viewer/85</v>
      </c>
    </row>
    <row r="3285" spans="1:6" x14ac:dyDescent="0.15">
      <c r="A3285" s="6" t="s">
        <v>6278</v>
      </c>
      <c r="B3285" s="4" t="s">
        <v>2728</v>
      </c>
      <c r="C3285" s="6">
        <v>36</v>
      </c>
      <c r="D3285" s="6" t="str">
        <f>HYPERLINK("https://rmda.kulib.kyoto-u.ac.jp/item/rb00003208#?c=0&amp;m=0&amp;s=0&amp;cv=35")</f>
        <v>https://rmda.kulib.kyoto-u.ac.jp/item/rb00003208#?c=0&amp;m=0&amp;s=0&amp;cv=35</v>
      </c>
      <c r="E3285" s="6">
        <v>86</v>
      </c>
      <c r="F3285" s="6" t="str">
        <f>HYPERLINK("https://kotenseki.nijl.ac.jp/biblio/100245458/viewer/86")</f>
        <v>https://kotenseki.nijl.ac.jp/biblio/100245458/viewer/86</v>
      </c>
    </row>
    <row r="3286" spans="1:6" x14ac:dyDescent="0.15">
      <c r="A3286" s="6" t="s">
        <v>6278</v>
      </c>
      <c r="B3286" s="6" t="s">
        <v>2729</v>
      </c>
      <c r="C3286" s="6">
        <v>36</v>
      </c>
      <c r="D3286" s="6" t="str">
        <f>HYPERLINK("https://rmda.kulib.kyoto-u.ac.jp/item/rb00003208#?c=0&amp;m=0&amp;s=0&amp;cv=35")</f>
        <v>https://rmda.kulib.kyoto-u.ac.jp/item/rb00003208#?c=0&amp;m=0&amp;s=0&amp;cv=35</v>
      </c>
      <c r="E3286" s="6">
        <v>86</v>
      </c>
      <c r="F3286" s="6" t="str">
        <f>HYPERLINK("https://kotenseki.nijl.ac.jp/biblio/100245458/viewer/86")</f>
        <v>https://kotenseki.nijl.ac.jp/biblio/100245458/viewer/86</v>
      </c>
    </row>
    <row r="3287" spans="1:6" x14ac:dyDescent="0.15">
      <c r="A3287" s="6" t="s">
        <v>6278</v>
      </c>
      <c r="B3287" s="6" t="s">
        <v>2730</v>
      </c>
      <c r="C3287" s="6">
        <v>36</v>
      </c>
      <c r="D3287" s="6" t="str">
        <f>HYPERLINK("https://rmda.kulib.kyoto-u.ac.jp/item/rb00003208#?c=0&amp;m=0&amp;s=0&amp;cv=35")</f>
        <v>https://rmda.kulib.kyoto-u.ac.jp/item/rb00003208#?c=0&amp;m=0&amp;s=0&amp;cv=35</v>
      </c>
      <c r="E3287" s="6">
        <v>89</v>
      </c>
      <c r="F3287" s="6" t="str">
        <f>HYPERLINK("https://kotenseki.nijl.ac.jp/biblio/100245458/viewer/89")</f>
        <v>https://kotenseki.nijl.ac.jp/biblio/100245458/viewer/89</v>
      </c>
    </row>
    <row r="3288" spans="1:6" x14ac:dyDescent="0.15">
      <c r="A3288" s="6" t="s">
        <v>6278</v>
      </c>
      <c r="B3288" s="6" t="s">
        <v>2731</v>
      </c>
      <c r="C3288" s="6">
        <v>37</v>
      </c>
      <c r="D3288" s="6" t="str">
        <f>HYPERLINK("https://rmda.kulib.kyoto-u.ac.jp/item/rb00003208#?c=0&amp;m=0&amp;s=0&amp;cv=36")</f>
        <v>https://rmda.kulib.kyoto-u.ac.jp/item/rb00003208#?c=0&amp;m=0&amp;s=0&amp;cv=36</v>
      </c>
      <c r="E3288" s="6">
        <v>89</v>
      </c>
      <c r="F3288" s="6" t="str">
        <f>HYPERLINK("https://kotenseki.nijl.ac.jp/biblio/100245458/viewer/89")</f>
        <v>https://kotenseki.nijl.ac.jp/biblio/100245458/viewer/89</v>
      </c>
    </row>
    <row r="3289" spans="1:6" x14ac:dyDescent="0.15">
      <c r="A3289" s="6" t="s">
        <v>6278</v>
      </c>
      <c r="B3289" s="6" t="s">
        <v>1412</v>
      </c>
      <c r="C3289" s="6">
        <v>37</v>
      </c>
      <c r="D3289" s="6" t="str">
        <f>HYPERLINK("https://rmda.kulib.kyoto-u.ac.jp/item/rb00003208#?c=0&amp;m=0&amp;s=0&amp;cv=36")</f>
        <v>https://rmda.kulib.kyoto-u.ac.jp/item/rb00003208#?c=0&amp;m=0&amp;s=0&amp;cv=36</v>
      </c>
      <c r="E3289" s="6">
        <v>89</v>
      </c>
      <c r="F3289" s="6" t="str">
        <f>HYPERLINK("https://kotenseki.nijl.ac.jp/biblio/100245458/viewer/89")</f>
        <v>https://kotenseki.nijl.ac.jp/biblio/100245458/viewer/89</v>
      </c>
    </row>
    <row r="3290" spans="1:6" x14ac:dyDescent="0.15">
      <c r="A3290" s="6" t="s">
        <v>6278</v>
      </c>
      <c r="B3290" s="4" t="s">
        <v>2732</v>
      </c>
      <c r="C3290" s="6">
        <v>37</v>
      </c>
      <c r="D3290" s="6" t="str">
        <f>HYPERLINK("https://rmda.kulib.kyoto-u.ac.jp/item/rb00003208#?c=0&amp;m=0&amp;s=0&amp;cv=36")</f>
        <v>https://rmda.kulib.kyoto-u.ac.jp/item/rb00003208#?c=0&amp;m=0&amp;s=0&amp;cv=36</v>
      </c>
      <c r="E3290" s="6">
        <v>90</v>
      </c>
      <c r="F3290" s="6" t="str">
        <f>HYPERLINK("https://kotenseki.nijl.ac.jp/biblio/100245458/viewer/90")</f>
        <v>https://kotenseki.nijl.ac.jp/biblio/100245458/viewer/90</v>
      </c>
    </row>
    <row r="3291" spans="1:6" x14ac:dyDescent="0.15">
      <c r="A3291" s="6" t="s">
        <v>6278</v>
      </c>
      <c r="B3291" s="6" t="s">
        <v>2733</v>
      </c>
      <c r="C3291" s="6">
        <v>37</v>
      </c>
      <c r="D3291" s="6" t="str">
        <f>HYPERLINK("https://rmda.kulib.kyoto-u.ac.jp/item/rb00003208#?c=0&amp;m=0&amp;s=0&amp;cv=36")</f>
        <v>https://rmda.kulib.kyoto-u.ac.jp/item/rb00003208#?c=0&amp;m=0&amp;s=0&amp;cv=36</v>
      </c>
      <c r="E3291" s="6">
        <v>90</v>
      </c>
      <c r="F3291" s="6" t="str">
        <f>HYPERLINK("https://kotenseki.nijl.ac.jp/biblio/100245458/viewer/90")</f>
        <v>https://kotenseki.nijl.ac.jp/biblio/100245458/viewer/90</v>
      </c>
    </row>
    <row r="3292" spans="1:6" x14ac:dyDescent="0.15">
      <c r="A3292" s="6" t="s">
        <v>6278</v>
      </c>
      <c r="B3292" s="6" t="s">
        <v>2734</v>
      </c>
      <c r="C3292" s="6">
        <v>37</v>
      </c>
      <c r="D3292" s="6" t="str">
        <f>HYPERLINK("https://rmda.kulib.kyoto-u.ac.jp/item/rb00003208#?c=0&amp;m=0&amp;s=0&amp;cv=36")</f>
        <v>https://rmda.kulib.kyoto-u.ac.jp/item/rb00003208#?c=0&amp;m=0&amp;s=0&amp;cv=36</v>
      </c>
      <c r="E3292" s="6">
        <v>91</v>
      </c>
      <c r="F3292" s="6" t="str">
        <f>HYPERLINK("https://kotenseki.nijl.ac.jp/biblio/100245458/viewer/91")</f>
        <v>https://kotenseki.nijl.ac.jp/biblio/100245458/viewer/91</v>
      </c>
    </row>
    <row r="3293" spans="1:6" x14ac:dyDescent="0.15">
      <c r="A3293" s="6" t="s">
        <v>6278</v>
      </c>
      <c r="B3293" s="6" t="s">
        <v>2735</v>
      </c>
      <c r="C3293" s="6">
        <v>38</v>
      </c>
      <c r="D3293" s="6" t="str">
        <f>HYPERLINK("https://rmda.kulib.kyoto-u.ac.jp/item/rb00003208#?c=0&amp;m=0&amp;s=0&amp;cv=37")</f>
        <v>https://rmda.kulib.kyoto-u.ac.jp/item/rb00003208#?c=0&amp;m=0&amp;s=0&amp;cv=37</v>
      </c>
      <c r="E3293" s="6">
        <v>92</v>
      </c>
      <c r="F3293" s="6" t="str">
        <f>HYPERLINK("https://kotenseki.nijl.ac.jp/biblio/100245458/viewer/92")</f>
        <v>https://kotenseki.nijl.ac.jp/biblio/100245458/viewer/92</v>
      </c>
    </row>
    <row r="3294" spans="1:6" x14ac:dyDescent="0.15">
      <c r="A3294" s="6" t="s">
        <v>6278</v>
      </c>
      <c r="B3294" s="6" t="s">
        <v>2736</v>
      </c>
      <c r="C3294" s="6">
        <v>38</v>
      </c>
      <c r="D3294" s="6" t="str">
        <f>HYPERLINK("https://rmda.kulib.kyoto-u.ac.jp/item/rb00003208#?c=0&amp;m=0&amp;s=0&amp;cv=37")</f>
        <v>https://rmda.kulib.kyoto-u.ac.jp/item/rb00003208#?c=0&amp;m=0&amp;s=0&amp;cv=37</v>
      </c>
      <c r="E3294" s="6">
        <v>93</v>
      </c>
      <c r="F3294" s="6" t="str">
        <f>HYPERLINK("https://kotenseki.nijl.ac.jp/biblio/100245458/viewer/93")</f>
        <v>https://kotenseki.nijl.ac.jp/biblio/100245458/viewer/93</v>
      </c>
    </row>
    <row r="3295" spans="1:6" x14ac:dyDescent="0.15">
      <c r="A3295" s="6" t="s">
        <v>6278</v>
      </c>
      <c r="B3295" s="6" t="s">
        <v>2737</v>
      </c>
      <c r="C3295" s="6">
        <v>38</v>
      </c>
      <c r="D3295" s="6" t="str">
        <f>HYPERLINK("https://rmda.kulib.kyoto-u.ac.jp/item/rb00003208#?c=0&amp;m=0&amp;s=0&amp;cv=37")</f>
        <v>https://rmda.kulib.kyoto-u.ac.jp/item/rb00003208#?c=0&amp;m=0&amp;s=0&amp;cv=37</v>
      </c>
      <c r="E3295" s="6">
        <v>94</v>
      </c>
      <c r="F3295" s="6" t="str">
        <f>HYPERLINK("https://kotenseki.nijl.ac.jp/biblio/100245458/viewer/94")</f>
        <v>https://kotenseki.nijl.ac.jp/biblio/100245458/viewer/94</v>
      </c>
    </row>
    <row r="3296" spans="1:6" x14ac:dyDescent="0.15">
      <c r="A3296" s="6" t="s">
        <v>6278</v>
      </c>
      <c r="B3296" s="6" t="s">
        <v>2738</v>
      </c>
      <c r="C3296" s="6">
        <v>39</v>
      </c>
      <c r="D3296" s="6" t="str">
        <f>HYPERLINK("https://rmda.kulib.kyoto-u.ac.jp/item/rb00003208#?c=0&amp;m=0&amp;s=0&amp;cv=38")</f>
        <v>https://rmda.kulib.kyoto-u.ac.jp/item/rb00003208#?c=0&amp;m=0&amp;s=0&amp;cv=38</v>
      </c>
      <c r="E3296" s="6">
        <v>96</v>
      </c>
      <c r="F3296" s="6" t="str">
        <f>HYPERLINK("https://kotenseki.nijl.ac.jp/biblio/100245458/viewer/96")</f>
        <v>https://kotenseki.nijl.ac.jp/biblio/100245458/viewer/96</v>
      </c>
    </row>
    <row r="3297" spans="1:6" x14ac:dyDescent="0.15">
      <c r="A3297" s="6" t="s">
        <v>6278</v>
      </c>
      <c r="B3297" s="6" t="s">
        <v>3645</v>
      </c>
      <c r="C3297" s="6">
        <v>39</v>
      </c>
      <c r="D3297" s="6" t="str">
        <f>HYPERLINK("https://rmda.kulib.kyoto-u.ac.jp/item/rb00003208#?c=0&amp;m=0&amp;s=0&amp;cv=38")</f>
        <v>https://rmda.kulib.kyoto-u.ac.jp/item/rb00003208#?c=0&amp;m=0&amp;s=0&amp;cv=38</v>
      </c>
      <c r="E3297" s="6">
        <v>99</v>
      </c>
      <c r="F3297" s="6" t="str">
        <f>HYPERLINK("https://kotenseki.nijl.ac.jp/biblio/100245458/viewer/99")</f>
        <v>https://kotenseki.nijl.ac.jp/biblio/100245458/viewer/99</v>
      </c>
    </row>
    <row r="3298" spans="1:6" x14ac:dyDescent="0.15">
      <c r="A3298" s="6" t="s">
        <v>6278</v>
      </c>
      <c r="B3298" s="6" t="s">
        <v>2739</v>
      </c>
      <c r="C3298" s="6">
        <v>39</v>
      </c>
      <c r="D3298" s="6" t="str">
        <f>HYPERLINK("https://rmda.kulib.kyoto-u.ac.jp/item/rb00003208#?c=0&amp;m=0&amp;s=0&amp;cv=38")</f>
        <v>https://rmda.kulib.kyoto-u.ac.jp/item/rb00003208#?c=0&amp;m=0&amp;s=0&amp;cv=38</v>
      </c>
      <c r="E3298" s="6">
        <v>100</v>
      </c>
      <c r="F3298" s="6" t="str">
        <f>HYPERLINK("https://kotenseki.nijl.ac.jp/biblio/100245458/viewer/100")</f>
        <v>https://kotenseki.nijl.ac.jp/biblio/100245458/viewer/100</v>
      </c>
    </row>
    <row r="3299" spans="1:6" x14ac:dyDescent="0.15">
      <c r="A3299" s="6" t="s">
        <v>6278</v>
      </c>
      <c r="B3299" s="6" t="s">
        <v>2740</v>
      </c>
      <c r="C3299" s="6">
        <v>40</v>
      </c>
      <c r="D3299" s="6" t="str">
        <f>HYPERLINK("https://rmda.kulib.kyoto-u.ac.jp/item/rb00003208#?c=0&amp;m=0&amp;s=0&amp;cv=39")</f>
        <v>https://rmda.kulib.kyoto-u.ac.jp/item/rb00003208#?c=0&amp;m=0&amp;s=0&amp;cv=39</v>
      </c>
      <c r="E3299" s="6">
        <v>107</v>
      </c>
      <c r="F3299" s="6" t="str">
        <f>HYPERLINK("https://kotenseki.nijl.ac.jp/biblio/100245458/viewer/107")</f>
        <v>https://kotenseki.nijl.ac.jp/biblio/100245458/viewer/107</v>
      </c>
    </row>
    <row r="3300" spans="1:6" x14ac:dyDescent="0.15">
      <c r="A3300" s="6" t="s">
        <v>6278</v>
      </c>
      <c r="B3300" s="6" t="s">
        <v>2741</v>
      </c>
      <c r="C3300" s="6">
        <v>40</v>
      </c>
      <c r="D3300" s="6" t="str">
        <f>HYPERLINK("https://rmda.kulib.kyoto-u.ac.jp/item/rb00003208#?c=0&amp;m=0&amp;s=0&amp;cv=39")</f>
        <v>https://rmda.kulib.kyoto-u.ac.jp/item/rb00003208#?c=0&amp;m=0&amp;s=0&amp;cv=39</v>
      </c>
      <c r="E3300" s="6">
        <v>107</v>
      </c>
      <c r="F3300" s="6" t="str">
        <f>HYPERLINK("https://kotenseki.nijl.ac.jp/biblio/100245458/viewer/107")</f>
        <v>https://kotenseki.nijl.ac.jp/biblio/100245458/viewer/107</v>
      </c>
    </row>
    <row r="3301" spans="1:6" x14ac:dyDescent="0.15">
      <c r="A3301" s="6" t="s">
        <v>6278</v>
      </c>
      <c r="B3301" s="6" t="s">
        <v>3639</v>
      </c>
      <c r="C3301" s="6">
        <v>40</v>
      </c>
      <c r="D3301" s="6" t="str">
        <f>HYPERLINK("https://rmda.kulib.kyoto-u.ac.jp/item/rb00003208#?c=0&amp;m=0&amp;s=0&amp;cv=39")</f>
        <v>https://rmda.kulib.kyoto-u.ac.jp/item/rb00003208#?c=0&amp;m=0&amp;s=0&amp;cv=39</v>
      </c>
      <c r="E3301" s="6">
        <v>108</v>
      </c>
      <c r="F3301" s="6" t="str">
        <f>HYPERLINK("https://kotenseki.nijl.ac.jp/biblio/100245458/viewer/108")</f>
        <v>https://kotenseki.nijl.ac.jp/biblio/100245458/viewer/108</v>
      </c>
    </row>
    <row r="3302" spans="1:6" x14ac:dyDescent="0.15">
      <c r="A3302" s="6" t="s">
        <v>6278</v>
      </c>
      <c r="B3302" s="6" t="s">
        <v>2742</v>
      </c>
      <c r="C3302" s="6">
        <v>41</v>
      </c>
      <c r="D3302" s="6" t="str">
        <f>HYPERLINK("https://rmda.kulib.kyoto-u.ac.jp/item/rb00003208#?c=0&amp;m=0&amp;s=0&amp;cv=40")</f>
        <v>https://rmda.kulib.kyoto-u.ac.jp/item/rb00003208#?c=0&amp;m=0&amp;s=0&amp;cv=40</v>
      </c>
      <c r="E3302" s="6">
        <v>111</v>
      </c>
      <c r="F3302" s="6" t="str">
        <f>HYPERLINK("https://kotenseki.nijl.ac.jp/biblio/100245458/viewer/111")</f>
        <v>https://kotenseki.nijl.ac.jp/biblio/100245458/viewer/111</v>
      </c>
    </row>
    <row r="3303" spans="1:6" x14ac:dyDescent="0.15">
      <c r="A3303" s="6" t="s">
        <v>6278</v>
      </c>
      <c r="B3303" s="4" t="s">
        <v>2743</v>
      </c>
      <c r="C3303" s="6">
        <v>42</v>
      </c>
      <c r="D3303" s="6" t="str">
        <f>HYPERLINK("https://rmda.kulib.kyoto-u.ac.jp/item/rb00003208#?c=0&amp;m=0&amp;s=0&amp;cv=41")</f>
        <v>https://rmda.kulib.kyoto-u.ac.jp/item/rb00003208#?c=0&amp;m=0&amp;s=0&amp;cv=41</v>
      </c>
      <c r="E3303" s="6">
        <v>114</v>
      </c>
      <c r="F3303" s="6" t="str">
        <f>HYPERLINK("https://kotenseki.nijl.ac.jp/biblio/100245458/viewer/114")</f>
        <v>https://kotenseki.nijl.ac.jp/biblio/100245458/viewer/114</v>
      </c>
    </row>
    <row r="3304" spans="1:6" x14ac:dyDescent="0.15">
      <c r="A3304" s="6" t="s">
        <v>6278</v>
      </c>
      <c r="B3304" s="6" t="s">
        <v>2744</v>
      </c>
      <c r="C3304" s="6">
        <v>42</v>
      </c>
      <c r="D3304" s="6" t="str">
        <f>HYPERLINK("https://rmda.kulib.kyoto-u.ac.jp/item/rb00003208#?c=0&amp;m=0&amp;s=0&amp;cv=41")</f>
        <v>https://rmda.kulib.kyoto-u.ac.jp/item/rb00003208#?c=0&amp;m=0&amp;s=0&amp;cv=41</v>
      </c>
      <c r="E3304" s="6">
        <v>114</v>
      </c>
      <c r="F3304" s="6" t="str">
        <f>HYPERLINK("https://kotenseki.nijl.ac.jp/biblio/100245458/viewer/114")</f>
        <v>https://kotenseki.nijl.ac.jp/biblio/100245458/viewer/114</v>
      </c>
    </row>
    <row r="3305" spans="1:6" x14ac:dyDescent="0.15">
      <c r="A3305" s="6" t="s">
        <v>6278</v>
      </c>
      <c r="B3305" s="6" t="s">
        <v>2745</v>
      </c>
      <c r="C3305" s="6">
        <v>44</v>
      </c>
      <c r="D3305" s="6" t="str">
        <f>HYPERLINK("https://rmda.kulib.kyoto-u.ac.jp/item/rb00003208#?c=0&amp;m=0&amp;s=0&amp;cv=43")</f>
        <v>https://rmda.kulib.kyoto-u.ac.jp/item/rb00003208#?c=0&amp;m=0&amp;s=0&amp;cv=43</v>
      </c>
      <c r="E3305" s="6">
        <v>117</v>
      </c>
      <c r="F3305" s="6" t="str">
        <f>HYPERLINK("https://kotenseki.nijl.ac.jp/biblio/100245458/viewer/117")</f>
        <v>https://kotenseki.nijl.ac.jp/biblio/100245458/viewer/117</v>
      </c>
    </row>
    <row r="3306" spans="1:6" x14ac:dyDescent="0.15">
      <c r="A3306" s="6" t="s">
        <v>6278</v>
      </c>
      <c r="B3306" s="6" t="s">
        <v>2746</v>
      </c>
      <c r="C3306" s="6">
        <v>44</v>
      </c>
      <c r="D3306" s="6" t="str">
        <f>HYPERLINK("https://rmda.kulib.kyoto-u.ac.jp/item/rb00003208#?c=0&amp;m=0&amp;s=0&amp;cv=43")</f>
        <v>https://rmda.kulib.kyoto-u.ac.jp/item/rb00003208#?c=0&amp;m=0&amp;s=0&amp;cv=43</v>
      </c>
      <c r="E3306" s="6">
        <v>117</v>
      </c>
      <c r="F3306" s="6" t="str">
        <f>HYPERLINK("https://kotenseki.nijl.ac.jp/biblio/100245458/viewer/117")</f>
        <v>https://kotenseki.nijl.ac.jp/biblio/100245458/viewer/117</v>
      </c>
    </row>
    <row r="3307" spans="1:6" x14ac:dyDescent="0.15">
      <c r="A3307" s="6" t="s">
        <v>6278</v>
      </c>
      <c r="B3307" s="6" t="s">
        <v>2747</v>
      </c>
      <c r="C3307" s="6">
        <v>44</v>
      </c>
      <c r="D3307" s="6" t="str">
        <f>HYPERLINK("https://rmda.kulib.kyoto-u.ac.jp/item/rb00003208#?c=0&amp;m=0&amp;s=0&amp;cv=43")</f>
        <v>https://rmda.kulib.kyoto-u.ac.jp/item/rb00003208#?c=0&amp;m=0&amp;s=0&amp;cv=43</v>
      </c>
      <c r="E3307" s="6">
        <v>118</v>
      </c>
      <c r="F3307" s="6" t="str">
        <f>HYPERLINK("https://kotenseki.nijl.ac.jp/biblio/100245458/viewer/118")</f>
        <v>https://kotenseki.nijl.ac.jp/biblio/100245458/viewer/118</v>
      </c>
    </row>
    <row r="3308" spans="1:6" x14ac:dyDescent="0.15">
      <c r="A3308" s="6" t="s">
        <v>6278</v>
      </c>
      <c r="B3308" s="6" t="s">
        <v>3646</v>
      </c>
      <c r="C3308" s="6">
        <v>44</v>
      </c>
      <c r="D3308" s="6" t="str">
        <f>HYPERLINK("https://rmda.kulib.kyoto-u.ac.jp/item/rb00003208#?c=0&amp;m=0&amp;s=0&amp;cv=43")</f>
        <v>https://rmda.kulib.kyoto-u.ac.jp/item/rb00003208#?c=0&amp;m=0&amp;s=0&amp;cv=43</v>
      </c>
      <c r="E3308" s="6">
        <v>118</v>
      </c>
      <c r="F3308" s="6" t="str">
        <f>HYPERLINK("https://kotenseki.nijl.ac.jp/biblio/100245458/viewer/118")</f>
        <v>https://kotenseki.nijl.ac.jp/biblio/100245458/viewer/118</v>
      </c>
    </row>
    <row r="3309" spans="1:6" x14ac:dyDescent="0.15">
      <c r="A3309" s="6" t="s">
        <v>6278</v>
      </c>
      <c r="B3309" s="6" t="s">
        <v>2748</v>
      </c>
      <c r="C3309" s="6">
        <v>44</v>
      </c>
      <c r="D3309" s="6" t="str">
        <f>HYPERLINK("https://rmda.kulib.kyoto-u.ac.jp/item/rb00003208#?c=0&amp;m=0&amp;s=0&amp;cv=43")</f>
        <v>https://rmda.kulib.kyoto-u.ac.jp/item/rb00003208#?c=0&amp;m=0&amp;s=0&amp;cv=43</v>
      </c>
      <c r="E3309" s="6">
        <v>120</v>
      </c>
      <c r="F3309" s="6" t="str">
        <f>HYPERLINK("https://kotenseki.nijl.ac.jp/biblio/100245458/viewer/120")</f>
        <v>https://kotenseki.nijl.ac.jp/biblio/100245458/viewer/120</v>
      </c>
    </row>
    <row r="3310" spans="1:6" x14ac:dyDescent="0.15">
      <c r="A3310" s="6" t="s">
        <v>6278</v>
      </c>
      <c r="B3310" s="6" t="s">
        <v>1491</v>
      </c>
      <c r="C3310" s="6">
        <v>45</v>
      </c>
      <c r="D3310" s="6" t="str">
        <f>HYPERLINK("https://rmda.kulib.kyoto-u.ac.jp/item/rb00003208#?c=0&amp;m=0&amp;s=0&amp;cv=44")</f>
        <v>https://rmda.kulib.kyoto-u.ac.jp/item/rb00003208#?c=0&amp;m=0&amp;s=0&amp;cv=44</v>
      </c>
      <c r="E3310" s="6">
        <v>120</v>
      </c>
      <c r="F3310" s="6" t="str">
        <f>HYPERLINK("https://kotenseki.nijl.ac.jp/biblio/100245458/viewer/120")</f>
        <v>https://kotenseki.nijl.ac.jp/biblio/100245458/viewer/120</v>
      </c>
    </row>
    <row r="3311" spans="1:6" x14ac:dyDescent="0.15">
      <c r="A3311" s="6" t="s">
        <v>6278</v>
      </c>
      <c r="B3311" s="6" t="s">
        <v>2749</v>
      </c>
      <c r="C3311" s="6">
        <v>45</v>
      </c>
      <c r="D3311" s="6" t="str">
        <f>HYPERLINK("https://rmda.kulib.kyoto-u.ac.jp/item/rb00003208#?c=0&amp;m=0&amp;s=0&amp;cv=44")</f>
        <v>https://rmda.kulib.kyoto-u.ac.jp/item/rb00003208#?c=0&amp;m=0&amp;s=0&amp;cv=44</v>
      </c>
      <c r="E3311" s="6">
        <v>121</v>
      </c>
      <c r="F3311" s="6" t="str">
        <f>HYPERLINK("https://kotenseki.nijl.ac.jp/biblio/100245458/viewer/121")</f>
        <v>https://kotenseki.nijl.ac.jp/biblio/100245458/viewer/121</v>
      </c>
    </row>
    <row r="3312" spans="1:6" x14ac:dyDescent="0.15">
      <c r="A3312" s="6" t="s">
        <v>6278</v>
      </c>
      <c r="B3312" s="6" t="s">
        <v>2750</v>
      </c>
      <c r="C3312" s="6">
        <v>45</v>
      </c>
      <c r="D3312" s="6" t="str">
        <f>HYPERLINK("https://rmda.kulib.kyoto-u.ac.jp/item/rb00003208#?c=0&amp;m=0&amp;s=0&amp;cv=44")</f>
        <v>https://rmda.kulib.kyoto-u.ac.jp/item/rb00003208#?c=0&amp;m=0&amp;s=0&amp;cv=44</v>
      </c>
      <c r="E3312" s="6">
        <v>121</v>
      </c>
      <c r="F3312" s="6" t="str">
        <f>HYPERLINK("https://kotenseki.nijl.ac.jp/biblio/100245458/viewer/121")</f>
        <v>https://kotenseki.nijl.ac.jp/biblio/100245458/viewer/121</v>
      </c>
    </row>
    <row r="3313" spans="1:6" x14ac:dyDescent="0.15">
      <c r="A3313" s="6" t="s">
        <v>6278</v>
      </c>
      <c r="B3313" s="4" t="s">
        <v>2751</v>
      </c>
      <c r="C3313" s="6">
        <v>46</v>
      </c>
      <c r="D3313" s="6" t="str">
        <f>HYPERLINK("https://rmda.kulib.kyoto-u.ac.jp/item/rb00003208#?c=0&amp;m=0&amp;s=0&amp;cv=45")</f>
        <v>https://rmda.kulib.kyoto-u.ac.jp/item/rb00003208#?c=0&amp;m=0&amp;s=0&amp;cv=45</v>
      </c>
      <c r="E3313" s="6">
        <v>122</v>
      </c>
      <c r="F3313" s="6" t="str">
        <f>HYPERLINK("https://kotenseki.nijl.ac.jp/biblio/100245458/viewer/122")</f>
        <v>https://kotenseki.nijl.ac.jp/biblio/100245458/viewer/122</v>
      </c>
    </row>
    <row r="3314" spans="1:6" x14ac:dyDescent="0.15">
      <c r="A3314" s="6" t="s">
        <v>6278</v>
      </c>
      <c r="B3314" s="6" t="s">
        <v>1435</v>
      </c>
      <c r="C3314" s="6">
        <v>46</v>
      </c>
      <c r="D3314" s="6" t="str">
        <f>HYPERLINK("https://rmda.kulib.kyoto-u.ac.jp/item/rb00003208#?c=0&amp;m=0&amp;s=0&amp;cv=45")</f>
        <v>https://rmda.kulib.kyoto-u.ac.jp/item/rb00003208#?c=0&amp;m=0&amp;s=0&amp;cv=45</v>
      </c>
      <c r="E3314" s="6">
        <v>122</v>
      </c>
      <c r="F3314" s="6" t="str">
        <f>HYPERLINK("https://kotenseki.nijl.ac.jp/biblio/100245458/viewer/122")</f>
        <v>https://kotenseki.nijl.ac.jp/biblio/100245458/viewer/122</v>
      </c>
    </row>
    <row r="3315" spans="1:6" x14ac:dyDescent="0.15">
      <c r="A3315" s="6" t="s">
        <v>6278</v>
      </c>
      <c r="B3315" s="6" t="s">
        <v>2752</v>
      </c>
      <c r="C3315" s="6">
        <v>46</v>
      </c>
      <c r="D3315" s="6" t="str">
        <f>HYPERLINK("https://rmda.kulib.kyoto-u.ac.jp/item/rb00003208#?c=0&amp;m=0&amp;s=0&amp;cv=45")</f>
        <v>https://rmda.kulib.kyoto-u.ac.jp/item/rb00003208#?c=0&amp;m=0&amp;s=0&amp;cv=45</v>
      </c>
      <c r="E3315" s="6">
        <v>123</v>
      </c>
      <c r="F3315" s="6" t="str">
        <f>HYPERLINK("https://kotenseki.nijl.ac.jp/biblio/100245458/viewer/123")</f>
        <v>https://kotenseki.nijl.ac.jp/biblio/100245458/viewer/123</v>
      </c>
    </row>
    <row r="3316" spans="1:6" x14ac:dyDescent="0.15">
      <c r="A3316" s="6" t="s">
        <v>6278</v>
      </c>
      <c r="B3316" s="6" t="s">
        <v>2753</v>
      </c>
      <c r="C3316" s="6">
        <v>47</v>
      </c>
      <c r="D3316" s="6" t="str">
        <f>HYPERLINK("https://rmda.kulib.kyoto-u.ac.jp/item/rb00003208#?c=0&amp;m=0&amp;s=0&amp;cv=46")</f>
        <v>https://rmda.kulib.kyoto-u.ac.jp/item/rb00003208#?c=0&amp;m=0&amp;s=0&amp;cv=46</v>
      </c>
      <c r="E3316" s="6">
        <v>124</v>
      </c>
      <c r="F3316" s="6" t="str">
        <f>HYPERLINK("https://kotenseki.nijl.ac.jp/biblio/100245458/viewer/124")</f>
        <v>https://kotenseki.nijl.ac.jp/biblio/100245458/viewer/124</v>
      </c>
    </row>
    <row r="3317" spans="1:6" x14ac:dyDescent="0.15">
      <c r="A3317" s="6" t="s">
        <v>6278</v>
      </c>
      <c r="B3317" s="6" t="s">
        <v>2754</v>
      </c>
      <c r="C3317" s="6">
        <v>47</v>
      </c>
      <c r="D3317" s="6" t="str">
        <f>HYPERLINK("https://rmda.kulib.kyoto-u.ac.jp/item/rb00003208#?c=0&amp;m=0&amp;s=0&amp;cv=46")</f>
        <v>https://rmda.kulib.kyoto-u.ac.jp/item/rb00003208#?c=0&amp;m=0&amp;s=0&amp;cv=46</v>
      </c>
      <c r="E3317" s="6">
        <v>125</v>
      </c>
      <c r="F3317" s="6" t="str">
        <f>HYPERLINK("https://kotenseki.nijl.ac.jp/biblio/100245458/viewer/125")</f>
        <v>https://kotenseki.nijl.ac.jp/biblio/100245458/viewer/125</v>
      </c>
    </row>
    <row r="3318" spans="1:6" x14ac:dyDescent="0.15">
      <c r="A3318" s="6" t="s">
        <v>6278</v>
      </c>
      <c r="B3318" s="6" t="s">
        <v>2755</v>
      </c>
      <c r="C3318" s="6">
        <v>47</v>
      </c>
      <c r="D3318" s="6" t="str">
        <f>HYPERLINK("https://rmda.kulib.kyoto-u.ac.jp/item/rb00003208#?c=0&amp;m=0&amp;s=0&amp;cv=46")</f>
        <v>https://rmda.kulib.kyoto-u.ac.jp/item/rb00003208#?c=0&amp;m=0&amp;s=0&amp;cv=46</v>
      </c>
      <c r="E3318" s="6">
        <v>125</v>
      </c>
      <c r="F3318" s="6" t="str">
        <f>HYPERLINK("https://kotenseki.nijl.ac.jp/biblio/100245458/viewer/125")</f>
        <v>https://kotenseki.nijl.ac.jp/biblio/100245458/viewer/125</v>
      </c>
    </row>
    <row r="3319" spans="1:6" x14ac:dyDescent="0.15">
      <c r="A3319" s="6" t="s">
        <v>6278</v>
      </c>
      <c r="B3319" s="6" t="s">
        <v>2756</v>
      </c>
      <c r="C3319" s="6">
        <v>48</v>
      </c>
      <c r="D3319" s="6" t="str">
        <f>HYPERLINK("https://rmda.kulib.kyoto-u.ac.jp/item/rb00003208#?c=0&amp;m=0&amp;s=0&amp;cv=47")</f>
        <v>https://rmda.kulib.kyoto-u.ac.jp/item/rb00003208#?c=0&amp;m=0&amp;s=0&amp;cv=47</v>
      </c>
      <c r="E3319" s="6">
        <v>126</v>
      </c>
      <c r="F3319" s="6" t="str">
        <f>HYPERLINK("https://kotenseki.nijl.ac.jp/biblio/100245458/viewer/126")</f>
        <v>https://kotenseki.nijl.ac.jp/biblio/100245458/viewer/126</v>
      </c>
    </row>
    <row r="3320" spans="1:6" x14ac:dyDescent="0.15">
      <c r="A3320" s="6" t="s">
        <v>6278</v>
      </c>
      <c r="B3320" s="6" t="s">
        <v>2757</v>
      </c>
      <c r="C3320" s="6">
        <v>48</v>
      </c>
      <c r="D3320" s="6" t="str">
        <f>HYPERLINK("https://rmda.kulib.kyoto-u.ac.jp/item/rb00003208#?c=0&amp;m=0&amp;s=0&amp;cv=47")</f>
        <v>https://rmda.kulib.kyoto-u.ac.jp/item/rb00003208#?c=0&amp;m=0&amp;s=0&amp;cv=47</v>
      </c>
      <c r="E3320" s="6"/>
      <c r="F3320" s="6"/>
    </row>
    <row r="3321" spans="1:6" x14ac:dyDescent="0.15">
      <c r="A3321" s="6" t="s">
        <v>6278</v>
      </c>
      <c r="B3321" s="4" t="s">
        <v>2758</v>
      </c>
      <c r="C3321" s="6">
        <v>48</v>
      </c>
      <c r="D3321" s="6" t="str">
        <f>HYPERLINK("https://rmda.kulib.kyoto-u.ac.jp/item/rb00003208#?c=0&amp;m=0&amp;s=0&amp;cv=47")</f>
        <v>https://rmda.kulib.kyoto-u.ac.jp/item/rb00003208#?c=0&amp;m=0&amp;s=0&amp;cv=47</v>
      </c>
      <c r="E3321" s="6">
        <v>127</v>
      </c>
      <c r="F3321" s="6" t="str">
        <f>HYPERLINK("https://kotenseki.nijl.ac.jp/biblio/100245458/viewer/127")</f>
        <v>https://kotenseki.nijl.ac.jp/biblio/100245458/viewer/127</v>
      </c>
    </row>
    <row r="3322" spans="1:6" x14ac:dyDescent="0.15">
      <c r="A3322" s="6" t="s">
        <v>6278</v>
      </c>
      <c r="B3322" s="6" t="s">
        <v>2759</v>
      </c>
      <c r="C3322" s="6">
        <v>48</v>
      </c>
      <c r="D3322" s="6" t="str">
        <f>HYPERLINK("https://rmda.kulib.kyoto-u.ac.jp/item/rb00003208#?c=0&amp;m=0&amp;s=0&amp;cv=47")</f>
        <v>https://rmda.kulib.kyoto-u.ac.jp/item/rb00003208#?c=0&amp;m=0&amp;s=0&amp;cv=47</v>
      </c>
      <c r="E3322" s="6">
        <v>127</v>
      </c>
      <c r="F3322" s="6" t="str">
        <f>HYPERLINK("https://kotenseki.nijl.ac.jp/biblio/100245458/viewer/127")</f>
        <v>https://kotenseki.nijl.ac.jp/biblio/100245458/viewer/127</v>
      </c>
    </row>
    <row r="3323" spans="1:6" x14ac:dyDescent="0.15">
      <c r="A3323" s="6" t="s">
        <v>6278</v>
      </c>
      <c r="B3323" s="6" t="s">
        <v>2760</v>
      </c>
      <c r="C3323" s="6">
        <v>49</v>
      </c>
      <c r="D3323" s="6" t="str">
        <f>HYPERLINK("https://rmda.kulib.kyoto-u.ac.jp/item/rb00003208#?c=0&amp;m=0&amp;s=0&amp;cv=48")</f>
        <v>https://rmda.kulib.kyoto-u.ac.jp/item/rb00003208#?c=0&amp;m=0&amp;s=0&amp;cv=48</v>
      </c>
      <c r="E3323" s="6">
        <v>129</v>
      </c>
      <c r="F3323" s="6" t="str">
        <f>HYPERLINK("https://kotenseki.nijl.ac.jp/biblio/100245458/viewer/129")</f>
        <v>https://kotenseki.nijl.ac.jp/biblio/100245458/viewer/129</v>
      </c>
    </row>
    <row r="3324" spans="1:6" x14ac:dyDescent="0.15">
      <c r="A3324" s="6" t="s">
        <v>6278</v>
      </c>
      <c r="B3324" s="6" t="s">
        <v>6275</v>
      </c>
      <c r="C3324" s="6">
        <v>49</v>
      </c>
      <c r="D3324" s="6" t="str">
        <f>HYPERLINK("https://rmda.kulib.kyoto-u.ac.jp/item/rb00003208#?c=0&amp;m=0&amp;s=0&amp;cv=48")</f>
        <v>https://rmda.kulib.kyoto-u.ac.jp/item/rb00003208#?c=0&amp;m=0&amp;s=0&amp;cv=48</v>
      </c>
      <c r="E3324" s="6"/>
      <c r="F3324" s="6"/>
    </row>
    <row r="3325" spans="1:6" x14ac:dyDescent="0.15">
      <c r="A3325" s="6" t="s">
        <v>6278</v>
      </c>
      <c r="B3325" s="6" t="s">
        <v>6276</v>
      </c>
      <c r="C3325" s="6">
        <v>49</v>
      </c>
      <c r="D3325" s="6" t="str">
        <f>HYPERLINK("https://rmda.kulib.kyoto-u.ac.jp/item/rb00003208#?c=0&amp;m=0&amp;s=0&amp;cv=48")</f>
        <v>https://rmda.kulib.kyoto-u.ac.jp/item/rb00003208#?c=0&amp;m=0&amp;s=0&amp;cv=48</v>
      </c>
      <c r="E3325" s="6">
        <v>129</v>
      </c>
      <c r="F3325" s="6" t="str">
        <f>HYPERLINK("https://kotenseki.nijl.ac.jp/biblio/100245458/viewer/129")</f>
        <v>https://kotenseki.nijl.ac.jp/biblio/100245458/viewer/129</v>
      </c>
    </row>
    <row r="3326" spans="1:6" x14ac:dyDescent="0.15">
      <c r="A3326" s="6" t="s">
        <v>6278</v>
      </c>
      <c r="B3326" s="6" t="s">
        <v>3640</v>
      </c>
      <c r="C3326" s="6">
        <v>49</v>
      </c>
      <c r="D3326" s="6" t="str">
        <f>HYPERLINK("https://rmda.kulib.kyoto-u.ac.jp/item/rb00003208#?c=0&amp;m=0&amp;s=0&amp;cv=48")</f>
        <v>https://rmda.kulib.kyoto-u.ac.jp/item/rb00003208#?c=0&amp;m=0&amp;s=0&amp;cv=48</v>
      </c>
      <c r="E3326" s="6">
        <v>129</v>
      </c>
      <c r="F3326" s="6" t="str">
        <f>HYPERLINK("https://kotenseki.nijl.ac.jp/biblio/100245458/viewer/129")</f>
        <v>https://kotenseki.nijl.ac.jp/biblio/100245458/viewer/129</v>
      </c>
    </row>
    <row r="3327" spans="1:6" x14ac:dyDescent="0.15">
      <c r="A3327" s="6" t="s">
        <v>6278</v>
      </c>
      <c r="B3327" s="111" t="s">
        <v>6274</v>
      </c>
      <c r="C3327" s="6">
        <v>49</v>
      </c>
      <c r="D3327" s="6" t="str">
        <f>HYPERLINK("https://rmda.kulib.kyoto-u.ac.jp/item/rb00003208#?c=0&amp;m=0&amp;s=0&amp;cv=48")</f>
        <v>https://rmda.kulib.kyoto-u.ac.jp/item/rb00003208#?c=0&amp;m=0&amp;s=0&amp;cv=48</v>
      </c>
      <c r="E3327" s="6">
        <v>130</v>
      </c>
      <c r="F3327" s="6" t="str">
        <f>HYPERLINK("https://kotenseki.nijl.ac.jp/biblio/100245458/viewer/130")</f>
        <v>https://kotenseki.nijl.ac.jp/biblio/100245458/viewer/130</v>
      </c>
    </row>
    <row r="3328" spans="1:6" x14ac:dyDescent="0.15">
      <c r="A3328" s="6" t="s">
        <v>6278</v>
      </c>
      <c r="B3328" s="6" t="s">
        <v>2762</v>
      </c>
      <c r="C3328" s="6">
        <v>50</v>
      </c>
      <c r="D3328" s="6" t="str">
        <f>HYPERLINK("https://rmda.kulib.kyoto-u.ac.jp/item/rb00003208#?c=0&amp;m=0&amp;s=0&amp;cv=49")</f>
        <v>https://rmda.kulib.kyoto-u.ac.jp/item/rb00003208#?c=0&amp;m=0&amp;s=0&amp;cv=49</v>
      </c>
      <c r="E3328" s="6"/>
      <c r="F3328" s="6"/>
    </row>
    <row r="3329" spans="1:6" x14ac:dyDescent="0.15">
      <c r="A3329" s="6" t="s">
        <v>6278</v>
      </c>
      <c r="B3329" s="6" t="s">
        <v>2763</v>
      </c>
      <c r="C3329" s="6">
        <v>50</v>
      </c>
      <c r="D3329" s="6" t="str">
        <f>HYPERLINK("https://rmda.kulib.kyoto-u.ac.jp/item/rb00003208#?c=0&amp;m=0&amp;s=0&amp;cv=49")</f>
        <v>https://rmda.kulib.kyoto-u.ac.jp/item/rb00003208#?c=0&amp;m=0&amp;s=0&amp;cv=49</v>
      </c>
      <c r="E3329" s="6">
        <v>130</v>
      </c>
      <c r="F3329" s="6" t="str">
        <f>HYPERLINK("https://kotenseki.nijl.ac.jp/biblio/100245458/viewer/130")</f>
        <v>https://kotenseki.nijl.ac.jp/biblio/100245458/viewer/130</v>
      </c>
    </row>
    <row r="3330" spans="1:6" x14ac:dyDescent="0.15">
      <c r="A3330" s="6" t="s">
        <v>6278</v>
      </c>
      <c r="B3330" s="6" t="s">
        <v>3641</v>
      </c>
      <c r="C3330" s="6">
        <v>50</v>
      </c>
      <c r="D3330" s="6" t="str">
        <f>HYPERLINK("https://rmda.kulib.kyoto-u.ac.jp/item/rb00003208#?c=0&amp;m=0&amp;s=0&amp;cv=49")</f>
        <v>https://rmda.kulib.kyoto-u.ac.jp/item/rb00003208#?c=0&amp;m=0&amp;s=0&amp;cv=49</v>
      </c>
      <c r="E3330" s="6">
        <v>130</v>
      </c>
      <c r="F3330" s="6" t="str">
        <f>HYPERLINK("https://kotenseki.nijl.ac.jp/biblio/100245458/viewer/130")</f>
        <v>https://kotenseki.nijl.ac.jp/biblio/100245458/viewer/130</v>
      </c>
    </row>
    <row r="3331" spans="1:6" x14ac:dyDescent="0.15">
      <c r="A3331" s="6" t="s">
        <v>6278</v>
      </c>
      <c r="B3331" s="6" t="s">
        <v>2765</v>
      </c>
      <c r="C3331" s="6">
        <v>50</v>
      </c>
      <c r="D3331" s="6" t="str">
        <f>HYPERLINK("https://rmda.kulib.kyoto-u.ac.jp/item/rb00003208#?c=0&amp;m=0&amp;s=0&amp;cv=49")</f>
        <v>https://rmda.kulib.kyoto-u.ac.jp/item/rb00003208#?c=0&amp;m=0&amp;s=0&amp;cv=49</v>
      </c>
      <c r="E3331" s="6">
        <v>131</v>
      </c>
      <c r="F3331" s="6" t="str">
        <f>HYPERLINK("https://kotenseki.nijl.ac.jp/biblio/100245458/viewer/131")</f>
        <v>https://kotenseki.nijl.ac.jp/biblio/100245458/viewer/131</v>
      </c>
    </row>
    <row r="3332" spans="1:6" x14ac:dyDescent="0.15">
      <c r="A3332" s="6" t="s">
        <v>6278</v>
      </c>
      <c r="B3332" s="4" t="s">
        <v>2766</v>
      </c>
      <c r="C3332" s="6">
        <v>51</v>
      </c>
      <c r="D3332" s="6" t="str">
        <f>HYPERLINK("https://rmda.kulib.kyoto-u.ac.jp/item/rb00003208#?c=0&amp;m=0&amp;s=0&amp;cv=50")</f>
        <v>https://rmda.kulib.kyoto-u.ac.jp/item/rb00003208#?c=0&amp;m=0&amp;s=0&amp;cv=50</v>
      </c>
      <c r="E3332" s="6"/>
      <c r="F3332" s="6"/>
    </row>
    <row r="3333" spans="1:6" x14ac:dyDescent="0.15">
      <c r="A3333" s="6" t="s">
        <v>6278</v>
      </c>
      <c r="B3333" s="6" t="s">
        <v>2767</v>
      </c>
      <c r="C3333" s="6">
        <v>51</v>
      </c>
      <c r="D3333" s="6" t="str">
        <f>HYPERLINK("https://rmda.kulib.kyoto-u.ac.jp/item/rb00003208#?c=0&amp;m=0&amp;s=0&amp;cv=50")</f>
        <v>https://rmda.kulib.kyoto-u.ac.jp/item/rb00003208#?c=0&amp;m=0&amp;s=0&amp;cv=50</v>
      </c>
      <c r="E3333" s="6">
        <v>131</v>
      </c>
      <c r="F3333" s="6" t="str">
        <f>HYPERLINK("https://kotenseki.nijl.ac.jp/biblio/100245458/viewer/131")</f>
        <v>https://kotenseki.nijl.ac.jp/biblio/100245458/viewer/131</v>
      </c>
    </row>
    <row r="3334" spans="1:6" x14ac:dyDescent="0.15">
      <c r="A3334" s="6" t="s">
        <v>6278</v>
      </c>
      <c r="B3334" s="6" t="s">
        <v>2768</v>
      </c>
      <c r="C3334" s="6">
        <v>51</v>
      </c>
      <c r="D3334" s="6" t="str">
        <f>HYPERLINK("https://rmda.kulib.kyoto-u.ac.jp/item/rb00003208#?c=0&amp;m=0&amp;s=0&amp;cv=50")</f>
        <v>https://rmda.kulib.kyoto-u.ac.jp/item/rb00003208#?c=0&amp;m=0&amp;s=0&amp;cv=50</v>
      </c>
      <c r="E3334" s="6">
        <v>133</v>
      </c>
      <c r="F3334" s="6" t="str">
        <f>HYPERLINK("https://kotenseki.nijl.ac.jp/biblio/100245458/viewer/133")</f>
        <v>https://kotenseki.nijl.ac.jp/biblio/100245458/viewer/133</v>
      </c>
    </row>
    <row r="3335" spans="1:6" x14ac:dyDescent="0.15">
      <c r="A3335" s="6" t="s">
        <v>6278</v>
      </c>
      <c r="B3335" s="6" t="s">
        <v>2769</v>
      </c>
      <c r="C3335" s="6">
        <v>52</v>
      </c>
      <c r="D3335" s="6" t="str">
        <f>HYPERLINK("https://rmda.kulib.kyoto-u.ac.jp/item/rb00003208#?c=0&amp;m=0&amp;s=0&amp;cv=51")</f>
        <v>https://rmda.kulib.kyoto-u.ac.jp/item/rb00003208#?c=0&amp;m=0&amp;s=0&amp;cv=51</v>
      </c>
      <c r="E3335" s="6">
        <v>133</v>
      </c>
      <c r="F3335" s="6" t="str">
        <f>HYPERLINK("https://kotenseki.nijl.ac.jp/biblio/100245458/viewer/133")</f>
        <v>https://kotenseki.nijl.ac.jp/biblio/100245458/viewer/133</v>
      </c>
    </row>
    <row r="3336" spans="1:6" x14ac:dyDescent="0.15">
      <c r="A3336" s="6" t="s">
        <v>6278</v>
      </c>
      <c r="B3336" s="6" t="s">
        <v>2770</v>
      </c>
      <c r="C3336" s="6">
        <v>52</v>
      </c>
      <c r="D3336" s="6" t="str">
        <f>HYPERLINK("https://rmda.kulib.kyoto-u.ac.jp/item/rb00003208#?c=0&amp;m=0&amp;s=0&amp;cv=51")</f>
        <v>https://rmda.kulib.kyoto-u.ac.jp/item/rb00003208#?c=0&amp;m=0&amp;s=0&amp;cv=51</v>
      </c>
      <c r="E3336" s="6">
        <v>134</v>
      </c>
      <c r="F3336" s="6" t="str">
        <f>HYPERLINK("https://kotenseki.nijl.ac.jp/biblio/100245458/viewer/134")</f>
        <v>https://kotenseki.nijl.ac.jp/biblio/100245458/viewer/134</v>
      </c>
    </row>
    <row r="3337" spans="1:6" x14ac:dyDescent="0.15">
      <c r="A3337" s="6" t="s">
        <v>6278</v>
      </c>
      <c r="B3337" s="6" t="s">
        <v>2771</v>
      </c>
      <c r="C3337" s="6"/>
      <c r="D3337" s="6"/>
      <c r="E3337" s="6">
        <v>134</v>
      </c>
      <c r="F3337" s="6" t="str">
        <f>HYPERLINK("https://kotenseki.nijl.ac.jp/biblio/100245458/viewer/134")</f>
        <v>https://kotenseki.nijl.ac.jp/biblio/100245458/viewer/134</v>
      </c>
    </row>
    <row r="3338" spans="1:6" x14ac:dyDescent="0.15">
      <c r="A3338" s="6" t="s">
        <v>6278</v>
      </c>
      <c r="B3338" s="6" t="s">
        <v>2772</v>
      </c>
      <c r="C3338" s="6"/>
      <c r="D3338" s="6"/>
      <c r="E3338" s="6">
        <v>134</v>
      </c>
      <c r="F3338" s="6" t="str">
        <f>HYPERLINK("https://kotenseki.nijl.ac.jp/biblio/100245458/viewer/134")</f>
        <v>https://kotenseki.nijl.ac.jp/biblio/100245458/viewer/134</v>
      </c>
    </row>
    <row r="3339" spans="1:6" x14ac:dyDescent="0.15">
      <c r="A3339" s="69" t="s">
        <v>3669</v>
      </c>
      <c r="B3339" s="69" t="s">
        <v>198</v>
      </c>
      <c r="C3339" s="92"/>
      <c r="D3339" s="77" t="s">
        <v>6065</v>
      </c>
    </row>
    <row r="3340" spans="1:6" x14ac:dyDescent="0.15">
      <c r="A3340" s="84" t="s">
        <v>6037</v>
      </c>
      <c r="B3340" s="8"/>
      <c r="C3340" s="6"/>
      <c r="D3340" s="60" t="s">
        <v>1118</v>
      </c>
    </row>
    <row r="3341" spans="1:6" x14ac:dyDescent="0.15">
      <c r="A3341" s="87"/>
      <c r="B3341" s="8"/>
      <c r="C3341" s="6"/>
      <c r="D3341" s="79" t="s">
        <v>6038</v>
      </c>
    </row>
    <row r="3342" spans="1:6" x14ac:dyDescent="0.15">
      <c r="A3342" s="87"/>
      <c r="B3342" s="8"/>
      <c r="C3342" s="6"/>
      <c r="D3342" s="101" t="s">
        <v>6039</v>
      </c>
    </row>
    <row r="3343" spans="1:6" x14ac:dyDescent="0.15">
      <c r="A3343" s="87"/>
      <c r="B3343" s="8"/>
      <c r="C3343" s="6"/>
      <c r="D3343" s="101" t="s">
        <v>6040</v>
      </c>
    </row>
    <row r="3344" spans="1:6" x14ac:dyDescent="0.15">
      <c r="A3344" s="87"/>
      <c r="B3344" s="8"/>
      <c r="C3344" s="6"/>
      <c r="D3344" s="101" t="s">
        <v>6041</v>
      </c>
    </row>
    <row r="3345" spans="1:4" x14ac:dyDescent="0.15">
      <c r="A3345" s="87"/>
      <c r="B3345" s="8"/>
      <c r="C3345" s="6"/>
      <c r="D3345" s="101" t="s">
        <v>6042</v>
      </c>
    </row>
    <row r="3346" spans="1:4" x14ac:dyDescent="0.15">
      <c r="A3346" s="87"/>
      <c r="B3346" s="8"/>
      <c r="C3346" s="6"/>
      <c r="D3346" s="101" t="s">
        <v>6043</v>
      </c>
    </row>
    <row r="3347" spans="1:4" x14ac:dyDescent="0.15">
      <c r="A3347" s="87"/>
      <c r="B3347" s="8"/>
      <c r="C3347" s="6"/>
      <c r="D3347" s="101" t="s">
        <v>5230</v>
      </c>
    </row>
    <row r="3348" spans="1:4" x14ac:dyDescent="0.15">
      <c r="A3348" s="6"/>
      <c r="B3348" s="6"/>
      <c r="C3348" s="6"/>
      <c r="D3348" s="6"/>
    </row>
    <row r="3349" spans="1:4" x14ac:dyDescent="0.15">
      <c r="A3349" s="66" t="s">
        <v>197</v>
      </c>
      <c r="B3349" s="6" t="s">
        <v>2507</v>
      </c>
      <c r="C3349" s="6">
        <v>2</v>
      </c>
      <c r="D3349" s="6" t="str">
        <f>HYPERLINK("https://rmda.kulib.kyoto-u.ac.jp/item/rb00013649#?c=0&amp;m=0&amp;s=0&amp;cv=1")</f>
        <v>https://rmda.kulib.kyoto-u.ac.jp/item/rb00013649#?c=0&amp;m=0&amp;s=0&amp;cv=1</v>
      </c>
    </row>
    <row r="3350" spans="1:4" x14ac:dyDescent="0.15">
      <c r="A3350" s="66" t="s">
        <v>197</v>
      </c>
      <c r="B3350" s="6" t="s">
        <v>6058</v>
      </c>
      <c r="C3350" s="6">
        <v>4</v>
      </c>
      <c r="D3350" s="6" t="str">
        <f>HYPERLINK("https://rmda.kulib.kyoto-u.ac.jp/item/rb00013649#?c=0&amp;m=0&amp;s=0&amp;cv=3")</f>
        <v>https://rmda.kulib.kyoto-u.ac.jp/item/rb00013649#?c=0&amp;m=0&amp;s=0&amp;cv=3</v>
      </c>
    </row>
    <row r="3351" spans="1:4" x14ac:dyDescent="0.15">
      <c r="A3351" s="66" t="s">
        <v>197</v>
      </c>
      <c r="B3351" s="80" t="s">
        <v>6060</v>
      </c>
      <c r="C3351" s="6">
        <v>11</v>
      </c>
      <c r="D3351" s="6" t="str">
        <f>HYPERLINK("https://rmda.kulib.kyoto-u.ac.jp/item/rb00013649#?c=0&amp;m=0&amp;s=0&amp;cv=10")</f>
        <v>https://rmda.kulib.kyoto-u.ac.jp/item/rb00013649#?c=0&amp;m=0&amp;s=0&amp;cv=10</v>
      </c>
    </row>
    <row r="3352" spans="1:4" x14ac:dyDescent="0.15">
      <c r="A3352" s="66" t="s">
        <v>197</v>
      </c>
      <c r="B3352" s="6" t="s">
        <v>2526</v>
      </c>
      <c r="C3352" s="6">
        <v>11</v>
      </c>
      <c r="D3352" s="6" t="str">
        <f>HYPERLINK("https://rmda.kulib.kyoto-u.ac.jp/item/rb00013649#?c=0&amp;m=0&amp;s=0&amp;cv=10")</f>
        <v>https://rmda.kulib.kyoto-u.ac.jp/item/rb00013649#?c=0&amp;m=0&amp;s=0&amp;cv=10</v>
      </c>
    </row>
    <row r="3353" spans="1:4" x14ac:dyDescent="0.15">
      <c r="A3353" s="66" t="s">
        <v>197</v>
      </c>
      <c r="B3353" s="6" t="s">
        <v>2527</v>
      </c>
      <c r="C3353" s="6">
        <v>15</v>
      </c>
      <c r="D3353" s="6" t="str">
        <f>HYPERLINK("https://rmda.kulib.kyoto-u.ac.jp/item/rb00013649#?c=0&amp;m=0&amp;s=0&amp;cv=14")</f>
        <v>https://rmda.kulib.kyoto-u.ac.jp/item/rb00013649#?c=0&amp;m=0&amp;s=0&amp;cv=14</v>
      </c>
    </row>
    <row r="3354" spans="1:4" x14ac:dyDescent="0.15">
      <c r="A3354" s="66" t="s">
        <v>197</v>
      </c>
      <c r="B3354" s="6" t="s">
        <v>2528</v>
      </c>
      <c r="C3354" s="6">
        <v>17</v>
      </c>
      <c r="D3354" s="6" t="str">
        <f>HYPERLINK("https://rmda.kulib.kyoto-u.ac.jp/item/rb00013649#?c=0&amp;m=0&amp;s=0&amp;cv=16")</f>
        <v>https://rmda.kulib.kyoto-u.ac.jp/item/rb00013649#?c=0&amp;m=0&amp;s=0&amp;cv=16</v>
      </c>
    </row>
    <row r="3355" spans="1:4" x14ac:dyDescent="0.15">
      <c r="A3355" s="66" t="s">
        <v>197</v>
      </c>
      <c r="B3355" s="6" t="s">
        <v>2529</v>
      </c>
      <c r="C3355" s="6">
        <v>18</v>
      </c>
      <c r="D3355" s="6" t="str">
        <f>HYPERLINK("https://rmda.kulib.kyoto-u.ac.jp/item/rb00013649#?c=0&amp;m=0&amp;s=0&amp;cv=17")</f>
        <v>https://rmda.kulib.kyoto-u.ac.jp/item/rb00013649#?c=0&amp;m=0&amp;s=0&amp;cv=17</v>
      </c>
    </row>
    <row r="3356" spans="1:4" x14ac:dyDescent="0.15">
      <c r="A3356" s="66" t="s">
        <v>197</v>
      </c>
      <c r="B3356" s="6" t="s">
        <v>2530</v>
      </c>
      <c r="C3356" s="6">
        <v>18</v>
      </c>
      <c r="D3356" s="6" t="str">
        <f>HYPERLINK("https://rmda.kulib.kyoto-u.ac.jp/item/rb00013649#?c=0&amp;m=0&amp;s=0&amp;cv=17")</f>
        <v>https://rmda.kulib.kyoto-u.ac.jp/item/rb00013649#?c=0&amp;m=0&amp;s=0&amp;cv=17</v>
      </c>
    </row>
    <row r="3357" spans="1:4" x14ac:dyDescent="0.15">
      <c r="A3357" s="66" t="s">
        <v>197</v>
      </c>
      <c r="B3357" s="6" t="s">
        <v>2531</v>
      </c>
      <c r="C3357" s="6">
        <v>19</v>
      </c>
      <c r="D3357" s="6" t="str">
        <f>HYPERLINK("https://rmda.kulib.kyoto-u.ac.jp/item/rb00013649#?c=0&amp;m=0&amp;s=0&amp;cv=18")</f>
        <v>https://rmda.kulib.kyoto-u.ac.jp/item/rb00013649#?c=0&amp;m=0&amp;s=0&amp;cv=18</v>
      </c>
    </row>
    <row r="3358" spans="1:4" x14ac:dyDescent="0.15">
      <c r="A3358" s="66" t="s">
        <v>197</v>
      </c>
      <c r="B3358" s="6" t="s">
        <v>2532</v>
      </c>
      <c r="C3358" s="6">
        <v>19</v>
      </c>
      <c r="D3358" s="6" t="str">
        <f>HYPERLINK("https://rmda.kulib.kyoto-u.ac.jp/item/rb00013649#?c=0&amp;m=0&amp;s=0&amp;cv=18")</f>
        <v>https://rmda.kulib.kyoto-u.ac.jp/item/rb00013649#?c=0&amp;m=0&amp;s=0&amp;cv=18</v>
      </c>
    </row>
    <row r="3359" spans="1:4" x14ac:dyDescent="0.15">
      <c r="A3359" s="66" t="s">
        <v>197</v>
      </c>
      <c r="B3359" s="6" t="s">
        <v>2533</v>
      </c>
      <c r="C3359" s="6">
        <v>20</v>
      </c>
      <c r="D3359" s="6" t="str">
        <f>HYPERLINK("https://rmda.kulib.kyoto-u.ac.jp/item/rb00013649#?c=0&amp;m=0&amp;s=0&amp;cv=19")</f>
        <v>https://rmda.kulib.kyoto-u.ac.jp/item/rb00013649#?c=0&amp;m=0&amp;s=0&amp;cv=19</v>
      </c>
    </row>
    <row r="3360" spans="1:4" x14ac:dyDescent="0.15">
      <c r="A3360" s="66" t="s">
        <v>197</v>
      </c>
      <c r="B3360" s="6" t="s">
        <v>2534</v>
      </c>
      <c r="C3360" s="6">
        <v>20</v>
      </c>
      <c r="D3360" s="6" t="str">
        <f>HYPERLINK("https://rmda.kulib.kyoto-u.ac.jp/item/rb00013649#?c=0&amp;m=0&amp;s=0&amp;cv=19")</f>
        <v>https://rmda.kulib.kyoto-u.ac.jp/item/rb00013649#?c=0&amp;m=0&amp;s=0&amp;cv=19</v>
      </c>
    </row>
    <row r="3361" spans="1:4" x14ac:dyDescent="0.15">
      <c r="A3361" s="66" t="s">
        <v>197</v>
      </c>
      <c r="B3361" s="6" t="s">
        <v>2535</v>
      </c>
      <c r="C3361" s="6">
        <v>22</v>
      </c>
      <c r="D3361" s="6" t="str">
        <f>HYPERLINK("https://rmda.kulib.kyoto-u.ac.jp/item/rb00013649#?c=0&amp;m=0&amp;s=0&amp;cv=21")</f>
        <v>https://rmda.kulib.kyoto-u.ac.jp/item/rb00013649#?c=0&amp;m=0&amp;s=0&amp;cv=21</v>
      </c>
    </row>
    <row r="3362" spans="1:4" x14ac:dyDescent="0.15">
      <c r="A3362" s="66" t="s">
        <v>197</v>
      </c>
      <c r="B3362" s="6" t="s">
        <v>2500</v>
      </c>
      <c r="C3362" s="6">
        <v>23</v>
      </c>
      <c r="D3362" s="6" t="str">
        <f>HYPERLINK("https://rmda.kulib.kyoto-u.ac.jp/item/rb00013649#?c=0&amp;m=0&amp;s=0&amp;cv=22")</f>
        <v>https://rmda.kulib.kyoto-u.ac.jp/item/rb00013649#?c=0&amp;m=0&amp;s=0&amp;cv=22</v>
      </c>
    </row>
    <row r="3363" spans="1:4" x14ac:dyDescent="0.15">
      <c r="A3363" s="66" t="s">
        <v>197</v>
      </c>
      <c r="B3363" s="6" t="s">
        <v>2536</v>
      </c>
      <c r="C3363" s="6">
        <v>24</v>
      </c>
      <c r="D3363" s="6" t="str">
        <f>HYPERLINK("https://rmda.kulib.kyoto-u.ac.jp/item/rb00013649#?c=0&amp;m=0&amp;s=0&amp;cv=23")</f>
        <v>https://rmda.kulib.kyoto-u.ac.jp/item/rb00013649#?c=0&amp;m=0&amp;s=0&amp;cv=23</v>
      </c>
    </row>
    <row r="3364" spans="1:4" x14ac:dyDescent="0.15">
      <c r="A3364" s="66" t="s">
        <v>197</v>
      </c>
      <c r="B3364" s="6" t="s">
        <v>2537</v>
      </c>
      <c r="C3364" s="6">
        <v>25</v>
      </c>
      <c r="D3364" s="6" t="str">
        <f>HYPERLINK("https://rmda.kulib.kyoto-u.ac.jp/item/rb00013649#?c=0&amp;m=0&amp;s=0&amp;cv=24")</f>
        <v>https://rmda.kulib.kyoto-u.ac.jp/item/rb00013649#?c=0&amp;m=0&amp;s=0&amp;cv=24</v>
      </c>
    </row>
    <row r="3365" spans="1:4" x14ac:dyDescent="0.15">
      <c r="A3365" s="66" t="s">
        <v>197</v>
      </c>
      <c r="B3365" s="6" t="s">
        <v>2538</v>
      </c>
      <c r="C3365" s="6">
        <v>26</v>
      </c>
      <c r="D3365" s="6" t="str">
        <f>HYPERLINK("https://rmda.kulib.kyoto-u.ac.jp/item/rb00013649#?c=0&amp;m=0&amp;s=0&amp;cv=25")</f>
        <v>https://rmda.kulib.kyoto-u.ac.jp/item/rb00013649#?c=0&amp;m=0&amp;s=0&amp;cv=25</v>
      </c>
    </row>
    <row r="3366" spans="1:4" x14ac:dyDescent="0.15">
      <c r="A3366" s="66" t="s">
        <v>197</v>
      </c>
      <c r="B3366" s="6" t="s">
        <v>2539</v>
      </c>
      <c r="C3366" s="6">
        <v>26</v>
      </c>
      <c r="D3366" s="6" t="str">
        <f>HYPERLINK("https://rmda.kulib.kyoto-u.ac.jp/item/rb00013649#?c=0&amp;m=0&amp;s=0&amp;cv=25")</f>
        <v>https://rmda.kulib.kyoto-u.ac.jp/item/rb00013649#?c=0&amp;m=0&amp;s=0&amp;cv=25</v>
      </c>
    </row>
    <row r="3367" spans="1:4" x14ac:dyDescent="0.15">
      <c r="A3367" s="66" t="s">
        <v>197</v>
      </c>
      <c r="B3367" s="6" t="s">
        <v>2540</v>
      </c>
      <c r="C3367" s="6">
        <v>27</v>
      </c>
      <c r="D3367" s="6" t="str">
        <f>HYPERLINK("https://rmda.kulib.kyoto-u.ac.jp/item/rb00013649#?c=0&amp;m=0&amp;s=0&amp;cv=26")</f>
        <v>https://rmda.kulib.kyoto-u.ac.jp/item/rb00013649#?c=0&amp;m=0&amp;s=0&amp;cv=26</v>
      </c>
    </row>
    <row r="3368" spans="1:4" x14ac:dyDescent="0.15">
      <c r="A3368" s="66" t="s">
        <v>197</v>
      </c>
      <c r="B3368" s="6" t="s">
        <v>2541</v>
      </c>
      <c r="C3368" s="6">
        <v>27</v>
      </c>
      <c r="D3368" s="6" t="str">
        <f>HYPERLINK("https://rmda.kulib.kyoto-u.ac.jp/item/rb00013649#?c=0&amp;m=0&amp;s=0&amp;cv=26")</f>
        <v>https://rmda.kulib.kyoto-u.ac.jp/item/rb00013649#?c=0&amp;m=0&amp;s=0&amp;cv=26</v>
      </c>
    </row>
    <row r="3369" spans="1:4" x14ac:dyDescent="0.15">
      <c r="A3369" s="66" t="s">
        <v>197</v>
      </c>
      <c r="B3369" s="6" t="s">
        <v>2542</v>
      </c>
      <c r="C3369" s="6">
        <v>28</v>
      </c>
      <c r="D3369" s="6" t="str">
        <f>HYPERLINK("https://rmda.kulib.kyoto-u.ac.jp/item/rb00013649#?c=0&amp;m=0&amp;s=0&amp;cv=27")</f>
        <v>https://rmda.kulib.kyoto-u.ac.jp/item/rb00013649#?c=0&amp;m=0&amp;s=0&amp;cv=27</v>
      </c>
    </row>
    <row r="3370" spans="1:4" x14ac:dyDescent="0.15">
      <c r="A3370" s="66" t="s">
        <v>197</v>
      </c>
      <c r="B3370" s="6" t="s">
        <v>2543</v>
      </c>
      <c r="C3370" s="6">
        <v>29</v>
      </c>
      <c r="D3370" s="6" t="str">
        <f>HYPERLINK("https://rmda.kulib.kyoto-u.ac.jp/item/rb00013649#?c=0&amp;m=0&amp;s=0&amp;cv=28")</f>
        <v>https://rmda.kulib.kyoto-u.ac.jp/item/rb00013649#?c=0&amp;m=0&amp;s=0&amp;cv=28</v>
      </c>
    </row>
    <row r="3371" spans="1:4" x14ac:dyDescent="0.15">
      <c r="A3371" s="66" t="s">
        <v>197</v>
      </c>
      <c r="B3371" s="6" t="s">
        <v>2544</v>
      </c>
      <c r="C3371" s="6">
        <v>29</v>
      </c>
      <c r="D3371" s="6" t="str">
        <f>HYPERLINK("https://rmda.kulib.kyoto-u.ac.jp/item/rb00013649#?c=0&amp;m=0&amp;s=0&amp;cv=28")</f>
        <v>https://rmda.kulib.kyoto-u.ac.jp/item/rb00013649#?c=0&amp;m=0&amp;s=0&amp;cv=28</v>
      </c>
    </row>
    <row r="3372" spans="1:4" x14ac:dyDescent="0.15">
      <c r="A3372" s="66" t="s">
        <v>197</v>
      </c>
      <c r="B3372" s="6" t="s">
        <v>2545</v>
      </c>
      <c r="C3372" s="6">
        <v>30</v>
      </c>
      <c r="D3372" s="6" t="str">
        <f>HYPERLINK("https://rmda.kulib.kyoto-u.ac.jp/item/rb00013649#?c=0&amp;m=0&amp;s=0&amp;cv=29")</f>
        <v>https://rmda.kulib.kyoto-u.ac.jp/item/rb00013649#?c=0&amp;m=0&amp;s=0&amp;cv=29</v>
      </c>
    </row>
    <row r="3373" spans="1:4" x14ac:dyDescent="0.15">
      <c r="A3373" s="66" t="s">
        <v>197</v>
      </c>
      <c r="B3373" s="6" t="s">
        <v>6046</v>
      </c>
      <c r="C3373" s="6">
        <v>33</v>
      </c>
      <c r="D3373" s="6" t="str">
        <f>HYPERLINK("https://rmda.kulib.kyoto-u.ac.jp/item/rb00013649#?c=0&amp;m=0&amp;s=0&amp;cv=32")</f>
        <v>https://rmda.kulib.kyoto-u.ac.jp/item/rb00013649#?c=0&amp;m=0&amp;s=0&amp;cv=32</v>
      </c>
    </row>
    <row r="3374" spans="1:4" x14ac:dyDescent="0.15">
      <c r="A3374" s="66" t="s">
        <v>197</v>
      </c>
      <c r="B3374" s="6" t="s">
        <v>2546</v>
      </c>
      <c r="C3374" s="6">
        <v>34</v>
      </c>
      <c r="D3374" s="6" t="str">
        <f>HYPERLINK("https://rmda.kulib.kyoto-u.ac.jp/item/rb00013649#?c=0&amp;m=0&amp;s=0&amp;cv=33")</f>
        <v>https://rmda.kulib.kyoto-u.ac.jp/item/rb00013649#?c=0&amp;m=0&amp;s=0&amp;cv=33</v>
      </c>
    </row>
    <row r="3375" spans="1:4" x14ac:dyDescent="0.15">
      <c r="A3375" s="66" t="s">
        <v>197</v>
      </c>
      <c r="B3375" s="6" t="s">
        <v>1408</v>
      </c>
      <c r="C3375" s="6">
        <v>34</v>
      </c>
      <c r="D3375" s="6" t="str">
        <f>HYPERLINK("https://rmda.kulib.kyoto-u.ac.jp/item/rb00013649#?c=0&amp;m=0&amp;s=0&amp;cv=33")</f>
        <v>https://rmda.kulib.kyoto-u.ac.jp/item/rb00013649#?c=0&amp;m=0&amp;s=0&amp;cv=33</v>
      </c>
    </row>
    <row r="3376" spans="1:4" x14ac:dyDescent="0.15">
      <c r="A3376" s="66" t="s">
        <v>197</v>
      </c>
      <c r="B3376" s="6" t="s">
        <v>1418</v>
      </c>
      <c r="C3376" s="6">
        <v>34</v>
      </c>
      <c r="D3376" s="6" t="str">
        <f>HYPERLINK("https://rmda.kulib.kyoto-u.ac.jp/item/rb00013649#?c=0&amp;m=0&amp;s=0&amp;cv=33")</f>
        <v>https://rmda.kulib.kyoto-u.ac.jp/item/rb00013649#?c=0&amp;m=0&amp;s=0&amp;cv=33</v>
      </c>
    </row>
    <row r="3377" spans="1:4" x14ac:dyDescent="0.15">
      <c r="A3377" s="66" t="s">
        <v>197</v>
      </c>
      <c r="B3377" s="6" t="s">
        <v>1419</v>
      </c>
      <c r="C3377" s="6">
        <v>35</v>
      </c>
      <c r="D3377" s="6" t="str">
        <f>HYPERLINK("https://rmda.kulib.kyoto-u.ac.jp/item/rb00013649#?c=0&amp;m=0&amp;s=0&amp;cv=34")</f>
        <v>https://rmda.kulib.kyoto-u.ac.jp/item/rb00013649#?c=0&amp;m=0&amp;s=0&amp;cv=34</v>
      </c>
    </row>
    <row r="3378" spans="1:4" x14ac:dyDescent="0.15">
      <c r="A3378" s="66" t="s">
        <v>197</v>
      </c>
      <c r="B3378" s="6" t="s">
        <v>1409</v>
      </c>
      <c r="C3378" s="6">
        <v>35</v>
      </c>
      <c r="D3378" s="6" t="str">
        <f>HYPERLINK("https://rmda.kulib.kyoto-u.ac.jp/item/rb00013649#?c=0&amp;m=0&amp;s=0&amp;cv=34")</f>
        <v>https://rmda.kulib.kyoto-u.ac.jp/item/rb00013649#?c=0&amp;m=0&amp;s=0&amp;cv=34</v>
      </c>
    </row>
    <row r="3379" spans="1:4" x14ac:dyDescent="0.15">
      <c r="A3379" s="66" t="s">
        <v>197</v>
      </c>
      <c r="B3379" s="6" t="s">
        <v>1410</v>
      </c>
      <c r="C3379" s="6">
        <v>35</v>
      </c>
      <c r="D3379" s="6" t="str">
        <f>HYPERLINK("https://rmda.kulib.kyoto-u.ac.jp/item/rb00013649#?c=0&amp;m=0&amp;s=0&amp;cv=34")</f>
        <v>https://rmda.kulib.kyoto-u.ac.jp/item/rb00013649#?c=0&amp;m=0&amp;s=0&amp;cv=34</v>
      </c>
    </row>
    <row r="3380" spans="1:4" x14ac:dyDescent="0.15">
      <c r="A3380" s="66" t="s">
        <v>197</v>
      </c>
      <c r="B3380" s="6" t="s">
        <v>2547</v>
      </c>
      <c r="C3380" s="6">
        <v>36</v>
      </c>
      <c r="D3380" s="6" t="str">
        <f>HYPERLINK("https://rmda.kulib.kyoto-u.ac.jp/item/rb00013649#?c=0&amp;m=0&amp;s=0&amp;cv=35")</f>
        <v>https://rmda.kulib.kyoto-u.ac.jp/item/rb00013649#?c=0&amp;m=0&amp;s=0&amp;cv=35</v>
      </c>
    </row>
    <row r="3381" spans="1:4" x14ac:dyDescent="0.15">
      <c r="A3381" s="66" t="s">
        <v>197</v>
      </c>
      <c r="B3381" s="6" t="s">
        <v>1411</v>
      </c>
      <c r="C3381" s="6">
        <v>36</v>
      </c>
      <c r="D3381" s="6" t="str">
        <f>HYPERLINK("https://rmda.kulib.kyoto-u.ac.jp/item/rb00013649#?c=0&amp;m=0&amp;s=0&amp;cv=35")</f>
        <v>https://rmda.kulib.kyoto-u.ac.jp/item/rb00013649#?c=0&amp;m=0&amp;s=0&amp;cv=35</v>
      </c>
    </row>
    <row r="3382" spans="1:4" x14ac:dyDescent="0.15">
      <c r="A3382" s="66" t="s">
        <v>197</v>
      </c>
      <c r="B3382" s="6" t="s">
        <v>1412</v>
      </c>
      <c r="C3382" s="6">
        <v>37</v>
      </c>
      <c r="D3382" s="6" t="str">
        <f>HYPERLINK("https://rmda.kulib.kyoto-u.ac.jp/item/rb00013649#?c=0&amp;m=0&amp;s=0&amp;cv=36")</f>
        <v>https://rmda.kulib.kyoto-u.ac.jp/item/rb00013649#?c=0&amp;m=0&amp;s=0&amp;cv=36</v>
      </c>
    </row>
    <row r="3383" spans="1:4" x14ac:dyDescent="0.15">
      <c r="A3383" s="66" t="s">
        <v>197</v>
      </c>
      <c r="B3383" s="6" t="s">
        <v>2548</v>
      </c>
      <c r="C3383" s="6">
        <v>37</v>
      </c>
      <c r="D3383" s="6" t="str">
        <f>HYPERLINK("https://rmda.kulib.kyoto-u.ac.jp/item/rb00013649#?c=0&amp;m=0&amp;s=0&amp;cv=36")</f>
        <v>https://rmda.kulib.kyoto-u.ac.jp/item/rb00013649#?c=0&amp;m=0&amp;s=0&amp;cv=36</v>
      </c>
    </row>
    <row r="3384" spans="1:4" x14ac:dyDescent="0.15">
      <c r="A3384" s="66" t="s">
        <v>197</v>
      </c>
      <c r="B3384" s="6" t="s">
        <v>1417</v>
      </c>
      <c r="C3384" s="6">
        <v>37</v>
      </c>
      <c r="D3384" s="6" t="str">
        <f>HYPERLINK("https://rmda.kulib.kyoto-u.ac.jp/item/rb00013649#?c=0&amp;m=0&amp;s=0&amp;cv=36")</f>
        <v>https://rmda.kulib.kyoto-u.ac.jp/item/rb00013649#?c=0&amp;m=0&amp;s=0&amp;cv=36</v>
      </c>
    </row>
    <row r="3385" spans="1:4" x14ac:dyDescent="0.15">
      <c r="A3385" s="66" t="s">
        <v>197</v>
      </c>
      <c r="B3385" s="6" t="s">
        <v>1413</v>
      </c>
      <c r="C3385" s="6">
        <v>38</v>
      </c>
      <c r="D3385" s="6" t="str">
        <f>HYPERLINK("https://rmda.kulib.kyoto-u.ac.jp/item/rb00013649#?c=0&amp;m=0&amp;s=0&amp;cv=37")</f>
        <v>https://rmda.kulib.kyoto-u.ac.jp/item/rb00013649#?c=0&amp;m=0&amp;s=0&amp;cv=37</v>
      </c>
    </row>
    <row r="3386" spans="1:4" x14ac:dyDescent="0.15">
      <c r="A3386" s="66" t="s">
        <v>197</v>
      </c>
      <c r="B3386" s="6" t="s">
        <v>1415</v>
      </c>
      <c r="C3386" s="6">
        <v>38</v>
      </c>
      <c r="D3386" s="6" t="str">
        <f>HYPERLINK("https://rmda.kulib.kyoto-u.ac.jp/item/rb00013649#?c=0&amp;m=0&amp;s=0&amp;cv=37")</f>
        <v>https://rmda.kulib.kyoto-u.ac.jp/item/rb00013649#?c=0&amp;m=0&amp;s=0&amp;cv=37</v>
      </c>
    </row>
    <row r="3387" spans="1:4" x14ac:dyDescent="0.15">
      <c r="A3387" s="66" t="s">
        <v>197</v>
      </c>
      <c r="B3387" s="6" t="s">
        <v>1416</v>
      </c>
      <c r="C3387" s="6">
        <v>39</v>
      </c>
      <c r="D3387" s="6" t="str">
        <f>HYPERLINK("https://rmda.kulib.kyoto-u.ac.jp/item/rb00013649#?c=0&amp;m=0&amp;s=0&amp;cv=38")</f>
        <v>https://rmda.kulib.kyoto-u.ac.jp/item/rb00013649#?c=0&amp;m=0&amp;s=0&amp;cv=38</v>
      </c>
    </row>
    <row r="3388" spans="1:4" x14ac:dyDescent="0.15">
      <c r="A3388" s="66" t="s">
        <v>197</v>
      </c>
      <c r="B3388" s="6" t="s">
        <v>1414</v>
      </c>
      <c r="C3388" s="6">
        <v>39</v>
      </c>
      <c r="D3388" s="6" t="str">
        <f>HYPERLINK("https://rmda.kulib.kyoto-u.ac.jp/item/rb00013649#?c=0&amp;m=0&amp;s=0&amp;cv=38")</f>
        <v>https://rmda.kulib.kyoto-u.ac.jp/item/rb00013649#?c=0&amp;m=0&amp;s=0&amp;cv=38</v>
      </c>
    </row>
    <row r="3389" spans="1:4" x14ac:dyDescent="0.15">
      <c r="A3389" s="66" t="s">
        <v>197</v>
      </c>
      <c r="B3389" s="6" t="s">
        <v>1425</v>
      </c>
      <c r="C3389" s="6">
        <v>39</v>
      </c>
      <c r="D3389" s="6" t="str">
        <f>HYPERLINK("https://rmda.kulib.kyoto-u.ac.jp/item/rb00013649#?c=0&amp;m=0&amp;s=0&amp;cv=38")</f>
        <v>https://rmda.kulib.kyoto-u.ac.jp/item/rb00013649#?c=0&amp;m=0&amp;s=0&amp;cv=38</v>
      </c>
    </row>
    <row r="3390" spans="1:4" x14ac:dyDescent="0.15">
      <c r="A3390" s="66" t="s">
        <v>197</v>
      </c>
      <c r="B3390" s="6" t="s">
        <v>1427</v>
      </c>
      <c r="C3390" s="6">
        <v>40</v>
      </c>
      <c r="D3390" s="6" t="str">
        <f>HYPERLINK("https://rmda.kulib.kyoto-u.ac.jp/item/rb00013649#?c=0&amp;m=0&amp;s=0&amp;cv=39")</f>
        <v>https://rmda.kulib.kyoto-u.ac.jp/item/rb00013649#?c=0&amp;m=0&amp;s=0&amp;cv=39</v>
      </c>
    </row>
    <row r="3391" spans="1:4" x14ac:dyDescent="0.15">
      <c r="A3391" s="66" t="s">
        <v>197</v>
      </c>
      <c r="B3391" s="6" t="s">
        <v>6047</v>
      </c>
      <c r="C3391" s="6">
        <v>41</v>
      </c>
      <c r="D3391" s="6" t="str">
        <f>HYPERLINK("https://rmda.kulib.kyoto-u.ac.jp/item/rb00013649#?c=0&amp;m=0&amp;s=0&amp;cv=40")</f>
        <v>https://rmda.kulib.kyoto-u.ac.jp/item/rb00013649#?c=0&amp;m=0&amp;s=0&amp;cv=40</v>
      </c>
    </row>
    <row r="3392" spans="1:4" x14ac:dyDescent="0.15">
      <c r="A3392" s="66" t="s">
        <v>197</v>
      </c>
      <c r="B3392" s="6" t="s">
        <v>2549</v>
      </c>
      <c r="C3392" s="6">
        <v>41</v>
      </c>
      <c r="D3392" s="6" t="str">
        <f>HYPERLINK("https://rmda.kulib.kyoto-u.ac.jp/item/rb00013649#?c=0&amp;m=0&amp;s=0&amp;cv=40")</f>
        <v>https://rmda.kulib.kyoto-u.ac.jp/item/rb00013649#?c=0&amp;m=0&amp;s=0&amp;cv=40</v>
      </c>
    </row>
    <row r="3393" spans="1:4" x14ac:dyDescent="0.15">
      <c r="A3393" s="66" t="s">
        <v>197</v>
      </c>
      <c r="B3393" s="6" t="s">
        <v>2550</v>
      </c>
      <c r="C3393" s="6">
        <v>41</v>
      </c>
      <c r="D3393" s="6" t="str">
        <f>HYPERLINK("https://rmda.kulib.kyoto-u.ac.jp/item/rb00013649#?c=0&amp;m=0&amp;s=0&amp;cv=40")</f>
        <v>https://rmda.kulib.kyoto-u.ac.jp/item/rb00013649#?c=0&amp;m=0&amp;s=0&amp;cv=40</v>
      </c>
    </row>
    <row r="3394" spans="1:4" x14ac:dyDescent="0.15">
      <c r="A3394" s="66" t="s">
        <v>197</v>
      </c>
      <c r="B3394" s="6" t="s">
        <v>1495</v>
      </c>
      <c r="C3394" s="6">
        <v>42</v>
      </c>
      <c r="D3394" s="6" t="str">
        <f>HYPERLINK("https://rmda.kulib.kyoto-u.ac.jp/item/rb00013649#?c=0&amp;m=0&amp;s=0&amp;cv=41")</f>
        <v>https://rmda.kulib.kyoto-u.ac.jp/item/rb00013649#?c=0&amp;m=0&amp;s=0&amp;cv=41</v>
      </c>
    </row>
    <row r="3395" spans="1:4" x14ac:dyDescent="0.15">
      <c r="A3395" s="66" t="s">
        <v>197</v>
      </c>
      <c r="B3395" s="6" t="s">
        <v>1432</v>
      </c>
      <c r="C3395" s="6">
        <v>42</v>
      </c>
      <c r="D3395" s="6" t="str">
        <f>HYPERLINK("https://rmda.kulib.kyoto-u.ac.jp/item/rb00013649#?c=0&amp;m=0&amp;s=0&amp;cv=41")</f>
        <v>https://rmda.kulib.kyoto-u.ac.jp/item/rb00013649#?c=0&amp;m=0&amp;s=0&amp;cv=41</v>
      </c>
    </row>
    <row r="3396" spans="1:4" x14ac:dyDescent="0.15">
      <c r="A3396" s="66" t="s">
        <v>197</v>
      </c>
      <c r="B3396" s="6" t="s">
        <v>2551</v>
      </c>
      <c r="C3396" s="6">
        <v>43</v>
      </c>
      <c r="D3396" s="6" t="str">
        <f>HYPERLINK("https://rmda.kulib.kyoto-u.ac.jp/item/rb00013649#?c=0&amp;m=0&amp;s=0&amp;cv=42")</f>
        <v>https://rmda.kulib.kyoto-u.ac.jp/item/rb00013649#?c=0&amp;m=0&amp;s=0&amp;cv=42</v>
      </c>
    </row>
    <row r="3397" spans="1:4" x14ac:dyDescent="0.15">
      <c r="A3397" s="66" t="s">
        <v>197</v>
      </c>
      <c r="B3397" s="6" t="s">
        <v>1442</v>
      </c>
      <c r="C3397" s="6">
        <v>43</v>
      </c>
      <c r="D3397" s="6" t="str">
        <f>HYPERLINK("https://rmda.kulib.kyoto-u.ac.jp/item/rb00013649#?c=0&amp;m=0&amp;s=0&amp;cv=42")</f>
        <v>https://rmda.kulib.kyoto-u.ac.jp/item/rb00013649#?c=0&amp;m=0&amp;s=0&amp;cv=42</v>
      </c>
    </row>
    <row r="3398" spans="1:4" x14ac:dyDescent="0.15">
      <c r="A3398" s="66" t="s">
        <v>197</v>
      </c>
      <c r="B3398" s="6" t="s">
        <v>2552</v>
      </c>
      <c r="C3398" s="6">
        <v>43</v>
      </c>
      <c r="D3398" s="6" t="str">
        <f>HYPERLINK("https://rmda.kulib.kyoto-u.ac.jp/item/rb00013649#?c=0&amp;m=0&amp;s=0&amp;cv=42")</f>
        <v>https://rmda.kulib.kyoto-u.ac.jp/item/rb00013649#?c=0&amp;m=0&amp;s=0&amp;cv=42</v>
      </c>
    </row>
    <row r="3399" spans="1:4" x14ac:dyDescent="0.15">
      <c r="A3399" s="66" t="s">
        <v>197</v>
      </c>
      <c r="B3399" s="6" t="s">
        <v>1435</v>
      </c>
      <c r="C3399" s="6">
        <v>44</v>
      </c>
      <c r="D3399" s="6" t="str">
        <f>HYPERLINK("https://rmda.kulib.kyoto-u.ac.jp/item/rb00013649#?c=0&amp;m=0&amp;s=0&amp;cv=43")</f>
        <v>https://rmda.kulib.kyoto-u.ac.jp/item/rb00013649#?c=0&amp;m=0&amp;s=0&amp;cv=43</v>
      </c>
    </row>
    <row r="3400" spans="1:4" x14ac:dyDescent="0.15">
      <c r="A3400" s="66" t="s">
        <v>197</v>
      </c>
      <c r="B3400" s="6" t="s">
        <v>1421</v>
      </c>
      <c r="C3400" s="6">
        <v>44</v>
      </c>
      <c r="D3400" s="6" t="str">
        <f>HYPERLINK("https://rmda.kulib.kyoto-u.ac.jp/item/rb00013649#?c=0&amp;m=0&amp;s=0&amp;cv=43")</f>
        <v>https://rmda.kulib.kyoto-u.ac.jp/item/rb00013649#?c=0&amp;m=0&amp;s=0&amp;cv=43</v>
      </c>
    </row>
    <row r="3401" spans="1:4" x14ac:dyDescent="0.15">
      <c r="A3401" s="66" t="s">
        <v>197</v>
      </c>
      <c r="B3401" s="6" t="s">
        <v>2553</v>
      </c>
      <c r="C3401" s="6">
        <v>44</v>
      </c>
      <c r="D3401" s="6" t="str">
        <f>HYPERLINK("https://rmda.kulib.kyoto-u.ac.jp/item/rb00013649#?c=0&amp;m=0&amp;s=0&amp;cv=43")</f>
        <v>https://rmda.kulib.kyoto-u.ac.jp/item/rb00013649#?c=0&amp;m=0&amp;s=0&amp;cv=43</v>
      </c>
    </row>
    <row r="3402" spans="1:4" x14ac:dyDescent="0.15">
      <c r="A3402" s="66" t="s">
        <v>197</v>
      </c>
      <c r="B3402" s="6" t="s">
        <v>2554</v>
      </c>
      <c r="C3402" s="6">
        <v>45</v>
      </c>
      <c r="D3402" s="6" t="str">
        <f>HYPERLINK("https://rmda.kulib.kyoto-u.ac.jp/item/rb00013649#?c=0&amp;m=0&amp;s=0&amp;cv=44")</f>
        <v>https://rmda.kulib.kyoto-u.ac.jp/item/rb00013649#?c=0&amp;m=0&amp;s=0&amp;cv=44</v>
      </c>
    </row>
    <row r="3403" spans="1:4" x14ac:dyDescent="0.15">
      <c r="A3403" s="66" t="s">
        <v>197</v>
      </c>
      <c r="B3403" s="6" t="s">
        <v>1423</v>
      </c>
      <c r="C3403" s="6">
        <v>45</v>
      </c>
      <c r="D3403" s="6" t="str">
        <f>HYPERLINK("https://rmda.kulib.kyoto-u.ac.jp/item/rb00013649#?c=0&amp;m=0&amp;s=0&amp;cv=44")</f>
        <v>https://rmda.kulib.kyoto-u.ac.jp/item/rb00013649#?c=0&amp;m=0&amp;s=0&amp;cv=44</v>
      </c>
    </row>
    <row r="3404" spans="1:4" x14ac:dyDescent="0.15">
      <c r="A3404" s="66" t="s">
        <v>197</v>
      </c>
      <c r="B3404" s="6" t="s">
        <v>2555</v>
      </c>
      <c r="C3404" s="6">
        <v>46</v>
      </c>
      <c r="D3404" s="6" t="str">
        <f>HYPERLINK("https://rmda.kulib.kyoto-u.ac.jp/item/rb00013649#?c=0&amp;m=0&amp;s=0&amp;cv=45")</f>
        <v>https://rmda.kulib.kyoto-u.ac.jp/item/rb00013649#?c=0&amp;m=0&amp;s=0&amp;cv=45</v>
      </c>
    </row>
    <row r="3405" spans="1:4" x14ac:dyDescent="0.15">
      <c r="A3405" s="66" t="s">
        <v>197</v>
      </c>
      <c r="B3405" s="6" t="s">
        <v>2556</v>
      </c>
      <c r="C3405" s="6">
        <v>47</v>
      </c>
      <c r="D3405" s="6" t="str">
        <f>HYPERLINK("https://rmda.kulib.kyoto-u.ac.jp/item/rb00013649#?c=0&amp;m=0&amp;s=0&amp;cv=46")</f>
        <v>https://rmda.kulib.kyoto-u.ac.jp/item/rb00013649#?c=0&amp;m=0&amp;s=0&amp;cv=46</v>
      </c>
    </row>
    <row r="3406" spans="1:4" x14ac:dyDescent="0.15">
      <c r="A3406" s="66" t="s">
        <v>197</v>
      </c>
      <c r="B3406" s="6" t="s">
        <v>1433</v>
      </c>
      <c r="C3406" s="6">
        <v>47</v>
      </c>
      <c r="D3406" s="6" t="str">
        <f>HYPERLINK("https://rmda.kulib.kyoto-u.ac.jp/item/rb00013649#?c=0&amp;m=0&amp;s=0&amp;cv=46")</f>
        <v>https://rmda.kulib.kyoto-u.ac.jp/item/rb00013649#?c=0&amp;m=0&amp;s=0&amp;cv=46</v>
      </c>
    </row>
    <row r="3407" spans="1:4" x14ac:dyDescent="0.15">
      <c r="A3407" s="66" t="s">
        <v>197</v>
      </c>
      <c r="B3407" s="6" t="s">
        <v>2557</v>
      </c>
      <c r="C3407" s="6">
        <v>48</v>
      </c>
      <c r="D3407" s="6" t="str">
        <f>HYPERLINK("https://rmda.kulib.kyoto-u.ac.jp/item/rb00013649#?c=0&amp;m=0&amp;s=0&amp;cv=47")</f>
        <v>https://rmda.kulib.kyoto-u.ac.jp/item/rb00013649#?c=0&amp;m=0&amp;s=0&amp;cv=47</v>
      </c>
    </row>
    <row r="3408" spans="1:4" x14ac:dyDescent="0.15">
      <c r="A3408" s="66" t="s">
        <v>197</v>
      </c>
      <c r="B3408" s="6" t="s">
        <v>1430</v>
      </c>
      <c r="C3408" s="6">
        <v>48</v>
      </c>
      <c r="D3408" s="6" t="str">
        <f>HYPERLINK("https://rmda.kulib.kyoto-u.ac.jp/item/rb00013649#?c=0&amp;m=0&amp;s=0&amp;cv=47")</f>
        <v>https://rmda.kulib.kyoto-u.ac.jp/item/rb00013649#?c=0&amp;m=0&amp;s=0&amp;cv=47</v>
      </c>
    </row>
    <row r="3409" spans="1:4" x14ac:dyDescent="0.15">
      <c r="A3409" s="66" t="s">
        <v>197</v>
      </c>
      <c r="B3409" s="6" t="s">
        <v>2558</v>
      </c>
      <c r="C3409" s="6">
        <v>48</v>
      </c>
      <c r="D3409" s="6" t="str">
        <f>HYPERLINK("https://rmda.kulib.kyoto-u.ac.jp/item/rb00013649#?c=0&amp;m=0&amp;s=0&amp;cv=47")</f>
        <v>https://rmda.kulib.kyoto-u.ac.jp/item/rb00013649#?c=0&amp;m=0&amp;s=0&amp;cv=47</v>
      </c>
    </row>
    <row r="3410" spans="1:4" x14ac:dyDescent="0.15">
      <c r="A3410" s="66" t="s">
        <v>197</v>
      </c>
      <c r="B3410" s="6" t="s">
        <v>2559</v>
      </c>
      <c r="C3410" s="6">
        <v>49</v>
      </c>
      <c r="D3410" s="6" t="str">
        <f>HYPERLINK("https://rmda.kulib.kyoto-u.ac.jp/item/rb00013649#?c=0&amp;m=0&amp;s=0&amp;cv=48")</f>
        <v>https://rmda.kulib.kyoto-u.ac.jp/item/rb00013649#?c=0&amp;m=0&amp;s=0&amp;cv=48</v>
      </c>
    </row>
    <row r="3411" spans="1:4" x14ac:dyDescent="0.15">
      <c r="A3411" s="66" t="s">
        <v>197</v>
      </c>
      <c r="B3411" s="6" t="s">
        <v>1448</v>
      </c>
      <c r="C3411" s="6">
        <v>50</v>
      </c>
      <c r="D3411" s="6" t="str">
        <f>HYPERLINK("https://rmda.kulib.kyoto-u.ac.jp/item/rb00013649#?c=0&amp;m=0&amp;s=0&amp;cv=49")</f>
        <v>https://rmda.kulib.kyoto-u.ac.jp/item/rb00013649#?c=0&amp;m=0&amp;s=0&amp;cv=49</v>
      </c>
    </row>
    <row r="3412" spans="1:4" x14ac:dyDescent="0.15">
      <c r="A3412" s="66" t="s">
        <v>197</v>
      </c>
      <c r="B3412" s="6" t="s">
        <v>1438</v>
      </c>
      <c r="C3412" s="6">
        <v>50</v>
      </c>
      <c r="D3412" s="6" t="str">
        <f>HYPERLINK("https://rmda.kulib.kyoto-u.ac.jp/item/rb00013649#?c=0&amp;m=0&amp;s=0&amp;cv=49")</f>
        <v>https://rmda.kulib.kyoto-u.ac.jp/item/rb00013649#?c=0&amp;m=0&amp;s=0&amp;cv=49</v>
      </c>
    </row>
    <row r="3413" spans="1:4" x14ac:dyDescent="0.15">
      <c r="A3413" s="66" t="s">
        <v>197</v>
      </c>
      <c r="B3413" s="6" t="s">
        <v>2560</v>
      </c>
      <c r="C3413" s="6">
        <v>51</v>
      </c>
      <c r="D3413" s="6" t="str">
        <f>HYPERLINK("https://rmda.kulib.kyoto-u.ac.jp/item/rb00013649#?c=0&amp;m=0&amp;s=0&amp;cv=50")</f>
        <v>https://rmda.kulib.kyoto-u.ac.jp/item/rb00013649#?c=0&amp;m=0&amp;s=0&amp;cv=50</v>
      </c>
    </row>
    <row r="3414" spans="1:4" x14ac:dyDescent="0.15">
      <c r="A3414" s="66" t="s">
        <v>197</v>
      </c>
      <c r="B3414" s="6" t="s">
        <v>1441</v>
      </c>
      <c r="C3414" s="6">
        <v>51</v>
      </c>
      <c r="D3414" s="6" t="str">
        <f>HYPERLINK("https://rmda.kulib.kyoto-u.ac.jp/item/rb00013649#?c=0&amp;m=0&amp;s=0&amp;cv=50")</f>
        <v>https://rmda.kulib.kyoto-u.ac.jp/item/rb00013649#?c=0&amp;m=0&amp;s=0&amp;cv=50</v>
      </c>
    </row>
    <row r="3415" spans="1:4" x14ac:dyDescent="0.15">
      <c r="A3415" s="66" t="s">
        <v>197</v>
      </c>
      <c r="B3415" s="6" t="s">
        <v>1440</v>
      </c>
      <c r="C3415" s="6">
        <v>52</v>
      </c>
      <c r="D3415" s="6" t="str">
        <f>HYPERLINK("https://rmda.kulib.kyoto-u.ac.jp/item/rb00013649#?c=0&amp;m=0&amp;s=0&amp;cv=51")</f>
        <v>https://rmda.kulib.kyoto-u.ac.jp/item/rb00013649#?c=0&amp;m=0&amp;s=0&amp;cv=51</v>
      </c>
    </row>
    <row r="3416" spans="1:4" x14ac:dyDescent="0.15">
      <c r="A3416" s="66" t="s">
        <v>197</v>
      </c>
      <c r="B3416" s="6" t="s">
        <v>2561</v>
      </c>
      <c r="C3416" s="6">
        <v>53</v>
      </c>
      <c r="D3416" s="6" t="str">
        <f>HYPERLINK("https://rmda.kulib.kyoto-u.ac.jp/item/rb00013649#?c=0&amp;m=0&amp;s=0&amp;cv=52")</f>
        <v>https://rmda.kulib.kyoto-u.ac.jp/item/rb00013649#?c=0&amp;m=0&amp;s=0&amp;cv=52</v>
      </c>
    </row>
    <row r="3417" spans="1:4" x14ac:dyDescent="0.15">
      <c r="A3417" s="66" t="s">
        <v>197</v>
      </c>
      <c r="B3417" s="6" t="s">
        <v>2562</v>
      </c>
      <c r="C3417" s="6">
        <v>53</v>
      </c>
      <c r="D3417" s="6" t="str">
        <f>HYPERLINK("https://rmda.kulib.kyoto-u.ac.jp/item/rb00013649#?c=0&amp;m=0&amp;s=0&amp;cv=52")</f>
        <v>https://rmda.kulib.kyoto-u.ac.jp/item/rb00013649#?c=0&amp;m=0&amp;s=0&amp;cv=52</v>
      </c>
    </row>
    <row r="3418" spans="1:4" x14ac:dyDescent="0.15">
      <c r="A3418" s="66" t="s">
        <v>197</v>
      </c>
      <c r="B3418" s="6" t="s">
        <v>2563</v>
      </c>
      <c r="C3418" s="6">
        <v>53</v>
      </c>
      <c r="D3418" s="6" t="str">
        <f>HYPERLINK("https://rmda.kulib.kyoto-u.ac.jp/item/rb00013649#?c=0&amp;m=0&amp;s=0&amp;cv=52")</f>
        <v>https://rmda.kulib.kyoto-u.ac.jp/item/rb00013649#?c=0&amp;m=0&amp;s=0&amp;cv=52</v>
      </c>
    </row>
    <row r="3419" spans="1:4" x14ac:dyDescent="0.15">
      <c r="A3419" s="66" t="s">
        <v>197</v>
      </c>
      <c r="B3419" s="6" t="s">
        <v>2564</v>
      </c>
      <c r="C3419" s="6">
        <v>54</v>
      </c>
      <c r="D3419" s="6" t="str">
        <f>HYPERLINK("https://rmda.kulib.kyoto-u.ac.jp/item/rb00013649#?c=0&amp;m=0&amp;s=0&amp;cv=53")</f>
        <v>https://rmda.kulib.kyoto-u.ac.jp/item/rb00013649#?c=0&amp;m=0&amp;s=0&amp;cv=53</v>
      </c>
    </row>
    <row r="3420" spans="1:4" x14ac:dyDescent="0.15">
      <c r="A3420" s="66" t="s">
        <v>197</v>
      </c>
      <c r="B3420" s="6" t="s">
        <v>4505</v>
      </c>
      <c r="C3420" s="6">
        <v>54</v>
      </c>
      <c r="D3420" s="6" t="str">
        <f>HYPERLINK("https://rmda.kulib.kyoto-u.ac.jp/item/rb00013649#?c=0&amp;m=0&amp;s=0&amp;cv=53")</f>
        <v>https://rmda.kulib.kyoto-u.ac.jp/item/rb00013649#?c=0&amp;m=0&amp;s=0&amp;cv=53</v>
      </c>
    </row>
    <row r="3421" spans="1:4" x14ac:dyDescent="0.15">
      <c r="A3421" s="66" t="s">
        <v>197</v>
      </c>
      <c r="B3421" s="6" t="s">
        <v>2565</v>
      </c>
      <c r="C3421" s="6">
        <v>55</v>
      </c>
      <c r="D3421" s="6" t="str">
        <f>HYPERLINK("https://rmda.kulib.kyoto-u.ac.jp/item/rb00013649#?c=0&amp;m=0&amp;s=0&amp;cv=54")</f>
        <v>https://rmda.kulib.kyoto-u.ac.jp/item/rb00013649#?c=0&amp;m=0&amp;s=0&amp;cv=54</v>
      </c>
    </row>
    <row r="3422" spans="1:4" x14ac:dyDescent="0.15">
      <c r="A3422" s="66" t="s">
        <v>197</v>
      </c>
      <c r="B3422" s="6" t="s">
        <v>1420</v>
      </c>
      <c r="C3422" s="6">
        <v>55</v>
      </c>
      <c r="D3422" s="6" t="str">
        <f>HYPERLINK("https://rmda.kulib.kyoto-u.ac.jp/item/rb00013649#?c=0&amp;m=0&amp;s=0&amp;cv=54")</f>
        <v>https://rmda.kulib.kyoto-u.ac.jp/item/rb00013649#?c=0&amp;m=0&amp;s=0&amp;cv=54</v>
      </c>
    </row>
    <row r="3423" spans="1:4" x14ac:dyDescent="0.15">
      <c r="A3423" s="66" t="s">
        <v>197</v>
      </c>
      <c r="B3423" s="6" t="s">
        <v>2566</v>
      </c>
      <c r="C3423" s="6">
        <v>55</v>
      </c>
      <c r="D3423" s="6" t="str">
        <f>HYPERLINK("https://rmda.kulib.kyoto-u.ac.jp/item/rb00013649#?c=0&amp;m=0&amp;s=0&amp;cv=54")</f>
        <v>https://rmda.kulib.kyoto-u.ac.jp/item/rb00013649#?c=0&amp;m=0&amp;s=0&amp;cv=54</v>
      </c>
    </row>
    <row r="3424" spans="1:4" x14ac:dyDescent="0.15">
      <c r="A3424" s="66" t="s">
        <v>197</v>
      </c>
      <c r="B3424" s="6" t="s">
        <v>2567</v>
      </c>
      <c r="C3424" s="6">
        <v>56</v>
      </c>
      <c r="D3424" s="6" t="str">
        <f>HYPERLINK("https://rmda.kulib.kyoto-u.ac.jp/item/rb00013649#?c=0&amp;m=0&amp;s=0&amp;cv=55")</f>
        <v>https://rmda.kulib.kyoto-u.ac.jp/item/rb00013649#?c=0&amp;m=0&amp;s=0&amp;cv=55</v>
      </c>
    </row>
    <row r="3425" spans="1:4" x14ac:dyDescent="0.15">
      <c r="A3425" s="66" t="s">
        <v>197</v>
      </c>
      <c r="B3425" s="6" t="s">
        <v>2568</v>
      </c>
      <c r="C3425" s="6">
        <v>56</v>
      </c>
      <c r="D3425" s="6" t="str">
        <f>HYPERLINK("https://rmda.kulib.kyoto-u.ac.jp/item/rb00013649#?c=0&amp;m=0&amp;s=0&amp;cv=55")</f>
        <v>https://rmda.kulib.kyoto-u.ac.jp/item/rb00013649#?c=0&amp;m=0&amp;s=0&amp;cv=55</v>
      </c>
    </row>
    <row r="3426" spans="1:4" x14ac:dyDescent="0.15">
      <c r="A3426" s="66" t="s">
        <v>197</v>
      </c>
      <c r="B3426" s="6" t="s">
        <v>1449</v>
      </c>
      <c r="C3426" s="6">
        <v>57</v>
      </c>
      <c r="D3426" s="6" t="str">
        <f>HYPERLINK("https://rmda.kulib.kyoto-u.ac.jp/item/rb00013649#?c=0&amp;m=0&amp;s=0&amp;cv=56")</f>
        <v>https://rmda.kulib.kyoto-u.ac.jp/item/rb00013649#?c=0&amp;m=0&amp;s=0&amp;cv=56</v>
      </c>
    </row>
    <row r="3427" spans="1:4" x14ac:dyDescent="0.15">
      <c r="A3427" s="66" t="s">
        <v>197</v>
      </c>
      <c r="B3427" s="6" t="s">
        <v>2569</v>
      </c>
      <c r="C3427" s="6">
        <v>57</v>
      </c>
      <c r="D3427" s="6" t="str">
        <f>HYPERLINK("https://rmda.kulib.kyoto-u.ac.jp/item/rb00013649#?c=0&amp;m=0&amp;s=0&amp;cv=56")</f>
        <v>https://rmda.kulib.kyoto-u.ac.jp/item/rb00013649#?c=0&amp;m=0&amp;s=0&amp;cv=56</v>
      </c>
    </row>
    <row r="3428" spans="1:4" x14ac:dyDescent="0.15">
      <c r="A3428" s="66" t="s">
        <v>197</v>
      </c>
      <c r="B3428" s="6" t="s">
        <v>1450</v>
      </c>
      <c r="C3428" s="6">
        <v>58</v>
      </c>
      <c r="D3428" s="6" t="str">
        <f>HYPERLINK("https://rmda.kulib.kyoto-u.ac.jp/item/rb00013649#?c=0&amp;m=0&amp;s=0&amp;cv=57")</f>
        <v>https://rmda.kulib.kyoto-u.ac.jp/item/rb00013649#?c=0&amp;m=0&amp;s=0&amp;cv=57</v>
      </c>
    </row>
    <row r="3429" spans="1:4" x14ac:dyDescent="0.15">
      <c r="A3429" s="66" t="s">
        <v>197</v>
      </c>
      <c r="B3429" s="6" t="s">
        <v>6048</v>
      </c>
      <c r="C3429" s="6">
        <v>59</v>
      </c>
      <c r="D3429" s="6" t="str">
        <f>HYPERLINK("https://rmda.kulib.kyoto-u.ac.jp/item/rb00013649#?c=0&amp;m=0&amp;s=0&amp;cv=58")</f>
        <v>https://rmda.kulib.kyoto-u.ac.jp/item/rb00013649#?c=0&amp;m=0&amp;s=0&amp;cv=58</v>
      </c>
    </row>
    <row r="3430" spans="1:4" x14ac:dyDescent="0.15">
      <c r="A3430" s="66" t="s">
        <v>197</v>
      </c>
      <c r="B3430" s="6" t="s">
        <v>2570</v>
      </c>
      <c r="C3430" s="6">
        <v>59</v>
      </c>
      <c r="D3430" s="6" t="str">
        <f>HYPERLINK("https://rmda.kulib.kyoto-u.ac.jp/item/rb00013649#?c=0&amp;m=0&amp;s=0&amp;cv=58")</f>
        <v>https://rmda.kulib.kyoto-u.ac.jp/item/rb00013649#?c=0&amp;m=0&amp;s=0&amp;cv=58</v>
      </c>
    </row>
    <row r="3431" spans="1:4" x14ac:dyDescent="0.15">
      <c r="A3431" s="66" t="s">
        <v>197</v>
      </c>
      <c r="B3431" s="6" t="s">
        <v>2571</v>
      </c>
      <c r="C3431" s="6">
        <v>60</v>
      </c>
      <c r="D3431" s="6" t="str">
        <f>HYPERLINK("https://rmda.kulib.kyoto-u.ac.jp/item/rb00013649#?c=0&amp;m=0&amp;s=0&amp;cv=59")</f>
        <v>https://rmda.kulib.kyoto-u.ac.jp/item/rb00013649#?c=0&amp;m=0&amp;s=0&amp;cv=59</v>
      </c>
    </row>
    <row r="3432" spans="1:4" x14ac:dyDescent="0.15">
      <c r="A3432" s="66" t="s">
        <v>197</v>
      </c>
      <c r="B3432" s="6" t="s">
        <v>2572</v>
      </c>
      <c r="C3432" s="6">
        <v>60</v>
      </c>
      <c r="D3432" s="6" t="str">
        <f>HYPERLINK("https://rmda.kulib.kyoto-u.ac.jp/item/rb00013649#?c=0&amp;m=0&amp;s=0&amp;cv=59")</f>
        <v>https://rmda.kulib.kyoto-u.ac.jp/item/rb00013649#?c=0&amp;m=0&amp;s=0&amp;cv=59</v>
      </c>
    </row>
    <row r="3433" spans="1:4" x14ac:dyDescent="0.15">
      <c r="A3433" s="66" t="s">
        <v>197</v>
      </c>
      <c r="B3433" s="6" t="s">
        <v>1446</v>
      </c>
      <c r="C3433" s="6">
        <v>60</v>
      </c>
      <c r="D3433" s="6" t="str">
        <f>HYPERLINK("https://rmda.kulib.kyoto-u.ac.jp/item/rb00013649#?c=0&amp;m=0&amp;s=0&amp;cv=59")</f>
        <v>https://rmda.kulib.kyoto-u.ac.jp/item/rb00013649#?c=0&amp;m=0&amp;s=0&amp;cv=59</v>
      </c>
    </row>
    <row r="3434" spans="1:4" x14ac:dyDescent="0.15">
      <c r="A3434" s="66" t="s">
        <v>197</v>
      </c>
      <c r="B3434" s="6" t="s">
        <v>2573</v>
      </c>
      <c r="C3434" s="6">
        <v>61</v>
      </c>
      <c r="D3434" s="6" t="str">
        <f>HYPERLINK("https://rmda.kulib.kyoto-u.ac.jp/item/rb00013649#?c=0&amp;m=0&amp;s=0&amp;cv=60")</f>
        <v>https://rmda.kulib.kyoto-u.ac.jp/item/rb00013649#?c=0&amp;m=0&amp;s=0&amp;cv=60</v>
      </c>
    </row>
    <row r="3435" spans="1:4" x14ac:dyDescent="0.15">
      <c r="A3435" s="66" t="s">
        <v>197</v>
      </c>
      <c r="B3435" s="6" t="s">
        <v>1444</v>
      </c>
      <c r="C3435" s="6">
        <v>61</v>
      </c>
      <c r="D3435" s="6" t="str">
        <f>HYPERLINK("https://rmda.kulib.kyoto-u.ac.jp/item/rb00013649#?c=0&amp;m=0&amp;s=0&amp;cv=60")</f>
        <v>https://rmda.kulib.kyoto-u.ac.jp/item/rb00013649#?c=0&amp;m=0&amp;s=0&amp;cv=60</v>
      </c>
    </row>
    <row r="3436" spans="1:4" x14ac:dyDescent="0.15">
      <c r="A3436" s="66" t="s">
        <v>197</v>
      </c>
      <c r="B3436" s="6" t="s">
        <v>2574</v>
      </c>
      <c r="C3436" s="6">
        <v>61</v>
      </c>
      <c r="D3436" s="6" t="str">
        <f>HYPERLINK("https://rmda.kulib.kyoto-u.ac.jp/item/rb00013649#?c=0&amp;m=0&amp;s=0&amp;cv=60")</f>
        <v>https://rmda.kulib.kyoto-u.ac.jp/item/rb00013649#?c=0&amp;m=0&amp;s=0&amp;cv=60</v>
      </c>
    </row>
    <row r="3437" spans="1:4" x14ac:dyDescent="0.15">
      <c r="A3437" s="66" t="s">
        <v>197</v>
      </c>
      <c r="B3437" s="6" t="s">
        <v>2575</v>
      </c>
      <c r="C3437" s="6">
        <v>62</v>
      </c>
      <c r="D3437" s="6" t="str">
        <f>HYPERLINK("https://rmda.kulib.kyoto-u.ac.jp/item/rb00013649#?c=0&amp;m=0&amp;s=0&amp;cv=61")</f>
        <v>https://rmda.kulib.kyoto-u.ac.jp/item/rb00013649#?c=0&amp;m=0&amp;s=0&amp;cv=61</v>
      </c>
    </row>
    <row r="3438" spans="1:4" x14ac:dyDescent="0.15">
      <c r="A3438" s="66" t="s">
        <v>197</v>
      </c>
      <c r="B3438" s="6" t="s">
        <v>2576</v>
      </c>
      <c r="C3438" s="6">
        <v>63</v>
      </c>
      <c r="D3438" s="6" t="str">
        <f>HYPERLINK("https://rmda.kulib.kyoto-u.ac.jp/item/rb00013649#?c=0&amp;m=0&amp;s=0&amp;cv=62")</f>
        <v>https://rmda.kulib.kyoto-u.ac.jp/item/rb00013649#?c=0&amp;m=0&amp;s=0&amp;cv=62</v>
      </c>
    </row>
    <row r="3439" spans="1:4" x14ac:dyDescent="0.15">
      <c r="A3439" s="66" t="s">
        <v>197</v>
      </c>
      <c r="B3439" s="6" t="s">
        <v>2577</v>
      </c>
      <c r="C3439" s="6">
        <v>63</v>
      </c>
      <c r="D3439" s="6" t="str">
        <f>HYPERLINK("https://rmda.kulib.kyoto-u.ac.jp/item/rb00013649#?c=0&amp;m=0&amp;s=0&amp;cv=62")</f>
        <v>https://rmda.kulib.kyoto-u.ac.jp/item/rb00013649#?c=0&amp;m=0&amp;s=0&amp;cv=62</v>
      </c>
    </row>
    <row r="3440" spans="1:4" x14ac:dyDescent="0.15">
      <c r="A3440" s="66" t="s">
        <v>197</v>
      </c>
      <c r="B3440" s="6" t="s">
        <v>2578</v>
      </c>
      <c r="C3440" s="6">
        <v>64</v>
      </c>
      <c r="D3440" s="6" t="str">
        <f>HYPERLINK("https://rmda.kulib.kyoto-u.ac.jp/item/rb00013649#?c=0&amp;m=0&amp;s=0&amp;cv=63")</f>
        <v>https://rmda.kulib.kyoto-u.ac.jp/item/rb00013649#?c=0&amp;m=0&amp;s=0&amp;cv=63</v>
      </c>
    </row>
    <row r="3441" spans="1:4" x14ac:dyDescent="0.15">
      <c r="A3441" s="66" t="s">
        <v>197</v>
      </c>
      <c r="B3441" s="6" t="s">
        <v>2579</v>
      </c>
      <c r="C3441" s="6">
        <v>64</v>
      </c>
      <c r="D3441" s="6" t="str">
        <f>HYPERLINK("https://rmda.kulib.kyoto-u.ac.jp/item/rb00013649#?c=0&amp;m=0&amp;s=0&amp;cv=63")</f>
        <v>https://rmda.kulib.kyoto-u.ac.jp/item/rb00013649#?c=0&amp;m=0&amp;s=0&amp;cv=63</v>
      </c>
    </row>
    <row r="3442" spans="1:4" x14ac:dyDescent="0.15">
      <c r="A3442" s="66" t="s">
        <v>197</v>
      </c>
      <c r="B3442" s="6" t="s">
        <v>2580</v>
      </c>
      <c r="C3442" s="6">
        <v>64</v>
      </c>
      <c r="D3442" s="6" t="str">
        <f>HYPERLINK("https://rmda.kulib.kyoto-u.ac.jp/item/rb00013649#?c=0&amp;m=0&amp;s=0&amp;cv=63")</f>
        <v>https://rmda.kulib.kyoto-u.ac.jp/item/rb00013649#?c=0&amp;m=0&amp;s=0&amp;cv=63</v>
      </c>
    </row>
    <row r="3443" spans="1:4" x14ac:dyDescent="0.15">
      <c r="A3443" s="66" t="s">
        <v>197</v>
      </c>
      <c r="B3443" s="6" t="s">
        <v>6049</v>
      </c>
      <c r="C3443" s="6">
        <v>65</v>
      </c>
      <c r="D3443" s="6" t="str">
        <f>HYPERLINK("https://rmda.kulib.kyoto-u.ac.jp/item/rb00013649#?c=0&amp;m=0&amp;s=0&amp;cv=64")</f>
        <v>https://rmda.kulib.kyoto-u.ac.jp/item/rb00013649#?c=0&amp;m=0&amp;s=0&amp;cv=64</v>
      </c>
    </row>
    <row r="3444" spans="1:4" x14ac:dyDescent="0.15">
      <c r="A3444" s="66" t="s">
        <v>197</v>
      </c>
      <c r="B3444" s="6" t="s">
        <v>1478</v>
      </c>
      <c r="C3444" s="6">
        <v>65</v>
      </c>
      <c r="D3444" s="6" t="str">
        <f>HYPERLINK("https://rmda.kulib.kyoto-u.ac.jp/item/rb00013649#?c=0&amp;m=0&amp;s=0&amp;cv=64")</f>
        <v>https://rmda.kulib.kyoto-u.ac.jp/item/rb00013649#?c=0&amp;m=0&amp;s=0&amp;cv=64</v>
      </c>
    </row>
    <row r="3445" spans="1:4" x14ac:dyDescent="0.15">
      <c r="A3445" s="66" t="s">
        <v>197</v>
      </c>
      <c r="B3445" s="6" t="s">
        <v>2581</v>
      </c>
      <c r="C3445" s="6">
        <v>65</v>
      </c>
      <c r="D3445" s="6" t="str">
        <f>HYPERLINK("https://rmda.kulib.kyoto-u.ac.jp/item/rb00013649#?c=0&amp;m=0&amp;s=0&amp;cv=64")</f>
        <v>https://rmda.kulib.kyoto-u.ac.jp/item/rb00013649#?c=0&amp;m=0&amp;s=0&amp;cv=64</v>
      </c>
    </row>
    <row r="3446" spans="1:4" x14ac:dyDescent="0.15">
      <c r="A3446" s="66" t="s">
        <v>197</v>
      </c>
      <c r="B3446" s="6" t="s">
        <v>2582</v>
      </c>
      <c r="C3446" s="6">
        <v>66</v>
      </c>
      <c r="D3446" s="6" t="str">
        <f>HYPERLINK("https://rmda.kulib.kyoto-u.ac.jp/item/rb00013649#?c=0&amp;m=0&amp;s=0&amp;cv=65")</f>
        <v>https://rmda.kulib.kyoto-u.ac.jp/item/rb00013649#?c=0&amp;m=0&amp;s=0&amp;cv=65</v>
      </c>
    </row>
    <row r="3447" spans="1:4" x14ac:dyDescent="0.15">
      <c r="A3447" s="66" t="s">
        <v>197</v>
      </c>
      <c r="B3447" s="6" t="s">
        <v>2583</v>
      </c>
      <c r="C3447" s="6">
        <v>66</v>
      </c>
      <c r="D3447" s="6" t="str">
        <f>HYPERLINK("https://rmda.kulib.kyoto-u.ac.jp/item/rb00013649#?c=0&amp;m=0&amp;s=0&amp;cv=65")</f>
        <v>https://rmda.kulib.kyoto-u.ac.jp/item/rb00013649#?c=0&amp;m=0&amp;s=0&amp;cv=65</v>
      </c>
    </row>
    <row r="3448" spans="1:4" x14ac:dyDescent="0.15">
      <c r="A3448" s="66" t="s">
        <v>197</v>
      </c>
      <c r="B3448" s="6" t="s">
        <v>6050</v>
      </c>
      <c r="C3448" s="6">
        <v>66</v>
      </c>
      <c r="D3448" s="6" t="str">
        <f>HYPERLINK("https://rmda.kulib.kyoto-u.ac.jp/item/rb00013649#?c=0&amp;m=0&amp;s=0&amp;cv=65")</f>
        <v>https://rmda.kulib.kyoto-u.ac.jp/item/rb00013649#?c=0&amp;m=0&amp;s=0&amp;cv=65</v>
      </c>
    </row>
    <row r="3449" spans="1:4" x14ac:dyDescent="0.15">
      <c r="A3449" s="66" t="s">
        <v>197</v>
      </c>
      <c r="B3449" s="6" t="s">
        <v>1437</v>
      </c>
      <c r="C3449" s="6">
        <v>67</v>
      </c>
      <c r="D3449" s="6" t="str">
        <f>HYPERLINK("https://rmda.kulib.kyoto-u.ac.jp/item/rb00013649#?c=0&amp;m=0&amp;s=0&amp;cv=66")</f>
        <v>https://rmda.kulib.kyoto-u.ac.jp/item/rb00013649#?c=0&amp;m=0&amp;s=0&amp;cv=66</v>
      </c>
    </row>
    <row r="3450" spans="1:4" x14ac:dyDescent="0.15">
      <c r="A3450" s="66" t="s">
        <v>197</v>
      </c>
      <c r="B3450" s="6" t="s">
        <v>2506</v>
      </c>
      <c r="C3450" s="6">
        <v>72</v>
      </c>
      <c r="D3450" s="6" t="str">
        <f>HYPERLINK("https://rmda.kulib.kyoto-u.ac.jp/item/rb00013649#?c=0&amp;m=0&amp;s=0&amp;cv=71")</f>
        <v>https://rmda.kulib.kyoto-u.ac.jp/item/rb00013649#?c=0&amp;m=0&amp;s=0&amp;cv=71</v>
      </c>
    </row>
    <row r="3451" spans="1:4" x14ac:dyDescent="0.15">
      <c r="A3451" s="66" t="s">
        <v>197</v>
      </c>
      <c r="B3451" s="80" t="s">
        <v>6059</v>
      </c>
      <c r="C3451" s="6">
        <v>72</v>
      </c>
      <c r="D3451" s="6" t="str">
        <f>HYPERLINK("https://rmda.kulib.kyoto-u.ac.jp/item/rb00013649#?c=0&amp;m=0&amp;s=0&amp;cv=71")</f>
        <v>https://rmda.kulib.kyoto-u.ac.jp/item/rb00013649#?c=0&amp;m=0&amp;s=0&amp;cv=71</v>
      </c>
    </row>
    <row r="3452" spans="1:4" x14ac:dyDescent="0.15">
      <c r="A3452" s="66" t="s">
        <v>197</v>
      </c>
      <c r="B3452" s="6" t="s">
        <v>2613</v>
      </c>
      <c r="C3452" s="6">
        <v>74</v>
      </c>
      <c r="D3452" s="6" t="str">
        <f>HYPERLINK("https://rmda.kulib.kyoto-u.ac.jp/item/rb00013649#?c=0&amp;m=0&amp;s=0&amp;cv=73")</f>
        <v>https://rmda.kulib.kyoto-u.ac.jp/item/rb00013649#?c=0&amp;m=0&amp;s=0&amp;cv=73</v>
      </c>
    </row>
    <row r="3453" spans="1:4" x14ac:dyDescent="0.15">
      <c r="A3453" s="66" t="s">
        <v>197</v>
      </c>
      <c r="B3453" s="6" t="s">
        <v>2614</v>
      </c>
      <c r="C3453" s="6">
        <v>76</v>
      </c>
      <c r="D3453" s="6" t="str">
        <f>HYPERLINK("https://rmda.kulib.kyoto-u.ac.jp/item/rb00013649#?c=0&amp;m=0&amp;s=0&amp;cv=75")</f>
        <v>https://rmda.kulib.kyoto-u.ac.jp/item/rb00013649#?c=0&amp;m=0&amp;s=0&amp;cv=75</v>
      </c>
    </row>
    <row r="3454" spans="1:4" x14ac:dyDescent="0.15">
      <c r="A3454" s="66" t="s">
        <v>197</v>
      </c>
      <c r="B3454" s="6" t="s">
        <v>2615</v>
      </c>
      <c r="C3454" s="6">
        <v>78</v>
      </c>
      <c r="D3454" s="6" t="str">
        <f>HYPERLINK("https://rmda.kulib.kyoto-u.ac.jp/item/rb00013649#?c=0&amp;m=0&amp;s=0&amp;cv=77")</f>
        <v>https://rmda.kulib.kyoto-u.ac.jp/item/rb00013649#?c=0&amp;m=0&amp;s=0&amp;cv=77</v>
      </c>
    </row>
    <row r="3455" spans="1:4" x14ac:dyDescent="0.15">
      <c r="A3455" s="66" t="s">
        <v>197</v>
      </c>
      <c r="B3455" s="6" t="s">
        <v>2616</v>
      </c>
      <c r="C3455" s="6">
        <v>78</v>
      </c>
      <c r="D3455" s="6" t="str">
        <f>HYPERLINK("https://rmda.kulib.kyoto-u.ac.jp/item/rb00013649#?c=0&amp;m=0&amp;s=0&amp;cv=77")</f>
        <v>https://rmda.kulib.kyoto-u.ac.jp/item/rb00013649#?c=0&amp;m=0&amp;s=0&amp;cv=77</v>
      </c>
    </row>
    <row r="3456" spans="1:4" x14ac:dyDescent="0.15">
      <c r="A3456" s="66" t="s">
        <v>197</v>
      </c>
      <c r="B3456" s="6" t="s">
        <v>2617</v>
      </c>
      <c r="C3456" s="6">
        <v>79</v>
      </c>
      <c r="D3456" s="6" t="str">
        <f>HYPERLINK("https://rmda.kulib.kyoto-u.ac.jp/item/rb00013649#?c=0&amp;m=0&amp;s=0&amp;cv=78")</f>
        <v>https://rmda.kulib.kyoto-u.ac.jp/item/rb00013649#?c=0&amp;m=0&amp;s=0&amp;cv=78</v>
      </c>
    </row>
    <row r="3457" spans="1:4" x14ac:dyDescent="0.15">
      <c r="A3457" s="66" t="s">
        <v>197</v>
      </c>
      <c r="B3457" s="6" t="s">
        <v>2618</v>
      </c>
      <c r="C3457" s="6">
        <v>80</v>
      </c>
      <c r="D3457" s="6" t="str">
        <f>HYPERLINK("https://rmda.kulib.kyoto-u.ac.jp/item/rb00013649#?c=0&amp;m=0&amp;s=0&amp;cv=79")</f>
        <v>https://rmda.kulib.kyoto-u.ac.jp/item/rb00013649#?c=0&amp;m=0&amp;s=0&amp;cv=79</v>
      </c>
    </row>
    <row r="3458" spans="1:4" x14ac:dyDescent="0.15">
      <c r="A3458" s="66" t="s">
        <v>197</v>
      </c>
      <c r="B3458" s="6" t="s">
        <v>2619</v>
      </c>
      <c r="C3458" s="6">
        <v>81</v>
      </c>
      <c r="D3458" s="6" t="str">
        <f>HYPERLINK("https://rmda.kulib.kyoto-u.ac.jp/item/rb00013649#?c=0&amp;m=0&amp;s=0&amp;cv=80")</f>
        <v>https://rmda.kulib.kyoto-u.ac.jp/item/rb00013649#?c=0&amp;m=0&amp;s=0&amp;cv=80</v>
      </c>
    </row>
    <row r="3459" spans="1:4" x14ac:dyDescent="0.15">
      <c r="A3459" s="66" t="s">
        <v>197</v>
      </c>
      <c r="B3459" s="6" t="s">
        <v>2620</v>
      </c>
      <c r="C3459" s="6">
        <v>81</v>
      </c>
      <c r="D3459" s="6" t="str">
        <f>HYPERLINK("https://rmda.kulib.kyoto-u.ac.jp/item/rb00013649#?c=0&amp;m=0&amp;s=0&amp;cv=80")</f>
        <v>https://rmda.kulib.kyoto-u.ac.jp/item/rb00013649#?c=0&amp;m=0&amp;s=0&amp;cv=80</v>
      </c>
    </row>
    <row r="3460" spans="1:4" x14ac:dyDescent="0.15">
      <c r="A3460" s="66" t="s">
        <v>197</v>
      </c>
      <c r="B3460" s="6" t="s">
        <v>6051</v>
      </c>
      <c r="C3460" s="6">
        <v>82</v>
      </c>
      <c r="D3460" s="6" t="str">
        <f>HYPERLINK("https://rmda.kulib.kyoto-u.ac.jp/item/rb00013649#?c=0&amp;m=0&amp;s=0&amp;cv=81")</f>
        <v>https://rmda.kulib.kyoto-u.ac.jp/item/rb00013649#?c=0&amp;m=0&amp;s=0&amp;cv=81</v>
      </c>
    </row>
    <row r="3461" spans="1:4" x14ac:dyDescent="0.15">
      <c r="A3461" s="66" t="s">
        <v>197</v>
      </c>
      <c r="B3461" s="6" t="s">
        <v>2621</v>
      </c>
      <c r="C3461" s="6">
        <v>82</v>
      </c>
      <c r="D3461" s="6" t="str">
        <f>HYPERLINK("https://rmda.kulib.kyoto-u.ac.jp/item/rb00013649#?c=0&amp;m=0&amp;s=0&amp;cv=81")</f>
        <v>https://rmda.kulib.kyoto-u.ac.jp/item/rb00013649#?c=0&amp;m=0&amp;s=0&amp;cv=81</v>
      </c>
    </row>
    <row r="3462" spans="1:4" x14ac:dyDescent="0.15">
      <c r="A3462" s="66" t="s">
        <v>197</v>
      </c>
      <c r="B3462" s="6" t="s">
        <v>6049</v>
      </c>
      <c r="C3462" s="6">
        <v>83</v>
      </c>
      <c r="D3462" s="6" t="str">
        <f>HYPERLINK("https://rmda.kulib.kyoto-u.ac.jp/item/rb00013649#?c=0&amp;m=0&amp;s=0&amp;cv=82")</f>
        <v>https://rmda.kulib.kyoto-u.ac.jp/item/rb00013649#?c=0&amp;m=0&amp;s=0&amp;cv=82</v>
      </c>
    </row>
    <row r="3463" spans="1:4" x14ac:dyDescent="0.15">
      <c r="A3463" s="66" t="s">
        <v>197</v>
      </c>
      <c r="B3463" s="6" t="s">
        <v>2622</v>
      </c>
      <c r="C3463" s="6">
        <v>84</v>
      </c>
      <c r="D3463" s="6" t="str">
        <f>HYPERLINK("https://rmda.kulib.kyoto-u.ac.jp/item/rb00013649#?c=0&amp;m=0&amp;s=0&amp;cv=83")</f>
        <v>https://rmda.kulib.kyoto-u.ac.jp/item/rb00013649#?c=0&amp;m=0&amp;s=0&amp;cv=83</v>
      </c>
    </row>
    <row r="3464" spans="1:4" x14ac:dyDescent="0.15">
      <c r="A3464" s="66" t="s">
        <v>197</v>
      </c>
      <c r="B3464" s="6" t="s">
        <v>2583</v>
      </c>
      <c r="C3464" s="6">
        <v>85</v>
      </c>
      <c r="D3464" s="6" t="str">
        <f>HYPERLINK("https://rmda.kulib.kyoto-u.ac.jp/item/rb00013649#?c=0&amp;m=0&amp;s=0&amp;cv=84")</f>
        <v>https://rmda.kulib.kyoto-u.ac.jp/item/rb00013649#?c=0&amp;m=0&amp;s=0&amp;cv=84</v>
      </c>
    </row>
    <row r="3465" spans="1:4" x14ac:dyDescent="0.15">
      <c r="A3465" s="66" t="s">
        <v>197</v>
      </c>
      <c r="B3465" s="6" t="s">
        <v>6050</v>
      </c>
      <c r="C3465" s="6">
        <v>85</v>
      </c>
      <c r="D3465" s="6" t="str">
        <f>HYPERLINK("https://rmda.kulib.kyoto-u.ac.jp/item/rb00013649#?c=0&amp;m=0&amp;s=0&amp;cv=84")</f>
        <v>https://rmda.kulib.kyoto-u.ac.jp/item/rb00013649#?c=0&amp;m=0&amp;s=0&amp;cv=84</v>
      </c>
    </row>
    <row r="3466" spans="1:4" x14ac:dyDescent="0.15">
      <c r="A3466" s="66" t="s">
        <v>197</v>
      </c>
      <c r="B3466" s="6" t="s">
        <v>1408</v>
      </c>
      <c r="C3466" s="6">
        <v>86</v>
      </c>
      <c r="D3466" s="6" t="str">
        <f>HYPERLINK("https://rmda.kulib.kyoto-u.ac.jp/item/rb00013649#?c=0&amp;m=0&amp;s=0&amp;cv=85")</f>
        <v>https://rmda.kulib.kyoto-u.ac.jp/item/rb00013649#?c=0&amp;m=0&amp;s=0&amp;cv=85</v>
      </c>
    </row>
    <row r="3467" spans="1:4" x14ac:dyDescent="0.15">
      <c r="A3467" s="66" t="s">
        <v>197</v>
      </c>
      <c r="B3467" s="6" t="s">
        <v>1418</v>
      </c>
      <c r="C3467" s="6">
        <v>88</v>
      </c>
      <c r="D3467" s="6" t="str">
        <f>HYPERLINK("https://rmda.kulib.kyoto-u.ac.jp/item/rb00013649#?c=0&amp;m=0&amp;s=0&amp;cv=87")</f>
        <v>https://rmda.kulib.kyoto-u.ac.jp/item/rb00013649#?c=0&amp;m=0&amp;s=0&amp;cv=87</v>
      </c>
    </row>
    <row r="3468" spans="1:4" x14ac:dyDescent="0.15">
      <c r="A3468" s="66" t="s">
        <v>197</v>
      </c>
      <c r="B3468" s="6" t="s">
        <v>1419</v>
      </c>
      <c r="C3468" s="6">
        <v>89</v>
      </c>
      <c r="D3468" s="6" t="str">
        <f>HYPERLINK("https://rmda.kulib.kyoto-u.ac.jp/item/rb00013649#?c=0&amp;m=0&amp;s=0&amp;cv=88")</f>
        <v>https://rmda.kulib.kyoto-u.ac.jp/item/rb00013649#?c=0&amp;m=0&amp;s=0&amp;cv=88</v>
      </c>
    </row>
    <row r="3469" spans="1:4" x14ac:dyDescent="0.15">
      <c r="A3469" s="66" t="s">
        <v>197</v>
      </c>
      <c r="B3469" s="6" t="s">
        <v>1410</v>
      </c>
      <c r="C3469" s="6">
        <v>90</v>
      </c>
      <c r="D3469" s="6" t="str">
        <f>HYPERLINK("https://rmda.kulib.kyoto-u.ac.jp/item/rb00013649#?c=0&amp;m=0&amp;s=0&amp;cv=89")</f>
        <v>https://rmda.kulib.kyoto-u.ac.jp/item/rb00013649#?c=0&amp;m=0&amp;s=0&amp;cv=89</v>
      </c>
    </row>
    <row r="3470" spans="1:4" x14ac:dyDescent="0.15">
      <c r="A3470" s="66" t="s">
        <v>197</v>
      </c>
      <c r="B3470" s="6" t="s">
        <v>1409</v>
      </c>
      <c r="C3470" s="6">
        <v>91</v>
      </c>
      <c r="D3470" s="6" t="str">
        <f>HYPERLINK("https://rmda.kulib.kyoto-u.ac.jp/item/rb00013649#?c=0&amp;m=0&amp;s=0&amp;cv=90")</f>
        <v>https://rmda.kulib.kyoto-u.ac.jp/item/rb00013649#?c=0&amp;m=0&amp;s=0&amp;cv=90</v>
      </c>
    </row>
    <row r="3471" spans="1:4" x14ac:dyDescent="0.15">
      <c r="A3471" s="66" t="s">
        <v>197</v>
      </c>
      <c r="B3471" s="6" t="s">
        <v>2547</v>
      </c>
      <c r="C3471" s="6">
        <v>93</v>
      </c>
      <c r="D3471" s="6" t="str">
        <f>HYPERLINK("https://rmda.kulib.kyoto-u.ac.jp/item/rb00013649#?c=0&amp;m=0&amp;s=0&amp;cv=92")</f>
        <v>https://rmda.kulib.kyoto-u.ac.jp/item/rb00013649#?c=0&amp;m=0&amp;s=0&amp;cv=92</v>
      </c>
    </row>
    <row r="3472" spans="1:4" x14ac:dyDescent="0.15">
      <c r="A3472" s="66" t="s">
        <v>197</v>
      </c>
      <c r="B3472" s="6" t="s">
        <v>1411</v>
      </c>
      <c r="C3472" s="6">
        <v>93</v>
      </c>
      <c r="D3472" s="6" t="str">
        <f>HYPERLINK("https://rmda.kulib.kyoto-u.ac.jp/item/rb00013649#?c=0&amp;m=0&amp;s=0&amp;cv=92")</f>
        <v>https://rmda.kulib.kyoto-u.ac.jp/item/rb00013649#?c=0&amp;m=0&amp;s=0&amp;cv=92</v>
      </c>
    </row>
    <row r="3473" spans="1:4" x14ac:dyDescent="0.15">
      <c r="A3473" s="66" t="s">
        <v>197</v>
      </c>
      <c r="B3473" s="6" t="s">
        <v>1412</v>
      </c>
      <c r="C3473" s="6">
        <v>94</v>
      </c>
      <c r="D3473" s="6" t="str">
        <f>HYPERLINK("https://rmda.kulib.kyoto-u.ac.jp/item/rb00013649#?c=0&amp;m=0&amp;s=0&amp;cv=93")</f>
        <v>https://rmda.kulib.kyoto-u.ac.jp/item/rb00013649#?c=0&amp;m=0&amp;s=0&amp;cv=93</v>
      </c>
    </row>
    <row r="3474" spans="1:4" x14ac:dyDescent="0.15">
      <c r="A3474" s="66" t="s">
        <v>197</v>
      </c>
      <c r="B3474" s="6" t="s">
        <v>2548</v>
      </c>
      <c r="C3474" s="6">
        <v>94</v>
      </c>
      <c r="D3474" s="6" t="str">
        <f>HYPERLINK("https://rmda.kulib.kyoto-u.ac.jp/item/rb00013649#?c=0&amp;m=0&amp;s=0&amp;cv=93")</f>
        <v>https://rmda.kulib.kyoto-u.ac.jp/item/rb00013649#?c=0&amp;m=0&amp;s=0&amp;cv=93</v>
      </c>
    </row>
    <row r="3475" spans="1:4" x14ac:dyDescent="0.15">
      <c r="A3475" s="66" t="s">
        <v>197</v>
      </c>
      <c r="B3475" s="6" t="s">
        <v>1417</v>
      </c>
      <c r="C3475" s="6">
        <v>95</v>
      </c>
      <c r="D3475" s="6" t="str">
        <f>HYPERLINK("https://rmda.kulib.kyoto-u.ac.jp/item/rb00013649#?c=0&amp;m=0&amp;s=0&amp;cv=94")</f>
        <v>https://rmda.kulib.kyoto-u.ac.jp/item/rb00013649#?c=0&amp;m=0&amp;s=0&amp;cv=94</v>
      </c>
    </row>
    <row r="3476" spans="1:4" x14ac:dyDescent="0.15">
      <c r="A3476" s="66" t="s">
        <v>197</v>
      </c>
      <c r="B3476" s="6" t="s">
        <v>1413</v>
      </c>
      <c r="C3476" s="6">
        <v>96</v>
      </c>
      <c r="D3476" s="6" t="str">
        <f>HYPERLINK("https://rmda.kulib.kyoto-u.ac.jp/item/rb00013649#?c=0&amp;m=0&amp;s=0&amp;cv=95")</f>
        <v>https://rmda.kulib.kyoto-u.ac.jp/item/rb00013649#?c=0&amp;m=0&amp;s=0&amp;cv=95</v>
      </c>
    </row>
    <row r="3477" spans="1:4" x14ac:dyDescent="0.15">
      <c r="A3477" s="66" t="s">
        <v>197</v>
      </c>
      <c r="B3477" s="6" t="s">
        <v>1416</v>
      </c>
      <c r="C3477" s="6">
        <v>97</v>
      </c>
      <c r="D3477" s="6" t="str">
        <f>HYPERLINK("https://rmda.kulib.kyoto-u.ac.jp/item/rb00013649#?c=0&amp;m=0&amp;s=0&amp;cv=96")</f>
        <v>https://rmda.kulib.kyoto-u.ac.jp/item/rb00013649#?c=0&amp;m=0&amp;s=0&amp;cv=96</v>
      </c>
    </row>
    <row r="3478" spans="1:4" x14ac:dyDescent="0.15">
      <c r="A3478" s="66" t="s">
        <v>197</v>
      </c>
      <c r="B3478" s="6" t="s">
        <v>1414</v>
      </c>
      <c r="C3478" s="6">
        <v>98</v>
      </c>
      <c r="D3478" s="6" t="str">
        <f>HYPERLINK("https://rmda.kulib.kyoto-u.ac.jp/item/rb00013649#?c=0&amp;m=0&amp;s=0&amp;cv=97")</f>
        <v>https://rmda.kulib.kyoto-u.ac.jp/item/rb00013649#?c=0&amp;m=0&amp;s=0&amp;cv=97</v>
      </c>
    </row>
    <row r="3479" spans="1:4" x14ac:dyDescent="0.15">
      <c r="A3479" s="66" t="s">
        <v>197</v>
      </c>
      <c r="B3479" s="6" t="s">
        <v>1425</v>
      </c>
      <c r="C3479" s="6">
        <v>98</v>
      </c>
      <c r="D3479" s="6" t="str">
        <f>HYPERLINK("https://rmda.kulib.kyoto-u.ac.jp/item/rb00013649#?c=0&amp;m=0&amp;s=0&amp;cv=97")</f>
        <v>https://rmda.kulib.kyoto-u.ac.jp/item/rb00013649#?c=0&amp;m=0&amp;s=0&amp;cv=97</v>
      </c>
    </row>
    <row r="3480" spans="1:4" x14ac:dyDescent="0.15">
      <c r="A3480" s="66" t="s">
        <v>197</v>
      </c>
      <c r="B3480" s="6" t="s">
        <v>1427</v>
      </c>
      <c r="C3480" s="6">
        <v>99</v>
      </c>
      <c r="D3480" s="6" t="str">
        <f>HYPERLINK("https://rmda.kulib.kyoto-u.ac.jp/item/rb00013649#?c=0&amp;m=0&amp;s=0&amp;cv=98")</f>
        <v>https://rmda.kulib.kyoto-u.ac.jp/item/rb00013649#?c=0&amp;m=0&amp;s=0&amp;cv=98</v>
      </c>
    </row>
    <row r="3481" spans="1:4" x14ac:dyDescent="0.15">
      <c r="A3481" s="66" t="s">
        <v>197</v>
      </c>
      <c r="B3481" s="6" t="s">
        <v>6052</v>
      </c>
      <c r="C3481" s="6">
        <v>101</v>
      </c>
      <c r="D3481" s="6" t="str">
        <f>HYPERLINK("https://rmda.kulib.kyoto-u.ac.jp/item/rb00013649#?c=0&amp;m=0&amp;s=0&amp;cv=100")</f>
        <v>https://rmda.kulib.kyoto-u.ac.jp/item/rb00013649#?c=0&amp;m=0&amp;s=0&amp;cv=100</v>
      </c>
    </row>
    <row r="3482" spans="1:4" x14ac:dyDescent="0.15">
      <c r="A3482" s="66" t="s">
        <v>197</v>
      </c>
      <c r="B3482" s="6" t="s">
        <v>2623</v>
      </c>
      <c r="C3482" s="6">
        <v>102</v>
      </c>
      <c r="D3482" s="6" t="str">
        <f>HYPERLINK("https://rmda.kulib.kyoto-u.ac.jp/item/rb00013649#?c=0&amp;m=0&amp;s=0&amp;cv=101")</f>
        <v>https://rmda.kulib.kyoto-u.ac.jp/item/rb00013649#?c=0&amp;m=0&amp;s=0&amp;cv=101</v>
      </c>
    </row>
    <row r="3483" spans="1:4" x14ac:dyDescent="0.15">
      <c r="A3483" s="66" t="s">
        <v>197</v>
      </c>
      <c r="B3483" s="6" t="s">
        <v>2624</v>
      </c>
      <c r="C3483" s="6">
        <v>102</v>
      </c>
      <c r="D3483" s="6" t="str">
        <f>HYPERLINK("https://rmda.kulib.kyoto-u.ac.jp/item/rb00013649#?c=0&amp;m=0&amp;s=0&amp;cv=101")</f>
        <v>https://rmda.kulib.kyoto-u.ac.jp/item/rb00013649#?c=0&amp;m=0&amp;s=0&amp;cv=101</v>
      </c>
    </row>
    <row r="3484" spans="1:4" x14ac:dyDescent="0.15">
      <c r="A3484" s="66" t="s">
        <v>197</v>
      </c>
      <c r="B3484" s="6" t="s">
        <v>1495</v>
      </c>
      <c r="C3484" s="6">
        <v>103</v>
      </c>
      <c r="D3484" s="6" t="str">
        <f>HYPERLINK("https://rmda.kulib.kyoto-u.ac.jp/item/rb00013649#?c=0&amp;m=0&amp;s=0&amp;cv=102")</f>
        <v>https://rmda.kulib.kyoto-u.ac.jp/item/rb00013649#?c=0&amp;m=0&amp;s=0&amp;cv=102</v>
      </c>
    </row>
    <row r="3485" spans="1:4" x14ac:dyDescent="0.15">
      <c r="A3485" s="66" t="s">
        <v>197</v>
      </c>
      <c r="B3485" s="6" t="s">
        <v>1432</v>
      </c>
      <c r="C3485" s="6">
        <v>104</v>
      </c>
      <c r="D3485" s="6" t="str">
        <f>HYPERLINK("https://rmda.kulib.kyoto-u.ac.jp/item/rb00013649#?c=0&amp;m=0&amp;s=0&amp;cv=103")</f>
        <v>https://rmda.kulib.kyoto-u.ac.jp/item/rb00013649#?c=0&amp;m=0&amp;s=0&amp;cv=103</v>
      </c>
    </row>
    <row r="3486" spans="1:4" x14ac:dyDescent="0.15">
      <c r="A3486" s="66" t="s">
        <v>197</v>
      </c>
      <c r="B3486" s="6" t="s">
        <v>2551</v>
      </c>
      <c r="C3486" s="6">
        <v>104</v>
      </c>
      <c r="D3486" s="6" t="str">
        <f>HYPERLINK("https://rmda.kulib.kyoto-u.ac.jp/item/rb00013649#?c=0&amp;m=0&amp;s=0&amp;cv=103")</f>
        <v>https://rmda.kulib.kyoto-u.ac.jp/item/rb00013649#?c=0&amp;m=0&amp;s=0&amp;cv=103</v>
      </c>
    </row>
    <row r="3487" spans="1:4" x14ac:dyDescent="0.15">
      <c r="A3487" s="66" t="s">
        <v>197</v>
      </c>
      <c r="B3487" s="6" t="s">
        <v>1442</v>
      </c>
      <c r="C3487" s="6">
        <v>105</v>
      </c>
      <c r="D3487" s="6" t="str">
        <f>HYPERLINK("https://rmda.kulib.kyoto-u.ac.jp/item/rb00013649#?c=0&amp;m=0&amp;s=0&amp;cv=104")</f>
        <v>https://rmda.kulib.kyoto-u.ac.jp/item/rb00013649#?c=0&amp;m=0&amp;s=0&amp;cv=104</v>
      </c>
    </row>
    <row r="3488" spans="1:4" x14ac:dyDescent="0.15">
      <c r="A3488" s="66" t="s">
        <v>197</v>
      </c>
      <c r="B3488" s="6" t="s">
        <v>2552</v>
      </c>
      <c r="C3488" s="6">
        <v>106</v>
      </c>
      <c r="D3488" s="6" t="str">
        <f>HYPERLINK("https://rmda.kulib.kyoto-u.ac.jp/item/rb00013649#?c=0&amp;m=0&amp;s=0&amp;cv=105")</f>
        <v>https://rmda.kulib.kyoto-u.ac.jp/item/rb00013649#?c=0&amp;m=0&amp;s=0&amp;cv=105</v>
      </c>
    </row>
    <row r="3489" spans="1:4" x14ac:dyDescent="0.15">
      <c r="A3489" s="66" t="s">
        <v>197</v>
      </c>
      <c r="B3489" s="6" t="s">
        <v>1435</v>
      </c>
      <c r="C3489" s="6">
        <v>106</v>
      </c>
      <c r="D3489" s="6" t="str">
        <f>HYPERLINK("https://rmda.kulib.kyoto-u.ac.jp/item/rb00013649#?c=0&amp;m=0&amp;s=0&amp;cv=105")</f>
        <v>https://rmda.kulib.kyoto-u.ac.jp/item/rb00013649#?c=0&amp;m=0&amp;s=0&amp;cv=105</v>
      </c>
    </row>
    <row r="3490" spans="1:4" x14ac:dyDescent="0.15">
      <c r="A3490" s="66" t="s">
        <v>197</v>
      </c>
      <c r="B3490" s="6" t="s">
        <v>2625</v>
      </c>
      <c r="C3490" s="6">
        <v>108</v>
      </c>
      <c r="D3490" s="6" t="str">
        <f>HYPERLINK("https://rmda.kulib.kyoto-u.ac.jp/item/rb00013649#?c=0&amp;m=0&amp;s=0&amp;cv=107")</f>
        <v>https://rmda.kulib.kyoto-u.ac.jp/item/rb00013649#?c=0&amp;m=0&amp;s=0&amp;cv=107</v>
      </c>
    </row>
    <row r="3491" spans="1:4" x14ac:dyDescent="0.15">
      <c r="A3491" s="66" t="s">
        <v>197</v>
      </c>
      <c r="B3491" s="6" t="s">
        <v>2626</v>
      </c>
      <c r="C3491" s="6">
        <v>108</v>
      </c>
      <c r="D3491" s="6" t="str">
        <f>HYPERLINK("https://rmda.kulib.kyoto-u.ac.jp/item/rb00013649#?c=0&amp;m=0&amp;s=0&amp;cv=107")</f>
        <v>https://rmda.kulib.kyoto-u.ac.jp/item/rb00013649#?c=0&amp;m=0&amp;s=0&amp;cv=107</v>
      </c>
    </row>
    <row r="3492" spans="1:4" x14ac:dyDescent="0.15">
      <c r="A3492" s="66" t="s">
        <v>197</v>
      </c>
      <c r="B3492" s="6" t="s">
        <v>2553</v>
      </c>
      <c r="C3492" s="6">
        <v>109</v>
      </c>
      <c r="D3492" s="6" t="str">
        <f>HYPERLINK("https://rmda.kulib.kyoto-u.ac.jp/item/rb00013649#?c=0&amp;m=0&amp;s=0&amp;cv=108")</f>
        <v>https://rmda.kulib.kyoto-u.ac.jp/item/rb00013649#?c=0&amp;m=0&amp;s=0&amp;cv=108</v>
      </c>
    </row>
    <row r="3493" spans="1:4" x14ac:dyDescent="0.15">
      <c r="A3493" s="66" t="s">
        <v>197</v>
      </c>
      <c r="B3493" s="6" t="s">
        <v>2554</v>
      </c>
      <c r="C3493" s="6">
        <v>109</v>
      </c>
      <c r="D3493" s="6" t="str">
        <f>HYPERLINK("https://rmda.kulib.kyoto-u.ac.jp/item/rb00013649#?c=0&amp;m=0&amp;s=0&amp;cv=108")</f>
        <v>https://rmda.kulib.kyoto-u.ac.jp/item/rb00013649#?c=0&amp;m=0&amp;s=0&amp;cv=108</v>
      </c>
    </row>
    <row r="3494" spans="1:4" x14ac:dyDescent="0.15">
      <c r="A3494" s="66" t="s">
        <v>197</v>
      </c>
      <c r="B3494" s="6" t="s">
        <v>1423</v>
      </c>
      <c r="C3494" s="6">
        <v>110</v>
      </c>
      <c r="D3494" s="6" t="str">
        <f>HYPERLINK("https://rmda.kulib.kyoto-u.ac.jp/item/rb00013649#?c=0&amp;m=0&amp;s=0&amp;cv=109")</f>
        <v>https://rmda.kulib.kyoto-u.ac.jp/item/rb00013649#?c=0&amp;m=0&amp;s=0&amp;cv=109</v>
      </c>
    </row>
    <row r="3495" spans="1:4" x14ac:dyDescent="0.15">
      <c r="A3495" s="66" t="s">
        <v>197</v>
      </c>
      <c r="B3495" s="6" t="s">
        <v>2555</v>
      </c>
      <c r="C3495" s="6">
        <v>111</v>
      </c>
      <c r="D3495" s="6" t="str">
        <f>HYPERLINK("https://rmda.kulib.kyoto-u.ac.jp/item/rb00013649#?c=0&amp;m=0&amp;s=0&amp;cv=110")</f>
        <v>https://rmda.kulib.kyoto-u.ac.jp/item/rb00013649#?c=0&amp;m=0&amp;s=0&amp;cv=110</v>
      </c>
    </row>
    <row r="3496" spans="1:4" x14ac:dyDescent="0.15">
      <c r="A3496" s="66" t="s">
        <v>197</v>
      </c>
      <c r="B3496" s="6" t="s">
        <v>2556</v>
      </c>
      <c r="C3496" s="6">
        <v>113</v>
      </c>
      <c r="D3496" s="6" t="str">
        <f>HYPERLINK("https://rmda.kulib.kyoto-u.ac.jp/item/rb00013649#?c=0&amp;m=0&amp;s=0&amp;cv=112")</f>
        <v>https://rmda.kulib.kyoto-u.ac.jp/item/rb00013649#?c=0&amp;m=0&amp;s=0&amp;cv=112</v>
      </c>
    </row>
    <row r="3497" spans="1:4" x14ac:dyDescent="0.15">
      <c r="A3497" s="66" t="s">
        <v>197</v>
      </c>
      <c r="B3497" s="6" t="s">
        <v>1433</v>
      </c>
      <c r="C3497" s="6">
        <v>114</v>
      </c>
      <c r="D3497" s="6" t="str">
        <f>HYPERLINK("https://rmda.kulib.kyoto-u.ac.jp/item/rb00013649#?c=0&amp;m=0&amp;s=0&amp;cv=113")</f>
        <v>https://rmda.kulib.kyoto-u.ac.jp/item/rb00013649#?c=0&amp;m=0&amp;s=0&amp;cv=113</v>
      </c>
    </row>
    <row r="3498" spans="1:4" x14ac:dyDescent="0.15">
      <c r="A3498" s="66" t="s">
        <v>197</v>
      </c>
      <c r="B3498" s="6" t="s">
        <v>2557</v>
      </c>
      <c r="C3498" s="6">
        <v>116</v>
      </c>
      <c r="D3498" s="6" t="str">
        <f>HYPERLINK("https://rmda.kulib.kyoto-u.ac.jp/item/rb00013649#?c=0&amp;m=0&amp;s=0&amp;cv=115")</f>
        <v>https://rmda.kulib.kyoto-u.ac.jp/item/rb00013649#?c=0&amp;m=0&amp;s=0&amp;cv=115</v>
      </c>
    </row>
    <row r="3499" spans="1:4" x14ac:dyDescent="0.15">
      <c r="A3499" s="66" t="s">
        <v>197</v>
      </c>
      <c r="B3499" s="6" t="s">
        <v>2627</v>
      </c>
      <c r="C3499" s="6">
        <v>117</v>
      </c>
      <c r="D3499" s="6" t="str">
        <f>HYPERLINK("https://rmda.kulib.kyoto-u.ac.jp/item/rb00013649#?c=0&amp;m=0&amp;s=0&amp;cv=116")</f>
        <v>https://rmda.kulib.kyoto-u.ac.jp/item/rb00013649#?c=0&amp;m=0&amp;s=0&amp;cv=116</v>
      </c>
    </row>
    <row r="3500" spans="1:4" x14ac:dyDescent="0.15">
      <c r="A3500" s="66" t="s">
        <v>197</v>
      </c>
      <c r="B3500" s="6" t="s">
        <v>2559</v>
      </c>
      <c r="C3500" s="6">
        <v>119</v>
      </c>
      <c r="D3500" s="6" t="str">
        <f>HYPERLINK("https://rmda.kulib.kyoto-u.ac.jp/item/rb00013649#?c=0&amp;m=0&amp;s=0&amp;cv=118")</f>
        <v>https://rmda.kulib.kyoto-u.ac.jp/item/rb00013649#?c=0&amp;m=0&amp;s=0&amp;cv=118</v>
      </c>
    </row>
    <row r="3501" spans="1:4" x14ac:dyDescent="0.15">
      <c r="A3501" s="66" t="s">
        <v>197</v>
      </c>
      <c r="B3501" s="6" t="s">
        <v>2628</v>
      </c>
      <c r="C3501" s="6">
        <v>121</v>
      </c>
      <c r="D3501" s="6" t="str">
        <f>HYPERLINK("https://rmda.kulib.kyoto-u.ac.jp/item/rb00013649#?c=0&amp;m=0&amp;s=0&amp;cv=120")</f>
        <v>https://rmda.kulib.kyoto-u.ac.jp/item/rb00013649#?c=0&amp;m=0&amp;s=0&amp;cv=120</v>
      </c>
    </row>
    <row r="3502" spans="1:4" x14ac:dyDescent="0.15">
      <c r="A3502" s="66" t="s">
        <v>197</v>
      </c>
      <c r="B3502" s="6" t="s">
        <v>1438</v>
      </c>
      <c r="C3502" s="6">
        <v>122</v>
      </c>
      <c r="D3502" s="6" t="str">
        <f>HYPERLINK("https://rmda.kulib.kyoto-u.ac.jp/item/rb00013649#?c=0&amp;m=0&amp;s=0&amp;cv=121")</f>
        <v>https://rmda.kulib.kyoto-u.ac.jp/item/rb00013649#?c=0&amp;m=0&amp;s=0&amp;cv=121</v>
      </c>
    </row>
    <row r="3503" spans="1:4" x14ac:dyDescent="0.15">
      <c r="A3503" s="66" t="s">
        <v>197</v>
      </c>
      <c r="B3503" s="6" t="s">
        <v>2629</v>
      </c>
      <c r="C3503" s="6">
        <v>122</v>
      </c>
      <c r="D3503" s="6" t="str">
        <f>HYPERLINK("https://rmda.kulib.kyoto-u.ac.jp/item/rb00013649#?c=0&amp;m=0&amp;s=0&amp;cv=121")</f>
        <v>https://rmda.kulib.kyoto-u.ac.jp/item/rb00013649#?c=0&amp;m=0&amp;s=0&amp;cv=121</v>
      </c>
    </row>
    <row r="3504" spans="1:4" x14ac:dyDescent="0.15">
      <c r="A3504" s="66" t="s">
        <v>197</v>
      </c>
      <c r="B3504" s="6" t="s">
        <v>2560</v>
      </c>
      <c r="C3504" s="6">
        <v>123</v>
      </c>
      <c r="D3504" s="6" t="str">
        <f>HYPERLINK("https://rmda.kulib.kyoto-u.ac.jp/item/rb00013649#?c=0&amp;m=0&amp;s=0&amp;cv=122")</f>
        <v>https://rmda.kulib.kyoto-u.ac.jp/item/rb00013649#?c=0&amp;m=0&amp;s=0&amp;cv=122</v>
      </c>
    </row>
    <row r="3505" spans="1:4" x14ac:dyDescent="0.15">
      <c r="A3505" s="66" t="s">
        <v>197</v>
      </c>
      <c r="B3505" s="6" t="s">
        <v>2630</v>
      </c>
      <c r="C3505" s="6">
        <v>124</v>
      </c>
      <c r="D3505" s="6" t="str">
        <f>HYPERLINK("https://rmda.kulib.kyoto-u.ac.jp/item/rb00013649#?c=0&amp;m=0&amp;s=0&amp;cv=123")</f>
        <v>https://rmda.kulib.kyoto-u.ac.jp/item/rb00013649#?c=0&amp;m=0&amp;s=0&amp;cv=123</v>
      </c>
    </row>
    <row r="3506" spans="1:4" x14ac:dyDescent="0.15">
      <c r="A3506" s="66" t="s">
        <v>197</v>
      </c>
      <c r="B3506" s="6" t="s">
        <v>2631</v>
      </c>
      <c r="C3506" s="6">
        <v>126</v>
      </c>
      <c r="D3506" s="6" t="str">
        <f>HYPERLINK("https://rmda.kulib.kyoto-u.ac.jp/item/rb00013649#?c=0&amp;m=0&amp;s=0&amp;cv=125")</f>
        <v>https://rmda.kulib.kyoto-u.ac.jp/item/rb00013649#?c=0&amp;m=0&amp;s=0&amp;cv=125</v>
      </c>
    </row>
    <row r="3507" spans="1:4" x14ac:dyDescent="0.15">
      <c r="A3507" s="66" t="s">
        <v>197</v>
      </c>
      <c r="B3507" s="6" t="s">
        <v>2632</v>
      </c>
      <c r="C3507" s="6">
        <v>127</v>
      </c>
      <c r="D3507" s="6" t="str">
        <f>HYPERLINK("https://rmda.kulib.kyoto-u.ac.jp/item/rb00013649#?c=0&amp;m=0&amp;s=0&amp;cv=126")</f>
        <v>https://rmda.kulib.kyoto-u.ac.jp/item/rb00013649#?c=0&amp;m=0&amp;s=0&amp;cv=126</v>
      </c>
    </row>
    <row r="3508" spans="1:4" x14ac:dyDescent="0.15">
      <c r="A3508" s="66" t="s">
        <v>197</v>
      </c>
      <c r="B3508" s="6" t="s">
        <v>4506</v>
      </c>
      <c r="C3508" s="6">
        <v>128</v>
      </c>
      <c r="D3508" s="6" t="str">
        <f>HYPERLINK("https://rmda.kulib.kyoto-u.ac.jp/item/rb00013649#?c=0&amp;m=0&amp;s=0&amp;cv=127")</f>
        <v>https://rmda.kulib.kyoto-u.ac.jp/item/rb00013649#?c=0&amp;m=0&amp;s=0&amp;cv=127</v>
      </c>
    </row>
    <row r="3509" spans="1:4" x14ac:dyDescent="0.15">
      <c r="A3509" s="66" t="s">
        <v>197</v>
      </c>
      <c r="B3509" s="6" t="s">
        <v>2565</v>
      </c>
      <c r="C3509" s="6">
        <v>129</v>
      </c>
      <c r="D3509" s="6" t="str">
        <f>HYPERLINK("https://rmda.kulib.kyoto-u.ac.jp/item/rb00013649#?c=0&amp;m=0&amp;s=0&amp;cv=128")</f>
        <v>https://rmda.kulib.kyoto-u.ac.jp/item/rb00013649#?c=0&amp;m=0&amp;s=0&amp;cv=128</v>
      </c>
    </row>
    <row r="3510" spans="1:4" x14ac:dyDescent="0.15">
      <c r="A3510" s="66" t="s">
        <v>197</v>
      </c>
      <c r="B3510" s="6" t="s">
        <v>1420</v>
      </c>
      <c r="C3510" s="6">
        <v>130</v>
      </c>
      <c r="D3510" s="6" t="str">
        <f>HYPERLINK("https://rmda.kulib.kyoto-u.ac.jp/item/rb00013649#?c=0&amp;m=0&amp;s=0&amp;cv=129")</f>
        <v>https://rmda.kulib.kyoto-u.ac.jp/item/rb00013649#?c=0&amp;m=0&amp;s=0&amp;cv=129</v>
      </c>
    </row>
    <row r="3511" spans="1:4" x14ac:dyDescent="0.15">
      <c r="A3511" s="66" t="s">
        <v>197</v>
      </c>
      <c r="B3511" s="6" t="s">
        <v>2566</v>
      </c>
      <c r="C3511" s="6">
        <v>131</v>
      </c>
      <c r="D3511" s="6" t="str">
        <f>HYPERLINK("https://rmda.kulib.kyoto-u.ac.jp/item/rb00013649#?c=0&amp;m=0&amp;s=0&amp;cv=130")</f>
        <v>https://rmda.kulib.kyoto-u.ac.jp/item/rb00013649#?c=0&amp;m=0&amp;s=0&amp;cv=130</v>
      </c>
    </row>
    <row r="3512" spans="1:4" x14ac:dyDescent="0.15">
      <c r="A3512" s="66" t="s">
        <v>197</v>
      </c>
      <c r="B3512" s="6" t="s">
        <v>2567</v>
      </c>
      <c r="C3512" s="6">
        <v>132</v>
      </c>
      <c r="D3512" s="6" t="str">
        <f>HYPERLINK("https://rmda.kulib.kyoto-u.ac.jp/item/rb00013649#?c=0&amp;m=0&amp;s=0&amp;cv=131")</f>
        <v>https://rmda.kulib.kyoto-u.ac.jp/item/rb00013649#?c=0&amp;m=0&amp;s=0&amp;cv=131</v>
      </c>
    </row>
    <row r="3513" spans="1:4" x14ac:dyDescent="0.15">
      <c r="A3513" s="66" t="s">
        <v>197</v>
      </c>
      <c r="B3513" s="6" t="s">
        <v>2568</v>
      </c>
      <c r="C3513" s="6">
        <v>133</v>
      </c>
      <c r="D3513" s="6" t="str">
        <f>HYPERLINK("https://rmda.kulib.kyoto-u.ac.jp/item/rb00013649#?c=0&amp;m=0&amp;s=0&amp;cv=132")</f>
        <v>https://rmda.kulib.kyoto-u.ac.jp/item/rb00013649#?c=0&amp;m=0&amp;s=0&amp;cv=132</v>
      </c>
    </row>
    <row r="3514" spans="1:4" x14ac:dyDescent="0.15">
      <c r="A3514" s="66" t="s">
        <v>197</v>
      </c>
      <c r="B3514" s="6" t="s">
        <v>1449</v>
      </c>
      <c r="C3514" s="6">
        <v>134</v>
      </c>
      <c r="D3514" s="6" t="str">
        <f>HYPERLINK("https://rmda.kulib.kyoto-u.ac.jp/item/rb00013649#?c=0&amp;m=0&amp;s=0&amp;cv=133")</f>
        <v>https://rmda.kulib.kyoto-u.ac.jp/item/rb00013649#?c=0&amp;m=0&amp;s=0&amp;cv=133</v>
      </c>
    </row>
    <row r="3515" spans="1:4" x14ac:dyDescent="0.15">
      <c r="A3515" s="66" t="s">
        <v>197</v>
      </c>
      <c r="B3515" s="6" t="s">
        <v>1450</v>
      </c>
      <c r="C3515" s="6">
        <v>135</v>
      </c>
      <c r="D3515" s="6" t="str">
        <f>HYPERLINK("https://rmda.kulib.kyoto-u.ac.jp/item/rb00013649#?c=0&amp;m=0&amp;s=0&amp;cv=134")</f>
        <v>https://rmda.kulib.kyoto-u.ac.jp/item/rb00013649#?c=0&amp;m=0&amp;s=0&amp;cv=134</v>
      </c>
    </row>
    <row r="3516" spans="1:4" x14ac:dyDescent="0.15">
      <c r="A3516" s="66" t="s">
        <v>197</v>
      </c>
      <c r="B3516" s="6" t="s">
        <v>6053</v>
      </c>
      <c r="C3516" s="6">
        <v>136</v>
      </c>
      <c r="D3516" s="6" t="str">
        <f>HYPERLINK("https://rmda.kulib.kyoto-u.ac.jp/item/rb00013649#?c=0&amp;m=0&amp;s=0&amp;cv=135")</f>
        <v>https://rmda.kulib.kyoto-u.ac.jp/item/rb00013649#?c=0&amp;m=0&amp;s=0&amp;cv=135</v>
      </c>
    </row>
    <row r="3517" spans="1:4" x14ac:dyDescent="0.15">
      <c r="A3517" s="66" t="s">
        <v>197</v>
      </c>
      <c r="B3517" s="6" t="s">
        <v>2633</v>
      </c>
      <c r="C3517" s="6">
        <v>137</v>
      </c>
      <c r="D3517" s="6" t="str">
        <f>HYPERLINK("https://rmda.kulib.kyoto-u.ac.jp/item/rb00013649#?c=0&amp;m=0&amp;s=0&amp;cv=136")</f>
        <v>https://rmda.kulib.kyoto-u.ac.jp/item/rb00013649#?c=0&amp;m=0&amp;s=0&amp;cv=136</v>
      </c>
    </row>
    <row r="3518" spans="1:4" x14ac:dyDescent="0.15">
      <c r="A3518" s="66" t="s">
        <v>197</v>
      </c>
      <c r="B3518" s="6" t="s">
        <v>2634</v>
      </c>
      <c r="C3518" s="6">
        <v>138</v>
      </c>
      <c r="D3518" s="6" t="str">
        <f>HYPERLINK("https://rmda.kulib.kyoto-u.ac.jp/item/rb00013649#?c=0&amp;m=0&amp;s=0&amp;cv=137")</f>
        <v>https://rmda.kulib.kyoto-u.ac.jp/item/rb00013649#?c=0&amp;m=0&amp;s=0&amp;cv=137</v>
      </c>
    </row>
    <row r="3519" spans="1:4" x14ac:dyDescent="0.15">
      <c r="A3519" s="66" t="s">
        <v>197</v>
      </c>
      <c r="B3519" s="6" t="s">
        <v>2570</v>
      </c>
      <c r="C3519" s="6">
        <v>138</v>
      </c>
      <c r="D3519" s="6" t="str">
        <f>HYPERLINK("https://rmda.kulib.kyoto-u.ac.jp/item/rb00013649#?c=0&amp;m=0&amp;s=0&amp;cv=137")</f>
        <v>https://rmda.kulib.kyoto-u.ac.jp/item/rb00013649#?c=0&amp;m=0&amp;s=0&amp;cv=137</v>
      </c>
    </row>
    <row r="3520" spans="1:4" x14ac:dyDescent="0.15">
      <c r="A3520" s="66" t="s">
        <v>197</v>
      </c>
      <c r="B3520" s="6" t="s">
        <v>6054</v>
      </c>
      <c r="C3520" s="6">
        <v>139</v>
      </c>
      <c r="D3520" s="6" t="str">
        <f>HYPERLINK("https://rmda.kulib.kyoto-u.ac.jp/item/rb00013649#?c=0&amp;m=0&amp;s=0&amp;cv=138")</f>
        <v>https://rmda.kulib.kyoto-u.ac.jp/item/rb00013649#?c=0&amp;m=0&amp;s=0&amp;cv=138</v>
      </c>
    </row>
    <row r="3521" spans="1:4" x14ac:dyDescent="0.15">
      <c r="A3521" s="66" t="s">
        <v>197</v>
      </c>
      <c r="B3521" s="6" t="s">
        <v>1437</v>
      </c>
      <c r="C3521" s="6">
        <v>139</v>
      </c>
      <c r="D3521" s="6" t="str">
        <f>HYPERLINK("https://rmda.kulib.kyoto-u.ac.jp/item/rb00013649#?c=0&amp;m=0&amp;s=0&amp;cv=138")</f>
        <v>https://rmda.kulib.kyoto-u.ac.jp/item/rb00013649#?c=0&amp;m=0&amp;s=0&amp;cv=138</v>
      </c>
    </row>
    <row r="3522" spans="1:4" x14ac:dyDescent="0.15">
      <c r="A3522" s="66" t="s">
        <v>197</v>
      </c>
      <c r="B3522" s="6" t="s">
        <v>2635</v>
      </c>
      <c r="C3522" s="6">
        <v>139</v>
      </c>
      <c r="D3522" s="6" t="str">
        <f>HYPERLINK("https://rmda.kulib.kyoto-u.ac.jp/item/rb00013649#?c=0&amp;m=0&amp;s=0&amp;cv=138")</f>
        <v>https://rmda.kulib.kyoto-u.ac.jp/item/rb00013649#?c=0&amp;m=0&amp;s=0&amp;cv=138</v>
      </c>
    </row>
    <row r="3523" spans="1:4" x14ac:dyDescent="0.15">
      <c r="A3523" s="66" t="s">
        <v>197</v>
      </c>
      <c r="B3523" s="6" t="s">
        <v>2636</v>
      </c>
      <c r="C3523" s="6">
        <v>140</v>
      </c>
      <c r="D3523" s="6" t="str">
        <f>HYPERLINK("https://rmda.kulib.kyoto-u.ac.jp/item/rb00013649#?c=0&amp;m=0&amp;s=0&amp;cv=139")</f>
        <v>https://rmda.kulib.kyoto-u.ac.jp/item/rb00013649#?c=0&amp;m=0&amp;s=0&amp;cv=139</v>
      </c>
    </row>
    <row r="3524" spans="1:4" x14ac:dyDescent="0.15">
      <c r="A3524" s="66" t="s">
        <v>197</v>
      </c>
      <c r="B3524" s="6" t="s">
        <v>2569</v>
      </c>
      <c r="C3524" s="6">
        <v>142</v>
      </c>
      <c r="D3524" s="6" t="str">
        <f>HYPERLINK("https://rmda.kulib.kyoto-u.ac.jp/item/rb00013649#?c=0&amp;m=0&amp;s=0&amp;cv=141")</f>
        <v>https://rmda.kulib.kyoto-u.ac.jp/item/rb00013649#?c=0&amp;m=0&amp;s=0&amp;cv=141</v>
      </c>
    </row>
    <row r="3525" spans="1:4" x14ac:dyDescent="0.15">
      <c r="A3525" s="66" t="s">
        <v>197</v>
      </c>
      <c r="B3525" s="6" t="s">
        <v>1446</v>
      </c>
      <c r="C3525" s="6">
        <v>143</v>
      </c>
      <c r="D3525" s="6" t="str">
        <f>HYPERLINK("https://rmda.kulib.kyoto-u.ac.jp/item/rb00013649#?c=0&amp;m=0&amp;s=0&amp;cv=142")</f>
        <v>https://rmda.kulib.kyoto-u.ac.jp/item/rb00013649#?c=0&amp;m=0&amp;s=0&amp;cv=142</v>
      </c>
    </row>
    <row r="3526" spans="1:4" x14ac:dyDescent="0.15">
      <c r="A3526" s="66" t="s">
        <v>197</v>
      </c>
      <c r="B3526" s="6" t="s">
        <v>2637</v>
      </c>
      <c r="C3526" s="6">
        <v>144</v>
      </c>
      <c r="D3526" s="6" t="str">
        <f>HYPERLINK("https://rmda.kulib.kyoto-u.ac.jp/item/rb00013649#?c=0&amp;m=0&amp;s=0&amp;cv=143")</f>
        <v>https://rmda.kulib.kyoto-u.ac.jp/item/rb00013649#?c=0&amp;m=0&amp;s=0&amp;cv=143</v>
      </c>
    </row>
    <row r="3527" spans="1:4" x14ac:dyDescent="0.15">
      <c r="A3527" s="66" t="s">
        <v>197</v>
      </c>
      <c r="B3527" s="6" t="s">
        <v>2638</v>
      </c>
      <c r="C3527" s="6">
        <v>144</v>
      </c>
      <c r="D3527" s="6" t="str">
        <f>HYPERLINK("https://rmda.kulib.kyoto-u.ac.jp/item/rb00013649#?c=0&amp;m=0&amp;s=0&amp;cv=143")</f>
        <v>https://rmda.kulib.kyoto-u.ac.jp/item/rb00013649#?c=0&amp;m=0&amp;s=0&amp;cv=143</v>
      </c>
    </row>
    <row r="3528" spans="1:4" x14ac:dyDescent="0.15">
      <c r="A3528" s="66" t="s">
        <v>197</v>
      </c>
      <c r="B3528" s="6" t="s">
        <v>1444</v>
      </c>
      <c r="C3528" s="6">
        <v>145</v>
      </c>
      <c r="D3528" s="6" t="str">
        <f>HYPERLINK("https://rmda.kulib.kyoto-u.ac.jp/item/rb00013649#?c=0&amp;m=0&amp;s=0&amp;cv=144")</f>
        <v>https://rmda.kulib.kyoto-u.ac.jp/item/rb00013649#?c=0&amp;m=0&amp;s=0&amp;cv=144</v>
      </c>
    </row>
    <row r="3529" spans="1:4" x14ac:dyDescent="0.15">
      <c r="A3529" s="66" t="s">
        <v>197</v>
      </c>
      <c r="B3529" s="6" t="s">
        <v>1451</v>
      </c>
      <c r="C3529" s="6">
        <v>145</v>
      </c>
      <c r="D3529" s="6" t="str">
        <f>HYPERLINK("https://rmda.kulib.kyoto-u.ac.jp/item/rb00013649#?c=0&amp;m=0&amp;s=0&amp;cv=144")</f>
        <v>https://rmda.kulib.kyoto-u.ac.jp/item/rb00013649#?c=0&amp;m=0&amp;s=0&amp;cv=144</v>
      </c>
    </row>
    <row r="3530" spans="1:4" x14ac:dyDescent="0.15">
      <c r="A3530" s="66" t="s">
        <v>197</v>
      </c>
      <c r="B3530" s="6" t="s">
        <v>2571</v>
      </c>
      <c r="C3530" s="6">
        <v>146</v>
      </c>
      <c r="D3530" s="6" t="str">
        <f>HYPERLINK("https://rmda.kulib.kyoto-u.ac.jp/item/rb00013649#?c=0&amp;m=0&amp;s=0&amp;cv=145")</f>
        <v>https://rmda.kulib.kyoto-u.ac.jp/item/rb00013649#?c=0&amp;m=0&amp;s=0&amp;cv=145</v>
      </c>
    </row>
    <row r="3531" spans="1:4" x14ac:dyDescent="0.15">
      <c r="A3531" s="66" t="s">
        <v>197</v>
      </c>
      <c r="B3531" s="72" t="s">
        <v>6055</v>
      </c>
      <c r="C3531" s="6">
        <v>147</v>
      </c>
      <c r="D3531" s="6" t="str">
        <f>HYPERLINK("https://rmda.kulib.kyoto-u.ac.jp/item/rb00013649#?c=0&amp;m=0&amp;s=0&amp;cv=146")</f>
        <v>https://rmda.kulib.kyoto-u.ac.jp/item/rb00013649#?c=0&amp;m=0&amp;s=0&amp;cv=146</v>
      </c>
    </row>
    <row r="3532" spans="1:4" x14ac:dyDescent="0.15">
      <c r="A3532" s="66" t="s">
        <v>197</v>
      </c>
      <c r="B3532" s="6" t="s">
        <v>2639</v>
      </c>
      <c r="C3532" s="6">
        <v>147</v>
      </c>
      <c r="D3532" s="6" t="str">
        <f>HYPERLINK("https://rmda.kulib.kyoto-u.ac.jp/item/rb00013649#?c=0&amp;m=0&amp;s=0&amp;cv=146")</f>
        <v>https://rmda.kulib.kyoto-u.ac.jp/item/rb00013649#?c=0&amp;m=0&amp;s=0&amp;cv=146</v>
      </c>
    </row>
    <row r="3533" spans="1:4" x14ac:dyDescent="0.15">
      <c r="A3533" s="66" t="s">
        <v>197</v>
      </c>
      <c r="B3533" s="6" t="s">
        <v>2640</v>
      </c>
      <c r="C3533" s="6">
        <v>147</v>
      </c>
      <c r="D3533" s="6" t="str">
        <f>HYPERLINK("https://rmda.kulib.kyoto-u.ac.jp/item/rb00013649#?c=0&amp;m=0&amp;s=0&amp;cv=146")</f>
        <v>https://rmda.kulib.kyoto-u.ac.jp/item/rb00013649#?c=0&amp;m=0&amp;s=0&amp;cv=146</v>
      </c>
    </row>
    <row r="3534" spans="1:4" x14ac:dyDescent="0.15">
      <c r="A3534" s="66" t="s">
        <v>197</v>
      </c>
      <c r="B3534" s="6" t="s">
        <v>1426</v>
      </c>
      <c r="C3534" s="6">
        <v>147</v>
      </c>
      <c r="D3534" s="6" t="str">
        <f>HYPERLINK("https://rmda.kulib.kyoto-u.ac.jp/item/rb00013649#?c=0&amp;m=0&amp;s=0&amp;cv=146")</f>
        <v>https://rmda.kulib.kyoto-u.ac.jp/item/rb00013649#?c=0&amp;m=0&amp;s=0&amp;cv=146</v>
      </c>
    </row>
    <row r="3535" spans="1:4" x14ac:dyDescent="0.15">
      <c r="A3535" s="66" t="s">
        <v>197</v>
      </c>
      <c r="B3535" s="6" t="s">
        <v>2870</v>
      </c>
      <c r="C3535" s="6">
        <v>147</v>
      </c>
      <c r="D3535" s="6" t="str">
        <f>HYPERLINK("https://rmda.kulib.kyoto-u.ac.jp/item/rb00013649#?c=0&amp;m=0&amp;s=0&amp;cv=146")</f>
        <v>https://rmda.kulib.kyoto-u.ac.jp/item/rb00013649#?c=0&amp;m=0&amp;s=0&amp;cv=146</v>
      </c>
    </row>
    <row r="3536" spans="1:4" x14ac:dyDescent="0.15">
      <c r="A3536" s="66" t="s">
        <v>197</v>
      </c>
      <c r="B3536" s="6" t="s">
        <v>2563</v>
      </c>
      <c r="C3536" s="6">
        <v>148</v>
      </c>
      <c r="D3536" s="6" t="str">
        <f>HYPERLINK("https://rmda.kulib.kyoto-u.ac.jp/item/rb00013649#?c=0&amp;m=0&amp;s=0&amp;cv=147")</f>
        <v>https://rmda.kulib.kyoto-u.ac.jp/item/rb00013649#?c=0&amp;m=0&amp;s=0&amp;cv=147</v>
      </c>
    </row>
    <row r="3537" spans="1:4" x14ac:dyDescent="0.15">
      <c r="A3537" s="66" t="s">
        <v>197</v>
      </c>
      <c r="B3537" s="6" t="s">
        <v>1448</v>
      </c>
      <c r="C3537" s="6">
        <v>148</v>
      </c>
      <c r="D3537" s="6" t="str">
        <f>HYPERLINK("https://rmda.kulib.kyoto-u.ac.jp/item/rb00013649#?c=0&amp;m=0&amp;s=0&amp;cv=147")</f>
        <v>https://rmda.kulib.kyoto-u.ac.jp/item/rb00013649#?c=0&amp;m=0&amp;s=0&amp;cv=147</v>
      </c>
    </row>
    <row r="3538" spans="1:4" x14ac:dyDescent="0.15">
      <c r="A3538" s="66" t="s">
        <v>197</v>
      </c>
      <c r="B3538" s="6" t="s">
        <v>6057</v>
      </c>
      <c r="C3538" s="6">
        <v>149</v>
      </c>
      <c r="D3538" s="6" t="str">
        <f>HYPERLINK("https://rmda.kulib.kyoto-u.ac.jp/item/rb00013649#?c=0&amp;m=0&amp;s=0&amp;cv=148")</f>
        <v>https://rmda.kulib.kyoto-u.ac.jp/item/rb00013649#?c=0&amp;m=0&amp;s=0&amp;cv=148</v>
      </c>
    </row>
    <row r="3539" spans="1:4" x14ac:dyDescent="0.15">
      <c r="A3539" s="66" t="s">
        <v>197</v>
      </c>
      <c r="B3539" s="6" t="s">
        <v>6056</v>
      </c>
      <c r="C3539" s="6">
        <v>150</v>
      </c>
      <c r="D3539" s="6" t="str">
        <f>HYPERLINK("https://rmda.kulib.kyoto-u.ac.jp/item/rb00013649#?c=0&amp;m=0&amp;s=0&amp;cv=149")</f>
        <v>https://rmda.kulib.kyoto-u.ac.jp/item/rb00013649#?c=0&amp;m=0&amp;s=0&amp;cv=149</v>
      </c>
    </row>
    <row r="3540" spans="1:4" x14ac:dyDescent="0.15">
      <c r="A3540" s="66" t="s">
        <v>197</v>
      </c>
      <c r="B3540" s="6" t="s">
        <v>2505</v>
      </c>
      <c r="C3540" s="6">
        <v>153</v>
      </c>
      <c r="D3540" s="6" t="str">
        <f>HYPERLINK("https://rmda.kulib.kyoto-u.ac.jp/item/rb00013649#?c=0&amp;m=0&amp;s=0&amp;cv=152")</f>
        <v>https://rmda.kulib.kyoto-u.ac.jp/item/rb00013649#?c=0&amp;m=0&amp;s=0&amp;cv=152</v>
      </c>
    </row>
    <row r="3541" spans="1:4" x14ac:dyDescent="0.15">
      <c r="A3541" s="66" t="s">
        <v>197</v>
      </c>
      <c r="B3541" s="80" t="s">
        <v>6061</v>
      </c>
      <c r="C3541" s="6">
        <v>155</v>
      </c>
      <c r="D3541" s="6" t="str">
        <f>HYPERLINK("https://rmda.kulib.kyoto-u.ac.jp/item/rb00013649#?c=0&amp;m=0&amp;s=0&amp;cv=154")</f>
        <v>https://rmda.kulib.kyoto-u.ac.jp/item/rb00013649#?c=0&amp;m=0&amp;s=0&amp;cv=154</v>
      </c>
    </row>
    <row r="3542" spans="1:4" x14ac:dyDescent="0.15">
      <c r="A3542" s="66" t="s">
        <v>197</v>
      </c>
      <c r="B3542" s="6" t="s">
        <v>2508</v>
      </c>
      <c r="C3542" s="6">
        <v>155</v>
      </c>
      <c r="D3542" s="6" t="str">
        <f>HYPERLINK("https://rmda.kulib.kyoto-u.ac.jp/item/rb00013649#?c=0&amp;m=0&amp;s=0&amp;cv=154")</f>
        <v>https://rmda.kulib.kyoto-u.ac.jp/item/rb00013649#?c=0&amp;m=0&amp;s=0&amp;cv=154</v>
      </c>
    </row>
    <row r="3543" spans="1:4" x14ac:dyDescent="0.15">
      <c r="A3543" s="66" t="s">
        <v>197</v>
      </c>
      <c r="B3543" s="6" t="s">
        <v>2509</v>
      </c>
      <c r="C3543" s="6">
        <v>160</v>
      </c>
      <c r="D3543" s="6" t="str">
        <f>HYPERLINK("https://rmda.kulib.kyoto-u.ac.jp/item/rb00013649#?c=0&amp;m=0&amp;s=0&amp;cv=159")</f>
        <v>https://rmda.kulib.kyoto-u.ac.jp/item/rb00013649#?c=0&amp;m=0&amp;s=0&amp;cv=159</v>
      </c>
    </row>
    <row r="3544" spans="1:4" x14ac:dyDescent="0.15">
      <c r="A3544" s="66" t="s">
        <v>197</v>
      </c>
      <c r="B3544" s="6" t="s">
        <v>2510</v>
      </c>
      <c r="C3544" s="6">
        <v>163</v>
      </c>
      <c r="D3544" s="6" t="str">
        <f>HYPERLINK("https://rmda.kulib.kyoto-u.ac.jp/item/rb00013649#?c=0&amp;m=0&amp;s=0&amp;cv=162")</f>
        <v>https://rmda.kulib.kyoto-u.ac.jp/item/rb00013649#?c=0&amp;m=0&amp;s=0&amp;cv=162</v>
      </c>
    </row>
    <row r="3545" spans="1:4" x14ac:dyDescent="0.15">
      <c r="A3545" s="66" t="s">
        <v>197</v>
      </c>
      <c r="B3545" s="6" t="s">
        <v>2511</v>
      </c>
      <c r="C3545" s="6">
        <v>164</v>
      </c>
      <c r="D3545" s="6" t="str">
        <f>HYPERLINK("https://rmda.kulib.kyoto-u.ac.jp/item/rb00013649#?c=0&amp;m=0&amp;s=0&amp;cv=163")</f>
        <v>https://rmda.kulib.kyoto-u.ac.jp/item/rb00013649#?c=0&amp;m=0&amp;s=0&amp;cv=163</v>
      </c>
    </row>
    <row r="3546" spans="1:4" x14ac:dyDescent="0.15">
      <c r="A3546" s="66" t="s">
        <v>197</v>
      </c>
      <c r="B3546" s="6" t="s">
        <v>2512</v>
      </c>
      <c r="C3546" s="6">
        <v>165</v>
      </c>
      <c r="D3546" s="6" t="str">
        <f>HYPERLINK("https://rmda.kulib.kyoto-u.ac.jp/item/rb00013649#?c=0&amp;m=0&amp;s=0&amp;cv=164")</f>
        <v>https://rmda.kulib.kyoto-u.ac.jp/item/rb00013649#?c=0&amp;m=0&amp;s=0&amp;cv=164</v>
      </c>
    </row>
    <row r="3547" spans="1:4" x14ac:dyDescent="0.15">
      <c r="A3547" s="66" t="s">
        <v>197</v>
      </c>
      <c r="B3547" s="6" t="s">
        <v>2513</v>
      </c>
      <c r="C3547" s="6">
        <v>167</v>
      </c>
      <c r="D3547" s="6" t="str">
        <f>HYPERLINK("https://rmda.kulib.kyoto-u.ac.jp/item/rb00013649#?c=0&amp;m=0&amp;s=0&amp;cv=166")</f>
        <v>https://rmda.kulib.kyoto-u.ac.jp/item/rb00013649#?c=0&amp;m=0&amp;s=0&amp;cv=166</v>
      </c>
    </row>
    <row r="3548" spans="1:4" x14ac:dyDescent="0.15">
      <c r="A3548" s="66" t="s">
        <v>197</v>
      </c>
      <c r="B3548" s="6" t="s">
        <v>2514</v>
      </c>
      <c r="C3548" s="6">
        <v>167</v>
      </c>
      <c r="D3548" s="6" t="str">
        <f>HYPERLINK("https://rmda.kulib.kyoto-u.ac.jp/item/rb00013649#?c=0&amp;m=0&amp;s=0&amp;cv=166")</f>
        <v>https://rmda.kulib.kyoto-u.ac.jp/item/rb00013649#?c=0&amp;m=0&amp;s=0&amp;cv=166</v>
      </c>
    </row>
    <row r="3549" spans="1:4" x14ac:dyDescent="0.15">
      <c r="A3549" s="66" t="s">
        <v>197</v>
      </c>
      <c r="B3549" s="6" t="s">
        <v>2515</v>
      </c>
      <c r="C3549" s="6">
        <v>168</v>
      </c>
      <c r="D3549" s="6" t="str">
        <f>HYPERLINK("https://rmda.kulib.kyoto-u.ac.jp/item/rb00013649#?c=0&amp;m=0&amp;s=0&amp;cv=167")</f>
        <v>https://rmda.kulib.kyoto-u.ac.jp/item/rb00013649#?c=0&amp;m=0&amp;s=0&amp;cv=167</v>
      </c>
    </row>
    <row r="3550" spans="1:4" x14ac:dyDescent="0.15">
      <c r="A3550" s="66" t="s">
        <v>197</v>
      </c>
      <c r="B3550" s="6" t="s">
        <v>2516</v>
      </c>
      <c r="C3550" s="6">
        <v>169</v>
      </c>
      <c r="D3550" s="6" t="str">
        <f>HYPERLINK("https://rmda.kulib.kyoto-u.ac.jp/item/rb00013649#?c=0&amp;m=0&amp;s=0&amp;cv=168")</f>
        <v>https://rmda.kulib.kyoto-u.ac.jp/item/rb00013649#?c=0&amp;m=0&amp;s=0&amp;cv=168</v>
      </c>
    </row>
    <row r="3551" spans="1:4" x14ac:dyDescent="0.15">
      <c r="A3551" s="66" t="s">
        <v>197</v>
      </c>
      <c r="B3551" s="6" t="s">
        <v>2517</v>
      </c>
      <c r="C3551" s="6">
        <v>171</v>
      </c>
      <c r="D3551" s="6" t="str">
        <f>HYPERLINK("https://rmda.kulib.kyoto-u.ac.jp/item/rb00013649#?c=0&amp;m=0&amp;s=0&amp;cv=170")</f>
        <v>https://rmda.kulib.kyoto-u.ac.jp/item/rb00013649#?c=0&amp;m=0&amp;s=0&amp;cv=170</v>
      </c>
    </row>
    <row r="3552" spans="1:4" x14ac:dyDescent="0.15">
      <c r="A3552" s="66" t="s">
        <v>197</v>
      </c>
      <c r="B3552" s="6" t="s">
        <v>2518</v>
      </c>
      <c r="C3552" s="6">
        <v>172</v>
      </c>
      <c r="D3552" s="6" t="str">
        <f>HYPERLINK("https://rmda.kulib.kyoto-u.ac.jp/item/rb00013649#?c=0&amp;m=0&amp;s=0&amp;cv=171")</f>
        <v>https://rmda.kulib.kyoto-u.ac.jp/item/rb00013649#?c=0&amp;m=0&amp;s=0&amp;cv=171</v>
      </c>
    </row>
    <row r="3553" spans="1:4" x14ac:dyDescent="0.15">
      <c r="A3553" s="66" t="s">
        <v>197</v>
      </c>
      <c r="B3553" s="6" t="s">
        <v>2519</v>
      </c>
      <c r="C3553" s="6">
        <v>174</v>
      </c>
      <c r="D3553" s="6" t="str">
        <f>HYPERLINK("https://rmda.kulib.kyoto-u.ac.jp/item/rb00013649#?c=0&amp;m=0&amp;s=0&amp;cv=173")</f>
        <v>https://rmda.kulib.kyoto-u.ac.jp/item/rb00013649#?c=0&amp;m=0&amp;s=0&amp;cv=173</v>
      </c>
    </row>
    <row r="3554" spans="1:4" x14ac:dyDescent="0.15">
      <c r="A3554" s="66" t="s">
        <v>197</v>
      </c>
      <c r="B3554" s="6" t="s">
        <v>2499</v>
      </c>
      <c r="C3554" s="6">
        <v>176</v>
      </c>
      <c r="D3554" s="6" t="str">
        <f>HYPERLINK("https://rmda.kulib.kyoto-u.ac.jp/item/rb00013649#?c=0&amp;m=0&amp;s=0&amp;cv=175")</f>
        <v>https://rmda.kulib.kyoto-u.ac.jp/item/rb00013649#?c=0&amp;m=0&amp;s=0&amp;cv=175</v>
      </c>
    </row>
    <row r="3555" spans="1:4" x14ac:dyDescent="0.15">
      <c r="A3555" s="66" t="s">
        <v>197</v>
      </c>
      <c r="B3555" s="6" t="s">
        <v>2500</v>
      </c>
      <c r="C3555" s="6">
        <v>177</v>
      </c>
      <c r="D3555" s="6" t="str">
        <f>HYPERLINK("https://rmda.kulib.kyoto-u.ac.jp/item/rb00013649#?c=0&amp;m=0&amp;s=0&amp;cv=176")</f>
        <v>https://rmda.kulib.kyoto-u.ac.jp/item/rb00013649#?c=0&amp;m=0&amp;s=0&amp;cv=176</v>
      </c>
    </row>
    <row r="3556" spans="1:4" x14ac:dyDescent="0.15">
      <c r="A3556" s="66" t="s">
        <v>197</v>
      </c>
      <c r="B3556" s="6" t="s">
        <v>2501</v>
      </c>
      <c r="C3556" s="6">
        <v>178</v>
      </c>
      <c r="D3556" s="6" t="str">
        <f>HYPERLINK("https://rmda.kulib.kyoto-u.ac.jp/item/rb00013649#?c=0&amp;m=0&amp;s=0&amp;cv=177")</f>
        <v>https://rmda.kulib.kyoto-u.ac.jp/item/rb00013649#?c=0&amp;m=0&amp;s=0&amp;cv=177</v>
      </c>
    </row>
    <row r="3557" spans="1:4" x14ac:dyDescent="0.15">
      <c r="A3557" s="66" t="s">
        <v>197</v>
      </c>
      <c r="B3557" s="6" t="s">
        <v>2520</v>
      </c>
      <c r="C3557" s="6">
        <v>180</v>
      </c>
      <c r="D3557" s="6" t="str">
        <f>HYPERLINK("https://rmda.kulib.kyoto-u.ac.jp/item/rb00013649#?c=0&amp;m=0&amp;s=0&amp;cv=179")</f>
        <v>https://rmda.kulib.kyoto-u.ac.jp/item/rb00013649#?c=0&amp;m=0&amp;s=0&amp;cv=179</v>
      </c>
    </row>
    <row r="3558" spans="1:4" x14ac:dyDescent="0.15">
      <c r="A3558" s="66" t="s">
        <v>197</v>
      </c>
      <c r="B3558" s="72" t="s">
        <v>6045</v>
      </c>
      <c r="C3558" s="6">
        <v>181</v>
      </c>
      <c r="D3558" s="6" t="str">
        <f>HYPERLINK("https://rmda.kulib.kyoto-u.ac.jp/item/rb00013649#?c=0&amp;m=0&amp;s=0&amp;cv=180")</f>
        <v>https://rmda.kulib.kyoto-u.ac.jp/item/rb00013649#?c=0&amp;m=0&amp;s=0&amp;cv=180</v>
      </c>
    </row>
    <row r="3559" spans="1:4" x14ac:dyDescent="0.15">
      <c r="A3559" s="66" t="s">
        <v>197</v>
      </c>
      <c r="B3559" s="6" t="s">
        <v>2521</v>
      </c>
      <c r="C3559" s="6">
        <v>181</v>
      </c>
      <c r="D3559" s="6" t="str">
        <f>HYPERLINK("https://rmda.kulib.kyoto-u.ac.jp/item/rb00013649#?c=0&amp;m=0&amp;s=0&amp;cv=180")</f>
        <v>https://rmda.kulib.kyoto-u.ac.jp/item/rb00013649#?c=0&amp;m=0&amp;s=0&amp;cv=180</v>
      </c>
    </row>
    <row r="3560" spans="1:4" x14ac:dyDescent="0.15">
      <c r="A3560" s="66" t="s">
        <v>197</v>
      </c>
      <c r="B3560" s="80" t="s">
        <v>6044</v>
      </c>
      <c r="C3560" s="6">
        <v>183</v>
      </c>
      <c r="D3560" s="6" t="str">
        <f>HYPERLINK("https://rmda.kulib.kyoto-u.ac.jp/item/rb00013649#?c=0&amp;m=0&amp;s=0&amp;cv=182")</f>
        <v>https://rmda.kulib.kyoto-u.ac.jp/item/rb00013649#?c=0&amp;m=0&amp;s=0&amp;cv=182</v>
      </c>
    </row>
    <row r="3561" spans="1:4" x14ac:dyDescent="0.15">
      <c r="A3561" s="66" t="s">
        <v>197</v>
      </c>
      <c r="B3561" s="6" t="s">
        <v>2522</v>
      </c>
      <c r="C3561" s="6">
        <v>185</v>
      </c>
      <c r="D3561" s="6" t="str">
        <f>HYPERLINK("https://rmda.kulib.kyoto-u.ac.jp/item/rb00013649#?c=0&amp;m=0&amp;s=0&amp;cv=184")</f>
        <v>https://rmda.kulib.kyoto-u.ac.jp/item/rb00013649#?c=0&amp;m=0&amp;s=0&amp;cv=184</v>
      </c>
    </row>
    <row r="3562" spans="1:4" x14ac:dyDescent="0.15">
      <c r="A3562" s="66" t="s">
        <v>197</v>
      </c>
      <c r="B3562" s="6" t="s">
        <v>2523</v>
      </c>
      <c r="C3562" s="6">
        <v>187</v>
      </c>
      <c r="D3562" s="6" t="str">
        <f>HYPERLINK("https://rmda.kulib.kyoto-u.ac.jp/item/rb00013649#?c=0&amp;m=0&amp;s=0&amp;cv=186")</f>
        <v>https://rmda.kulib.kyoto-u.ac.jp/item/rb00013649#?c=0&amp;m=0&amp;s=0&amp;cv=186</v>
      </c>
    </row>
    <row r="3563" spans="1:4" x14ac:dyDescent="0.15">
      <c r="A3563" s="66" t="s">
        <v>197</v>
      </c>
      <c r="B3563" s="6" t="s">
        <v>2524</v>
      </c>
      <c r="C3563" s="6">
        <v>187</v>
      </c>
      <c r="D3563" s="6" t="str">
        <f>HYPERLINK("https://rmda.kulib.kyoto-u.ac.jp/item/rb00013649#?c=0&amp;m=0&amp;s=0&amp;cv=186")</f>
        <v>https://rmda.kulib.kyoto-u.ac.jp/item/rb00013649#?c=0&amp;m=0&amp;s=0&amp;cv=186</v>
      </c>
    </row>
    <row r="3564" spans="1:4" x14ac:dyDescent="0.15">
      <c r="A3564" s="66" t="s">
        <v>197</v>
      </c>
      <c r="B3564" s="6" t="s">
        <v>2525</v>
      </c>
      <c r="C3564" s="6">
        <v>188</v>
      </c>
      <c r="D3564" s="6" t="str">
        <f>HYPERLINK("https://rmda.kulib.kyoto-u.ac.jp/item/rb00013649#?c=0&amp;m=0&amp;s=0&amp;cv=187")</f>
        <v>https://rmda.kulib.kyoto-u.ac.jp/item/rb00013649#?c=0&amp;m=0&amp;s=0&amp;cv=187</v>
      </c>
    </row>
    <row r="3565" spans="1:4" x14ac:dyDescent="0.15">
      <c r="A3565" s="66" t="s">
        <v>197</v>
      </c>
      <c r="B3565" s="80" t="s">
        <v>6062</v>
      </c>
      <c r="C3565" s="6">
        <v>199</v>
      </c>
      <c r="D3565" s="6" t="str">
        <f>HYPERLINK("https://rmda.kulib.kyoto-u.ac.jp/item/rb00013649#?c=0&amp;m=0&amp;s=0&amp;cv=198")</f>
        <v>https://rmda.kulib.kyoto-u.ac.jp/item/rb00013649#?c=0&amp;m=0&amp;s=0&amp;cv=198</v>
      </c>
    </row>
    <row r="3566" spans="1:4" x14ac:dyDescent="0.15">
      <c r="A3566" s="66" t="s">
        <v>197</v>
      </c>
      <c r="B3566" s="6" t="s">
        <v>2584</v>
      </c>
      <c r="C3566" s="6">
        <v>200</v>
      </c>
      <c r="D3566" s="6" t="str">
        <f>HYPERLINK("https://rmda.kulib.kyoto-u.ac.jp/item/rb00013649#?c=0&amp;m=0&amp;s=0&amp;cv=199")</f>
        <v>https://rmda.kulib.kyoto-u.ac.jp/item/rb00013649#?c=0&amp;m=0&amp;s=0&amp;cv=199</v>
      </c>
    </row>
    <row r="3567" spans="1:4" x14ac:dyDescent="0.15">
      <c r="A3567" s="66" t="s">
        <v>197</v>
      </c>
      <c r="B3567" s="6" t="s">
        <v>2585</v>
      </c>
      <c r="C3567" s="6">
        <v>204</v>
      </c>
      <c r="D3567" s="6" t="str">
        <f>HYPERLINK("https://rmda.kulib.kyoto-u.ac.jp/item/rb00013649#?c=0&amp;m=0&amp;s=0&amp;cv=203")</f>
        <v>https://rmda.kulib.kyoto-u.ac.jp/item/rb00013649#?c=0&amp;m=0&amp;s=0&amp;cv=203</v>
      </c>
    </row>
    <row r="3568" spans="1:4" x14ac:dyDescent="0.15">
      <c r="A3568" s="66" t="s">
        <v>197</v>
      </c>
      <c r="B3568" s="6" t="s">
        <v>2586</v>
      </c>
      <c r="C3568" s="6">
        <v>204</v>
      </c>
      <c r="D3568" s="6" t="str">
        <f>HYPERLINK("https://rmda.kulib.kyoto-u.ac.jp/item/rb00013649#?c=0&amp;m=0&amp;s=0&amp;cv=203")</f>
        <v>https://rmda.kulib.kyoto-u.ac.jp/item/rb00013649#?c=0&amp;m=0&amp;s=0&amp;cv=203</v>
      </c>
    </row>
    <row r="3569" spans="1:4" x14ac:dyDescent="0.15">
      <c r="A3569" s="66" t="s">
        <v>197</v>
      </c>
      <c r="B3569" s="6" t="s">
        <v>2587</v>
      </c>
      <c r="C3569" s="6">
        <v>205</v>
      </c>
      <c r="D3569" s="6" t="str">
        <f>HYPERLINK("https://rmda.kulib.kyoto-u.ac.jp/item/rb00013649#?c=0&amp;m=0&amp;s=0&amp;cv=204")</f>
        <v>https://rmda.kulib.kyoto-u.ac.jp/item/rb00013649#?c=0&amp;m=0&amp;s=0&amp;cv=204</v>
      </c>
    </row>
    <row r="3570" spans="1:4" x14ac:dyDescent="0.15">
      <c r="A3570" s="66" t="s">
        <v>197</v>
      </c>
      <c r="B3570" s="6" t="s">
        <v>2588</v>
      </c>
      <c r="C3570" s="6">
        <v>206</v>
      </c>
      <c r="D3570" s="6" t="str">
        <f>HYPERLINK("https://rmda.kulib.kyoto-u.ac.jp/item/rb00013649#?c=0&amp;m=0&amp;s=0&amp;cv=205")</f>
        <v>https://rmda.kulib.kyoto-u.ac.jp/item/rb00013649#?c=0&amp;m=0&amp;s=0&amp;cv=205</v>
      </c>
    </row>
    <row r="3571" spans="1:4" x14ac:dyDescent="0.15">
      <c r="A3571" s="66" t="s">
        <v>197</v>
      </c>
      <c r="B3571" s="80" t="s">
        <v>6063</v>
      </c>
      <c r="C3571" s="6">
        <v>232</v>
      </c>
      <c r="D3571" s="6" t="str">
        <f>HYPERLINK("https://rmda.kulib.kyoto-u.ac.jp/item/rb00013649#?c=0&amp;m=0&amp;s=0&amp;cv=231")</f>
        <v>https://rmda.kulib.kyoto-u.ac.jp/item/rb00013649#?c=0&amp;m=0&amp;s=0&amp;cv=231</v>
      </c>
    </row>
    <row r="3572" spans="1:4" x14ac:dyDescent="0.15">
      <c r="A3572" s="66" t="s">
        <v>197</v>
      </c>
      <c r="B3572" s="6" t="s">
        <v>2589</v>
      </c>
      <c r="C3572" s="6">
        <v>236</v>
      </c>
      <c r="D3572" s="6" t="str">
        <f>HYPERLINK("https://rmda.kulib.kyoto-u.ac.jp/item/rb00013649#?c=0&amp;m=0&amp;s=0&amp;cv=235")</f>
        <v>https://rmda.kulib.kyoto-u.ac.jp/item/rb00013649#?c=0&amp;m=0&amp;s=0&amp;cv=235</v>
      </c>
    </row>
    <row r="3573" spans="1:4" x14ac:dyDescent="0.15">
      <c r="A3573" s="66" t="s">
        <v>197</v>
      </c>
      <c r="B3573" s="6" t="s">
        <v>2590</v>
      </c>
      <c r="C3573" s="6">
        <v>236</v>
      </c>
      <c r="D3573" s="6" t="str">
        <f>HYPERLINK("https://rmda.kulib.kyoto-u.ac.jp/item/rb00013649#?c=0&amp;m=0&amp;s=0&amp;cv=235")</f>
        <v>https://rmda.kulib.kyoto-u.ac.jp/item/rb00013649#?c=0&amp;m=0&amp;s=0&amp;cv=235</v>
      </c>
    </row>
    <row r="3574" spans="1:4" x14ac:dyDescent="0.15">
      <c r="A3574" s="66" t="s">
        <v>197</v>
      </c>
      <c r="B3574" s="6" t="s">
        <v>2591</v>
      </c>
      <c r="C3574" s="6">
        <v>237</v>
      </c>
      <c r="D3574" s="6" t="str">
        <f>HYPERLINK("https://rmda.kulib.kyoto-u.ac.jp/item/rb00013649#?c=0&amp;m=0&amp;s=0&amp;cv=236")</f>
        <v>https://rmda.kulib.kyoto-u.ac.jp/item/rb00013649#?c=0&amp;m=0&amp;s=0&amp;cv=236</v>
      </c>
    </row>
    <row r="3575" spans="1:4" x14ac:dyDescent="0.15">
      <c r="A3575" s="66" t="s">
        <v>197</v>
      </c>
      <c r="B3575" s="6" t="s">
        <v>2592</v>
      </c>
      <c r="C3575" s="6">
        <v>238</v>
      </c>
      <c r="D3575" s="6" t="str">
        <f>HYPERLINK("https://rmda.kulib.kyoto-u.ac.jp/item/rb00013649#?c=0&amp;m=0&amp;s=0&amp;cv=237")</f>
        <v>https://rmda.kulib.kyoto-u.ac.jp/item/rb00013649#?c=0&amp;m=0&amp;s=0&amp;cv=237</v>
      </c>
    </row>
    <row r="3576" spans="1:4" x14ac:dyDescent="0.15">
      <c r="A3576" s="66" t="s">
        <v>197</v>
      </c>
      <c r="B3576" s="6" t="s">
        <v>2593</v>
      </c>
      <c r="C3576" s="6">
        <v>239</v>
      </c>
      <c r="D3576" s="6" t="str">
        <f>HYPERLINK("https://rmda.kulib.kyoto-u.ac.jp/item/rb00013649#?c=0&amp;m=0&amp;s=0&amp;cv=238")</f>
        <v>https://rmda.kulib.kyoto-u.ac.jp/item/rb00013649#?c=0&amp;m=0&amp;s=0&amp;cv=238</v>
      </c>
    </row>
    <row r="3577" spans="1:4" x14ac:dyDescent="0.15">
      <c r="A3577" s="66" t="s">
        <v>197</v>
      </c>
      <c r="B3577" s="6" t="s">
        <v>2594</v>
      </c>
      <c r="C3577" s="6">
        <v>240</v>
      </c>
      <c r="D3577" s="6" t="str">
        <f>HYPERLINK("https://rmda.kulib.kyoto-u.ac.jp/item/rb00013649#?c=0&amp;m=0&amp;s=0&amp;cv=239")</f>
        <v>https://rmda.kulib.kyoto-u.ac.jp/item/rb00013649#?c=0&amp;m=0&amp;s=0&amp;cv=239</v>
      </c>
    </row>
    <row r="3578" spans="1:4" x14ac:dyDescent="0.15">
      <c r="A3578" s="66" t="s">
        <v>197</v>
      </c>
      <c r="B3578" s="6" t="s">
        <v>2595</v>
      </c>
      <c r="C3578" s="6">
        <v>241</v>
      </c>
      <c r="D3578" s="6" t="str">
        <f>HYPERLINK("https://rmda.kulib.kyoto-u.ac.jp/item/rb00013649#?c=0&amp;m=0&amp;s=0&amp;cv=240")</f>
        <v>https://rmda.kulib.kyoto-u.ac.jp/item/rb00013649#?c=0&amp;m=0&amp;s=0&amp;cv=240</v>
      </c>
    </row>
    <row r="3579" spans="1:4" x14ac:dyDescent="0.15">
      <c r="A3579" s="66" t="s">
        <v>197</v>
      </c>
      <c r="B3579" s="6" t="s">
        <v>2596</v>
      </c>
      <c r="C3579" s="6">
        <v>243</v>
      </c>
      <c r="D3579" s="6" t="str">
        <f>HYPERLINK("https://rmda.kulib.kyoto-u.ac.jp/item/rb00013649#?c=0&amp;m=0&amp;s=0&amp;cv=242")</f>
        <v>https://rmda.kulib.kyoto-u.ac.jp/item/rb00013649#?c=0&amp;m=0&amp;s=0&amp;cv=242</v>
      </c>
    </row>
    <row r="3580" spans="1:4" x14ac:dyDescent="0.15">
      <c r="A3580" s="66" t="s">
        <v>197</v>
      </c>
      <c r="B3580" s="80" t="s">
        <v>6064</v>
      </c>
      <c r="C3580" s="6">
        <v>251</v>
      </c>
      <c r="D3580" s="6" t="str">
        <f>HYPERLINK("https://rmda.kulib.kyoto-u.ac.jp/item/rb00013649#?c=0&amp;m=0&amp;s=0&amp;cv=250")</f>
        <v>https://rmda.kulib.kyoto-u.ac.jp/item/rb00013649#?c=0&amp;m=0&amp;s=0&amp;cv=250</v>
      </c>
    </row>
    <row r="3581" spans="1:4" x14ac:dyDescent="0.15">
      <c r="A3581" s="66" t="s">
        <v>197</v>
      </c>
      <c r="B3581" s="6" t="s">
        <v>2598</v>
      </c>
      <c r="C3581" s="6">
        <v>253</v>
      </c>
      <c r="D3581" s="6" t="str">
        <f>HYPERLINK("https://rmda.kulib.kyoto-u.ac.jp/item/rb00013649#?c=0&amp;m=0&amp;s=0&amp;cv=252")</f>
        <v>https://rmda.kulib.kyoto-u.ac.jp/item/rb00013649#?c=0&amp;m=0&amp;s=0&amp;cv=252</v>
      </c>
    </row>
    <row r="3582" spans="1:4" x14ac:dyDescent="0.15">
      <c r="A3582" s="66" t="s">
        <v>197</v>
      </c>
      <c r="B3582" s="6" t="s">
        <v>2599</v>
      </c>
      <c r="C3582" s="6">
        <v>255</v>
      </c>
      <c r="D3582" s="6" t="str">
        <f>HYPERLINK("https://rmda.kulib.kyoto-u.ac.jp/item/rb00013649#?c=0&amp;m=0&amp;s=0&amp;cv=254")</f>
        <v>https://rmda.kulib.kyoto-u.ac.jp/item/rb00013649#?c=0&amp;m=0&amp;s=0&amp;cv=254</v>
      </c>
    </row>
    <row r="3583" spans="1:4" x14ac:dyDescent="0.15">
      <c r="A3583" s="66" t="s">
        <v>197</v>
      </c>
      <c r="B3583" s="6" t="s">
        <v>2600</v>
      </c>
      <c r="C3583" s="6">
        <v>255</v>
      </c>
      <c r="D3583" s="6" t="str">
        <f>HYPERLINK("https://rmda.kulib.kyoto-u.ac.jp/item/rb00013649#?c=0&amp;m=0&amp;s=0&amp;cv=254")</f>
        <v>https://rmda.kulib.kyoto-u.ac.jp/item/rb00013649#?c=0&amp;m=0&amp;s=0&amp;cv=254</v>
      </c>
    </row>
    <row r="3584" spans="1:4" x14ac:dyDescent="0.15">
      <c r="A3584" s="66" t="s">
        <v>197</v>
      </c>
      <c r="B3584" s="6" t="s">
        <v>2601</v>
      </c>
      <c r="C3584" s="6">
        <v>256</v>
      </c>
      <c r="D3584" s="6" t="str">
        <f>HYPERLINK("https://rmda.kulib.kyoto-u.ac.jp/item/rb00013649#?c=0&amp;m=0&amp;s=0&amp;cv=255")</f>
        <v>https://rmda.kulib.kyoto-u.ac.jp/item/rb00013649#?c=0&amp;m=0&amp;s=0&amp;cv=255</v>
      </c>
    </row>
    <row r="3585" spans="1:4" x14ac:dyDescent="0.15">
      <c r="A3585" s="66" t="s">
        <v>197</v>
      </c>
      <c r="B3585" s="6" t="s">
        <v>2602</v>
      </c>
      <c r="C3585" s="6">
        <v>257</v>
      </c>
      <c r="D3585" s="6" t="str">
        <f>HYPERLINK("https://rmda.kulib.kyoto-u.ac.jp/item/rb00013649#?c=0&amp;m=0&amp;s=0&amp;cv=256")</f>
        <v>https://rmda.kulib.kyoto-u.ac.jp/item/rb00013649#?c=0&amp;m=0&amp;s=0&amp;cv=256</v>
      </c>
    </row>
    <row r="3586" spans="1:4" x14ac:dyDescent="0.15">
      <c r="A3586" s="66" t="s">
        <v>197</v>
      </c>
      <c r="B3586" s="6" t="s">
        <v>2603</v>
      </c>
      <c r="C3586" s="6">
        <v>258</v>
      </c>
      <c r="D3586" s="6" t="str">
        <f>HYPERLINK("https://rmda.kulib.kyoto-u.ac.jp/item/rb00013649#?c=0&amp;m=0&amp;s=0&amp;cv=257")</f>
        <v>https://rmda.kulib.kyoto-u.ac.jp/item/rb00013649#?c=0&amp;m=0&amp;s=0&amp;cv=257</v>
      </c>
    </row>
    <row r="3587" spans="1:4" x14ac:dyDescent="0.15">
      <c r="A3587" s="66" t="s">
        <v>197</v>
      </c>
      <c r="B3587" s="6" t="s">
        <v>2604</v>
      </c>
      <c r="C3587" s="6">
        <v>260</v>
      </c>
      <c r="D3587" s="6" t="str">
        <f>HYPERLINK("https://rmda.kulib.kyoto-u.ac.jp/item/rb00013649#?c=0&amp;m=0&amp;s=0&amp;cv=259")</f>
        <v>https://rmda.kulib.kyoto-u.ac.jp/item/rb00013649#?c=0&amp;m=0&amp;s=0&amp;cv=259</v>
      </c>
    </row>
    <row r="3588" spans="1:4" x14ac:dyDescent="0.15">
      <c r="A3588" s="66" t="s">
        <v>197</v>
      </c>
      <c r="B3588" s="6" t="s">
        <v>2605</v>
      </c>
      <c r="C3588" s="6">
        <v>260</v>
      </c>
      <c r="D3588" s="6" t="str">
        <f>HYPERLINK("https://rmda.kulib.kyoto-u.ac.jp/item/rb00013649#?c=0&amp;m=0&amp;s=0&amp;cv=259")</f>
        <v>https://rmda.kulib.kyoto-u.ac.jp/item/rb00013649#?c=0&amp;m=0&amp;s=0&amp;cv=259</v>
      </c>
    </row>
    <row r="3589" spans="1:4" x14ac:dyDescent="0.15">
      <c r="A3589" s="66" t="s">
        <v>197</v>
      </c>
      <c r="B3589" s="6" t="s">
        <v>2606</v>
      </c>
      <c r="C3589" s="6">
        <v>263</v>
      </c>
      <c r="D3589" s="6" t="str">
        <f>HYPERLINK("https://rmda.kulib.kyoto-u.ac.jp/item/rb00013649#?c=0&amp;m=0&amp;s=0&amp;cv=262")</f>
        <v>https://rmda.kulib.kyoto-u.ac.jp/item/rb00013649#?c=0&amp;m=0&amp;s=0&amp;cv=262</v>
      </c>
    </row>
    <row r="3590" spans="1:4" x14ac:dyDescent="0.15">
      <c r="A3590" s="66" t="s">
        <v>197</v>
      </c>
      <c r="B3590" s="6" t="s">
        <v>2607</v>
      </c>
      <c r="C3590" s="6">
        <v>263</v>
      </c>
      <c r="D3590" s="6" t="str">
        <f>HYPERLINK("https://rmda.kulib.kyoto-u.ac.jp/item/rb00013649#?c=0&amp;m=0&amp;s=0&amp;cv=262")</f>
        <v>https://rmda.kulib.kyoto-u.ac.jp/item/rb00013649#?c=0&amp;m=0&amp;s=0&amp;cv=262</v>
      </c>
    </row>
    <row r="3591" spans="1:4" x14ac:dyDescent="0.15">
      <c r="A3591" s="66" t="s">
        <v>197</v>
      </c>
      <c r="B3591" s="6" t="s">
        <v>2608</v>
      </c>
      <c r="C3591" s="6">
        <v>264</v>
      </c>
      <c r="D3591" s="6" t="str">
        <f>HYPERLINK("https://rmda.kulib.kyoto-u.ac.jp/item/rb00013649#?c=0&amp;m=0&amp;s=0&amp;cv=263")</f>
        <v>https://rmda.kulib.kyoto-u.ac.jp/item/rb00013649#?c=0&amp;m=0&amp;s=0&amp;cv=263</v>
      </c>
    </row>
    <row r="3592" spans="1:4" x14ac:dyDescent="0.15">
      <c r="A3592" s="66" t="s">
        <v>197</v>
      </c>
      <c r="B3592" s="6" t="s">
        <v>2609</v>
      </c>
      <c r="C3592" s="6">
        <v>265</v>
      </c>
      <c r="D3592" s="6" t="str">
        <f>HYPERLINK("https://rmda.kulib.kyoto-u.ac.jp/item/rb00013649#?c=0&amp;m=0&amp;s=0&amp;cv=264")</f>
        <v>https://rmda.kulib.kyoto-u.ac.jp/item/rb00013649#?c=0&amp;m=0&amp;s=0&amp;cv=264</v>
      </c>
    </row>
    <row r="3593" spans="1:4" x14ac:dyDescent="0.15">
      <c r="A3593" s="66" t="s">
        <v>197</v>
      </c>
      <c r="B3593" s="6" t="s">
        <v>2610</v>
      </c>
      <c r="C3593" s="6">
        <v>267</v>
      </c>
      <c r="D3593" s="6" t="str">
        <f>HYPERLINK("https://rmda.kulib.kyoto-u.ac.jp/item/rb00013649#?c=0&amp;m=0&amp;s=0&amp;cv=266")</f>
        <v>https://rmda.kulib.kyoto-u.ac.jp/item/rb00013649#?c=0&amp;m=0&amp;s=0&amp;cv=266</v>
      </c>
    </row>
    <row r="3594" spans="1:4" x14ac:dyDescent="0.15">
      <c r="A3594" s="66" t="s">
        <v>197</v>
      </c>
      <c r="B3594" s="6" t="s">
        <v>2611</v>
      </c>
      <c r="C3594" s="6">
        <v>268</v>
      </c>
      <c r="D3594" s="6" t="str">
        <f>HYPERLINK("https://rmda.kulib.kyoto-u.ac.jp/item/rb00013649#?c=0&amp;m=0&amp;s=0&amp;cv=267")</f>
        <v>https://rmda.kulib.kyoto-u.ac.jp/item/rb00013649#?c=0&amp;m=0&amp;s=0&amp;cv=267</v>
      </c>
    </row>
    <row r="3595" spans="1:4" x14ac:dyDescent="0.15">
      <c r="A3595" s="66" t="s">
        <v>197</v>
      </c>
      <c r="B3595" s="6" t="s">
        <v>2612</v>
      </c>
      <c r="C3595" s="6">
        <v>268</v>
      </c>
      <c r="D3595" s="6" t="str">
        <f>HYPERLINK("https://rmda.kulib.kyoto-u.ac.jp/item/rb00013649#?c=0&amp;m=0&amp;s=0&amp;cv=267")</f>
        <v>https://rmda.kulib.kyoto-u.ac.jp/item/rb00013649#?c=0&amp;m=0&amp;s=0&amp;cv=267</v>
      </c>
    </row>
    <row r="3596" spans="1:4" x14ac:dyDescent="0.15">
      <c r="A3596" s="84" t="s">
        <v>6314</v>
      </c>
      <c r="B3596" s="11" t="s">
        <v>202</v>
      </c>
      <c r="C3596" s="11" t="s">
        <v>203</v>
      </c>
      <c r="D3596" s="67"/>
    </row>
    <row r="3597" spans="1:4" x14ac:dyDescent="0.15">
      <c r="A3597" s="108" t="s">
        <v>6315</v>
      </c>
      <c r="B3597" s="11" t="s">
        <v>206</v>
      </c>
      <c r="C3597" s="11" t="s">
        <v>207</v>
      </c>
      <c r="D3597" s="67"/>
    </row>
    <row r="3598" spans="1:4" x14ac:dyDescent="0.15">
      <c r="A3598" s="108" t="s">
        <v>6316</v>
      </c>
      <c r="B3598" s="8" t="s">
        <v>213</v>
      </c>
      <c r="C3598" s="8" t="s">
        <v>214</v>
      </c>
      <c r="D3598" s="67"/>
    </row>
    <row r="3599" spans="1:4" x14ac:dyDescent="0.15">
      <c r="A3599" s="109" t="s">
        <v>6317</v>
      </c>
      <c r="B3599" s="11" t="s">
        <v>217</v>
      </c>
      <c r="C3599" s="11" t="s">
        <v>214</v>
      </c>
      <c r="D3599" s="67"/>
    </row>
    <row r="3600" spans="1:4" x14ac:dyDescent="0.15">
      <c r="A3600" s="108" t="s">
        <v>6318</v>
      </c>
      <c r="B3600" s="8" t="s">
        <v>220</v>
      </c>
      <c r="C3600" s="8" t="s">
        <v>221</v>
      </c>
      <c r="D3600" s="67"/>
    </row>
    <row r="3601" spans="1:10" x14ac:dyDescent="0.15">
      <c r="A3601" s="91" t="s">
        <v>5451</v>
      </c>
      <c r="B3601" s="91" t="s">
        <v>226</v>
      </c>
      <c r="C3601" s="67"/>
      <c r="D3601" s="67"/>
    </row>
    <row r="3602" spans="1:10" x14ac:dyDescent="0.15">
      <c r="A3602" s="63" t="s">
        <v>5450</v>
      </c>
      <c r="B3602" s="6"/>
      <c r="C3602" s="6"/>
      <c r="D3602" s="9" t="s">
        <v>3665</v>
      </c>
      <c r="E3602" s="6"/>
      <c r="F3602" s="90" t="s">
        <v>3666</v>
      </c>
      <c r="G3602" s="6"/>
      <c r="H3602" s="90" t="s">
        <v>3667</v>
      </c>
      <c r="I3602" s="6"/>
      <c r="J3602" s="90" t="s">
        <v>3668</v>
      </c>
    </row>
    <row r="3603" spans="1:10" x14ac:dyDescent="0.15">
      <c r="A3603" s="66"/>
      <c r="B3603" s="6"/>
      <c r="C3603" s="71" t="s">
        <v>3746</v>
      </c>
      <c r="D3603" s="6"/>
      <c r="E3603" s="71" t="s">
        <v>3747</v>
      </c>
      <c r="F3603" s="6"/>
      <c r="G3603" s="71" t="s">
        <v>523</v>
      </c>
      <c r="H3603" s="6"/>
      <c r="I3603" s="71" t="s">
        <v>3748</v>
      </c>
      <c r="J3603" s="6"/>
    </row>
    <row r="3604" spans="1:10" x14ac:dyDescent="0.15">
      <c r="A3604" s="66"/>
      <c r="B3604" s="6"/>
      <c r="C3604" s="71" t="s">
        <v>5230</v>
      </c>
      <c r="D3604" s="6"/>
      <c r="E3604" s="71" t="s">
        <v>5230</v>
      </c>
      <c r="F3604" s="6"/>
      <c r="G3604" s="71" t="s">
        <v>5230</v>
      </c>
      <c r="H3604" s="6"/>
      <c r="I3604" s="71" t="s">
        <v>5230</v>
      </c>
      <c r="J3604" s="6"/>
    </row>
    <row r="3605" spans="1:10" x14ac:dyDescent="0.15">
      <c r="A3605" s="66"/>
      <c r="B3605" s="6"/>
      <c r="C3605" s="71"/>
      <c r="D3605" s="6"/>
      <c r="E3605" s="6" t="s">
        <v>1155</v>
      </c>
      <c r="F3605" s="6"/>
      <c r="G3605" s="9" t="s">
        <v>1156</v>
      </c>
      <c r="H3605" s="6"/>
      <c r="I3605" s="6" t="s">
        <v>1157</v>
      </c>
      <c r="J3605" s="6"/>
    </row>
    <row r="3606" spans="1:10" x14ac:dyDescent="0.15">
      <c r="A3606" s="66"/>
      <c r="B3606" s="6"/>
      <c r="C3606" s="71"/>
      <c r="D3606" s="6"/>
      <c r="E3606" s="9" t="s">
        <v>5583</v>
      </c>
      <c r="F3606" s="6"/>
      <c r="G3606" s="9" t="s">
        <v>5579</v>
      </c>
      <c r="H3606" s="6"/>
      <c r="I3606" s="9" t="s">
        <v>5576</v>
      </c>
      <c r="J3606" s="6"/>
    </row>
    <row r="3607" spans="1:10" x14ac:dyDescent="0.15">
      <c r="A3607" s="66"/>
      <c r="B3607" s="6"/>
      <c r="C3607" s="71"/>
      <c r="D3607" s="6"/>
      <c r="E3607" s="9" t="s">
        <v>5584</v>
      </c>
      <c r="F3607" s="6"/>
      <c r="G3607" s="9" t="s">
        <v>5580</v>
      </c>
      <c r="H3607" s="6"/>
      <c r="I3607" s="9" t="s">
        <v>5577</v>
      </c>
      <c r="J3607" s="6"/>
    </row>
    <row r="3608" spans="1:10" x14ac:dyDescent="0.15">
      <c r="A3608" s="66"/>
      <c r="B3608" s="6"/>
      <c r="C3608" s="71"/>
      <c r="D3608" s="6"/>
      <c r="E3608" s="9" t="s">
        <v>5585</v>
      </c>
      <c r="F3608" s="9"/>
      <c r="G3608" s="9" t="s">
        <v>5581</v>
      </c>
      <c r="H3608" s="6"/>
      <c r="I3608" s="9" t="s">
        <v>5578</v>
      </c>
      <c r="J3608" s="6"/>
    </row>
    <row r="3609" spans="1:10" x14ac:dyDescent="0.15">
      <c r="A3609" s="66"/>
      <c r="B3609" s="6"/>
      <c r="C3609" s="71"/>
      <c r="D3609" s="6"/>
      <c r="E3609" s="9"/>
      <c r="F3609" s="9"/>
      <c r="G3609" s="9" t="s">
        <v>5582</v>
      </c>
      <c r="H3609" s="6"/>
      <c r="I3609" s="9"/>
      <c r="J3609" s="6"/>
    </row>
    <row r="3610" spans="1:10" x14ac:dyDescent="0.15">
      <c r="A3610" s="6" t="s">
        <v>225</v>
      </c>
      <c r="B3610" s="93" t="s">
        <v>3673</v>
      </c>
      <c r="C3610" s="6"/>
      <c r="D3610" s="6"/>
      <c r="E3610" s="6"/>
      <c r="F3610" s="6"/>
      <c r="G3610" s="6">
        <v>10</v>
      </c>
      <c r="H3610" s="6" t="str">
        <f>HYPERLINK("https://rmda.kulib.kyoto-u.ac.jp/item/rb00000899#?c=0&amp;m=0&amp;s=0&amp;cv=9")</f>
        <v>https://rmda.kulib.kyoto-u.ac.jp/item/rb00000899#?c=0&amp;m=0&amp;s=0&amp;cv=9</v>
      </c>
      <c r="I3610" s="6"/>
      <c r="J3610" s="6"/>
    </row>
    <row r="3611" spans="1:10" x14ac:dyDescent="0.15">
      <c r="A3611" s="6" t="s">
        <v>225</v>
      </c>
      <c r="B3611" s="6" t="s">
        <v>3716</v>
      </c>
      <c r="C3611" s="6">
        <v>2</v>
      </c>
      <c r="D3611" s="6" t="str">
        <f>HYPERLINK("https://rmda.kulib.kyoto-u.ac.jp/item/rb00008736#?c=0&amp;m=0&amp;s=0&amp;cv=1")</f>
        <v>https://rmda.kulib.kyoto-u.ac.jp/item/rb00008736#?c=0&amp;m=0&amp;s=0&amp;cv=1</v>
      </c>
      <c r="E3611" s="6"/>
      <c r="F3611" s="6"/>
      <c r="G3611" s="6">
        <v>12</v>
      </c>
      <c r="H3611" s="6" t="str">
        <f>HYPERLINK("https://rmda.kulib.kyoto-u.ac.jp/item/rb00000899#?c=0&amp;m=0&amp;s=0&amp;cv=11")</f>
        <v>https://rmda.kulib.kyoto-u.ac.jp/item/rb00000899#?c=0&amp;m=0&amp;s=0&amp;cv=11</v>
      </c>
      <c r="I3611" s="6">
        <v>4</v>
      </c>
      <c r="J3611" s="6" t="str">
        <f>HYPERLINK("https://rmda.kulib.kyoto-u.ac.jp/item/rb00000898#?c=0&amp;m=0&amp;s=0&amp;cv=3")</f>
        <v>https://rmda.kulib.kyoto-u.ac.jp/item/rb00000898#?c=0&amp;m=0&amp;s=0&amp;cv=3</v>
      </c>
    </row>
    <row r="3612" spans="1:10" x14ac:dyDescent="0.15">
      <c r="A3612" s="6" t="s">
        <v>225</v>
      </c>
      <c r="B3612" s="6" t="s">
        <v>1476</v>
      </c>
      <c r="C3612" s="6">
        <v>4</v>
      </c>
      <c r="D3612" s="6" t="str">
        <f>HYPERLINK("https://rmda.kulib.kyoto-u.ac.jp/item/rb00008736#?c=0&amp;m=0&amp;s=0&amp;cv=3")</f>
        <v>https://rmda.kulib.kyoto-u.ac.jp/item/rb00008736#?c=0&amp;m=0&amp;s=0&amp;cv=3</v>
      </c>
      <c r="E3612" s="6"/>
      <c r="F3612" s="6"/>
      <c r="G3612" s="6"/>
      <c r="H3612" s="6"/>
      <c r="I3612" s="6">
        <v>5</v>
      </c>
      <c r="J3612" s="6" t="str">
        <f>HYPERLINK("https://rmda.kulib.kyoto-u.ac.jp/item/rb00000898#?c=0&amp;m=0&amp;s=0&amp;cv=4")</f>
        <v>https://rmda.kulib.kyoto-u.ac.jp/item/rb00000898#?c=0&amp;m=0&amp;s=0&amp;cv=4</v>
      </c>
    </row>
    <row r="3613" spans="1:10" x14ac:dyDescent="0.15">
      <c r="A3613" s="6" t="s">
        <v>225</v>
      </c>
      <c r="B3613" s="6" t="s">
        <v>2773</v>
      </c>
      <c r="C3613" s="6">
        <v>7</v>
      </c>
      <c r="D3613" s="6" t="str">
        <f>HYPERLINK("https://rmda.kulib.kyoto-u.ac.jp/item/rb00008736#?c=0&amp;m=0&amp;s=0&amp;cv=6")</f>
        <v>https://rmda.kulib.kyoto-u.ac.jp/item/rb00008736#?c=0&amp;m=0&amp;s=0&amp;cv=6</v>
      </c>
      <c r="E3613" s="6"/>
      <c r="F3613" s="6"/>
      <c r="G3613" s="6">
        <v>17</v>
      </c>
      <c r="H3613" s="6" t="str">
        <f>HYPERLINK("https://rmda.kulib.kyoto-u.ac.jp/item/rb00000899#?c=0&amp;m=0&amp;s=0&amp;cv=16")</f>
        <v>https://rmda.kulib.kyoto-u.ac.jp/item/rb00000899#?c=0&amp;m=0&amp;s=0&amp;cv=16</v>
      </c>
      <c r="I3613" s="6">
        <v>8</v>
      </c>
      <c r="J3613" s="6" t="str">
        <f>HYPERLINK("https://rmda.kulib.kyoto-u.ac.jp/item/rb00000898#?c=0&amp;m=0&amp;s=0&amp;cv=7")</f>
        <v>https://rmda.kulib.kyoto-u.ac.jp/item/rb00000898#?c=0&amp;m=0&amp;s=0&amp;cv=7</v>
      </c>
    </row>
    <row r="3614" spans="1:10" x14ac:dyDescent="0.15">
      <c r="A3614" s="6" t="s">
        <v>225</v>
      </c>
      <c r="B3614" s="6" t="s">
        <v>3749</v>
      </c>
      <c r="C3614" s="6">
        <v>11</v>
      </c>
      <c r="D3614" s="6" t="str">
        <f>HYPERLINK("https://rmda.kulib.kyoto-u.ac.jp/item/rb00008736#?c=0&amp;m=0&amp;s=0&amp;cv=10")</f>
        <v>https://rmda.kulib.kyoto-u.ac.jp/item/rb00008736#?c=0&amp;m=0&amp;s=0&amp;cv=10</v>
      </c>
      <c r="E3614" s="6"/>
      <c r="F3614" s="6"/>
      <c r="G3614" s="6"/>
      <c r="H3614" s="6"/>
      <c r="I3614" s="6">
        <v>12</v>
      </c>
      <c r="J3614" s="6" t="str">
        <f>HYPERLINK("https://rmda.kulib.kyoto-u.ac.jp/item/rb00000898#?c=0&amp;m=0&amp;s=0&amp;cv=11")</f>
        <v>https://rmda.kulib.kyoto-u.ac.jp/item/rb00000898#?c=0&amp;m=0&amp;s=0&amp;cv=11</v>
      </c>
    </row>
    <row r="3615" spans="1:10" x14ac:dyDescent="0.15">
      <c r="A3615" s="6" t="s">
        <v>225</v>
      </c>
      <c r="B3615" s="6" t="s">
        <v>3750</v>
      </c>
      <c r="C3615" s="6">
        <v>12</v>
      </c>
      <c r="D3615" s="6" t="str">
        <f>HYPERLINK("https://rmda.kulib.kyoto-u.ac.jp/item/rb00008736#?c=0&amp;m=0&amp;s=0&amp;cv=11")</f>
        <v>https://rmda.kulib.kyoto-u.ac.jp/item/rb00008736#?c=0&amp;m=0&amp;s=0&amp;cv=11</v>
      </c>
      <c r="E3615" s="6"/>
      <c r="F3615" s="6"/>
      <c r="G3615" s="6"/>
      <c r="H3615" s="6"/>
      <c r="I3615" s="6">
        <v>13</v>
      </c>
      <c r="J3615" s="6" t="str">
        <f>HYPERLINK("https://rmda.kulib.kyoto-u.ac.jp/item/rb00000898#?c=0&amp;m=0&amp;s=0&amp;cv=12")</f>
        <v>https://rmda.kulib.kyoto-u.ac.jp/item/rb00000898#?c=0&amp;m=0&amp;s=0&amp;cv=12</v>
      </c>
    </row>
    <row r="3616" spans="1:10" x14ac:dyDescent="0.15">
      <c r="A3616" s="6" t="s">
        <v>225</v>
      </c>
      <c r="B3616" s="6" t="s">
        <v>2774</v>
      </c>
      <c r="C3616" s="6">
        <v>12</v>
      </c>
      <c r="D3616" s="6" t="str">
        <f>HYPERLINK("https://rmda.kulib.kyoto-u.ac.jp/item/rb00008736#?c=0&amp;m=0&amp;s=0&amp;cv=11")</f>
        <v>https://rmda.kulib.kyoto-u.ac.jp/item/rb00008736#?c=0&amp;m=0&amp;s=0&amp;cv=11</v>
      </c>
      <c r="E3616" s="6"/>
      <c r="F3616" s="6"/>
      <c r="G3616" s="6"/>
      <c r="H3616" s="6"/>
      <c r="I3616" s="6">
        <v>13</v>
      </c>
      <c r="J3616" s="6" t="str">
        <f>HYPERLINK("https://rmda.kulib.kyoto-u.ac.jp/item/rb00000898#?c=0&amp;m=0&amp;s=0&amp;cv=12")</f>
        <v>https://rmda.kulib.kyoto-u.ac.jp/item/rb00000898#?c=0&amp;m=0&amp;s=0&amp;cv=12</v>
      </c>
    </row>
    <row r="3617" spans="1:11" x14ac:dyDescent="0.15">
      <c r="A3617" s="6" t="s">
        <v>225</v>
      </c>
      <c r="B3617" s="6" t="s">
        <v>3674</v>
      </c>
      <c r="C3617" s="6">
        <v>13</v>
      </c>
      <c r="D3617" s="6" t="str">
        <f>HYPERLINK("https://rmda.kulib.kyoto-u.ac.jp/item/rb00008736#?c=0&amp;m=0&amp;s=0&amp;cv=12")</f>
        <v>https://rmda.kulib.kyoto-u.ac.jp/item/rb00008736#?c=0&amp;m=0&amp;s=0&amp;cv=12</v>
      </c>
      <c r="E3617" s="6"/>
      <c r="F3617" s="6"/>
      <c r="G3617" s="6"/>
      <c r="H3617" s="6"/>
      <c r="I3617" s="6">
        <v>14</v>
      </c>
      <c r="J3617" s="6" t="str">
        <f>HYPERLINK("https://rmda.kulib.kyoto-u.ac.jp/item/rb00000898#?c=0&amp;m=0&amp;s=0&amp;cv=13")</f>
        <v>https://rmda.kulib.kyoto-u.ac.jp/item/rb00000898#?c=0&amp;m=0&amp;s=0&amp;cv=13</v>
      </c>
    </row>
    <row r="3618" spans="1:11" x14ac:dyDescent="0.15">
      <c r="A3618" s="6" t="s">
        <v>225</v>
      </c>
      <c r="B3618" s="6" t="s">
        <v>3675</v>
      </c>
      <c r="C3618" s="6">
        <v>15</v>
      </c>
      <c r="D3618" s="6" t="str">
        <f>HYPERLINK("https://rmda.kulib.kyoto-u.ac.jp/item/rb00008736#?c=0&amp;m=0&amp;s=0&amp;cv=14")</f>
        <v>https://rmda.kulib.kyoto-u.ac.jp/item/rb00008736#?c=0&amp;m=0&amp;s=0&amp;cv=14</v>
      </c>
      <c r="E3618" s="6"/>
      <c r="F3618" s="6"/>
      <c r="G3618" s="6"/>
      <c r="H3618" s="6"/>
      <c r="I3618" s="6">
        <v>16</v>
      </c>
      <c r="J3618" s="6" t="str">
        <f>HYPERLINK("https://rmda.kulib.kyoto-u.ac.jp/item/rb00000898#?c=0&amp;m=0&amp;s=0&amp;cv=15")</f>
        <v>https://rmda.kulib.kyoto-u.ac.jp/item/rb00000898#?c=0&amp;m=0&amp;s=0&amp;cv=15</v>
      </c>
    </row>
    <row r="3619" spans="1:11" x14ac:dyDescent="0.15">
      <c r="A3619" s="6" t="s">
        <v>225</v>
      </c>
      <c r="B3619" s="6" t="s">
        <v>3751</v>
      </c>
      <c r="C3619" s="6">
        <v>46</v>
      </c>
      <c r="D3619" s="6" t="str">
        <f>HYPERLINK("https://rmda.kulib.kyoto-u.ac.jp/item/rb00008736#?c=0&amp;m=0&amp;s=0&amp;cv=45")</f>
        <v>https://rmda.kulib.kyoto-u.ac.jp/item/rb00008736#?c=0&amp;m=0&amp;s=0&amp;cv=45</v>
      </c>
      <c r="E3619" s="6"/>
      <c r="F3619" s="6"/>
      <c r="G3619" s="6"/>
      <c r="H3619" s="6"/>
      <c r="I3619" s="6">
        <v>47</v>
      </c>
      <c r="J3619" s="6" t="str">
        <f>HYPERLINK("https://rmda.kulib.kyoto-u.ac.jp/item/rb00000898#?c=0&amp;m=0&amp;s=0&amp;cv=46")</f>
        <v>https://rmda.kulib.kyoto-u.ac.jp/item/rb00000898#?c=0&amp;m=0&amp;s=0&amp;cv=46</v>
      </c>
    </row>
    <row r="3620" spans="1:11" x14ac:dyDescent="0.15">
      <c r="A3620" s="6" t="s">
        <v>225</v>
      </c>
      <c r="B3620" s="6" t="s">
        <v>3717</v>
      </c>
      <c r="C3620" s="6">
        <v>51</v>
      </c>
      <c r="D3620" s="6" t="str">
        <f>HYPERLINK("https://rmda.kulib.kyoto-u.ac.jp/item/rb00008736#?c=0&amp;m=0&amp;s=0&amp;cv=50")</f>
        <v>https://rmda.kulib.kyoto-u.ac.jp/item/rb00008736#?c=0&amp;m=0&amp;s=0&amp;cv=50</v>
      </c>
      <c r="E3620" s="6"/>
      <c r="F3620" s="6"/>
      <c r="G3620" s="6"/>
      <c r="H3620" s="6"/>
      <c r="I3620" s="6">
        <v>52</v>
      </c>
      <c r="J3620" s="6" t="str">
        <f>HYPERLINK("https://rmda.kulib.kyoto-u.ac.jp/item/rb00000898#?c=0&amp;m=0&amp;s=0&amp;cv=51")</f>
        <v>https://rmda.kulib.kyoto-u.ac.jp/item/rb00000898#?c=0&amp;m=0&amp;s=0&amp;cv=51</v>
      </c>
    </row>
    <row r="3621" spans="1:11" x14ac:dyDescent="0.15">
      <c r="A3621" s="6" t="s">
        <v>225</v>
      </c>
      <c r="B3621" s="6" t="s">
        <v>2775</v>
      </c>
      <c r="C3621" s="6">
        <v>59</v>
      </c>
      <c r="D3621" s="6" t="str">
        <f>HYPERLINK("https://rmda.kulib.kyoto-u.ac.jp/item/rb00008736#?c=0&amp;m=0&amp;s=0&amp;cv=58")</f>
        <v>https://rmda.kulib.kyoto-u.ac.jp/item/rb00008736#?c=0&amp;m=0&amp;s=0&amp;cv=58</v>
      </c>
      <c r="E3621" s="6"/>
      <c r="F3621" s="6"/>
      <c r="G3621" s="6">
        <v>22</v>
      </c>
      <c r="H3621" s="6" t="str">
        <f>HYPERLINK("https://rmda.kulib.kyoto-u.ac.jp/item/rb00000899#?c=0&amp;m=0&amp;s=0&amp;cv=21")</f>
        <v>https://rmda.kulib.kyoto-u.ac.jp/item/rb00000899#?c=0&amp;m=0&amp;s=0&amp;cv=21</v>
      </c>
      <c r="I3621" s="6">
        <v>57</v>
      </c>
      <c r="J3621" s="6" t="str">
        <f>HYPERLINK("https://rmda.kulib.kyoto-u.ac.jp/item/rb00000898#?c=0&amp;m=0&amp;s=0&amp;cv=56")</f>
        <v>https://rmda.kulib.kyoto-u.ac.jp/item/rb00000898#?c=0&amp;m=0&amp;s=0&amp;cv=56</v>
      </c>
    </row>
    <row r="3622" spans="1:11" x14ac:dyDescent="0.15">
      <c r="A3622" s="6" t="s">
        <v>225</v>
      </c>
      <c r="B3622" s="6" t="s">
        <v>2776</v>
      </c>
      <c r="C3622" s="6">
        <v>86</v>
      </c>
      <c r="D3622" s="6" t="str">
        <f>HYPERLINK("https://rmda.kulib.kyoto-u.ac.jp/item/rb00008736#?c=0&amp;m=0&amp;s=0&amp;cv=85")</f>
        <v>https://rmda.kulib.kyoto-u.ac.jp/item/rb00008736#?c=0&amp;m=0&amp;s=0&amp;cv=85</v>
      </c>
      <c r="E3622" s="6"/>
      <c r="F3622" s="6"/>
      <c r="G3622" s="6">
        <v>26</v>
      </c>
      <c r="H3622" s="6" t="str">
        <f>HYPERLINK("https://rmda.kulib.kyoto-u.ac.jp/item/rb00000899#?c=0&amp;m=0&amp;s=0&amp;cv=25")</f>
        <v>https://rmda.kulib.kyoto-u.ac.jp/item/rb00000899#?c=0&amp;m=0&amp;s=0&amp;cv=25</v>
      </c>
      <c r="I3622" s="6">
        <v>84</v>
      </c>
      <c r="J3622" s="6" t="str">
        <f>HYPERLINK("https://rmda.kulib.kyoto-u.ac.jp/item/rb00000898#?c=0&amp;m=0&amp;s=0&amp;cv=83")</f>
        <v>https://rmda.kulib.kyoto-u.ac.jp/item/rb00000898#?c=0&amp;m=0&amp;s=0&amp;cv=83</v>
      </c>
    </row>
    <row r="3623" spans="1:11" x14ac:dyDescent="0.15">
      <c r="A3623" s="6" t="s">
        <v>225</v>
      </c>
      <c r="B3623" s="6" t="s">
        <v>2777</v>
      </c>
      <c r="C3623" s="6">
        <v>89</v>
      </c>
      <c r="D3623" s="6" t="str">
        <f>HYPERLINK("https://rmda.kulib.kyoto-u.ac.jp/item/rb00008736#?c=0&amp;m=0&amp;s=0&amp;cv=88")</f>
        <v>https://rmda.kulib.kyoto-u.ac.jp/item/rb00008736#?c=0&amp;m=0&amp;s=0&amp;cv=88</v>
      </c>
      <c r="E3623" s="6"/>
      <c r="F3623" s="6"/>
      <c r="G3623" s="6">
        <v>36</v>
      </c>
      <c r="H3623" s="6" t="str">
        <f>HYPERLINK("https://rmda.kulib.kyoto-u.ac.jp/item/rb00000899#?c=0&amp;m=0&amp;s=0&amp;cv=35")</f>
        <v>https://rmda.kulib.kyoto-u.ac.jp/item/rb00000899#?c=0&amp;m=0&amp;s=0&amp;cv=35</v>
      </c>
      <c r="I3623" s="6">
        <v>87</v>
      </c>
      <c r="J3623" s="6" t="str">
        <f>HYPERLINK("https://rmda.kulib.kyoto-u.ac.jp/item/rb00000898#?c=0&amp;m=0&amp;s=0&amp;cv=86")</f>
        <v>https://rmda.kulib.kyoto-u.ac.jp/item/rb00000898#?c=0&amp;m=0&amp;s=0&amp;cv=86</v>
      </c>
    </row>
    <row r="3624" spans="1:11" x14ac:dyDescent="0.15">
      <c r="A3624" s="6" t="s">
        <v>225</v>
      </c>
      <c r="B3624" s="6" t="s">
        <v>2778</v>
      </c>
      <c r="C3624" s="6">
        <v>92</v>
      </c>
      <c r="D3624" s="6" t="str">
        <f>HYPERLINK("https://rmda.kulib.kyoto-u.ac.jp/item/rb00008736#?c=0&amp;m=0&amp;s=0&amp;cv=91")</f>
        <v>https://rmda.kulib.kyoto-u.ac.jp/item/rb00008736#?c=0&amp;m=0&amp;s=0&amp;cv=91</v>
      </c>
      <c r="E3624" s="6"/>
      <c r="F3624" s="6"/>
      <c r="G3624" s="6"/>
      <c r="H3624" s="6"/>
      <c r="I3624" s="6">
        <v>90</v>
      </c>
      <c r="J3624" s="6" t="str">
        <f>HYPERLINK("https://rmda.kulib.kyoto-u.ac.jp/item/rb00000898#?c=0&amp;m=0&amp;s=0&amp;cv=89")</f>
        <v>https://rmda.kulib.kyoto-u.ac.jp/item/rb00000898#?c=0&amp;m=0&amp;s=0&amp;cv=89</v>
      </c>
    </row>
    <row r="3625" spans="1:11" x14ac:dyDescent="0.15">
      <c r="A3625" s="6" t="s">
        <v>225</v>
      </c>
      <c r="B3625" s="6" t="s">
        <v>3723</v>
      </c>
      <c r="C3625" s="6">
        <v>92</v>
      </c>
      <c r="D3625" s="6" t="str">
        <f>HYPERLINK("https://rmda.kulib.kyoto-u.ac.jp/item/rb00008736#?c=0&amp;m=0&amp;s=0&amp;cv=91")</f>
        <v>https://rmda.kulib.kyoto-u.ac.jp/item/rb00008736#?c=0&amp;m=0&amp;s=0&amp;cv=91</v>
      </c>
      <c r="E3625" s="6"/>
      <c r="F3625" s="6"/>
      <c r="G3625" s="6">
        <v>43</v>
      </c>
      <c r="H3625" s="6" t="str">
        <f>HYPERLINK("https://rmda.kulib.kyoto-u.ac.jp/item/rb00000899#?c=0&amp;m=0&amp;s=0&amp;cv=42")</f>
        <v>https://rmda.kulib.kyoto-u.ac.jp/item/rb00000899#?c=0&amp;m=0&amp;s=0&amp;cv=42</v>
      </c>
      <c r="I3625" s="6">
        <v>90</v>
      </c>
      <c r="J3625" s="6" t="str">
        <f>HYPERLINK("https://rmda.kulib.kyoto-u.ac.jp/item/rb00000898#?c=0&amp;m=0&amp;s=0&amp;cv=89")</f>
        <v>https://rmda.kulib.kyoto-u.ac.jp/item/rb00000898#?c=0&amp;m=0&amp;s=0&amp;cv=89</v>
      </c>
    </row>
    <row r="3626" spans="1:11" x14ac:dyDescent="0.15">
      <c r="A3626" s="6" t="s">
        <v>225</v>
      </c>
      <c r="B3626" s="6" t="s">
        <v>3724</v>
      </c>
      <c r="C3626" s="6">
        <v>95</v>
      </c>
      <c r="D3626" s="6" t="str">
        <f>HYPERLINK("https://rmda.kulib.kyoto-u.ac.jp/item/rb00008736#?c=0&amp;m=0&amp;s=0&amp;cv=94")</f>
        <v>https://rmda.kulib.kyoto-u.ac.jp/item/rb00008736#?c=0&amp;m=0&amp;s=0&amp;cv=94</v>
      </c>
      <c r="E3626" s="6"/>
      <c r="F3626" s="6"/>
      <c r="G3626" s="6">
        <v>52</v>
      </c>
      <c r="H3626" s="6" t="str">
        <f>HYPERLINK("https://rmda.kulib.kyoto-u.ac.jp/item/rb00000899#?c=0&amp;m=0&amp;s=0&amp;cv=51")</f>
        <v>https://rmda.kulib.kyoto-u.ac.jp/item/rb00000899#?c=0&amp;m=0&amp;s=0&amp;cv=51</v>
      </c>
      <c r="I3626" s="6">
        <v>93</v>
      </c>
      <c r="J3626" s="6" t="str">
        <f>HYPERLINK("https://rmda.kulib.kyoto-u.ac.jp/item/rb00000898#?c=0&amp;m=0&amp;s=0&amp;cv=92")</f>
        <v>https://rmda.kulib.kyoto-u.ac.jp/item/rb00000898#?c=0&amp;m=0&amp;s=0&amp;cv=92</v>
      </c>
    </row>
    <row r="3627" spans="1:11" x14ac:dyDescent="0.15">
      <c r="A3627" s="6" t="s">
        <v>225</v>
      </c>
      <c r="B3627" s="6" t="s">
        <v>3725</v>
      </c>
      <c r="C3627" s="6">
        <v>96</v>
      </c>
      <c r="D3627" s="6" t="str">
        <f>HYPERLINK("https://rmda.kulib.kyoto-u.ac.jp/item/rb00008736#?c=0&amp;m=0&amp;s=0&amp;cv=95")</f>
        <v>https://rmda.kulib.kyoto-u.ac.jp/item/rb00008736#?c=0&amp;m=0&amp;s=0&amp;cv=95</v>
      </c>
      <c r="E3627" s="6"/>
      <c r="F3627" s="6"/>
      <c r="G3627" s="6">
        <v>55</v>
      </c>
      <c r="H3627" s="6" t="str">
        <f>HYPERLINK("https://rmda.kulib.kyoto-u.ac.jp/item/rb00000899#?c=0&amp;m=0&amp;s=0&amp;cv=54")</f>
        <v>https://rmda.kulib.kyoto-u.ac.jp/item/rb00000899#?c=0&amp;m=0&amp;s=0&amp;cv=54</v>
      </c>
      <c r="I3627" s="6">
        <v>94</v>
      </c>
      <c r="J3627" s="6" t="str">
        <f>HYPERLINK("https://rmda.kulib.kyoto-u.ac.jp/item/rb00000898#?c=0&amp;m=0&amp;s=0&amp;cv=93")</f>
        <v>https://rmda.kulib.kyoto-u.ac.jp/item/rb00000898#?c=0&amp;m=0&amp;s=0&amp;cv=93</v>
      </c>
    </row>
    <row r="3628" spans="1:11" x14ac:dyDescent="0.15">
      <c r="A3628" s="6" t="s">
        <v>225</v>
      </c>
      <c r="B3628" s="6" t="s">
        <v>3726</v>
      </c>
      <c r="C3628" s="6">
        <v>99</v>
      </c>
      <c r="D3628" s="6" t="str">
        <f>HYPERLINK("https://rmda.kulib.kyoto-u.ac.jp/item/rb00008736#?c=0&amp;m=0&amp;s=0&amp;cv=98")</f>
        <v>https://rmda.kulib.kyoto-u.ac.jp/item/rb00008736#?c=0&amp;m=0&amp;s=0&amp;cv=98</v>
      </c>
      <c r="E3628" s="6"/>
      <c r="F3628" s="6"/>
      <c r="G3628" s="6">
        <v>61</v>
      </c>
      <c r="H3628" s="6" t="str">
        <f>HYPERLINK("https://rmda.kulib.kyoto-u.ac.jp/item/rb00000899#?c=0&amp;m=0&amp;s=0&amp;cv=60")</f>
        <v>https://rmda.kulib.kyoto-u.ac.jp/item/rb00000899#?c=0&amp;m=0&amp;s=0&amp;cv=60</v>
      </c>
      <c r="I3628" s="6">
        <v>97</v>
      </c>
      <c r="J3628" s="6" t="str">
        <f>HYPERLINK("https://rmda.kulib.kyoto-u.ac.jp/item/rb00000898#?c=0&amp;m=0&amp;s=0&amp;cv=96")</f>
        <v>https://rmda.kulib.kyoto-u.ac.jp/item/rb00000898#?c=0&amp;m=0&amp;s=0&amp;cv=96</v>
      </c>
    </row>
    <row r="3629" spans="1:11" x14ac:dyDescent="0.15">
      <c r="A3629" s="6" t="s">
        <v>225</v>
      </c>
      <c r="B3629" s="6" t="s">
        <v>3727</v>
      </c>
      <c r="C3629" s="6">
        <v>102</v>
      </c>
      <c r="D3629" s="6" t="str">
        <f>HYPERLINK("https://rmda.kulib.kyoto-u.ac.jp/item/rb00008736#?c=0&amp;m=0&amp;s=0&amp;cv=101")</f>
        <v>https://rmda.kulib.kyoto-u.ac.jp/item/rb00008736#?c=0&amp;m=0&amp;s=0&amp;cv=101</v>
      </c>
      <c r="E3629" s="6"/>
      <c r="F3629" s="6"/>
      <c r="G3629" s="6">
        <v>65</v>
      </c>
      <c r="H3629" s="6" t="str">
        <f>HYPERLINK("https://rmda.kulib.kyoto-u.ac.jp/item/rb00000899#?c=0&amp;m=0&amp;s=0&amp;cv=64")</f>
        <v>https://rmda.kulib.kyoto-u.ac.jp/item/rb00000899#?c=0&amp;m=0&amp;s=0&amp;cv=64</v>
      </c>
      <c r="I3629" s="6">
        <v>100</v>
      </c>
      <c r="J3629" s="6" t="str">
        <f>HYPERLINK("https://rmda.kulib.kyoto-u.ac.jp/item/rb00000898#?c=0&amp;m=0&amp;s=0&amp;cv=99")</f>
        <v>https://rmda.kulib.kyoto-u.ac.jp/item/rb00000898#?c=0&amp;m=0&amp;s=0&amp;cv=99</v>
      </c>
    </row>
    <row r="3630" spans="1:11" x14ac:dyDescent="0.15">
      <c r="A3630" s="6" t="s">
        <v>225</v>
      </c>
      <c r="B3630" s="6" t="s">
        <v>3676</v>
      </c>
      <c r="C3630" s="6">
        <v>103</v>
      </c>
      <c r="D3630" s="6" t="str">
        <f>HYPERLINK("https://rmda.kulib.kyoto-u.ac.jp/item/rb00008736#?c=0&amp;m=0&amp;s=0&amp;cv=102")</f>
        <v>https://rmda.kulib.kyoto-u.ac.jp/item/rb00008736#?c=0&amp;m=0&amp;s=0&amp;cv=102</v>
      </c>
      <c r="E3630" s="6"/>
      <c r="F3630" s="6"/>
      <c r="G3630" s="6">
        <v>65</v>
      </c>
      <c r="H3630" s="6" t="str">
        <f>HYPERLINK("https://rmda.kulib.kyoto-u.ac.jp/item/rb00000899#?c=0&amp;m=0&amp;s=0&amp;cv=64")</f>
        <v>https://rmda.kulib.kyoto-u.ac.jp/item/rb00000899#?c=0&amp;m=0&amp;s=0&amp;cv=64</v>
      </c>
      <c r="I3630" s="6">
        <v>101</v>
      </c>
      <c r="J3630" s="6" t="str">
        <f>HYPERLINK("https://rmda.kulib.kyoto-u.ac.jp/item/rb00000898#?c=0&amp;m=0&amp;s=0&amp;cv=100")</f>
        <v>https://rmda.kulib.kyoto-u.ac.jp/item/rb00000898#?c=0&amp;m=0&amp;s=0&amp;cv=100</v>
      </c>
    </row>
    <row r="3631" spans="1:11" x14ac:dyDescent="0.15">
      <c r="A3631" s="6" t="s">
        <v>225</v>
      </c>
      <c r="B3631" s="72" t="s">
        <v>3677</v>
      </c>
      <c r="C3631" s="6">
        <v>121</v>
      </c>
      <c r="D3631" s="6" t="str">
        <f>HYPERLINK("https://rmda.kulib.kyoto-u.ac.jp/item/rb00008736#?c=0&amp;m=0&amp;s=0&amp;cv=120")</f>
        <v>https://rmda.kulib.kyoto-u.ac.jp/item/rb00008736#?c=0&amp;m=0&amp;s=0&amp;cv=120</v>
      </c>
      <c r="E3631" s="6"/>
      <c r="F3631" s="6"/>
      <c r="G3631" s="6"/>
      <c r="H3631" s="6"/>
      <c r="I3631" s="40">
        <v>853</v>
      </c>
      <c r="J3631" s="40" t="str">
        <f>HYPERLINK("https://rmda.kulib.kyoto-u.ac.jp/item/rb00000898#?c=0&amp;m=0&amp;s=0&amp;cv=852")</f>
        <v>https://rmda.kulib.kyoto-u.ac.jp/item/rb00000898#?c=0&amp;m=0&amp;s=0&amp;cv=852</v>
      </c>
      <c r="K3631" s="89" t="s">
        <v>3752</v>
      </c>
    </row>
    <row r="3632" spans="1:11" x14ac:dyDescent="0.15">
      <c r="A3632" s="6" t="s">
        <v>225</v>
      </c>
      <c r="B3632" s="6" t="s">
        <v>3753</v>
      </c>
      <c r="C3632" s="6">
        <v>121</v>
      </c>
      <c r="D3632" s="6" t="str">
        <f>HYPERLINK("https://rmda.kulib.kyoto-u.ac.jp/item/rb00008736#?c=0&amp;m=0&amp;s=0&amp;cv=120")</f>
        <v>https://rmda.kulib.kyoto-u.ac.jp/item/rb00008736#?c=0&amp;m=0&amp;s=0&amp;cv=120</v>
      </c>
      <c r="E3632" s="6">
        <v>4</v>
      </c>
      <c r="F3632" s="6" t="str">
        <f>HYPERLINK("https://rmda.kulib.kyoto-u.ac.jp/item/rb00000897#?c=0&amp;m=0&amp;s=0&amp;cv=3")</f>
        <v>https://rmda.kulib.kyoto-u.ac.jp/item/rb00000897#?c=0&amp;m=0&amp;s=0&amp;cv=3</v>
      </c>
      <c r="G3632" s="6">
        <v>98</v>
      </c>
      <c r="H3632" s="6" t="str">
        <f>HYPERLINK("https://rmda.kulib.kyoto-u.ac.jp/item/rb00000899#?c=0&amp;m=0&amp;s=0&amp;cv=97")</f>
        <v>https://rmda.kulib.kyoto-u.ac.jp/item/rb00000899#?c=0&amp;m=0&amp;s=0&amp;cv=97</v>
      </c>
      <c r="I3632" s="6">
        <v>854</v>
      </c>
      <c r="J3632" s="6" t="str">
        <f>HYPERLINK("https://rmda.kulib.kyoto-u.ac.jp/item/rb00000898#?c=0&amp;m=0&amp;s=0&amp;cv=853")</f>
        <v>https://rmda.kulib.kyoto-u.ac.jp/item/rb00000898#?c=0&amp;m=0&amp;s=0&amp;cv=853</v>
      </c>
    </row>
    <row r="3633" spans="1:10" x14ac:dyDescent="0.15">
      <c r="A3633" s="6" t="s">
        <v>225</v>
      </c>
      <c r="B3633" s="6" t="s">
        <v>3754</v>
      </c>
      <c r="C3633" s="6">
        <v>121</v>
      </c>
      <c r="D3633" s="6" t="str">
        <f>HYPERLINK("https://rmda.kulib.kyoto-u.ac.jp/item/rb00008736#?c=0&amp;m=0&amp;s=0&amp;cv=120")</f>
        <v>https://rmda.kulib.kyoto-u.ac.jp/item/rb00008736#?c=0&amp;m=0&amp;s=0&amp;cv=120</v>
      </c>
      <c r="E3633" s="6">
        <v>5</v>
      </c>
      <c r="F3633" s="6" t="str">
        <f>HYPERLINK("https://rmda.kulib.kyoto-u.ac.jp/item/rb00000897#?c=0&amp;m=0&amp;s=0&amp;cv=4")</f>
        <v>https://rmda.kulib.kyoto-u.ac.jp/item/rb00000897#?c=0&amp;m=0&amp;s=0&amp;cv=4</v>
      </c>
      <c r="G3633" s="6">
        <v>98</v>
      </c>
      <c r="H3633" s="6" t="str">
        <f>HYPERLINK("https://rmda.kulib.kyoto-u.ac.jp/item/rb00000899#?c=0&amp;m=0&amp;s=0&amp;cv=97")</f>
        <v>https://rmda.kulib.kyoto-u.ac.jp/item/rb00000899#?c=0&amp;m=0&amp;s=0&amp;cv=97</v>
      </c>
      <c r="I3633" s="6">
        <v>854</v>
      </c>
      <c r="J3633" s="6" t="str">
        <f>HYPERLINK("https://rmda.kulib.kyoto-u.ac.jp/item/rb00000898#?c=0&amp;m=0&amp;s=0&amp;cv=853")</f>
        <v>https://rmda.kulib.kyoto-u.ac.jp/item/rb00000898#?c=0&amp;m=0&amp;s=0&amp;cv=853</v>
      </c>
    </row>
    <row r="3634" spans="1:10" x14ac:dyDescent="0.15">
      <c r="A3634" s="6" t="s">
        <v>225</v>
      </c>
      <c r="B3634" s="6" t="s">
        <v>3755</v>
      </c>
      <c r="C3634" s="6">
        <v>121</v>
      </c>
      <c r="D3634" s="6" t="str">
        <f>HYPERLINK("https://rmda.kulib.kyoto-u.ac.jp/item/rb00008736#?c=0&amp;m=0&amp;s=0&amp;cv=120")</f>
        <v>https://rmda.kulib.kyoto-u.ac.jp/item/rb00008736#?c=0&amp;m=0&amp;s=0&amp;cv=120</v>
      </c>
      <c r="E3634" s="6">
        <v>5</v>
      </c>
      <c r="F3634" s="6" t="str">
        <f>HYPERLINK("https://rmda.kulib.kyoto-u.ac.jp/item/rb00000897#?c=0&amp;m=0&amp;s=0&amp;cv=4")</f>
        <v>https://rmda.kulib.kyoto-u.ac.jp/item/rb00000897#?c=0&amp;m=0&amp;s=0&amp;cv=4</v>
      </c>
      <c r="G3634" s="6">
        <v>99</v>
      </c>
      <c r="H3634" s="6" t="str">
        <f>HYPERLINK("https://rmda.kulib.kyoto-u.ac.jp/item/rb00000899#?c=0&amp;m=0&amp;s=0&amp;cv=98")</f>
        <v>https://rmda.kulib.kyoto-u.ac.jp/item/rb00000899#?c=0&amp;m=0&amp;s=0&amp;cv=98</v>
      </c>
      <c r="I3634" s="6">
        <v>854</v>
      </c>
      <c r="J3634" s="6" t="str">
        <f>HYPERLINK("https://rmda.kulib.kyoto-u.ac.jp/item/rb00000898#?c=0&amp;m=0&amp;s=0&amp;cv=853")</f>
        <v>https://rmda.kulib.kyoto-u.ac.jp/item/rb00000898#?c=0&amp;m=0&amp;s=0&amp;cv=853</v>
      </c>
    </row>
    <row r="3635" spans="1:10" x14ac:dyDescent="0.15">
      <c r="A3635" s="6" t="s">
        <v>225</v>
      </c>
      <c r="B3635" s="6" t="s">
        <v>3756</v>
      </c>
      <c r="C3635" s="6">
        <v>122</v>
      </c>
      <c r="D3635" s="6" t="str">
        <f>HYPERLINK("https://rmda.kulib.kyoto-u.ac.jp/item/rb00008736#?c=0&amp;m=0&amp;s=0&amp;cv=121")</f>
        <v>https://rmda.kulib.kyoto-u.ac.jp/item/rb00008736#?c=0&amp;m=0&amp;s=0&amp;cv=121</v>
      </c>
      <c r="E3635" s="6">
        <v>6</v>
      </c>
      <c r="F3635" s="6" t="str">
        <f>HYPERLINK("https://rmda.kulib.kyoto-u.ac.jp/item/rb00000897#?c=0&amp;m=0&amp;s=0&amp;cv=5")</f>
        <v>https://rmda.kulib.kyoto-u.ac.jp/item/rb00000897#?c=0&amp;m=0&amp;s=0&amp;cv=5</v>
      </c>
      <c r="G3635" s="6">
        <v>99</v>
      </c>
      <c r="H3635" s="6" t="str">
        <f>HYPERLINK("https://rmda.kulib.kyoto-u.ac.jp/item/rb00000899#?c=0&amp;m=0&amp;s=0&amp;cv=98")</f>
        <v>https://rmda.kulib.kyoto-u.ac.jp/item/rb00000899#?c=0&amp;m=0&amp;s=0&amp;cv=98</v>
      </c>
      <c r="I3635" s="6">
        <v>855</v>
      </c>
      <c r="J3635" s="6" t="str">
        <f>HYPERLINK("https://rmda.kulib.kyoto-u.ac.jp/item/rb00000898#?c=0&amp;m=0&amp;s=0&amp;cv=854")</f>
        <v>https://rmda.kulib.kyoto-u.ac.jp/item/rb00000898#?c=0&amp;m=0&amp;s=0&amp;cv=854</v>
      </c>
    </row>
    <row r="3636" spans="1:10" x14ac:dyDescent="0.15">
      <c r="A3636" s="6" t="s">
        <v>225</v>
      </c>
      <c r="B3636" s="6" t="s">
        <v>3757</v>
      </c>
      <c r="C3636" s="6">
        <v>123</v>
      </c>
      <c r="D3636" s="6" t="str">
        <f>HYPERLINK("https://rmda.kulib.kyoto-u.ac.jp/item/rb00008736#?c=0&amp;m=0&amp;s=0&amp;cv=122")</f>
        <v>https://rmda.kulib.kyoto-u.ac.jp/item/rb00008736#?c=0&amp;m=0&amp;s=0&amp;cv=122</v>
      </c>
      <c r="E3636" s="6">
        <v>7</v>
      </c>
      <c r="F3636" s="6" t="str">
        <f>HYPERLINK("https://rmda.kulib.kyoto-u.ac.jp/item/rb00000897#?c=0&amp;m=0&amp;s=0&amp;cv=6")</f>
        <v>https://rmda.kulib.kyoto-u.ac.jp/item/rb00000897#?c=0&amp;m=0&amp;s=0&amp;cv=6</v>
      </c>
      <c r="G3636" s="6">
        <v>100</v>
      </c>
      <c r="H3636" s="6" t="str">
        <f>HYPERLINK("https://rmda.kulib.kyoto-u.ac.jp/item/rb00000899#?c=0&amp;m=0&amp;s=0&amp;cv=99")</f>
        <v>https://rmda.kulib.kyoto-u.ac.jp/item/rb00000899#?c=0&amp;m=0&amp;s=0&amp;cv=99</v>
      </c>
      <c r="I3636" s="6">
        <v>856</v>
      </c>
      <c r="J3636" s="6" t="str">
        <f>HYPERLINK("https://rmda.kulib.kyoto-u.ac.jp/item/rb00000898#?c=0&amp;m=0&amp;s=0&amp;cv=855")</f>
        <v>https://rmda.kulib.kyoto-u.ac.jp/item/rb00000898#?c=0&amp;m=0&amp;s=0&amp;cv=855</v>
      </c>
    </row>
    <row r="3637" spans="1:10" x14ac:dyDescent="0.15">
      <c r="A3637" s="6" t="s">
        <v>225</v>
      </c>
      <c r="B3637" s="6" t="s">
        <v>3758</v>
      </c>
      <c r="C3637" s="6">
        <v>126</v>
      </c>
      <c r="D3637" s="6" t="str">
        <f>HYPERLINK("https://rmda.kulib.kyoto-u.ac.jp/item/rb00008736#?c=0&amp;m=0&amp;s=0&amp;cv=125")</f>
        <v>https://rmda.kulib.kyoto-u.ac.jp/item/rb00008736#?c=0&amp;m=0&amp;s=0&amp;cv=125</v>
      </c>
      <c r="E3637" s="6">
        <v>10</v>
      </c>
      <c r="F3637" s="6" t="str">
        <f>HYPERLINK("https://rmda.kulib.kyoto-u.ac.jp/item/rb00000897#?c=0&amp;m=0&amp;s=0&amp;cv=9")</f>
        <v>https://rmda.kulib.kyoto-u.ac.jp/item/rb00000897#?c=0&amp;m=0&amp;s=0&amp;cv=9</v>
      </c>
      <c r="G3637" s="6">
        <v>101</v>
      </c>
      <c r="H3637" s="6" t="str">
        <f>HYPERLINK("https://rmda.kulib.kyoto-u.ac.jp/item/rb00000899#?c=0&amp;m=0&amp;s=0&amp;cv=100")</f>
        <v>https://rmda.kulib.kyoto-u.ac.jp/item/rb00000899#?c=0&amp;m=0&amp;s=0&amp;cv=100</v>
      </c>
      <c r="I3637" s="6">
        <v>859</v>
      </c>
      <c r="J3637" s="6" t="str">
        <f>HYPERLINK("https://rmda.kulib.kyoto-u.ac.jp/item/rb00000898#?c=0&amp;m=0&amp;s=0&amp;cv=858")</f>
        <v>https://rmda.kulib.kyoto-u.ac.jp/item/rb00000898#?c=0&amp;m=0&amp;s=0&amp;cv=858</v>
      </c>
    </row>
    <row r="3638" spans="1:10" x14ac:dyDescent="0.15">
      <c r="A3638" s="6" t="s">
        <v>225</v>
      </c>
      <c r="B3638" s="6" t="s">
        <v>3759</v>
      </c>
      <c r="C3638" s="6">
        <v>127</v>
      </c>
      <c r="D3638" s="6" t="str">
        <f>HYPERLINK("https://rmda.kulib.kyoto-u.ac.jp/item/rb00008736#?c=0&amp;m=0&amp;s=0&amp;cv=126")</f>
        <v>https://rmda.kulib.kyoto-u.ac.jp/item/rb00008736#?c=0&amp;m=0&amp;s=0&amp;cv=126</v>
      </c>
      <c r="E3638" s="6">
        <v>12</v>
      </c>
      <c r="F3638" s="6" t="str">
        <f>HYPERLINK("https://rmda.kulib.kyoto-u.ac.jp/item/rb00000897#?c=0&amp;m=0&amp;s=0&amp;cv=11")</f>
        <v>https://rmda.kulib.kyoto-u.ac.jp/item/rb00000897#?c=0&amp;m=0&amp;s=0&amp;cv=11</v>
      </c>
      <c r="G3638" s="6">
        <v>102</v>
      </c>
      <c r="H3638" s="6" t="str">
        <f>HYPERLINK("https://rmda.kulib.kyoto-u.ac.jp/item/rb00000899#?c=0&amp;m=0&amp;s=0&amp;cv=101")</f>
        <v>https://rmda.kulib.kyoto-u.ac.jp/item/rb00000899#?c=0&amp;m=0&amp;s=0&amp;cv=101</v>
      </c>
      <c r="I3638" s="6">
        <v>860</v>
      </c>
      <c r="J3638" s="6" t="str">
        <f>HYPERLINK("https://rmda.kulib.kyoto-u.ac.jp/item/rb00000898#?c=0&amp;m=0&amp;s=0&amp;cv=859")</f>
        <v>https://rmda.kulib.kyoto-u.ac.jp/item/rb00000898#?c=0&amp;m=0&amp;s=0&amp;cv=859</v>
      </c>
    </row>
    <row r="3639" spans="1:10" x14ac:dyDescent="0.15">
      <c r="A3639" s="6" t="s">
        <v>225</v>
      </c>
      <c r="B3639" s="6" t="s">
        <v>3760</v>
      </c>
      <c r="C3639" s="6">
        <v>128</v>
      </c>
      <c r="D3639" s="6" t="str">
        <f>HYPERLINK("https://rmda.kulib.kyoto-u.ac.jp/item/rb00008736#?c=0&amp;m=0&amp;s=0&amp;cv=127")</f>
        <v>https://rmda.kulib.kyoto-u.ac.jp/item/rb00008736#?c=0&amp;m=0&amp;s=0&amp;cv=127</v>
      </c>
      <c r="E3639" s="6">
        <v>12</v>
      </c>
      <c r="F3639" s="6" t="str">
        <f>HYPERLINK("https://rmda.kulib.kyoto-u.ac.jp/item/rb00000897#?c=0&amp;m=0&amp;s=0&amp;cv=11")</f>
        <v>https://rmda.kulib.kyoto-u.ac.jp/item/rb00000897#?c=0&amp;m=0&amp;s=0&amp;cv=11</v>
      </c>
      <c r="G3639" s="6">
        <v>102</v>
      </c>
      <c r="H3639" s="6" t="str">
        <f>HYPERLINK("https://rmda.kulib.kyoto-u.ac.jp/item/rb00000899#?c=0&amp;m=0&amp;s=0&amp;cv=101")</f>
        <v>https://rmda.kulib.kyoto-u.ac.jp/item/rb00000899#?c=0&amp;m=0&amp;s=0&amp;cv=101</v>
      </c>
      <c r="I3639" s="6">
        <v>861</v>
      </c>
      <c r="J3639" s="6" t="str">
        <f>HYPERLINK("https://rmda.kulib.kyoto-u.ac.jp/item/rb00000898#?c=0&amp;m=0&amp;s=0&amp;cv=860")</f>
        <v>https://rmda.kulib.kyoto-u.ac.jp/item/rb00000898#?c=0&amp;m=0&amp;s=0&amp;cv=860</v>
      </c>
    </row>
    <row r="3640" spans="1:10" x14ac:dyDescent="0.15">
      <c r="A3640" s="6" t="s">
        <v>225</v>
      </c>
      <c r="B3640" s="6" t="s">
        <v>3761</v>
      </c>
      <c r="C3640" s="6">
        <v>129</v>
      </c>
      <c r="D3640" s="6" t="str">
        <f>HYPERLINK("https://rmda.kulib.kyoto-u.ac.jp/item/rb00008736#?c=0&amp;m=0&amp;s=0&amp;cv=128")</f>
        <v>https://rmda.kulib.kyoto-u.ac.jp/item/rb00008736#?c=0&amp;m=0&amp;s=0&amp;cv=128</v>
      </c>
      <c r="E3640" s="6">
        <v>13</v>
      </c>
      <c r="F3640" s="6" t="str">
        <f>HYPERLINK("https://rmda.kulib.kyoto-u.ac.jp/item/rb00000897#?c=0&amp;m=0&amp;s=0&amp;cv=12")</f>
        <v>https://rmda.kulib.kyoto-u.ac.jp/item/rb00000897#?c=0&amp;m=0&amp;s=0&amp;cv=12</v>
      </c>
      <c r="G3640" s="6">
        <v>102</v>
      </c>
      <c r="H3640" s="6" t="str">
        <f>HYPERLINK("https://rmda.kulib.kyoto-u.ac.jp/item/rb00000899#?c=0&amp;m=0&amp;s=0&amp;cv=101")</f>
        <v>https://rmda.kulib.kyoto-u.ac.jp/item/rb00000899#?c=0&amp;m=0&amp;s=0&amp;cv=101</v>
      </c>
      <c r="I3640" s="6">
        <v>862</v>
      </c>
      <c r="J3640" s="6" t="str">
        <f>HYPERLINK("https://rmda.kulib.kyoto-u.ac.jp/item/rb00000898#?c=0&amp;m=0&amp;s=0&amp;cv=861")</f>
        <v>https://rmda.kulib.kyoto-u.ac.jp/item/rb00000898#?c=0&amp;m=0&amp;s=0&amp;cv=861</v>
      </c>
    </row>
    <row r="3641" spans="1:10" x14ac:dyDescent="0.15">
      <c r="A3641" s="6" t="s">
        <v>225</v>
      </c>
      <c r="B3641" s="6" t="s">
        <v>3762</v>
      </c>
      <c r="C3641" s="6">
        <v>133</v>
      </c>
      <c r="D3641" s="6" t="str">
        <f>HYPERLINK("https://rmda.kulib.kyoto-u.ac.jp/item/rb00008736#?c=0&amp;m=0&amp;s=0&amp;cv=132")</f>
        <v>https://rmda.kulib.kyoto-u.ac.jp/item/rb00008736#?c=0&amp;m=0&amp;s=0&amp;cv=132</v>
      </c>
      <c r="E3641" s="6">
        <v>18</v>
      </c>
      <c r="F3641" s="6" t="str">
        <f>HYPERLINK("https://rmda.kulib.kyoto-u.ac.jp/item/rb00000897#?c=0&amp;m=0&amp;s=0&amp;cv=17")</f>
        <v>https://rmda.kulib.kyoto-u.ac.jp/item/rb00000897#?c=0&amp;m=0&amp;s=0&amp;cv=17</v>
      </c>
      <c r="G3641" s="6">
        <v>105</v>
      </c>
      <c r="H3641" s="6" t="str">
        <f>HYPERLINK("https://rmda.kulib.kyoto-u.ac.jp/item/rb00000899#?c=0&amp;m=0&amp;s=0&amp;cv=104")</f>
        <v>https://rmda.kulib.kyoto-u.ac.jp/item/rb00000899#?c=0&amp;m=0&amp;s=0&amp;cv=104</v>
      </c>
      <c r="I3641" s="6">
        <v>866</v>
      </c>
      <c r="J3641" s="6" t="str">
        <f>HYPERLINK("https://rmda.kulib.kyoto-u.ac.jp/item/rb00000898#?c=0&amp;m=0&amp;s=0&amp;cv=865")</f>
        <v>https://rmda.kulib.kyoto-u.ac.jp/item/rb00000898#?c=0&amp;m=0&amp;s=0&amp;cv=865</v>
      </c>
    </row>
    <row r="3642" spans="1:10" x14ac:dyDescent="0.15">
      <c r="A3642" s="6" t="s">
        <v>225</v>
      </c>
      <c r="B3642" s="6" t="s">
        <v>3763</v>
      </c>
      <c r="C3642" s="6">
        <v>135</v>
      </c>
      <c r="D3642" s="6" t="str">
        <f>HYPERLINK("https://rmda.kulib.kyoto-u.ac.jp/item/rb00008736#?c=0&amp;m=0&amp;s=0&amp;cv=134")</f>
        <v>https://rmda.kulib.kyoto-u.ac.jp/item/rb00008736#?c=0&amp;m=0&amp;s=0&amp;cv=134</v>
      </c>
      <c r="E3642" s="6">
        <v>20</v>
      </c>
      <c r="F3642" s="6" t="str">
        <f>HYPERLINK("https://rmda.kulib.kyoto-u.ac.jp/item/rb00000897#?c=0&amp;m=0&amp;s=0&amp;cv=19")</f>
        <v>https://rmda.kulib.kyoto-u.ac.jp/item/rb00000897#?c=0&amp;m=0&amp;s=0&amp;cv=19</v>
      </c>
      <c r="G3642" s="6">
        <v>106</v>
      </c>
      <c r="H3642" s="6" t="str">
        <f>HYPERLINK("https://rmda.kulib.kyoto-u.ac.jp/item/rb00000899#?c=0&amp;m=0&amp;s=0&amp;cv=105")</f>
        <v>https://rmda.kulib.kyoto-u.ac.jp/item/rb00000899#?c=0&amp;m=0&amp;s=0&amp;cv=105</v>
      </c>
      <c r="I3642" s="6">
        <v>868</v>
      </c>
      <c r="J3642" s="6" t="str">
        <f>HYPERLINK("https://rmda.kulib.kyoto-u.ac.jp/item/rb00000898#?c=0&amp;m=0&amp;s=0&amp;cv=867")</f>
        <v>https://rmda.kulib.kyoto-u.ac.jp/item/rb00000898#?c=0&amp;m=0&amp;s=0&amp;cv=867</v>
      </c>
    </row>
    <row r="3643" spans="1:10" x14ac:dyDescent="0.15">
      <c r="A3643" s="6" t="s">
        <v>225</v>
      </c>
      <c r="B3643" s="6" t="s">
        <v>3764</v>
      </c>
      <c r="C3643" s="6">
        <v>136</v>
      </c>
      <c r="D3643" s="6" t="str">
        <f>HYPERLINK("https://rmda.kulib.kyoto-u.ac.jp/item/rb00008736#?c=0&amp;m=0&amp;s=0&amp;cv=135")</f>
        <v>https://rmda.kulib.kyoto-u.ac.jp/item/rb00008736#?c=0&amp;m=0&amp;s=0&amp;cv=135</v>
      </c>
      <c r="E3643" s="6">
        <v>20</v>
      </c>
      <c r="F3643" s="6" t="str">
        <f>HYPERLINK("https://rmda.kulib.kyoto-u.ac.jp/item/rb00000897#?c=0&amp;m=0&amp;s=0&amp;cv=19")</f>
        <v>https://rmda.kulib.kyoto-u.ac.jp/item/rb00000897#?c=0&amp;m=0&amp;s=0&amp;cv=19</v>
      </c>
      <c r="G3643" s="6">
        <v>106</v>
      </c>
      <c r="H3643" s="6" t="str">
        <f>HYPERLINK("https://rmda.kulib.kyoto-u.ac.jp/item/rb00000899#?c=0&amp;m=0&amp;s=0&amp;cv=105")</f>
        <v>https://rmda.kulib.kyoto-u.ac.jp/item/rb00000899#?c=0&amp;m=0&amp;s=0&amp;cv=105</v>
      </c>
      <c r="I3643" s="6">
        <v>869</v>
      </c>
      <c r="J3643" s="6" t="str">
        <f>HYPERLINK("https://rmda.kulib.kyoto-u.ac.jp/item/rb00000898#?c=0&amp;m=0&amp;s=0&amp;cv=868")</f>
        <v>https://rmda.kulib.kyoto-u.ac.jp/item/rb00000898#?c=0&amp;m=0&amp;s=0&amp;cv=868</v>
      </c>
    </row>
    <row r="3644" spans="1:10" x14ac:dyDescent="0.15">
      <c r="A3644" s="6" t="s">
        <v>225</v>
      </c>
      <c r="B3644" s="94" t="s">
        <v>3765</v>
      </c>
      <c r="C3644" s="6">
        <v>137</v>
      </c>
      <c r="D3644" s="6" t="str">
        <f>HYPERLINK("https://rmda.kulib.kyoto-u.ac.jp/item/rb00008736#?c=0&amp;m=0&amp;s=0&amp;cv=136")</f>
        <v>https://rmda.kulib.kyoto-u.ac.jp/item/rb00008736#?c=0&amp;m=0&amp;s=0&amp;cv=136</v>
      </c>
      <c r="E3644" s="6">
        <v>22</v>
      </c>
      <c r="F3644" s="6" t="str">
        <f>HYPERLINK("https://rmda.kulib.kyoto-u.ac.jp/item/rb00000897#?c=0&amp;m=0&amp;s=0&amp;cv=21")</f>
        <v>https://rmda.kulib.kyoto-u.ac.jp/item/rb00000897#?c=0&amp;m=0&amp;s=0&amp;cv=21</v>
      </c>
      <c r="G3644" s="6">
        <v>106</v>
      </c>
      <c r="H3644" s="6" t="str">
        <f>HYPERLINK("https://rmda.kulib.kyoto-u.ac.jp/item/rb00000899#?c=0&amp;m=0&amp;s=0&amp;cv=105")</f>
        <v>https://rmda.kulib.kyoto-u.ac.jp/item/rb00000899#?c=0&amp;m=0&amp;s=0&amp;cv=105</v>
      </c>
      <c r="I3644" s="6">
        <v>870</v>
      </c>
      <c r="J3644" s="6" t="str">
        <f>HYPERLINK("https://rmda.kulib.kyoto-u.ac.jp/item/rb00000898#?c=0&amp;m=0&amp;s=0&amp;cv=869")</f>
        <v>https://rmda.kulib.kyoto-u.ac.jp/item/rb00000898#?c=0&amp;m=0&amp;s=0&amp;cv=869</v>
      </c>
    </row>
    <row r="3645" spans="1:10" x14ac:dyDescent="0.15">
      <c r="A3645" s="6" t="s">
        <v>225</v>
      </c>
      <c r="B3645" s="6" t="s">
        <v>3766</v>
      </c>
      <c r="C3645" s="6">
        <v>140</v>
      </c>
      <c r="D3645" s="6" t="str">
        <f>HYPERLINK("https://rmda.kulib.kyoto-u.ac.jp/item/rb00008736#?c=0&amp;m=0&amp;s=0&amp;cv=139")</f>
        <v>https://rmda.kulib.kyoto-u.ac.jp/item/rb00008736#?c=0&amp;m=0&amp;s=0&amp;cv=139</v>
      </c>
      <c r="E3645" s="6">
        <v>25</v>
      </c>
      <c r="F3645" s="6" t="str">
        <f>HYPERLINK("https://rmda.kulib.kyoto-u.ac.jp/item/rb00000897#?c=0&amp;m=0&amp;s=0&amp;cv=24")</f>
        <v>https://rmda.kulib.kyoto-u.ac.jp/item/rb00000897#?c=0&amp;m=0&amp;s=0&amp;cv=24</v>
      </c>
      <c r="G3645" s="6">
        <v>108</v>
      </c>
      <c r="H3645" s="6" t="str">
        <f>HYPERLINK("https://rmda.kulib.kyoto-u.ac.jp/item/rb00000899#?c=0&amp;m=0&amp;s=0&amp;cv=107")</f>
        <v>https://rmda.kulib.kyoto-u.ac.jp/item/rb00000899#?c=0&amp;m=0&amp;s=0&amp;cv=107</v>
      </c>
      <c r="I3645" s="6">
        <v>873</v>
      </c>
      <c r="J3645" s="6" t="str">
        <f>HYPERLINK("https://rmda.kulib.kyoto-u.ac.jp/item/rb00000898#?c=0&amp;m=0&amp;s=0&amp;cv=872")</f>
        <v>https://rmda.kulib.kyoto-u.ac.jp/item/rb00000898#?c=0&amp;m=0&amp;s=0&amp;cv=872</v>
      </c>
    </row>
    <row r="3646" spans="1:10" x14ac:dyDescent="0.15">
      <c r="A3646" s="6" t="s">
        <v>225</v>
      </c>
      <c r="B3646" s="6" t="s">
        <v>3767</v>
      </c>
      <c r="C3646" s="6">
        <v>141</v>
      </c>
      <c r="D3646" s="6" t="str">
        <f>HYPERLINK("https://rmda.kulib.kyoto-u.ac.jp/item/rb00008736#?c=0&amp;m=0&amp;s=0&amp;cv=140")</f>
        <v>https://rmda.kulib.kyoto-u.ac.jp/item/rb00008736#?c=0&amp;m=0&amp;s=0&amp;cv=140</v>
      </c>
      <c r="E3646" s="6">
        <v>26</v>
      </c>
      <c r="F3646" s="6" t="str">
        <f>HYPERLINK("https://rmda.kulib.kyoto-u.ac.jp/item/rb00000897#?c=0&amp;m=0&amp;s=0&amp;cv=25")</f>
        <v>https://rmda.kulib.kyoto-u.ac.jp/item/rb00000897#?c=0&amp;m=0&amp;s=0&amp;cv=25</v>
      </c>
      <c r="G3646" s="6">
        <v>108</v>
      </c>
      <c r="H3646" s="6" t="str">
        <f>HYPERLINK("https://rmda.kulib.kyoto-u.ac.jp/item/rb00000899#?c=0&amp;m=0&amp;s=0&amp;cv=107")</f>
        <v>https://rmda.kulib.kyoto-u.ac.jp/item/rb00000899#?c=0&amp;m=0&amp;s=0&amp;cv=107</v>
      </c>
      <c r="I3646" s="6">
        <v>874</v>
      </c>
      <c r="J3646" s="6" t="str">
        <f>HYPERLINK("https://rmda.kulib.kyoto-u.ac.jp/item/rb00000898#?c=0&amp;m=0&amp;s=0&amp;cv=873")</f>
        <v>https://rmda.kulib.kyoto-u.ac.jp/item/rb00000898#?c=0&amp;m=0&amp;s=0&amp;cv=873</v>
      </c>
    </row>
    <row r="3647" spans="1:10" x14ac:dyDescent="0.15">
      <c r="A3647" s="6" t="s">
        <v>225</v>
      </c>
      <c r="B3647" s="6" t="s">
        <v>3768</v>
      </c>
      <c r="C3647" s="6">
        <v>143</v>
      </c>
      <c r="D3647" s="6" t="str">
        <f>HYPERLINK("https://rmda.kulib.kyoto-u.ac.jp/item/rb00008736#?c=0&amp;m=0&amp;s=0&amp;cv=142")</f>
        <v>https://rmda.kulib.kyoto-u.ac.jp/item/rb00008736#?c=0&amp;m=0&amp;s=0&amp;cv=142</v>
      </c>
      <c r="E3647" s="6">
        <v>28</v>
      </c>
      <c r="F3647" s="6" t="str">
        <f>HYPERLINK("https://rmda.kulib.kyoto-u.ac.jp/item/rb00000897#?c=0&amp;m=0&amp;s=0&amp;cv=27")</f>
        <v>https://rmda.kulib.kyoto-u.ac.jp/item/rb00000897#?c=0&amp;m=0&amp;s=0&amp;cv=27</v>
      </c>
      <c r="G3647" s="6">
        <v>109</v>
      </c>
      <c r="H3647" s="6" t="str">
        <f>HYPERLINK("https://rmda.kulib.kyoto-u.ac.jp/item/rb00000899#?c=0&amp;m=0&amp;s=0&amp;cv=108")</f>
        <v>https://rmda.kulib.kyoto-u.ac.jp/item/rb00000899#?c=0&amp;m=0&amp;s=0&amp;cv=108</v>
      </c>
      <c r="I3647" s="6">
        <v>876</v>
      </c>
      <c r="J3647" s="6" t="str">
        <f>HYPERLINK("https://rmda.kulib.kyoto-u.ac.jp/item/rb00000898#?c=0&amp;m=0&amp;s=0&amp;cv=875")</f>
        <v>https://rmda.kulib.kyoto-u.ac.jp/item/rb00000898#?c=0&amp;m=0&amp;s=0&amp;cv=875</v>
      </c>
    </row>
    <row r="3648" spans="1:10" x14ac:dyDescent="0.15">
      <c r="A3648" s="6" t="s">
        <v>225</v>
      </c>
      <c r="B3648" s="6" t="s">
        <v>3769</v>
      </c>
      <c r="C3648" s="6">
        <v>145</v>
      </c>
      <c r="D3648" s="6" t="str">
        <f>HYPERLINK("https://rmda.kulib.kyoto-u.ac.jp/item/rb00008736#?c=0&amp;m=0&amp;s=0&amp;cv=144")</f>
        <v>https://rmda.kulib.kyoto-u.ac.jp/item/rb00008736#?c=0&amp;m=0&amp;s=0&amp;cv=144</v>
      </c>
      <c r="E3648" s="6">
        <v>30</v>
      </c>
      <c r="F3648" s="6" t="str">
        <f>HYPERLINK("https://rmda.kulib.kyoto-u.ac.jp/item/rb00000897#?c=0&amp;m=0&amp;s=0&amp;cv=29")</f>
        <v>https://rmda.kulib.kyoto-u.ac.jp/item/rb00000897#?c=0&amp;m=0&amp;s=0&amp;cv=29</v>
      </c>
      <c r="G3648" s="6">
        <v>111</v>
      </c>
      <c r="H3648" s="6" t="str">
        <f>HYPERLINK("https://rmda.kulib.kyoto-u.ac.jp/item/rb00000899#?c=0&amp;m=0&amp;s=0&amp;cv=110")</f>
        <v>https://rmda.kulib.kyoto-u.ac.jp/item/rb00000899#?c=0&amp;m=0&amp;s=0&amp;cv=110</v>
      </c>
      <c r="I3648" s="6">
        <v>878</v>
      </c>
      <c r="J3648" s="6" t="str">
        <f>HYPERLINK("https://rmda.kulib.kyoto-u.ac.jp/item/rb00000898#?c=0&amp;m=0&amp;s=0&amp;cv=877")</f>
        <v>https://rmda.kulib.kyoto-u.ac.jp/item/rb00000898#?c=0&amp;m=0&amp;s=0&amp;cv=877</v>
      </c>
    </row>
    <row r="3649" spans="1:10" x14ac:dyDescent="0.15">
      <c r="A3649" s="6" t="s">
        <v>225</v>
      </c>
      <c r="B3649" s="6" t="s">
        <v>3770</v>
      </c>
      <c r="C3649" s="6">
        <v>146</v>
      </c>
      <c r="D3649" s="6" t="str">
        <f>HYPERLINK("https://rmda.kulib.kyoto-u.ac.jp/item/rb00008736#?c=0&amp;m=0&amp;s=0&amp;cv=145")</f>
        <v>https://rmda.kulib.kyoto-u.ac.jp/item/rb00008736#?c=0&amp;m=0&amp;s=0&amp;cv=145</v>
      </c>
      <c r="E3649" s="6">
        <v>30</v>
      </c>
      <c r="F3649" s="6" t="str">
        <f>HYPERLINK("https://rmda.kulib.kyoto-u.ac.jp/item/rb00000897#?c=0&amp;m=0&amp;s=0&amp;cv=29")</f>
        <v>https://rmda.kulib.kyoto-u.ac.jp/item/rb00000897#?c=0&amp;m=0&amp;s=0&amp;cv=29</v>
      </c>
      <c r="G3649" s="6">
        <v>113</v>
      </c>
      <c r="H3649" s="6" t="str">
        <f>HYPERLINK("https://rmda.kulib.kyoto-u.ac.jp/item/rb00000899#?c=0&amp;m=0&amp;s=0&amp;cv=112")</f>
        <v>https://rmda.kulib.kyoto-u.ac.jp/item/rb00000899#?c=0&amp;m=0&amp;s=0&amp;cv=112</v>
      </c>
      <c r="I3649" s="6">
        <v>879</v>
      </c>
      <c r="J3649" s="6" t="str">
        <f>HYPERLINK("https://rmda.kulib.kyoto-u.ac.jp/item/rb00000898#?c=0&amp;m=0&amp;s=0&amp;cv=878")</f>
        <v>https://rmda.kulib.kyoto-u.ac.jp/item/rb00000898#?c=0&amp;m=0&amp;s=0&amp;cv=878</v>
      </c>
    </row>
    <row r="3650" spans="1:10" x14ac:dyDescent="0.15">
      <c r="A3650" s="6" t="s">
        <v>225</v>
      </c>
      <c r="B3650" s="6" t="s">
        <v>3771</v>
      </c>
      <c r="C3650" s="6">
        <v>147</v>
      </c>
      <c r="D3650" s="6" t="str">
        <f>HYPERLINK("https://rmda.kulib.kyoto-u.ac.jp/item/rb00008736#?c=0&amp;m=0&amp;s=0&amp;cv=146")</f>
        <v>https://rmda.kulib.kyoto-u.ac.jp/item/rb00008736#?c=0&amp;m=0&amp;s=0&amp;cv=146</v>
      </c>
      <c r="E3650" s="6">
        <v>32</v>
      </c>
      <c r="F3650" s="6" t="str">
        <f>HYPERLINK("https://rmda.kulib.kyoto-u.ac.jp/item/rb00000897#?c=0&amp;m=0&amp;s=0&amp;cv=31")</f>
        <v>https://rmda.kulib.kyoto-u.ac.jp/item/rb00000897#?c=0&amp;m=0&amp;s=0&amp;cv=31</v>
      </c>
      <c r="G3650" s="6">
        <v>115</v>
      </c>
      <c r="H3650" s="6" t="str">
        <f>HYPERLINK("https://rmda.kulib.kyoto-u.ac.jp/item/rb00000899#?c=0&amp;m=0&amp;s=0&amp;cv=114")</f>
        <v>https://rmda.kulib.kyoto-u.ac.jp/item/rb00000899#?c=0&amp;m=0&amp;s=0&amp;cv=114</v>
      </c>
      <c r="I3650" s="6">
        <v>880</v>
      </c>
      <c r="J3650" s="6" t="str">
        <f>HYPERLINK("https://rmda.kulib.kyoto-u.ac.jp/item/rb00000898#?c=0&amp;m=0&amp;s=0&amp;cv=879")</f>
        <v>https://rmda.kulib.kyoto-u.ac.jp/item/rb00000898#?c=0&amp;m=0&amp;s=0&amp;cv=879</v>
      </c>
    </row>
    <row r="3651" spans="1:10" x14ac:dyDescent="0.15">
      <c r="A3651" s="6" t="s">
        <v>225</v>
      </c>
      <c r="B3651" s="6" t="s">
        <v>3728</v>
      </c>
      <c r="C3651" s="6">
        <v>147</v>
      </c>
      <c r="D3651" s="6" t="str">
        <f>HYPERLINK("https://rmda.kulib.kyoto-u.ac.jp/item/rb00008736#?c=0&amp;m=0&amp;s=0&amp;cv=146")</f>
        <v>https://rmda.kulib.kyoto-u.ac.jp/item/rb00008736#?c=0&amp;m=0&amp;s=0&amp;cv=146</v>
      </c>
      <c r="E3651" s="6"/>
      <c r="F3651" s="6"/>
      <c r="G3651" s="6">
        <v>119</v>
      </c>
      <c r="H3651" s="6" t="str">
        <f>HYPERLINK("https://rmda.kulib.kyoto-u.ac.jp/item/rb00000899#?c=0&amp;m=0&amp;s=0&amp;cv=118")</f>
        <v>https://rmda.kulib.kyoto-u.ac.jp/item/rb00000899#?c=0&amp;m=0&amp;s=0&amp;cv=118</v>
      </c>
      <c r="I3651" s="6">
        <v>880</v>
      </c>
      <c r="J3651" s="6" t="str">
        <f>HYPERLINK("https://rmda.kulib.kyoto-u.ac.jp/item/rb00000898#?c=0&amp;m=0&amp;s=0&amp;cv=879")</f>
        <v>https://rmda.kulib.kyoto-u.ac.jp/item/rb00000898#?c=0&amp;m=0&amp;s=0&amp;cv=879</v>
      </c>
    </row>
    <row r="3652" spans="1:10" x14ac:dyDescent="0.15">
      <c r="A3652" s="6" t="s">
        <v>225</v>
      </c>
      <c r="B3652" s="6" t="s">
        <v>3772</v>
      </c>
      <c r="C3652" s="6">
        <v>147</v>
      </c>
      <c r="D3652" s="6" t="str">
        <f>HYPERLINK("https://rmda.kulib.kyoto-u.ac.jp/item/rb00008736#?c=0&amp;m=0&amp;s=0&amp;cv=146")</f>
        <v>https://rmda.kulib.kyoto-u.ac.jp/item/rb00008736#?c=0&amp;m=0&amp;s=0&amp;cv=146</v>
      </c>
      <c r="E3652" s="6"/>
      <c r="F3652" s="6"/>
      <c r="G3652" s="6">
        <v>119</v>
      </c>
      <c r="H3652" s="6" t="str">
        <f>HYPERLINK("https://rmda.kulib.kyoto-u.ac.jp/item/rb00000899#?c=0&amp;m=0&amp;s=0&amp;cv=118")</f>
        <v>https://rmda.kulib.kyoto-u.ac.jp/item/rb00000899#?c=0&amp;m=0&amp;s=0&amp;cv=118</v>
      </c>
      <c r="I3652" s="6">
        <v>880</v>
      </c>
      <c r="J3652" s="6" t="str">
        <f>HYPERLINK("https://rmda.kulib.kyoto-u.ac.jp/item/rb00000898#?c=0&amp;m=0&amp;s=0&amp;cv=879")</f>
        <v>https://rmda.kulib.kyoto-u.ac.jp/item/rb00000898#?c=0&amp;m=0&amp;s=0&amp;cv=879</v>
      </c>
    </row>
    <row r="3653" spans="1:10" x14ac:dyDescent="0.15">
      <c r="A3653" s="6" t="s">
        <v>225</v>
      </c>
      <c r="B3653" s="6" t="s">
        <v>3773</v>
      </c>
      <c r="C3653" s="6">
        <v>153</v>
      </c>
      <c r="D3653" s="6" t="str">
        <f>HYPERLINK("https://rmda.kulib.kyoto-u.ac.jp/item/rb00008736#?c=0&amp;m=0&amp;s=0&amp;cv=152")</f>
        <v>https://rmda.kulib.kyoto-u.ac.jp/item/rb00008736#?c=0&amp;m=0&amp;s=0&amp;cv=152</v>
      </c>
      <c r="E3653" s="6"/>
      <c r="F3653" s="6"/>
      <c r="G3653" s="6">
        <v>140</v>
      </c>
      <c r="H3653" s="6" t="str">
        <f>HYPERLINK("https://rmda.kulib.kyoto-u.ac.jp/item/rb00000899#?c=0&amp;m=0&amp;s=0&amp;cv=139")</f>
        <v>https://rmda.kulib.kyoto-u.ac.jp/item/rb00000899#?c=0&amp;m=0&amp;s=0&amp;cv=139</v>
      </c>
      <c r="I3653" s="6">
        <v>886</v>
      </c>
      <c r="J3653" s="6" t="str">
        <f>HYPERLINK("https://rmda.kulib.kyoto-u.ac.jp/item/rb00000898#?c=0&amp;m=0&amp;s=0&amp;cv=885")</f>
        <v>https://rmda.kulib.kyoto-u.ac.jp/item/rb00000898#?c=0&amp;m=0&amp;s=0&amp;cv=885</v>
      </c>
    </row>
    <row r="3654" spans="1:10" x14ac:dyDescent="0.15">
      <c r="A3654" s="6" t="s">
        <v>225</v>
      </c>
      <c r="B3654" s="6" t="s">
        <v>3730</v>
      </c>
      <c r="C3654" s="6">
        <v>174</v>
      </c>
      <c r="D3654" s="6" t="str">
        <f>HYPERLINK("https://rmda.kulib.kyoto-u.ac.jp/item/rb00008736#?c=0&amp;m=0&amp;s=0&amp;cv=173")</f>
        <v>https://rmda.kulib.kyoto-u.ac.jp/item/rb00008736#?c=0&amp;m=0&amp;s=0&amp;cv=173</v>
      </c>
      <c r="E3654" s="6"/>
      <c r="F3654" s="6"/>
      <c r="G3654" s="6">
        <v>182</v>
      </c>
      <c r="H3654" s="6" t="str">
        <f>HYPERLINK("https://rmda.kulib.kyoto-u.ac.jp/item/rb00000899#?c=0&amp;m=0&amp;s=0&amp;cv=181")</f>
        <v>https://rmda.kulib.kyoto-u.ac.jp/item/rb00000899#?c=0&amp;m=0&amp;s=0&amp;cv=181</v>
      </c>
      <c r="I3654" s="6"/>
      <c r="J3654" s="6"/>
    </row>
    <row r="3655" spans="1:10" x14ac:dyDescent="0.15">
      <c r="A3655" s="6" t="s">
        <v>225</v>
      </c>
      <c r="B3655" s="6" t="s">
        <v>3774</v>
      </c>
      <c r="C3655" s="6">
        <v>174</v>
      </c>
      <c r="D3655" s="6" t="str">
        <f>HYPERLINK("https://rmda.kulib.kyoto-u.ac.jp/item/rb00008736#?c=0&amp;m=0&amp;s=0&amp;cv=173")</f>
        <v>https://rmda.kulib.kyoto-u.ac.jp/item/rb00008736#?c=0&amp;m=0&amp;s=0&amp;cv=173</v>
      </c>
      <c r="E3655" s="6"/>
      <c r="F3655" s="6"/>
      <c r="G3655" s="6">
        <v>182</v>
      </c>
      <c r="H3655" s="6" t="str">
        <f>HYPERLINK("https://rmda.kulib.kyoto-u.ac.jp/item/rb00000899#?c=0&amp;m=0&amp;s=0&amp;cv=181")</f>
        <v>https://rmda.kulib.kyoto-u.ac.jp/item/rb00000899#?c=0&amp;m=0&amp;s=0&amp;cv=181</v>
      </c>
      <c r="I3655" s="6">
        <v>907</v>
      </c>
      <c r="J3655" s="6" t="str">
        <f>HYPERLINK("https://rmda.kulib.kyoto-u.ac.jp/item/rb00000898#?c=0&amp;m=0&amp;s=0&amp;cv=906")</f>
        <v>https://rmda.kulib.kyoto-u.ac.jp/item/rb00000898#?c=0&amp;m=0&amp;s=0&amp;cv=906</v>
      </c>
    </row>
    <row r="3656" spans="1:10" x14ac:dyDescent="0.15">
      <c r="A3656" s="6" t="s">
        <v>225</v>
      </c>
      <c r="B3656" s="6" t="s">
        <v>3775</v>
      </c>
      <c r="C3656" s="6">
        <v>174</v>
      </c>
      <c r="D3656" s="6" t="str">
        <f>HYPERLINK("https://rmda.kulib.kyoto-u.ac.jp/item/rb00008736#?c=0&amp;m=0&amp;s=0&amp;cv=173")</f>
        <v>https://rmda.kulib.kyoto-u.ac.jp/item/rb00008736#?c=0&amp;m=0&amp;s=0&amp;cv=173</v>
      </c>
      <c r="E3656" s="6"/>
      <c r="F3656" s="6"/>
      <c r="G3656" s="6">
        <v>185</v>
      </c>
      <c r="H3656" s="6" t="str">
        <f>HYPERLINK("https://rmda.kulib.kyoto-u.ac.jp/item/rb00000899#?c=0&amp;m=0&amp;s=0&amp;cv=184")</f>
        <v>https://rmda.kulib.kyoto-u.ac.jp/item/rb00000899#?c=0&amp;m=0&amp;s=0&amp;cv=184</v>
      </c>
      <c r="I3656" s="6">
        <v>907</v>
      </c>
      <c r="J3656" s="6" t="str">
        <f>HYPERLINK("https://rmda.kulib.kyoto-u.ac.jp/item/rb00000898#?c=0&amp;m=0&amp;s=0&amp;cv=906")</f>
        <v>https://rmda.kulib.kyoto-u.ac.jp/item/rb00000898#?c=0&amp;m=0&amp;s=0&amp;cv=906</v>
      </c>
    </row>
    <row r="3657" spans="1:10" x14ac:dyDescent="0.15">
      <c r="A3657" s="6" t="s">
        <v>225</v>
      </c>
      <c r="B3657" s="6" t="s">
        <v>3729</v>
      </c>
      <c r="C3657" s="6">
        <v>175</v>
      </c>
      <c r="D3657" s="6" t="str">
        <f>HYPERLINK("https://rmda.kulib.kyoto-u.ac.jp/item/rb00008736#?c=0&amp;m=0&amp;s=0&amp;cv=174")</f>
        <v>https://rmda.kulib.kyoto-u.ac.jp/item/rb00008736#?c=0&amp;m=0&amp;s=0&amp;cv=174</v>
      </c>
      <c r="E3657" s="6"/>
      <c r="F3657" s="6"/>
      <c r="G3657" s="6">
        <v>186</v>
      </c>
      <c r="H3657" s="6" t="str">
        <f>HYPERLINK("https://rmda.kulib.kyoto-u.ac.jp/item/rb00000899#?c=0&amp;m=0&amp;s=0&amp;cv=185")</f>
        <v>https://rmda.kulib.kyoto-u.ac.jp/item/rb00000899#?c=0&amp;m=0&amp;s=0&amp;cv=185</v>
      </c>
      <c r="I3657" s="6">
        <v>908</v>
      </c>
      <c r="J3657" s="6" t="str">
        <f>HYPERLINK("https://rmda.kulib.kyoto-u.ac.jp/item/rb00000898#?c=0&amp;m=0&amp;s=0&amp;cv=907")</f>
        <v>https://rmda.kulib.kyoto-u.ac.jp/item/rb00000898#?c=0&amp;m=0&amp;s=0&amp;cv=907</v>
      </c>
    </row>
    <row r="3658" spans="1:10" x14ac:dyDescent="0.15">
      <c r="A3658" s="6" t="s">
        <v>225</v>
      </c>
      <c r="B3658" s="72" t="s">
        <v>3678</v>
      </c>
      <c r="C3658" s="6">
        <v>182</v>
      </c>
      <c r="D3658" s="6" t="str">
        <f>HYPERLINK("https://rmda.kulib.kyoto-u.ac.jp/item/rb00008736#?c=0&amp;m=0&amp;s=0&amp;cv=181")</f>
        <v>https://rmda.kulib.kyoto-u.ac.jp/item/rb00008736#?c=0&amp;m=0&amp;s=0&amp;cv=181</v>
      </c>
      <c r="E3658" s="6"/>
      <c r="F3658" s="6"/>
      <c r="G3658" s="6"/>
      <c r="H3658" s="6"/>
      <c r="I3658" s="6"/>
      <c r="J3658" s="6"/>
    </row>
    <row r="3659" spans="1:10" x14ac:dyDescent="0.15">
      <c r="A3659" s="6" t="s">
        <v>225</v>
      </c>
      <c r="B3659" s="6" t="s">
        <v>3776</v>
      </c>
      <c r="C3659" s="6">
        <v>178</v>
      </c>
      <c r="D3659" s="6" t="str">
        <f>HYPERLINK("https://rmda.kulib.kyoto-u.ac.jp/item/rb00008736#?c=0&amp;m=0&amp;s=0&amp;cv=177")</f>
        <v>https://rmda.kulib.kyoto-u.ac.jp/item/rb00008736#?c=0&amp;m=0&amp;s=0&amp;cv=177</v>
      </c>
      <c r="E3659" s="6"/>
      <c r="F3659" s="6"/>
      <c r="G3659" s="6">
        <v>189</v>
      </c>
      <c r="H3659" s="6" t="str">
        <f>HYPERLINK("https://rmda.kulib.kyoto-u.ac.jp/item/rb00000899#?c=0&amp;m=0&amp;s=0&amp;cv=188")</f>
        <v>https://rmda.kulib.kyoto-u.ac.jp/item/rb00000899#?c=0&amp;m=0&amp;s=0&amp;cv=188</v>
      </c>
      <c r="I3659" s="6">
        <v>911</v>
      </c>
      <c r="J3659" s="6" t="str">
        <f>HYPERLINK("https://rmda.kulib.kyoto-u.ac.jp/item/rb00000898#?c=0&amp;m=0&amp;s=0&amp;cv=910")</f>
        <v>https://rmda.kulib.kyoto-u.ac.jp/item/rb00000898#?c=0&amp;m=0&amp;s=0&amp;cv=910</v>
      </c>
    </row>
    <row r="3660" spans="1:10" x14ac:dyDescent="0.15">
      <c r="A3660" s="6" t="s">
        <v>225</v>
      </c>
      <c r="B3660" s="6" t="s">
        <v>3777</v>
      </c>
      <c r="C3660" s="6">
        <v>182</v>
      </c>
      <c r="D3660" s="6" t="str">
        <f>HYPERLINK("https://rmda.kulib.kyoto-u.ac.jp/item/rb00008736#?c=0&amp;m=0&amp;s=0&amp;cv=181")</f>
        <v>https://rmda.kulib.kyoto-u.ac.jp/item/rb00008736#?c=0&amp;m=0&amp;s=0&amp;cv=181</v>
      </c>
      <c r="E3660" s="6"/>
      <c r="F3660" s="6"/>
      <c r="G3660" s="6">
        <v>191</v>
      </c>
      <c r="H3660" s="6" t="str">
        <f>HYPERLINK("https://rmda.kulib.kyoto-u.ac.jp/item/rb00000899#?c=0&amp;m=0&amp;s=0&amp;cv=190")</f>
        <v>https://rmda.kulib.kyoto-u.ac.jp/item/rb00000899#?c=0&amp;m=0&amp;s=0&amp;cv=190</v>
      </c>
      <c r="I3660" s="6">
        <v>912</v>
      </c>
      <c r="J3660" s="6" t="str">
        <f>HYPERLINK("https://rmda.kulib.kyoto-u.ac.jp/item/rb00000898#?c=0&amp;m=0&amp;s=0&amp;cv=911")</f>
        <v>https://rmda.kulib.kyoto-u.ac.jp/item/rb00000898#?c=0&amp;m=0&amp;s=0&amp;cv=911</v>
      </c>
    </row>
    <row r="3661" spans="1:10" x14ac:dyDescent="0.15">
      <c r="A3661" s="6" t="s">
        <v>225</v>
      </c>
      <c r="B3661" s="6" t="s">
        <v>3778</v>
      </c>
      <c r="C3661" s="6">
        <v>182</v>
      </c>
      <c r="D3661" s="6" t="str">
        <f>HYPERLINK("https://rmda.kulib.kyoto-u.ac.jp/item/rb00008736#?c=0&amp;m=0&amp;s=0&amp;cv=181")</f>
        <v>https://rmda.kulib.kyoto-u.ac.jp/item/rb00008736#?c=0&amp;m=0&amp;s=0&amp;cv=181</v>
      </c>
      <c r="E3661" s="6"/>
      <c r="F3661" s="6"/>
      <c r="G3661" s="6">
        <v>192</v>
      </c>
      <c r="H3661" s="6" t="str">
        <f>HYPERLINK("https://rmda.kulib.kyoto-u.ac.jp/item/rb00000899#?c=0&amp;m=0&amp;s=0&amp;cv=191")</f>
        <v>https://rmda.kulib.kyoto-u.ac.jp/item/rb00000899#?c=0&amp;m=0&amp;s=0&amp;cv=191</v>
      </c>
      <c r="I3661" s="6">
        <v>912</v>
      </c>
      <c r="J3661" s="6" t="str">
        <f>HYPERLINK("https://rmda.kulib.kyoto-u.ac.jp/item/rb00000898#?c=0&amp;m=0&amp;s=0&amp;cv=911")</f>
        <v>https://rmda.kulib.kyoto-u.ac.jp/item/rb00000898#?c=0&amp;m=0&amp;s=0&amp;cv=911</v>
      </c>
    </row>
    <row r="3662" spans="1:10" x14ac:dyDescent="0.15">
      <c r="A3662" s="6" t="s">
        <v>225</v>
      </c>
      <c r="B3662" s="6" t="s">
        <v>3779</v>
      </c>
      <c r="C3662" s="6">
        <v>183</v>
      </c>
      <c r="D3662" s="6" t="str">
        <f>HYPERLINK("https://rmda.kulib.kyoto-u.ac.jp/item/rb00008736#?c=0&amp;m=0&amp;s=0&amp;cv=182")</f>
        <v>https://rmda.kulib.kyoto-u.ac.jp/item/rb00008736#?c=0&amp;m=0&amp;s=0&amp;cv=182</v>
      </c>
      <c r="E3662" s="6"/>
      <c r="F3662" s="6"/>
      <c r="G3662" s="6">
        <v>194</v>
      </c>
      <c r="H3662" s="6" t="str">
        <f>HYPERLINK("https://rmda.kulib.kyoto-u.ac.jp/item/rb00000899#?c=0&amp;m=0&amp;s=0&amp;cv=193")</f>
        <v>https://rmda.kulib.kyoto-u.ac.jp/item/rb00000899#?c=0&amp;m=0&amp;s=0&amp;cv=193</v>
      </c>
      <c r="I3662" s="6">
        <v>913</v>
      </c>
      <c r="J3662" s="6" t="str">
        <f>HYPERLINK("https://rmda.kulib.kyoto-u.ac.jp/item/rb00000898#?c=0&amp;m=0&amp;s=0&amp;cv=912")</f>
        <v>https://rmda.kulib.kyoto-u.ac.jp/item/rb00000898#?c=0&amp;m=0&amp;s=0&amp;cv=912</v>
      </c>
    </row>
    <row r="3663" spans="1:10" x14ac:dyDescent="0.15">
      <c r="A3663" s="6" t="s">
        <v>225</v>
      </c>
      <c r="B3663" s="6" t="s">
        <v>3731</v>
      </c>
      <c r="C3663" s="6">
        <v>183</v>
      </c>
      <c r="D3663" s="6" t="str">
        <f>HYPERLINK("https://rmda.kulib.kyoto-u.ac.jp/item/rb00008736#?c=0&amp;m=0&amp;s=0&amp;cv=182")</f>
        <v>https://rmda.kulib.kyoto-u.ac.jp/item/rb00008736#?c=0&amp;m=0&amp;s=0&amp;cv=182</v>
      </c>
      <c r="E3663" s="6"/>
      <c r="F3663" s="6"/>
      <c r="G3663" s="6">
        <v>196</v>
      </c>
      <c r="H3663" s="6" t="str">
        <f>HYPERLINK("https://rmda.kulib.kyoto-u.ac.jp/item/rb00000899#?c=0&amp;m=0&amp;s=0&amp;cv=195")</f>
        <v>https://rmda.kulib.kyoto-u.ac.jp/item/rb00000899#?c=0&amp;m=0&amp;s=0&amp;cv=195</v>
      </c>
      <c r="I3663" s="6">
        <v>913</v>
      </c>
      <c r="J3663" s="6" t="str">
        <f>HYPERLINK("https://rmda.kulib.kyoto-u.ac.jp/item/rb00000898#?c=0&amp;m=0&amp;s=0&amp;cv=912")</f>
        <v>https://rmda.kulib.kyoto-u.ac.jp/item/rb00000898#?c=0&amp;m=0&amp;s=0&amp;cv=912</v>
      </c>
    </row>
    <row r="3664" spans="1:10" x14ac:dyDescent="0.15">
      <c r="A3664" s="6" t="s">
        <v>225</v>
      </c>
      <c r="B3664" s="6" t="s">
        <v>3780</v>
      </c>
      <c r="C3664" s="6">
        <v>184</v>
      </c>
      <c r="D3664" s="6" t="str">
        <f>HYPERLINK("https://rmda.kulib.kyoto-u.ac.jp/item/rb00008736#?c=0&amp;m=0&amp;s=0&amp;cv=183")</f>
        <v>https://rmda.kulib.kyoto-u.ac.jp/item/rb00008736#?c=0&amp;m=0&amp;s=0&amp;cv=183</v>
      </c>
      <c r="E3664" s="6"/>
      <c r="F3664" s="6"/>
      <c r="G3664" s="6">
        <v>197</v>
      </c>
      <c r="H3664" s="6" t="str">
        <f>HYPERLINK("https://rmda.kulib.kyoto-u.ac.jp/item/rb00000899#?c=0&amp;m=0&amp;s=0&amp;cv=196")</f>
        <v>https://rmda.kulib.kyoto-u.ac.jp/item/rb00000899#?c=0&amp;m=0&amp;s=0&amp;cv=196</v>
      </c>
      <c r="I3664" s="6">
        <v>914</v>
      </c>
      <c r="J3664" s="6" t="str">
        <f>HYPERLINK("https://rmda.kulib.kyoto-u.ac.jp/item/rb00000898#?c=0&amp;m=0&amp;s=0&amp;cv=913")</f>
        <v>https://rmda.kulib.kyoto-u.ac.jp/item/rb00000898#?c=0&amp;m=0&amp;s=0&amp;cv=913</v>
      </c>
    </row>
    <row r="3665" spans="1:10" x14ac:dyDescent="0.15">
      <c r="A3665" s="6" t="s">
        <v>225</v>
      </c>
      <c r="B3665" s="6" t="s">
        <v>3781</v>
      </c>
      <c r="C3665" s="6">
        <v>185</v>
      </c>
      <c r="D3665" s="6" t="str">
        <f>HYPERLINK("https://rmda.kulib.kyoto-u.ac.jp/item/rb00008736#?c=0&amp;m=0&amp;s=0&amp;cv=184")</f>
        <v>https://rmda.kulib.kyoto-u.ac.jp/item/rb00008736#?c=0&amp;m=0&amp;s=0&amp;cv=184</v>
      </c>
      <c r="E3665" s="6"/>
      <c r="F3665" s="6"/>
      <c r="G3665" s="6">
        <v>201</v>
      </c>
      <c r="H3665" s="6" t="str">
        <f>HYPERLINK("https://rmda.kulib.kyoto-u.ac.jp/item/rb00000899#?c=0&amp;m=0&amp;s=0&amp;cv=200")</f>
        <v>https://rmda.kulib.kyoto-u.ac.jp/item/rb00000899#?c=0&amp;m=0&amp;s=0&amp;cv=200</v>
      </c>
      <c r="I3665" s="6">
        <v>915</v>
      </c>
      <c r="J3665" s="6" t="str">
        <f>HYPERLINK("https://rmda.kulib.kyoto-u.ac.jp/item/rb00000898#?c=0&amp;m=0&amp;s=0&amp;cv=914")</f>
        <v>https://rmda.kulib.kyoto-u.ac.jp/item/rb00000898#?c=0&amp;m=0&amp;s=0&amp;cv=914</v>
      </c>
    </row>
    <row r="3666" spans="1:10" x14ac:dyDescent="0.15">
      <c r="A3666" s="6" t="s">
        <v>225</v>
      </c>
      <c r="B3666" s="6" t="s">
        <v>3782</v>
      </c>
      <c r="C3666" s="6">
        <v>186</v>
      </c>
      <c r="D3666" s="6" t="str">
        <f>HYPERLINK("https://rmda.kulib.kyoto-u.ac.jp/item/rb00008736#?c=0&amp;m=0&amp;s=0&amp;cv=185")</f>
        <v>https://rmda.kulib.kyoto-u.ac.jp/item/rb00008736#?c=0&amp;m=0&amp;s=0&amp;cv=185</v>
      </c>
      <c r="E3666" s="6"/>
      <c r="F3666" s="6"/>
      <c r="G3666" s="6">
        <v>203</v>
      </c>
      <c r="H3666" s="6" t="str">
        <f>HYPERLINK("https://rmda.kulib.kyoto-u.ac.jp/item/rb00000899#?c=0&amp;m=0&amp;s=0&amp;cv=202")</f>
        <v>https://rmda.kulib.kyoto-u.ac.jp/item/rb00000899#?c=0&amp;m=0&amp;s=0&amp;cv=202</v>
      </c>
      <c r="I3666" s="6">
        <v>916</v>
      </c>
      <c r="J3666" s="6" t="str">
        <f>HYPERLINK("https://rmda.kulib.kyoto-u.ac.jp/item/rb00000898#?c=0&amp;m=0&amp;s=0&amp;cv=915")</f>
        <v>https://rmda.kulib.kyoto-u.ac.jp/item/rb00000898#?c=0&amp;m=0&amp;s=0&amp;cv=915</v>
      </c>
    </row>
    <row r="3667" spans="1:10" x14ac:dyDescent="0.15">
      <c r="A3667" s="6" t="s">
        <v>225</v>
      </c>
      <c r="B3667" s="6" t="s">
        <v>3783</v>
      </c>
      <c r="C3667" s="6">
        <v>186</v>
      </c>
      <c r="D3667" s="6" t="str">
        <f>HYPERLINK("https://rmda.kulib.kyoto-u.ac.jp/item/rb00008736#?c=0&amp;m=0&amp;s=0&amp;cv=185")</f>
        <v>https://rmda.kulib.kyoto-u.ac.jp/item/rb00008736#?c=0&amp;m=0&amp;s=0&amp;cv=185</v>
      </c>
      <c r="E3667" s="6"/>
      <c r="F3667" s="6"/>
      <c r="G3667" s="6">
        <v>204</v>
      </c>
      <c r="H3667" s="6" t="str">
        <f>HYPERLINK("https://rmda.kulib.kyoto-u.ac.jp/item/rb00000899#?c=0&amp;m=0&amp;s=0&amp;cv=203")</f>
        <v>https://rmda.kulib.kyoto-u.ac.jp/item/rb00000899#?c=0&amp;m=0&amp;s=0&amp;cv=203</v>
      </c>
      <c r="I3667" s="6">
        <v>916</v>
      </c>
      <c r="J3667" s="6" t="str">
        <f>HYPERLINK("https://rmda.kulib.kyoto-u.ac.jp/item/rb00000898#?c=0&amp;m=0&amp;s=0&amp;cv=915")</f>
        <v>https://rmda.kulib.kyoto-u.ac.jp/item/rb00000898#?c=0&amp;m=0&amp;s=0&amp;cv=915</v>
      </c>
    </row>
    <row r="3668" spans="1:10" x14ac:dyDescent="0.15">
      <c r="A3668" s="6" t="s">
        <v>225</v>
      </c>
      <c r="B3668" s="6" t="s">
        <v>3784</v>
      </c>
      <c r="C3668" s="6">
        <v>194</v>
      </c>
      <c r="D3668" s="6" t="str">
        <f>HYPERLINK("https://rmda.kulib.kyoto-u.ac.jp/item/rb00008736#?c=0&amp;m=0&amp;s=0&amp;cv=193")</f>
        <v>https://rmda.kulib.kyoto-u.ac.jp/item/rb00008736#?c=0&amp;m=0&amp;s=0&amp;cv=193</v>
      </c>
      <c r="E3668" s="6"/>
      <c r="F3668" s="6"/>
      <c r="G3668" s="6">
        <v>217</v>
      </c>
      <c r="H3668" s="6" t="str">
        <f>HYPERLINK("https://rmda.kulib.kyoto-u.ac.jp/item/rb00000899#?c=0&amp;m=0&amp;s=0&amp;cv=216")</f>
        <v>https://rmda.kulib.kyoto-u.ac.jp/item/rb00000899#?c=0&amp;m=0&amp;s=0&amp;cv=216</v>
      </c>
      <c r="I3668" s="6">
        <v>924</v>
      </c>
      <c r="J3668" s="6" t="str">
        <f>HYPERLINK("https://rmda.kulib.kyoto-u.ac.jp/item/rb00000898#?c=0&amp;m=0&amp;s=0&amp;cv=923")</f>
        <v>https://rmda.kulib.kyoto-u.ac.jp/item/rb00000898#?c=0&amp;m=0&amp;s=0&amp;cv=923</v>
      </c>
    </row>
    <row r="3669" spans="1:10" x14ac:dyDescent="0.15">
      <c r="A3669" s="6" t="s">
        <v>225</v>
      </c>
      <c r="B3669" s="6" t="s">
        <v>3785</v>
      </c>
      <c r="C3669" s="6">
        <v>202</v>
      </c>
      <c r="D3669" s="6" t="str">
        <f>HYPERLINK("https://rmda.kulib.kyoto-u.ac.jp/item/rb00008736#?c=0&amp;m=0&amp;s=0&amp;cv=201")</f>
        <v>https://rmda.kulib.kyoto-u.ac.jp/item/rb00008736#?c=0&amp;m=0&amp;s=0&amp;cv=201</v>
      </c>
      <c r="E3669" s="6"/>
      <c r="F3669" s="6"/>
      <c r="G3669" s="6">
        <v>227</v>
      </c>
      <c r="H3669" s="6" t="str">
        <f>HYPERLINK("https://rmda.kulib.kyoto-u.ac.jp/item/rb00000899#?c=0&amp;m=0&amp;s=0&amp;cv=226")</f>
        <v>https://rmda.kulib.kyoto-u.ac.jp/item/rb00000899#?c=0&amp;m=0&amp;s=0&amp;cv=226</v>
      </c>
      <c r="I3669" s="6">
        <v>932</v>
      </c>
      <c r="J3669" s="6" t="str">
        <f>HYPERLINK("https://rmda.kulib.kyoto-u.ac.jp/item/rb00000898#?c=0&amp;m=0&amp;s=0&amp;cv=931")</f>
        <v>https://rmda.kulib.kyoto-u.ac.jp/item/rb00000898#?c=0&amp;m=0&amp;s=0&amp;cv=931</v>
      </c>
    </row>
    <row r="3670" spans="1:10" x14ac:dyDescent="0.15">
      <c r="A3670" s="6" t="s">
        <v>225</v>
      </c>
      <c r="B3670" s="6" t="s">
        <v>3786</v>
      </c>
      <c r="C3670" s="6">
        <v>205</v>
      </c>
      <c r="D3670" s="6" t="str">
        <f>HYPERLINK("https://rmda.kulib.kyoto-u.ac.jp/item/rb00008736#?c=0&amp;m=0&amp;s=0&amp;cv=204")</f>
        <v>https://rmda.kulib.kyoto-u.ac.jp/item/rb00008736#?c=0&amp;m=0&amp;s=0&amp;cv=204</v>
      </c>
      <c r="E3670" s="6"/>
      <c r="F3670" s="6"/>
      <c r="G3670" s="6">
        <v>235</v>
      </c>
      <c r="H3670" s="6" t="str">
        <f>HYPERLINK("https://rmda.kulib.kyoto-u.ac.jp/item/rb00000899#?c=0&amp;m=0&amp;s=0&amp;cv=234")</f>
        <v>https://rmda.kulib.kyoto-u.ac.jp/item/rb00000899#?c=0&amp;m=0&amp;s=0&amp;cv=234</v>
      </c>
      <c r="I3670" s="6">
        <v>935</v>
      </c>
      <c r="J3670" s="6" t="str">
        <f>HYPERLINK("https://rmda.kulib.kyoto-u.ac.jp/item/rb00000898#?c=0&amp;m=0&amp;s=0&amp;cv=934")</f>
        <v>https://rmda.kulib.kyoto-u.ac.jp/item/rb00000898#?c=0&amp;m=0&amp;s=0&amp;cv=934</v>
      </c>
    </row>
    <row r="3671" spans="1:10" x14ac:dyDescent="0.15">
      <c r="A3671" s="6" t="s">
        <v>225</v>
      </c>
      <c r="B3671" s="6" t="s">
        <v>3787</v>
      </c>
      <c r="C3671" s="6">
        <v>212</v>
      </c>
      <c r="D3671" s="6" t="str">
        <f>HYPERLINK("https://rmda.kulib.kyoto-u.ac.jp/item/rb00008736#?c=0&amp;m=0&amp;s=0&amp;cv=211")</f>
        <v>https://rmda.kulib.kyoto-u.ac.jp/item/rb00008736#?c=0&amp;m=0&amp;s=0&amp;cv=211</v>
      </c>
      <c r="E3671" s="6"/>
      <c r="F3671" s="6"/>
      <c r="G3671" s="6">
        <v>240</v>
      </c>
      <c r="H3671" s="6" t="str">
        <f>HYPERLINK("https://rmda.kulib.kyoto-u.ac.jp/item/rb00000899#?c=0&amp;m=0&amp;s=0&amp;cv=239")</f>
        <v>https://rmda.kulib.kyoto-u.ac.jp/item/rb00000899#?c=0&amp;m=0&amp;s=0&amp;cv=239</v>
      </c>
      <c r="I3671" s="6">
        <v>942</v>
      </c>
      <c r="J3671" s="6" t="str">
        <f>HYPERLINK("https://rmda.kulib.kyoto-u.ac.jp/item/rb00000898#?c=0&amp;m=0&amp;s=0&amp;cv=941")</f>
        <v>https://rmda.kulib.kyoto-u.ac.jp/item/rb00000898#?c=0&amp;m=0&amp;s=0&amp;cv=941</v>
      </c>
    </row>
    <row r="3672" spans="1:10" x14ac:dyDescent="0.15">
      <c r="A3672" s="6" t="s">
        <v>225</v>
      </c>
      <c r="B3672" s="6" t="s">
        <v>3788</v>
      </c>
      <c r="C3672" s="6">
        <v>213</v>
      </c>
      <c r="D3672" s="6" t="str">
        <f>HYPERLINK("https://rmda.kulib.kyoto-u.ac.jp/item/rb00008736#?c=0&amp;m=0&amp;s=0&amp;cv=212")</f>
        <v>https://rmda.kulib.kyoto-u.ac.jp/item/rb00008736#?c=0&amp;m=0&amp;s=0&amp;cv=212</v>
      </c>
      <c r="E3672" s="6"/>
      <c r="F3672" s="6"/>
      <c r="G3672" s="6">
        <v>246</v>
      </c>
      <c r="H3672" s="6" t="str">
        <f>HYPERLINK("https://rmda.kulib.kyoto-u.ac.jp/item/rb00000899#?c=0&amp;m=0&amp;s=0&amp;cv=245")</f>
        <v>https://rmda.kulib.kyoto-u.ac.jp/item/rb00000899#?c=0&amp;m=0&amp;s=0&amp;cv=245</v>
      </c>
      <c r="I3672" s="6">
        <v>943</v>
      </c>
      <c r="J3672" s="6" t="str">
        <f>HYPERLINK("https://rmda.kulib.kyoto-u.ac.jp/item/rb00000898#?c=0&amp;m=0&amp;s=0&amp;cv=942")</f>
        <v>https://rmda.kulib.kyoto-u.ac.jp/item/rb00000898#?c=0&amp;m=0&amp;s=0&amp;cv=942</v>
      </c>
    </row>
    <row r="3673" spans="1:10" x14ac:dyDescent="0.15">
      <c r="A3673" s="6" t="s">
        <v>225</v>
      </c>
      <c r="B3673" s="6" t="s">
        <v>3789</v>
      </c>
      <c r="C3673" s="6">
        <v>222</v>
      </c>
      <c r="D3673" s="6" t="str">
        <f>HYPERLINK("https://rmda.kulib.kyoto-u.ac.jp/item/rb00008736#?c=0&amp;m=0&amp;s=0&amp;cv=221")</f>
        <v>https://rmda.kulib.kyoto-u.ac.jp/item/rb00008736#?c=0&amp;m=0&amp;s=0&amp;cv=221</v>
      </c>
      <c r="E3673" s="6"/>
      <c r="F3673" s="6"/>
      <c r="G3673" s="6">
        <v>264</v>
      </c>
      <c r="H3673" s="6" t="str">
        <f>HYPERLINK("https://rmda.kulib.kyoto-u.ac.jp/item/rb00000899#?c=0&amp;m=0&amp;s=0&amp;cv=263")</f>
        <v>https://rmda.kulib.kyoto-u.ac.jp/item/rb00000899#?c=0&amp;m=0&amp;s=0&amp;cv=263</v>
      </c>
      <c r="I3673" s="6">
        <v>952</v>
      </c>
      <c r="J3673" s="6" t="str">
        <f>HYPERLINK("https://rmda.kulib.kyoto-u.ac.jp/item/rb00000898#?c=0&amp;m=0&amp;s=0&amp;cv=951")</f>
        <v>https://rmda.kulib.kyoto-u.ac.jp/item/rb00000898#?c=0&amp;m=0&amp;s=0&amp;cv=951</v>
      </c>
    </row>
    <row r="3674" spans="1:10" x14ac:dyDescent="0.15">
      <c r="A3674" s="6" t="s">
        <v>225</v>
      </c>
      <c r="B3674" s="6" t="s">
        <v>3790</v>
      </c>
      <c r="C3674" s="6">
        <v>226</v>
      </c>
      <c r="D3674" s="6" t="str">
        <f>HYPERLINK("https://rmda.kulib.kyoto-u.ac.jp/item/rb00008736#?c=0&amp;m=0&amp;s=0&amp;cv=225")</f>
        <v>https://rmda.kulib.kyoto-u.ac.jp/item/rb00008736#?c=0&amp;m=0&amp;s=0&amp;cv=225</v>
      </c>
      <c r="E3674" s="6"/>
      <c r="F3674" s="6"/>
      <c r="G3674" s="6">
        <v>267</v>
      </c>
      <c r="H3674" s="6" t="str">
        <f>HYPERLINK("https://rmda.kulib.kyoto-u.ac.jp/item/rb00000899#?c=0&amp;m=0&amp;s=0&amp;cv=266")</f>
        <v>https://rmda.kulib.kyoto-u.ac.jp/item/rb00000899#?c=0&amp;m=0&amp;s=0&amp;cv=266</v>
      </c>
      <c r="I3674" s="6">
        <v>956</v>
      </c>
      <c r="J3674" s="6" t="str">
        <f>HYPERLINK("https://rmda.kulib.kyoto-u.ac.jp/item/rb00000898#?c=0&amp;m=0&amp;s=0&amp;cv=955")</f>
        <v>https://rmda.kulib.kyoto-u.ac.jp/item/rb00000898#?c=0&amp;m=0&amp;s=0&amp;cv=955</v>
      </c>
    </row>
    <row r="3675" spans="1:10" x14ac:dyDescent="0.15">
      <c r="A3675" s="6" t="s">
        <v>225</v>
      </c>
      <c r="B3675" s="6" t="s">
        <v>3732</v>
      </c>
      <c r="C3675" s="6">
        <v>226</v>
      </c>
      <c r="D3675" s="6" t="str">
        <f>HYPERLINK("https://rmda.kulib.kyoto-u.ac.jp/item/rb00008736#?c=0&amp;m=0&amp;s=0&amp;cv=225")</f>
        <v>https://rmda.kulib.kyoto-u.ac.jp/item/rb00008736#?c=0&amp;m=0&amp;s=0&amp;cv=225</v>
      </c>
      <c r="E3675" s="6"/>
      <c r="F3675" s="6"/>
      <c r="G3675" s="6">
        <v>269</v>
      </c>
      <c r="H3675" s="6" t="str">
        <f>HYPERLINK("https://rmda.kulib.kyoto-u.ac.jp/item/rb00000899#?c=0&amp;m=0&amp;s=0&amp;cv=268")</f>
        <v>https://rmda.kulib.kyoto-u.ac.jp/item/rb00000899#?c=0&amp;m=0&amp;s=0&amp;cv=268</v>
      </c>
      <c r="I3675" s="6">
        <v>956</v>
      </c>
      <c r="J3675" s="6" t="str">
        <f>HYPERLINK("https://rmda.kulib.kyoto-u.ac.jp/item/rb00000898#?c=0&amp;m=0&amp;s=0&amp;cv=955")</f>
        <v>https://rmda.kulib.kyoto-u.ac.jp/item/rb00000898#?c=0&amp;m=0&amp;s=0&amp;cv=955</v>
      </c>
    </row>
    <row r="3676" spans="1:10" x14ac:dyDescent="0.15">
      <c r="A3676" s="6" t="s">
        <v>225</v>
      </c>
      <c r="B3676" s="6" t="s">
        <v>3791</v>
      </c>
      <c r="C3676" s="6">
        <v>227</v>
      </c>
      <c r="D3676" s="6" t="str">
        <f>HYPERLINK("https://rmda.kulib.kyoto-u.ac.jp/item/rb00008736#?c=0&amp;m=0&amp;s=0&amp;cv=226")</f>
        <v>https://rmda.kulib.kyoto-u.ac.jp/item/rb00008736#?c=0&amp;m=0&amp;s=0&amp;cv=226</v>
      </c>
      <c r="E3676" s="6"/>
      <c r="F3676" s="6"/>
      <c r="G3676" s="6">
        <v>270</v>
      </c>
      <c r="H3676" s="6" t="str">
        <f>HYPERLINK("https://rmda.kulib.kyoto-u.ac.jp/item/rb00000899#?c=0&amp;m=0&amp;s=0&amp;cv=269")</f>
        <v>https://rmda.kulib.kyoto-u.ac.jp/item/rb00000899#?c=0&amp;m=0&amp;s=0&amp;cv=269</v>
      </c>
      <c r="I3676" s="6">
        <v>957</v>
      </c>
      <c r="J3676" s="6" t="str">
        <f>HYPERLINK("https://rmda.kulib.kyoto-u.ac.jp/item/rb00000898#?c=0&amp;m=0&amp;s=0&amp;cv=956")</f>
        <v>https://rmda.kulib.kyoto-u.ac.jp/item/rb00000898#?c=0&amp;m=0&amp;s=0&amp;cv=956</v>
      </c>
    </row>
    <row r="3677" spans="1:10" x14ac:dyDescent="0.15">
      <c r="A3677" s="6" t="s">
        <v>225</v>
      </c>
      <c r="B3677" s="6" t="s">
        <v>3792</v>
      </c>
      <c r="C3677" s="6">
        <v>228</v>
      </c>
      <c r="D3677" s="6" t="str">
        <f>HYPERLINK("https://rmda.kulib.kyoto-u.ac.jp/item/rb00008736#?c=0&amp;m=0&amp;s=0&amp;cv=227")</f>
        <v>https://rmda.kulib.kyoto-u.ac.jp/item/rb00008736#?c=0&amp;m=0&amp;s=0&amp;cv=227</v>
      </c>
      <c r="E3677" s="6"/>
      <c r="F3677" s="6"/>
      <c r="G3677" s="6">
        <v>274</v>
      </c>
      <c r="H3677" s="6" t="str">
        <f>HYPERLINK("https://rmda.kulib.kyoto-u.ac.jp/item/rb00000899#?c=0&amp;m=0&amp;s=0&amp;cv=273")</f>
        <v>https://rmda.kulib.kyoto-u.ac.jp/item/rb00000899#?c=0&amp;m=0&amp;s=0&amp;cv=273</v>
      </c>
      <c r="I3677" s="6">
        <v>958</v>
      </c>
      <c r="J3677" s="6" t="str">
        <f>HYPERLINK("https://rmda.kulib.kyoto-u.ac.jp/item/rb00000898#?c=0&amp;m=0&amp;s=0&amp;cv=957")</f>
        <v>https://rmda.kulib.kyoto-u.ac.jp/item/rb00000898#?c=0&amp;m=0&amp;s=0&amp;cv=957</v>
      </c>
    </row>
    <row r="3678" spans="1:10" x14ac:dyDescent="0.15">
      <c r="A3678" s="6" t="s">
        <v>225</v>
      </c>
      <c r="B3678" s="6" t="s">
        <v>2782</v>
      </c>
      <c r="C3678" s="6">
        <v>229</v>
      </c>
      <c r="D3678" s="6" t="str">
        <f>HYPERLINK("https://rmda.kulib.kyoto-u.ac.jp/item/rb00008736#?c=0&amp;m=0&amp;s=0&amp;cv=228")</f>
        <v>https://rmda.kulib.kyoto-u.ac.jp/item/rb00008736#?c=0&amp;m=0&amp;s=0&amp;cv=228</v>
      </c>
      <c r="E3678" s="6">
        <v>36</v>
      </c>
      <c r="F3678" s="6" t="str">
        <f>HYPERLINK("https://rmda.kulib.kyoto-u.ac.jp/item/rb00000897#?c=0&amp;m=0&amp;s=0&amp;cv=35")</f>
        <v>https://rmda.kulib.kyoto-u.ac.jp/item/rb00000897#?c=0&amp;m=0&amp;s=0&amp;cv=35</v>
      </c>
      <c r="G3678" s="6">
        <v>278</v>
      </c>
      <c r="H3678" s="6" t="str">
        <f>HYPERLINK("https://rmda.kulib.kyoto-u.ac.jp/item/rb00000899#?c=0&amp;m=0&amp;s=0&amp;cv=277")</f>
        <v>https://rmda.kulib.kyoto-u.ac.jp/item/rb00000899#?c=0&amp;m=0&amp;s=0&amp;cv=277</v>
      </c>
      <c r="I3678" s="6">
        <v>959</v>
      </c>
      <c r="J3678" s="6" t="str">
        <f>HYPERLINK("https://rmda.kulib.kyoto-u.ac.jp/item/rb00000898#?c=0&amp;m=0&amp;s=0&amp;cv=958")</f>
        <v>https://rmda.kulib.kyoto-u.ac.jp/item/rb00000898#?c=0&amp;m=0&amp;s=0&amp;cv=958</v>
      </c>
    </row>
    <row r="3679" spans="1:10" x14ac:dyDescent="0.15">
      <c r="A3679" s="6" t="s">
        <v>225</v>
      </c>
      <c r="B3679" s="6" t="s">
        <v>3793</v>
      </c>
      <c r="C3679" s="6">
        <v>229</v>
      </c>
      <c r="D3679" s="6" t="str">
        <f>HYPERLINK("https://rmda.kulib.kyoto-u.ac.jp/item/rb00008736#?c=0&amp;m=0&amp;s=0&amp;cv=228")</f>
        <v>https://rmda.kulib.kyoto-u.ac.jp/item/rb00008736#?c=0&amp;m=0&amp;s=0&amp;cv=228</v>
      </c>
      <c r="E3679" s="6">
        <v>36</v>
      </c>
      <c r="F3679" s="6" t="str">
        <f>HYPERLINK("https://rmda.kulib.kyoto-u.ac.jp/item/rb00000897#?c=0&amp;m=0&amp;s=0&amp;cv=35")</f>
        <v>https://rmda.kulib.kyoto-u.ac.jp/item/rb00000897#?c=0&amp;m=0&amp;s=0&amp;cv=35</v>
      </c>
      <c r="G3679" s="6">
        <v>278</v>
      </c>
      <c r="H3679" s="6" t="str">
        <f>HYPERLINK("https://rmda.kulib.kyoto-u.ac.jp/item/rb00000899#?c=0&amp;m=0&amp;s=0&amp;cv=277")</f>
        <v>https://rmda.kulib.kyoto-u.ac.jp/item/rb00000899#?c=0&amp;m=0&amp;s=0&amp;cv=277</v>
      </c>
      <c r="I3679" s="6">
        <v>959</v>
      </c>
      <c r="J3679" s="6" t="str">
        <f>HYPERLINK("https://rmda.kulib.kyoto-u.ac.jp/item/rb00000898#?c=0&amp;m=0&amp;s=0&amp;cv=958")</f>
        <v>https://rmda.kulib.kyoto-u.ac.jp/item/rb00000898#?c=0&amp;m=0&amp;s=0&amp;cv=958</v>
      </c>
    </row>
    <row r="3680" spans="1:10" x14ac:dyDescent="0.15">
      <c r="A3680" s="6" t="s">
        <v>225</v>
      </c>
      <c r="B3680" s="6" t="s">
        <v>3794</v>
      </c>
      <c r="C3680" s="6">
        <v>233</v>
      </c>
      <c r="D3680" s="6" t="str">
        <f>HYPERLINK("https://rmda.kulib.kyoto-u.ac.jp/item/rb00008736#?c=0&amp;m=0&amp;s=0&amp;cv=232")</f>
        <v>https://rmda.kulib.kyoto-u.ac.jp/item/rb00008736#?c=0&amp;m=0&amp;s=0&amp;cv=232</v>
      </c>
      <c r="E3680" s="6">
        <v>40</v>
      </c>
      <c r="F3680" s="6" t="str">
        <f>HYPERLINK("https://rmda.kulib.kyoto-u.ac.jp/item/rb00000897#?c=0&amp;m=0&amp;s=0&amp;cv=39")</f>
        <v>https://rmda.kulib.kyoto-u.ac.jp/item/rb00000897#?c=0&amp;m=0&amp;s=0&amp;cv=39</v>
      </c>
      <c r="G3680" s="6">
        <v>291</v>
      </c>
      <c r="H3680" s="6" t="str">
        <f>HYPERLINK("https://rmda.kulib.kyoto-u.ac.jp/item/rb00000899#?c=0&amp;m=0&amp;s=0&amp;cv=290")</f>
        <v>https://rmda.kulib.kyoto-u.ac.jp/item/rb00000899#?c=0&amp;m=0&amp;s=0&amp;cv=290</v>
      </c>
      <c r="I3680" s="6">
        <v>963</v>
      </c>
      <c r="J3680" s="6" t="str">
        <f>HYPERLINK("https://rmda.kulib.kyoto-u.ac.jp/item/rb00000898#?c=0&amp;m=0&amp;s=0&amp;cv=962")</f>
        <v>https://rmda.kulib.kyoto-u.ac.jp/item/rb00000898#?c=0&amp;m=0&amp;s=0&amp;cv=962</v>
      </c>
    </row>
    <row r="3681" spans="1:10" x14ac:dyDescent="0.15">
      <c r="A3681" s="6" t="s">
        <v>225</v>
      </c>
      <c r="B3681" s="6" t="s">
        <v>3795</v>
      </c>
      <c r="C3681" s="6">
        <v>252</v>
      </c>
      <c r="D3681" s="6" t="str">
        <f>HYPERLINK("https://rmda.kulib.kyoto-u.ac.jp/item/rb00008736#?c=0&amp;m=0&amp;s=0&amp;cv=251")</f>
        <v>https://rmda.kulib.kyoto-u.ac.jp/item/rb00008736#?c=0&amp;m=0&amp;s=0&amp;cv=251</v>
      </c>
      <c r="E3681" s="6">
        <v>60</v>
      </c>
      <c r="F3681" s="6" t="str">
        <f>HYPERLINK("https://rmda.kulib.kyoto-u.ac.jp/item/rb00000897#?c=0&amp;m=0&amp;s=0&amp;cv=59")</f>
        <v>https://rmda.kulib.kyoto-u.ac.jp/item/rb00000897#?c=0&amp;m=0&amp;s=0&amp;cv=59</v>
      </c>
      <c r="G3681" s="6">
        <v>318</v>
      </c>
      <c r="H3681" s="6" t="str">
        <f>HYPERLINK("https://rmda.kulib.kyoto-u.ac.jp/item/rb00000899#?c=0&amp;m=0&amp;s=0&amp;cv=317")</f>
        <v>https://rmda.kulib.kyoto-u.ac.jp/item/rb00000899#?c=0&amp;m=0&amp;s=0&amp;cv=317</v>
      </c>
      <c r="I3681" s="6">
        <v>982</v>
      </c>
      <c r="J3681" s="6" t="str">
        <f>HYPERLINK("https://rmda.kulib.kyoto-u.ac.jp/item/rb00000898#?c=0&amp;m=0&amp;s=0&amp;cv=981")</f>
        <v>https://rmda.kulib.kyoto-u.ac.jp/item/rb00000898#?c=0&amp;m=0&amp;s=0&amp;cv=981</v>
      </c>
    </row>
    <row r="3682" spans="1:10" x14ac:dyDescent="0.15">
      <c r="A3682" s="6" t="s">
        <v>225</v>
      </c>
      <c r="B3682" s="6" t="s">
        <v>3796</v>
      </c>
      <c r="C3682" s="6">
        <v>253</v>
      </c>
      <c r="D3682" s="6" t="str">
        <f>HYPERLINK("https://rmda.kulib.kyoto-u.ac.jp/item/rb00008736#?c=0&amp;m=0&amp;s=0&amp;cv=252")</f>
        <v>https://rmda.kulib.kyoto-u.ac.jp/item/rb00008736#?c=0&amp;m=0&amp;s=0&amp;cv=252</v>
      </c>
      <c r="E3682" s="6">
        <v>61</v>
      </c>
      <c r="F3682" s="6" t="str">
        <f>HYPERLINK("https://rmda.kulib.kyoto-u.ac.jp/item/rb00000897#?c=0&amp;m=0&amp;s=0&amp;cv=60")</f>
        <v>https://rmda.kulib.kyoto-u.ac.jp/item/rb00000897#?c=0&amp;m=0&amp;s=0&amp;cv=60</v>
      </c>
      <c r="G3682" s="6">
        <v>319</v>
      </c>
      <c r="H3682" s="6" t="str">
        <f>HYPERLINK("https://rmda.kulib.kyoto-u.ac.jp/item/rb00000899#?c=0&amp;m=0&amp;s=0&amp;cv=318")</f>
        <v>https://rmda.kulib.kyoto-u.ac.jp/item/rb00000899#?c=0&amp;m=0&amp;s=0&amp;cv=318</v>
      </c>
      <c r="I3682" s="6">
        <v>983</v>
      </c>
      <c r="J3682" s="6" t="str">
        <f>HYPERLINK("https://rmda.kulib.kyoto-u.ac.jp/item/rb00000898#?c=0&amp;m=0&amp;s=0&amp;cv=982")</f>
        <v>https://rmda.kulib.kyoto-u.ac.jp/item/rb00000898#?c=0&amp;m=0&amp;s=0&amp;cv=982</v>
      </c>
    </row>
    <row r="3683" spans="1:10" x14ac:dyDescent="0.15">
      <c r="A3683" s="6" t="s">
        <v>225</v>
      </c>
      <c r="B3683" s="6" t="s">
        <v>3797</v>
      </c>
      <c r="C3683" s="6">
        <v>253</v>
      </c>
      <c r="D3683" s="6" t="str">
        <f>HYPERLINK("https://rmda.kulib.kyoto-u.ac.jp/item/rb00008736#?c=0&amp;m=0&amp;s=0&amp;cv=252")</f>
        <v>https://rmda.kulib.kyoto-u.ac.jp/item/rb00008736#?c=0&amp;m=0&amp;s=0&amp;cv=252</v>
      </c>
      <c r="E3683" s="6">
        <v>61</v>
      </c>
      <c r="F3683" s="6" t="str">
        <f>HYPERLINK("https://rmda.kulib.kyoto-u.ac.jp/item/rb00000897#?c=0&amp;m=0&amp;s=0&amp;cv=60")</f>
        <v>https://rmda.kulib.kyoto-u.ac.jp/item/rb00000897#?c=0&amp;m=0&amp;s=0&amp;cv=60</v>
      </c>
      <c r="G3683" s="6">
        <v>320</v>
      </c>
      <c r="H3683" s="6" t="str">
        <f>HYPERLINK("https://rmda.kulib.kyoto-u.ac.jp/item/rb00000899#?c=0&amp;m=0&amp;s=0&amp;cv=319")</f>
        <v>https://rmda.kulib.kyoto-u.ac.jp/item/rb00000899#?c=0&amp;m=0&amp;s=0&amp;cv=319</v>
      </c>
      <c r="I3683" s="6">
        <v>983</v>
      </c>
      <c r="J3683" s="6" t="str">
        <f>HYPERLINK("https://rmda.kulib.kyoto-u.ac.jp/item/rb00000898#?c=0&amp;m=0&amp;s=0&amp;cv=982")</f>
        <v>https://rmda.kulib.kyoto-u.ac.jp/item/rb00000898#?c=0&amp;m=0&amp;s=0&amp;cv=982</v>
      </c>
    </row>
    <row r="3684" spans="1:10" x14ac:dyDescent="0.15">
      <c r="A3684" s="6" t="s">
        <v>225</v>
      </c>
      <c r="B3684" s="6" t="s">
        <v>2496</v>
      </c>
      <c r="C3684" s="6">
        <v>254</v>
      </c>
      <c r="D3684" s="6" t="str">
        <f>HYPERLINK("https://rmda.kulib.kyoto-u.ac.jp/item/rb00008736#?c=0&amp;m=0&amp;s=0&amp;cv=253")</f>
        <v>https://rmda.kulib.kyoto-u.ac.jp/item/rb00008736#?c=0&amp;m=0&amp;s=0&amp;cv=253</v>
      </c>
      <c r="E3684" s="6">
        <v>62</v>
      </c>
      <c r="F3684" s="6" t="str">
        <f>HYPERLINK("https://rmda.kulib.kyoto-u.ac.jp/item/rb00000897#?c=0&amp;m=0&amp;s=0&amp;cv=61")</f>
        <v>https://rmda.kulib.kyoto-u.ac.jp/item/rb00000897#?c=0&amp;m=0&amp;s=0&amp;cv=61</v>
      </c>
      <c r="G3684" s="6">
        <v>321</v>
      </c>
      <c r="H3684" s="6" t="str">
        <f>HYPERLINK("https://rmda.kulib.kyoto-u.ac.jp/item/rb00000899#?c=0&amp;m=0&amp;s=0&amp;cv=320")</f>
        <v>https://rmda.kulib.kyoto-u.ac.jp/item/rb00000899#?c=0&amp;m=0&amp;s=0&amp;cv=320</v>
      </c>
      <c r="I3684" s="6">
        <v>984</v>
      </c>
      <c r="J3684" s="6" t="str">
        <f>HYPERLINK("https://rmda.kulib.kyoto-u.ac.jp/item/rb00000898#?c=0&amp;m=0&amp;s=0&amp;cv=983")</f>
        <v>https://rmda.kulib.kyoto-u.ac.jp/item/rb00000898#?c=0&amp;m=0&amp;s=0&amp;cv=983</v>
      </c>
    </row>
    <row r="3685" spans="1:10" x14ac:dyDescent="0.15">
      <c r="A3685" s="6" t="s">
        <v>225</v>
      </c>
      <c r="B3685" s="6" t="s">
        <v>3798</v>
      </c>
      <c r="C3685" s="6">
        <v>255</v>
      </c>
      <c r="D3685" s="6" t="str">
        <f>HYPERLINK("https://rmda.kulib.kyoto-u.ac.jp/item/rb00008736#?c=0&amp;m=0&amp;s=0&amp;cv=254")</f>
        <v>https://rmda.kulib.kyoto-u.ac.jp/item/rb00008736#?c=0&amp;m=0&amp;s=0&amp;cv=254</v>
      </c>
      <c r="E3685" s="6">
        <v>63</v>
      </c>
      <c r="F3685" s="6" t="str">
        <f>HYPERLINK("https://rmda.kulib.kyoto-u.ac.jp/item/rb00000897#?c=0&amp;m=0&amp;s=0&amp;cv=62")</f>
        <v>https://rmda.kulib.kyoto-u.ac.jp/item/rb00000897#?c=0&amp;m=0&amp;s=0&amp;cv=62</v>
      </c>
      <c r="G3685" s="6">
        <v>322</v>
      </c>
      <c r="H3685" s="6" t="str">
        <f>HYPERLINK("https://rmda.kulib.kyoto-u.ac.jp/item/rb00000899#?c=0&amp;m=0&amp;s=0&amp;cv=321")</f>
        <v>https://rmda.kulib.kyoto-u.ac.jp/item/rb00000899#?c=0&amp;m=0&amp;s=0&amp;cv=321</v>
      </c>
      <c r="I3685" s="6">
        <v>985</v>
      </c>
      <c r="J3685" s="6" t="str">
        <f>HYPERLINK("https://rmda.kulib.kyoto-u.ac.jp/item/rb00000898#?c=0&amp;m=0&amp;s=0&amp;cv=984")</f>
        <v>https://rmda.kulib.kyoto-u.ac.jp/item/rb00000898#?c=0&amp;m=0&amp;s=0&amp;cv=984</v>
      </c>
    </row>
    <row r="3686" spans="1:10" x14ac:dyDescent="0.15">
      <c r="A3686" s="6" t="s">
        <v>225</v>
      </c>
      <c r="B3686" s="6" t="s">
        <v>3799</v>
      </c>
      <c r="C3686" s="6">
        <v>257</v>
      </c>
      <c r="D3686" s="6" t="str">
        <f>HYPERLINK("https://rmda.kulib.kyoto-u.ac.jp/item/rb00008736#?c=0&amp;m=0&amp;s=0&amp;cv=256")</f>
        <v>https://rmda.kulib.kyoto-u.ac.jp/item/rb00008736#?c=0&amp;m=0&amp;s=0&amp;cv=256</v>
      </c>
      <c r="E3686" s="6">
        <v>65</v>
      </c>
      <c r="F3686" s="6" t="str">
        <f>HYPERLINK("https://rmda.kulib.kyoto-u.ac.jp/item/rb00000897#?c=0&amp;m=0&amp;s=0&amp;cv=64")</f>
        <v>https://rmda.kulib.kyoto-u.ac.jp/item/rb00000897#?c=0&amp;m=0&amp;s=0&amp;cv=64</v>
      </c>
      <c r="G3686" s="6">
        <v>323</v>
      </c>
      <c r="H3686" s="6" t="str">
        <f>HYPERLINK("https://rmda.kulib.kyoto-u.ac.jp/item/rb00000899#?c=0&amp;m=0&amp;s=0&amp;cv=322")</f>
        <v>https://rmda.kulib.kyoto-u.ac.jp/item/rb00000899#?c=0&amp;m=0&amp;s=0&amp;cv=322</v>
      </c>
      <c r="I3686" s="6">
        <v>987</v>
      </c>
      <c r="J3686" s="6" t="str">
        <f>HYPERLINK("https://rmda.kulib.kyoto-u.ac.jp/item/rb00000898#?c=0&amp;m=0&amp;s=0&amp;cv=986")</f>
        <v>https://rmda.kulib.kyoto-u.ac.jp/item/rb00000898#?c=0&amp;m=0&amp;s=0&amp;cv=986</v>
      </c>
    </row>
    <row r="3687" spans="1:10" x14ac:dyDescent="0.15">
      <c r="A3687" s="6" t="s">
        <v>225</v>
      </c>
      <c r="B3687" s="6" t="s">
        <v>3800</v>
      </c>
      <c r="C3687" s="6">
        <v>260</v>
      </c>
      <c r="D3687" s="6" t="str">
        <f>HYPERLINK("https://rmda.kulib.kyoto-u.ac.jp/item/rb00008736#?c=0&amp;m=0&amp;s=0&amp;cv=259")</f>
        <v>https://rmda.kulib.kyoto-u.ac.jp/item/rb00008736#?c=0&amp;m=0&amp;s=0&amp;cv=259</v>
      </c>
      <c r="E3687" s="6">
        <v>68</v>
      </c>
      <c r="F3687" s="6" t="str">
        <f>HYPERLINK("https://rmda.kulib.kyoto-u.ac.jp/item/rb00000897#?c=0&amp;m=0&amp;s=0&amp;cv=67")</f>
        <v>https://rmda.kulib.kyoto-u.ac.jp/item/rb00000897#?c=0&amp;m=0&amp;s=0&amp;cv=67</v>
      </c>
      <c r="G3687" s="6">
        <v>326</v>
      </c>
      <c r="H3687" s="6" t="str">
        <f>HYPERLINK("https://rmda.kulib.kyoto-u.ac.jp/item/rb00000899#?c=0&amp;m=0&amp;s=0&amp;cv=325")</f>
        <v>https://rmda.kulib.kyoto-u.ac.jp/item/rb00000899#?c=0&amp;m=0&amp;s=0&amp;cv=325</v>
      </c>
      <c r="I3687" s="6">
        <v>990</v>
      </c>
      <c r="J3687" s="6" t="str">
        <f>HYPERLINK("https://rmda.kulib.kyoto-u.ac.jp/item/rb00000898#?c=0&amp;m=0&amp;s=0&amp;cv=989")</f>
        <v>https://rmda.kulib.kyoto-u.ac.jp/item/rb00000898#?c=0&amp;m=0&amp;s=0&amp;cv=989</v>
      </c>
    </row>
    <row r="3688" spans="1:10" x14ac:dyDescent="0.15">
      <c r="A3688" s="6" t="s">
        <v>225</v>
      </c>
      <c r="B3688" s="6" t="s">
        <v>3801</v>
      </c>
      <c r="C3688" s="6">
        <v>262</v>
      </c>
      <c r="D3688" s="6" t="str">
        <f>HYPERLINK("https://rmda.kulib.kyoto-u.ac.jp/item/rb00008736#?c=0&amp;m=0&amp;s=0&amp;cv=261")</f>
        <v>https://rmda.kulib.kyoto-u.ac.jp/item/rb00008736#?c=0&amp;m=0&amp;s=0&amp;cv=261</v>
      </c>
      <c r="E3688" s="6">
        <v>70</v>
      </c>
      <c r="F3688" s="6" t="str">
        <f>HYPERLINK("https://rmda.kulib.kyoto-u.ac.jp/item/rb00000897#?c=0&amp;m=0&amp;s=0&amp;cv=69")</f>
        <v>https://rmda.kulib.kyoto-u.ac.jp/item/rb00000897#?c=0&amp;m=0&amp;s=0&amp;cv=69</v>
      </c>
      <c r="G3688" s="6">
        <v>328</v>
      </c>
      <c r="H3688" s="6" t="str">
        <f>HYPERLINK("https://rmda.kulib.kyoto-u.ac.jp/item/rb00000899#?c=0&amp;m=0&amp;s=0&amp;cv=327")</f>
        <v>https://rmda.kulib.kyoto-u.ac.jp/item/rb00000899#?c=0&amp;m=0&amp;s=0&amp;cv=327</v>
      </c>
      <c r="I3688" s="6">
        <v>992</v>
      </c>
      <c r="J3688" s="6" t="str">
        <f>HYPERLINK("https://rmda.kulib.kyoto-u.ac.jp/item/rb00000898#?c=0&amp;m=0&amp;s=0&amp;cv=991")</f>
        <v>https://rmda.kulib.kyoto-u.ac.jp/item/rb00000898#?c=0&amp;m=0&amp;s=0&amp;cv=991</v>
      </c>
    </row>
    <row r="3689" spans="1:10" x14ac:dyDescent="0.15">
      <c r="A3689" s="6" t="s">
        <v>225</v>
      </c>
      <c r="B3689" s="6" t="s">
        <v>3802</v>
      </c>
      <c r="C3689" s="6">
        <v>262</v>
      </c>
      <c r="D3689" s="6" t="str">
        <f>HYPERLINK("https://rmda.kulib.kyoto-u.ac.jp/item/rb00008736#?c=0&amp;m=0&amp;s=0&amp;cv=261")</f>
        <v>https://rmda.kulib.kyoto-u.ac.jp/item/rb00008736#?c=0&amp;m=0&amp;s=0&amp;cv=261</v>
      </c>
      <c r="E3689" s="6">
        <v>70</v>
      </c>
      <c r="F3689" s="6" t="str">
        <f>HYPERLINK("https://rmda.kulib.kyoto-u.ac.jp/item/rb00000897#?c=0&amp;m=0&amp;s=0&amp;cv=69")</f>
        <v>https://rmda.kulib.kyoto-u.ac.jp/item/rb00000897#?c=0&amp;m=0&amp;s=0&amp;cv=69</v>
      </c>
      <c r="G3689" s="6">
        <v>328</v>
      </c>
      <c r="H3689" s="6" t="str">
        <f>HYPERLINK("https://rmda.kulib.kyoto-u.ac.jp/item/rb00000899#?c=0&amp;m=0&amp;s=0&amp;cv=327")</f>
        <v>https://rmda.kulib.kyoto-u.ac.jp/item/rb00000899#?c=0&amp;m=0&amp;s=0&amp;cv=327</v>
      </c>
      <c r="I3689" s="6">
        <v>992</v>
      </c>
      <c r="J3689" s="6" t="str">
        <f>HYPERLINK("https://rmda.kulib.kyoto-u.ac.jp/item/rb00000898#?c=0&amp;m=0&amp;s=0&amp;cv=991")</f>
        <v>https://rmda.kulib.kyoto-u.ac.jp/item/rb00000898#?c=0&amp;m=0&amp;s=0&amp;cv=991</v>
      </c>
    </row>
    <row r="3690" spans="1:10" x14ac:dyDescent="0.15">
      <c r="A3690" s="6" t="s">
        <v>225</v>
      </c>
      <c r="B3690" s="6" t="s">
        <v>3803</v>
      </c>
      <c r="C3690" s="6">
        <v>264</v>
      </c>
      <c r="D3690" s="6" t="str">
        <f>HYPERLINK("https://rmda.kulib.kyoto-u.ac.jp/item/rb00008736#?c=0&amp;m=0&amp;s=0&amp;cv=263")</f>
        <v>https://rmda.kulib.kyoto-u.ac.jp/item/rb00008736#?c=0&amp;m=0&amp;s=0&amp;cv=263</v>
      </c>
      <c r="E3690" s="6">
        <v>72</v>
      </c>
      <c r="F3690" s="6" t="str">
        <f>HYPERLINK("https://rmda.kulib.kyoto-u.ac.jp/item/rb00000897#?c=0&amp;m=0&amp;s=0&amp;cv=71")</f>
        <v>https://rmda.kulib.kyoto-u.ac.jp/item/rb00000897#?c=0&amp;m=0&amp;s=0&amp;cv=71</v>
      </c>
      <c r="G3690" s="6">
        <v>330</v>
      </c>
      <c r="H3690" s="6" t="str">
        <f>HYPERLINK("https://rmda.kulib.kyoto-u.ac.jp/item/rb00000899#?c=0&amp;m=0&amp;s=0&amp;cv=329")</f>
        <v>https://rmda.kulib.kyoto-u.ac.jp/item/rb00000899#?c=0&amp;m=0&amp;s=0&amp;cv=329</v>
      </c>
      <c r="I3690" s="6">
        <v>994</v>
      </c>
      <c r="J3690" s="6" t="str">
        <f>HYPERLINK("https://rmda.kulib.kyoto-u.ac.jp/item/rb00000898#?c=0&amp;m=0&amp;s=0&amp;cv=993")</f>
        <v>https://rmda.kulib.kyoto-u.ac.jp/item/rb00000898#?c=0&amp;m=0&amp;s=0&amp;cv=993</v>
      </c>
    </row>
    <row r="3691" spans="1:10" x14ac:dyDescent="0.15">
      <c r="A3691" s="6" t="s">
        <v>225</v>
      </c>
      <c r="B3691" s="6" t="s">
        <v>3804</v>
      </c>
      <c r="C3691" s="6">
        <v>264</v>
      </c>
      <c r="D3691" s="6" t="str">
        <f>HYPERLINK("https://rmda.kulib.kyoto-u.ac.jp/item/rb00008736#?c=0&amp;m=0&amp;s=0&amp;cv=263")</f>
        <v>https://rmda.kulib.kyoto-u.ac.jp/item/rb00008736#?c=0&amp;m=0&amp;s=0&amp;cv=263</v>
      </c>
      <c r="E3691" s="6">
        <v>72</v>
      </c>
      <c r="F3691" s="6" t="str">
        <f>HYPERLINK("https://rmda.kulib.kyoto-u.ac.jp/item/rb00000897#?c=0&amp;m=0&amp;s=0&amp;cv=71")</f>
        <v>https://rmda.kulib.kyoto-u.ac.jp/item/rb00000897#?c=0&amp;m=0&amp;s=0&amp;cv=71</v>
      </c>
      <c r="G3691" s="6">
        <v>330</v>
      </c>
      <c r="H3691" s="6" t="str">
        <f>HYPERLINK("https://rmda.kulib.kyoto-u.ac.jp/item/rb00000899#?c=0&amp;m=0&amp;s=0&amp;cv=329")</f>
        <v>https://rmda.kulib.kyoto-u.ac.jp/item/rb00000899#?c=0&amp;m=0&amp;s=0&amp;cv=329</v>
      </c>
      <c r="I3691" s="6">
        <v>994</v>
      </c>
      <c r="J3691" s="6" t="str">
        <f>HYPERLINK("https://rmda.kulib.kyoto-u.ac.jp/item/rb00000898#?c=0&amp;m=0&amp;s=0&amp;cv=993")</f>
        <v>https://rmda.kulib.kyoto-u.ac.jp/item/rb00000898#?c=0&amp;m=0&amp;s=0&amp;cv=993</v>
      </c>
    </row>
    <row r="3692" spans="1:10" x14ac:dyDescent="0.15">
      <c r="A3692" s="6" t="s">
        <v>225</v>
      </c>
      <c r="B3692" s="6" t="s">
        <v>3805</v>
      </c>
      <c r="C3692" s="6">
        <v>264</v>
      </c>
      <c r="D3692" s="6" t="str">
        <f>HYPERLINK("https://rmda.kulib.kyoto-u.ac.jp/item/rb00008736#?c=0&amp;m=0&amp;s=0&amp;cv=263")</f>
        <v>https://rmda.kulib.kyoto-u.ac.jp/item/rb00008736#?c=0&amp;m=0&amp;s=0&amp;cv=263</v>
      </c>
      <c r="E3692" s="6">
        <v>73</v>
      </c>
      <c r="F3692" s="6" t="str">
        <f>HYPERLINK("https://rmda.kulib.kyoto-u.ac.jp/item/rb00000897#?c=0&amp;m=0&amp;s=0&amp;cv=72")</f>
        <v>https://rmda.kulib.kyoto-u.ac.jp/item/rb00000897#?c=0&amp;m=0&amp;s=0&amp;cv=72</v>
      </c>
      <c r="G3692" s="6">
        <v>330</v>
      </c>
      <c r="H3692" s="6" t="str">
        <f>HYPERLINK("https://rmda.kulib.kyoto-u.ac.jp/item/rb00000899#?c=0&amp;m=0&amp;s=0&amp;cv=329")</f>
        <v>https://rmda.kulib.kyoto-u.ac.jp/item/rb00000899#?c=0&amp;m=0&amp;s=0&amp;cv=329</v>
      </c>
      <c r="I3692" s="6">
        <v>994</v>
      </c>
      <c r="J3692" s="6" t="str">
        <f>HYPERLINK("https://rmda.kulib.kyoto-u.ac.jp/item/rb00000898#?c=0&amp;m=0&amp;s=0&amp;cv=993")</f>
        <v>https://rmda.kulib.kyoto-u.ac.jp/item/rb00000898#?c=0&amp;m=0&amp;s=0&amp;cv=993</v>
      </c>
    </row>
    <row r="3693" spans="1:10" x14ac:dyDescent="0.15">
      <c r="A3693" s="6" t="s">
        <v>225</v>
      </c>
      <c r="B3693" s="6" t="s">
        <v>2783</v>
      </c>
      <c r="C3693" s="6"/>
      <c r="D3693" s="6"/>
      <c r="E3693" s="6">
        <v>73</v>
      </c>
      <c r="F3693" s="6" t="str">
        <f>HYPERLINK("https://rmda.kulib.kyoto-u.ac.jp/item/rb00000897#?c=0&amp;m=0&amp;s=0&amp;cv=72")</f>
        <v>https://rmda.kulib.kyoto-u.ac.jp/item/rb00000897#?c=0&amp;m=0&amp;s=0&amp;cv=72</v>
      </c>
      <c r="G3693" s="6"/>
      <c r="H3693" s="6"/>
      <c r="I3693" s="6"/>
      <c r="J3693" s="6"/>
    </row>
    <row r="3694" spans="1:10" x14ac:dyDescent="0.15">
      <c r="A3694" s="6" t="s">
        <v>225</v>
      </c>
      <c r="B3694" s="6" t="s">
        <v>3806</v>
      </c>
      <c r="C3694" s="6">
        <v>265</v>
      </c>
      <c r="D3694" s="6" t="str">
        <f>HYPERLINK("https://rmda.kulib.kyoto-u.ac.jp/item/rb00008736#?c=0&amp;m=0&amp;s=0&amp;cv=264")</f>
        <v>https://rmda.kulib.kyoto-u.ac.jp/item/rb00008736#?c=0&amp;m=0&amp;s=0&amp;cv=264</v>
      </c>
      <c r="E3694" s="6">
        <v>73</v>
      </c>
      <c r="F3694" s="6" t="str">
        <f>HYPERLINK("https://rmda.kulib.kyoto-u.ac.jp/item/rb00000897#?c=0&amp;m=0&amp;s=0&amp;cv=72")</f>
        <v>https://rmda.kulib.kyoto-u.ac.jp/item/rb00000897#?c=0&amp;m=0&amp;s=0&amp;cv=72</v>
      </c>
      <c r="G3694" s="6">
        <v>331</v>
      </c>
      <c r="H3694" s="6" t="str">
        <f>HYPERLINK("https://rmda.kulib.kyoto-u.ac.jp/item/rb00000899#?c=0&amp;m=0&amp;s=0&amp;cv=330")</f>
        <v>https://rmda.kulib.kyoto-u.ac.jp/item/rb00000899#?c=0&amp;m=0&amp;s=0&amp;cv=330</v>
      </c>
      <c r="I3694" s="6">
        <v>995</v>
      </c>
      <c r="J3694" s="6" t="str">
        <f>HYPERLINK("https://rmda.kulib.kyoto-u.ac.jp/item/rb00000898#?c=0&amp;m=0&amp;s=0&amp;cv=994")</f>
        <v>https://rmda.kulib.kyoto-u.ac.jp/item/rb00000898#?c=0&amp;m=0&amp;s=0&amp;cv=994</v>
      </c>
    </row>
    <row r="3695" spans="1:10" x14ac:dyDescent="0.15">
      <c r="A3695" s="6" t="s">
        <v>225</v>
      </c>
      <c r="B3695" s="6" t="s">
        <v>3807</v>
      </c>
      <c r="C3695" s="6">
        <v>265</v>
      </c>
      <c r="D3695" s="6" t="str">
        <f>HYPERLINK("https://rmda.kulib.kyoto-u.ac.jp/item/rb00008736#?c=0&amp;m=0&amp;s=0&amp;cv=264")</f>
        <v>https://rmda.kulib.kyoto-u.ac.jp/item/rb00008736#?c=0&amp;m=0&amp;s=0&amp;cv=264</v>
      </c>
      <c r="E3695" s="6">
        <v>73</v>
      </c>
      <c r="F3695" s="6" t="str">
        <f>HYPERLINK("https://rmda.kulib.kyoto-u.ac.jp/item/rb00000897#?c=0&amp;m=0&amp;s=0&amp;cv=72")</f>
        <v>https://rmda.kulib.kyoto-u.ac.jp/item/rb00000897#?c=0&amp;m=0&amp;s=0&amp;cv=72</v>
      </c>
      <c r="G3695" s="6">
        <v>331</v>
      </c>
      <c r="H3695" s="6" t="str">
        <f>HYPERLINK("https://rmda.kulib.kyoto-u.ac.jp/item/rb00000899#?c=0&amp;m=0&amp;s=0&amp;cv=330")</f>
        <v>https://rmda.kulib.kyoto-u.ac.jp/item/rb00000899#?c=0&amp;m=0&amp;s=0&amp;cv=330</v>
      </c>
      <c r="I3695" s="6">
        <v>995</v>
      </c>
      <c r="J3695" s="6" t="str">
        <f>HYPERLINK("https://rmda.kulib.kyoto-u.ac.jp/item/rb00000898#?c=0&amp;m=0&amp;s=0&amp;cv=994")</f>
        <v>https://rmda.kulib.kyoto-u.ac.jp/item/rb00000898#?c=0&amp;m=0&amp;s=0&amp;cv=994</v>
      </c>
    </row>
    <row r="3696" spans="1:10" x14ac:dyDescent="0.15">
      <c r="A3696" s="6" t="s">
        <v>225</v>
      </c>
      <c r="B3696" s="6" t="s">
        <v>3808</v>
      </c>
      <c r="C3696" s="6">
        <v>265</v>
      </c>
      <c r="D3696" s="6" t="str">
        <f>HYPERLINK("https://rmda.kulib.kyoto-u.ac.jp/item/rb00008736#?c=0&amp;m=0&amp;s=0&amp;cv=264")</f>
        <v>https://rmda.kulib.kyoto-u.ac.jp/item/rb00008736#?c=0&amp;m=0&amp;s=0&amp;cv=264</v>
      </c>
      <c r="E3696" s="6">
        <v>74</v>
      </c>
      <c r="F3696" s="6" t="str">
        <f>HYPERLINK("https://rmda.kulib.kyoto-u.ac.jp/item/rb00000897#?c=0&amp;m=0&amp;s=0&amp;cv=73")</f>
        <v>https://rmda.kulib.kyoto-u.ac.jp/item/rb00000897#?c=0&amp;m=0&amp;s=0&amp;cv=73</v>
      </c>
      <c r="G3696" s="6">
        <v>332</v>
      </c>
      <c r="H3696" s="6" t="str">
        <f t="shared" ref="H3696:H3702" si="7">HYPERLINK("https://rmda.kulib.kyoto-u.ac.jp/item/rb00000899#?c=0&amp;m=0&amp;s=0&amp;cv=331")</f>
        <v>https://rmda.kulib.kyoto-u.ac.jp/item/rb00000899#?c=0&amp;m=0&amp;s=0&amp;cv=331</v>
      </c>
      <c r="I3696" s="6">
        <v>995</v>
      </c>
      <c r="J3696" s="6" t="str">
        <f>HYPERLINK("https://rmda.kulib.kyoto-u.ac.jp/item/rb00000898#?c=0&amp;m=0&amp;s=0&amp;cv=994")</f>
        <v>https://rmda.kulib.kyoto-u.ac.jp/item/rb00000898#?c=0&amp;m=0&amp;s=0&amp;cv=994</v>
      </c>
    </row>
    <row r="3697" spans="1:10" x14ac:dyDescent="0.15">
      <c r="A3697" s="6" t="s">
        <v>225</v>
      </c>
      <c r="B3697" s="6" t="s">
        <v>3809</v>
      </c>
      <c r="C3697" s="6">
        <v>265</v>
      </c>
      <c r="D3697" s="6" t="str">
        <f>HYPERLINK("https://rmda.kulib.kyoto-u.ac.jp/item/rb00008736#?c=0&amp;m=0&amp;s=0&amp;cv=264")</f>
        <v>https://rmda.kulib.kyoto-u.ac.jp/item/rb00008736#?c=0&amp;m=0&amp;s=0&amp;cv=264</v>
      </c>
      <c r="E3697" s="6">
        <v>74</v>
      </c>
      <c r="F3697" s="6" t="str">
        <f>HYPERLINK("https://rmda.kulib.kyoto-u.ac.jp/item/rb00000897#?c=0&amp;m=0&amp;s=0&amp;cv=73")</f>
        <v>https://rmda.kulib.kyoto-u.ac.jp/item/rb00000897#?c=0&amp;m=0&amp;s=0&amp;cv=73</v>
      </c>
      <c r="G3697" s="6">
        <v>332</v>
      </c>
      <c r="H3697" s="6" t="str">
        <f t="shared" si="7"/>
        <v>https://rmda.kulib.kyoto-u.ac.jp/item/rb00000899#?c=0&amp;m=0&amp;s=0&amp;cv=331</v>
      </c>
      <c r="I3697" s="6">
        <v>995</v>
      </c>
      <c r="J3697" s="6" t="str">
        <f>HYPERLINK("https://rmda.kulib.kyoto-u.ac.jp/item/rb00000898#?c=0&amp;m=0&amp;s=0&amp;cv=994")</f>
        <v>https://rmda.kulib.kyoto-u.ac.jp/item/rb00000898#?c=0&amp;m=0&amp;s=0&amp;cv=994</v>
      </c>
    </row>
    <row r="3698" spans="1:10" x14ac:dyDescent="0.15">
      <c r="A3698" s="6" t="s">
        <v>225</v>
      </c>
      <c r="B3698" s="6" t="s">
        <v>3810</v>
      </c>
      <c r="C3698" s="6">
        <v>266</v>
      </c>
      <c r="D3698" s="6" t="str">
        <f>HYPERLINK("https://rmda.kulib.kyoto-u.ac.jp/item/rb00008736#?c=0&amp;m=0&amp;s=0&amp;cv=265")</f>
        <v>https://rmda.kulib.kyoto-u.ac.jp/item/rb00008736#?c=0&amp;m=0&amp;s=0&amp;cv=265</v>
      </c>
      <c r="E3698" s="6">
        <v>74</v>
      </c>
      <c r="F3698" s="6" t="str">
        <f>HYPERLINK("https://rmda.kulib.kyoto-u.ac.jp/item/rb00000897#?c=0&amp;m=0&amp;s=0&amp;cv=73")</f>
        <v>https://rmda.kulib.kyoto-u.ac.jp/item/rb00000897#?c=0&amp;m=0&amp;s=0&amp;cv=73</v>
      </c>
      <c r="G3698" s="6">
        <v>332</v>
      </c>
      <c r="H3698" s="6" t="str">
        <f t="shared" si="7"/>
        <v>https://rmda.kulib.kyoto-u.ac.jp/item/rb00000899#?c=0&amp;m=0&amp;s=0&amp;cv=331</v>
      </c>
      <c r="I3698" s="6">
        <v>996</v>
      </c>
      <c r="J3698" s="6" t="str">
        <f>HYPERLINK("https://rmda.kulib.kyoto-u.ac.jp/item/rb00000898#?c=0&amp;m=0&amp;s=0&amp;cv=995")</f>
        <v>https://rmda.kulib.kyoto-u.ac.jp/item/rb00000898#?c=0&amp;m=0&amp;s=0&amp;cv=995</v>
      </c>
    </row>
    <row r="3699" spans="1:10" x14ac:dyDescent="0.15">
      <c r="A3699" s="6" t="s">
        <v>225</v>
      </c>
      <c r="B3699" s="6" t="s">
        <v>3811</v>
      </c>
      <c r="C3699" s="6">
        <v>266</v>
      </c>
      <c r="D3699" s="6" t="str">
        <f>HYPERLINK("https://rmda.kulib.kyoto-u.ac.jp/item/rb00008736#?c=0&amp;m=0&amp;s=0&amp;cv=265")</f>
        <v>https://rmda.kulib.kyoto-u.ac.jp/item/rb00008736#?c=0&amp;m=0&amp;s=0&amp;cv=265</v>
      </c>
      <c r="E3699" s="6">
        <v>74</v>
      </c>
      <c r="F3699" s="6" t="str">
        <f>HYPERLINK("https://rmda.kulib.kyoto-u.ac.jp/item/rb00000897#?c=0&amp;m=0&amp;s=0&amp;cv=73")</f>
        <v>https://rmda.kulib.kyoto-u.ac.jp/item/rb00000897#?c=0&amp;m=0&amp;s=0&amp;cv=73</v>
      </c>
      <c r="G3699" s="6">
        <v>332</v>
      </c>
      <c r="H3699" s="6" t="str">
        <f t="shared" si="7"/>
        <v>https://rmda.kulib.kyoto-u.ac.jp/item/rb00000899#?c=0&amp;m=0&amp;s=0&amp;cv=331</v>
      </c>
      <c r="I3699" s="6">
        <v>996</v>
      </c>
      <c r="J3699" s="6" t="str">
        <f>HYPERLINK("https://rmda.kulib.kyoto-u.ac.jp/item/rb00000898#?c=0&amp;m=0&amp;s=0&amp;cv=995")</f>
        <v>https://rmda.kulib.kyoto-u.ac.jp/item/rb00000898#?c=0&amp;m=0&amp;s=0&amp;cv=995</v>
      </c>
    </row>
    <row r="3700" spans="1:10" x14ac:dyDescent="0.15">
      <c r="A3700" s="6" t="s">
        <v>225</v>
      </c>
      <c r="B3700" s="6" t="s">
        <v>3812</v>
      </c>
      <c r="C3700" s="6">
        <v>266</v>
      </c>
      <c r="D3700" s="6" t="str">
        <f>HYPERLINK("https://rmda.kulib.kyoto-u.ac.jp/item/rb00008736#?c=0&amp;m=0&amp;s=0&amp;cv=265")</f>
        <v>https://rmda.kulib.kyoto-u.ac.jp/item/rb00008736#?c=0&amp;m=0&amp;s=0&amp;cv=265</v>
      </c>
      <c r="E3700" s="6">
        <v>74</v>
      </c>
      <c r="F3700" s="6" t="str">
        <f>HYPERLINK("https://rmda.kulib.kyoto-u.ac.jp/item/rb00000897#?c=0&amp;m=0&amp;s=0&amp;cv=73")</f>
        <v>https://rmda.kulib.kyoto-u.ac.jp/item/rb00000897#?c=0&amp;m=0&amp;s=0&amp;cv=73</v>
      </c>
      <c r="G3700" s="6">
        <v>332</v>
      </c>
      <c r="H3700" s="6" t="str">
        <f t="shared" si="7"/>
        <v>https://rmda.kulib.kyoto-u.ac.jp/item/rb00000899#?c=0&amp;m=0&amp;s=0&amp;cv=331</v>
      </c>
      <c r="I3700" s="6">
        <v>996</v>
      </c>
      <c r="J3700" s="6" t="str">
        <f>HYPERLINK("https://rmda.kulib.kyoto-u.ac.jp/item/rb00000898#?c=0&amp;m=0&amp;s=0&amp;cv=995")</f>
        <v>https://rmda.kulib.kyoto-u.ac.jp/item/rb00000898#?c=0&amp;m=0&amp;s=0&amp;cv=995</v>
      </c>
    </row>
    <row r="3701" spans="1:10" x14ac:dyDescent="0.15">
      <c r="A3701" s="6" t="s">
        <v>225</v>
      </c>
      <c r="B3701" s="6" t="s">
        <v>3813</v>
      </c>
      <c r="C3701" s="6"/>
      <c r="D3701" s="6"/>
      <c r="E3701" s="6">
        <v>75</v>
      </c>
      <c r="F3701" s="6" t="str">
        <f>HYPERLINK("https://rmda.kulib.kyoto-u.ac.jp/item/rb00000897#?c=0&amp;m=0&amp;s=0&amp;cv=74")</f>
        <v>https://rmda.kulib.kyoto-u.ac.jp/item/rb00000897#?c=0&amp;m=0&amp;s=0&amp;cv=74</v>
      </c>
      <c r="G3701" s="6">
        <v>332</v>
      </c>
      <c r="H3701" s="6" t="str">
        <f t="shared" si="7"/>
        <v>https://rmda.kulib.kyoto-u.ac.jp/item/rb00000899#?c=0&amp;m=0&amp;s=0&amp;cv=331</v>
      </c>
      <c r="I3701" s="6"/>
      <c r="J3701" s="6"/>
    </row>
    <row r="3702" spans="1:10" x14ac:dyDescent="0.15">
      <c r="A3702" s="6" t="s">
        <v>225</v>
      </c>
      <c r="B3702" s="6" t="s">
        <v>3814</v>
      </c>
      <c r="C3702" s="6"/>
      <c r="D3702" s="6"/>
      <c r="E3702" s="6">
        <v>75</v>
      </c>
      <c r="F3702" s="6" t="str">
        <f>HYPERLINK("https://rmda.kulib.kyoto-u.ac.jp/item/rb00000897#?c=0&amp;m=0&amp;s=0&amp;cv=74")</f>
        <v>https://rmda.kulib.kyoto-u.ac.jp/item/rb00000897#?c=0&amp;m=0&amp;s=0&amp;cv=74</v>
      </c>
      <c r="G3702" s="6">
        <v>332</v>
      </c>
      <c r="H3702" s="6" t="str">
        <f t="shared" si="7"/>
        <v>https://rmda.kulib.kyoto-u.ac.jp/item/rb00000899#?c=0&amp;m=0&amp;s=0&amp;cv=331</v>
      </c>
      <c r="I3702" s="6"/>
      <c r="J3702" s="6"/>
    </row>
    <row r="3703" spans="1:10" x14ac:dyDescent="0.15">
      <c r="A3703" s="6" t="s">
        <v>225</v>
      </c>
      <c r="B3703" s="72" t="s">
        <v>3680</v>
      </c>
      <c r="C3703" s="6"/>
      <c r="D3703" s="6"/>
      <c r="E3703" s="6"/>
      <c r="F3703" s="6"/>
      <c r="G3703" s="6"/>
      <c r="H3703" s="6"/>
      <c r="I3703" s="6">
        <v>118</v>
      </c>
      <c r="J3703" s="6" t="str">
        <f>HYPERLINK("https://rmda.kulib.kyoto-u.ac.jp/item/rb00000898#?c=0&amp;m=0&amp;s=0&amp;cv=117")</f>
        <v>https://rmda.kulib.kyoto-u.ac.jp/item/rb00000898#?c=0&amp;m=0&amp;s=0&amp;cv=117</v>
      </c>
    </row>
    <row r="3704" spans="1:10" x14ac:dyDescent="0.15">
      <c r="A3704" s="6" t="s">
        <v>225</v>
      </c>
      <c r="B3704" s="6" t="s">
        <v>2784</v>
      </c>
      <c r="C3704" s="6">
        <v>269</v>
      </c>
      <c r="D3704" s="6" t="str">
        <f>HYPERLINK("https://rmda.kulib.kyoto-u.ac.jp/item/rb00008736#?c=0&amp;m=0&amp;s=0&amp;cv=268")</f>
        <v>https://rmda.kulib.kyoto-u.ac.jp/item/rb00008736#?c=0&amp;m=0&amp;s=0&amp;cv=268</v>
      </c>
      <c r="E3704" s="6"/>
      <c r="F3704" s="6"/>
      <c r="G3704" s="6">
        <v>336</v>
      </c>
      <c r="H3704" s="6" t="str">
        <f>HYPERLINK("https://rmda.kulib.kyoto-u.ac.jp/item/rb00000899#?c=0&amp;m=0&amp;s=0&amp;cv=335")</f>
        <v>https://rmda.kulib.kyoto-u.ac.jp/item/rb00000899#?c=0&amp;m=0&amp;s=0&amp;cv=335</v>
      </c>
      <c r="I3704" s="6">
        <v>119</v>
      </c>
      <c r="J3704" s="6" t="str">
        <f>HYPERLINK("https://rmda.kulib.kyoto-u.ac.jp/item/rb00000898#?c=0&amp;m=0&amp;s=0&amp;cv=118")</f>
        <v>https://rmda.kulib.kyoto-u.ac.jp/item/rb00000898#?c=0&amp;m=0&amp;s=0&amp;cv=118</v>
      </c>
    </row>
    <row r="3705" spans="1:10" x14ac:dyDescent="0.15">
      <c r="A3705" s="6" t="s">
        <v>225</v>
      </c>
      <c r="B3705" s="6" t="s">
        <v>1476</v>
      </c>
      <c r="C3705" s="6">
        <v>270</v>
      </c>
      <c r="D3705" s="6" t="str">
        <f>HYPERLINK("https://rmda.kulib.kyoto-u.ac.jp/item/rb00008736#?c=0&amp;m=0&amp;s=0&amp;cv=269")</f>
        <v>https://rmda.kulib.kyoto-u.ac.jp/item/rb00008736#?c=0&amp;m=0&amp;s=0&amp;cv=269</v>
      </c>
      <c r="E3705" s="6"/>
      <c r="F3705" s="6"/>
      <c r="G3705" s="6"/>
      <c r="H3705" s="6"/>
      <c r="I3705" s="6">
        <v>120</v>
      </c>
      <c r="J3705" s="6" t="str">
        <f>HYPERLINK("https://rmda.kulib.kyoto-u.ac.jp/item/rb00000898#?c=0&amp;m=0&amp;s=0&amp;cv=119")</f>
        <v>https://rmda.kulib.kyoto-u.ac.jp/item/rb00000898#?c=0&amp;m=0&amp;s=0&amp;cv=119</v>
      </c>
    </row>
    <row r="3706" spans="1:10" x14ac:dyDescent="0.15">
      <c r="A3706" s="6" t="s">
        <v>225</v>
      </c>
      <c r="B3706" s="6" t="s">
        <v>2785</v>
      </c>
      <c r="C3706" s="6">
        <v>281</v>
      </c>
      <c r="D3706" s="6" t="str">
        <f>HYPERLINK("https://rmda.kulib.kyoto-u.ac.jp/item/rb00008736#?c=0&amp;m=0&amp;s=0&amp;cv=280")</f>
        <v>https://rmda.kulib.kyoto-u.ac.jp/item/rb00008736#?c=0&amp;m=0&amp;s=0&amp;cv=280</v>
      </c>
      <c r="E3706" s="6"/>
      <c r="F3706" s="6"/>
      <c r="G3706" s="6"/>
      <c r="H3706" s="6"/>
      <c r="I3706" s="6">
        <v>131</v>
      </c>
      <c r="J3706" s="6" t="str">
        <f>HYPERLINK("https://rmda.kulib.kyoto-u.ac.jp/item/rb00000898#?c=0&amp;m=0&amp;s=0&amp;cv=130")</f>
        <v>https://rmda.kulib.kyoto-u.ac.jp/item/rb00000898#?c=0&amp;m=0&amp;s=0&amp;cv=130</v>
      </c>
    </row>
    <row r="3707" spans="1:10" x14ac:dyDescent="0.15">
      <c r="A3707" s="6" t="s">
        <v>225</v>
      </c>
      <c r="B3707" s="72" t="s">
        <v>3815</v>
      </c>
      <c r="C3707" s="6">
        <v>290</v>
      </c>
      <c r="D3707" s="6" t="str">
        <f>HYPERLINK("https://rmda.kulib.kyoto-u.ac.jp/item/rb00008736#?c=0&amp;m=0&amp;s=0&amp;cv=289")</f>
        <v>https://rmda.kulib.kyoto-u.ac.jp/item/rb00008736#?c=0&amp;m=0&amp;s=0&amp;cv=289</v>
      </c>
      <c r="E3707" s="6"/>
      <c r="F3707" s="6"/>
      <c r="G3707" s="6">
        <v>350</v>
      </c>
      <c r="H3707" s="6" t="str">
        <f>HYPERLINK("https://rmda.kulib.kyoto-u.ac.jp/item/rb00000899#?c=0&amp;m=0&amp;s=0&amp;cv=349")</f>
        <v>https://rmda.kulib.kyoto-u.ac.jp/item/rb00000899#?c=0&amp;m=0&amp;s=0&amp;cv=349</v>
      </c>
      <c r="I3707" s="6">
        <v>140</v>
      </c>
      <c r="J3707" s="6" t="str">
        <f>HYPERLINK("https://rmda.kulib.kyoto-u.ac.jp/item/rb00000898#?c=0&amp;m=0&amp;s=0&amp;cv=139")</f>
        <v>https://rmda.kulib.kyoto-u.ac.jp/item/rb00000898#?c=0&amp;m=0&amp;s=0&amp;cv=139</v>
      </c>
    </row>
    <row r="3708" spans="1:10" x14ac:dyDescent="0.15">
      <c r="A3708" s="6" t="s">
        <v>225</v>
      </c>
      <c r="B3708" s="6" t="s">
        <v>2786</v>
      </c>
      <c r="C3708" s="6">
        <v>290</v>
      </c>
      <c r="D3708" s="6" t="str">
        <f>HYPERLINK("https://rmda.kulib.kyoto-u.ac.jp/item/rb00008736#?c=0&amp;m=0&amp;s=0&amp;cv=289")</f>
        <v>https://rmda.kulib.kyoto-u.ac.jp/item/rb00008736#?c=0&amp;m=0&amp;s=0&amp;cv=289</v>
      </c>
      <c r="E3708" s="6"/>
      <c r="F3708" s="6"/>
      <c r="G3708" s="6">
        <v>354</v>
      </c>
      <c r="H3708" s="6" t="str">
        <f>HYPERLINK("https://rmda.kulib.kyoto-u.ac.jp/item/rb00000899#?c=0&amp;m=0&amp;s=0&amp;cv=353")</f>
        <v>https://rmda.kulib.kyoto-u.ac.jp/item/rb00000899#?c=0&amp;m=0&amp;s=0&amp;cv=353</v>
      </c>
      <c r="I3708" s="6">
        <v>140</v>
      </c>
      <c r="J3708" s="6" t="str">
        <f>HYPERLINK("https://rmda.kulib.kyoto-u.ac.jp/item/rb00000898#?c=0&amp;m=0&amp;s=0&amp;cv=139")</f>
        <v>https://rmda.kulib.kyoto-u.ac.jp/item/rb00000898#?c=0&amp;m=0&amp;s=0&amp;cv=139</v>
      </c>
    </row>
    <row r="3709" spans="1:10" x14ac:dyDescent="0.15">
      <c r="A3709" s="6" t="s">
        <v>225</v>
      </c>
      <c r="B3709" s="6" t="s">
        <v>2787</v>
      </c>
      <c r="C3709" s="6">
        <v>308</v>
      </c>
      <c r="D3709" s="6" t="str">
        <f>HYPERLINK("https://rmda.kulib.kyoto-u.ac.jp/item/rb00008736#?c=0&amp;m=0&amp;s=0&amp;cv=307")</f>
        <v>https://rmda.kulib.kyoto-u.ac.jp/item/rb00008736#?c=0&amp;m=0&amp;s=0&amp;cv=307</v>
      </c>
      <c r="E3709" s="6"/>
      <c r="F3709" s="6"/>
      <c r="G3709" s="6"/>
      <c r="H3709" s="6"/>
      <c r="I3709" s="6">
        <v>158</v>
      </c>
      <c r="J3709" s="6" t="str">
        <f>HYPERLINK("https://rmda.kulib.kyoto-u.ac.jp/item/rb00000898#?c=0&amp;m=0&amp;s=0&amp;cv=157")</f>
        <v>https://rmda.kulib.kyoto-u.ac.jp/item/rb00000898#?c=0&amp;m=0&amp;s=0&amp;cv=157</v>
      </c>
    </row>
    <row r="3710" spans="1:10" x14ac:dyDescent="0.15">
      <c r="A3710" s="6" t="s">
        <v>225</v>
      </c>
      <c r="B3710" s="6" t="s">
        <v>2788</v>
      </c>
      <c r="C3710" s="6">
        <v>339</v>
      </c>
      <c r="D3710" s="6" t="str">
        <f>HYPERLINK("https://rmda.kulib.kyoto-u.ac.jp/item/rb00008736#?c=0&amp;m=0&amp;s=0&amp;cv=338")</f>
        <v>https://rmda.kulib.kyoto-u.ac.jp/item/rb00008736#?c=0&amp;m=0&amp;s=0&amp;cv=338</v>
      </c>
      <c r="E3710" s="6"/>
      <c r="F3710" s="6"/>
      <c r="G3710" s="6"/>
      <c r="H3710" s="6"/>
      <c r="I3710" s="6">
        <v>186</v>
      </c>
      <c r="J3710" s="6" t="str">
        <f>HYPERLINK("https://rmda.kulib.kyoto-u.ac.jp/item/rb00000898#?c=0&amp;m=0&amp;s=0&amp;cv=185")</f>
        <v>https://rmda.kulib.kyoto-u.ac.jp/item/rb00000898#?c=0&amp;m=0&amp;s=0&amp;cv=185</v>
      </c>
    </row>
    <row r="3711" spans="1:10" x14ac:dyDescent="0.15">
      <c r="A3711" s="6" t="s">
        <v>225</v>
      </c>
      <c r="B3711" s="6" t="s">
        <v>2789</v>
      </c>
      <c r="C3711" s="6">
        <v>360</v>
      </c>
      <c r="D3711" s="6" t="str">
        <f>HYPERLINK("https://rmda.kulib.kyoto-u.ac.jp/item/rb00008736#?c=0&amp;m=0&amp;s=0&amp;cv=359")</f>
        <v>https://rmda.kulib.kyoto-u.ac.jp/item/rb00008736#?c=0&amp;m=0&amp;s=0&amp;cv=359</v>
      </c>
      <c r="E3711" s="6"/>
      <c r="F3711" s="6"/>
      <c r="G3711" s="6"/>
      <c r="H3711" s="6"/>
      <c r="I3711" s="6">
        <v>207</v>
      </c>
      <c r="J3711" s="6" t="str">
        <f>HYPERLINK("https://rmda.kulib.kyoto-u.ac.jp/item/rb00000898#?c=0&amp;m=0&amp;s=0&amp;cv=206")</f>
        <v>https://rmda.kulib.kyoto-u.ac.jp/item/rb00000898#?c=0&amp;m=0&amp;s=0&amp;cv=206</v>
      </c>
    </row>
    <row r="3712" spans="1:10" x14ac:dyDescent="0.15">
      <c r="A3712" s="6" t="s">
        <v>225</v>
      </c>
      <c r="B3712" s="6" t="s">
        <v>2790</v>
      </c>
      <c r="C3712" s="6">
        <v>388</v>
      </c>
      <c r="D3712" s="6" t="str">
        <f>HYPERLINK("https://rmda.kulib.kyoto-u.ac.jp/item/rb00008736#?c=0&amp;m=0&amp;s=0&amp;cv=387")</f>
        <v>https://rmda.kulib.kyoto-u.ac.jp/item/rb00008736#?c=0&amp;m=0&amp;s=0&amp;cv=387</v>
      </c>
      <c r="E3712" s="6"/>
      <c r="F3712" s="6"/>
      <c r="G3712" s="6"/>
      <c r="H3712" s="6"/>
      <c r="I3712" s="6">
        <v>235</v>
      </c>
      <c r="J3712" s="6" t="str">
        <f>HYPERLINK("https://rmda.kulib.kyoto-u.ac.jp/item/rb00000898#?c=0&amp;m=0&amp;s=0&amp;cv=234")</f>
        <v>https://rmda.kulib.kyoto-u.ac.jp/item/rb00000898#?c=0&amp;m=0&amp;s=0&amp;cv=234</v>
      </c>
    </row>
    <row r="3713" spans="1:10" x14ac:dyDescent="0.15">
      <c r="A3713" s="6" t="s">
        <v>225</v>
      </c>
      <c r="B3713" s="72" t="s">
        <v>3679</v>
      </c>
      <c r="C3713" s="6">
        <v>415</v>
      </c>
      <c r="D3713" s="6" t="str">
        <f>HYPERLINK("https://rmda.kulib.kyoto-u.ac.jp/item/rb00008736#?c=0&amp;m=0&amp;s=0&amp;cv=414")</f>
        <v>https://rmda.kulib.kyoto-u.ac.jp/item/rb00008736#?c=0&amp;m=0&amp;s=0&amp;cv=414</v>
      </c>
      <c r="E3713" s="6"/>
      <c r="F3713" s="6"/>
      <c r="G3713" s="6"/>
      <c r="H3713" s="6"/>
      <c r="I3713" s="6">
        <v>261</v>
      </c>
      <c r="J3713" s="6" t="str">
        <f>HYPERLINK("https://rmda.kulib.kyoto-u.ac.jp/item/rb00000898#?c=0&amp;m=0&amp;s=0&amp;cv=260")</f>
        <v>https://rmda.kulib.kyoto-u.ac.jp/item/rb00000898#?c=0&amp;m=0&amp;s=0&amp;cv=260</v>
      </c>
    </row>
    <row r="3714" spans="1:10" x14ac:dyDescent="0.15">
      <c r="A3714" s="6" t="s">
        <v>225</v>
      </c>
      <c r="B3714" s="6" t="s">
        <v>2791</v>
      </c>
      <c r="C3714" s="6">
        <v>415</v>
      </c>
      <c r="D3714" s="6" t="str">
        <f>HYPERLINK("https://rmda.kulib.kyoto-u.ac.jp/item/rb00008736#?c=0&amp;m=0&amp;s=0&amp;cv=414")</f>
        <v>https://rmda.kulib.kyoto-u.ac.jp/item/rb00008736#?c=0&amp;m=0&amp;s=0&amp;cv=414</v>
      </c>
      <c r="E3714" s="6"/>
      <c r="F3714" s="6"/>
      <c r="G3714" s="6"/>
      <c r="H3714" s="6"/>
      <c r="I3714" s="6">
        <v>262</v>
      </c>
      <c r="J3714" s="6" t="str">
        <f>HYPERLINK("https://rmda.kulib.kyoto-u.ac.jp/item/rb00000898#?c=0&amp;m=0&amp;s=0&amp;cv=261")</f>
        <v>https://rmda.kulib.kyoto-u.ac.jp/item/rb00000898#?c=0&amp;m=0&amp;s=0&amp;cv=261</v>
      </c>
    </row>
    <row r="3715" spans="1:10" x14ac:dyDescent="0.15">
      <c r="A3715" s="6" t="s">
        <v>225</v>
      </c>
      <c r="B3715" s="6" t="s">
        <v>2792</v>
      </c>
      <c r="C3715" s="6">
        <v>447</v>
      </c>
      <c r="D3715" s="6" t="str">
        <f>HYPERLINK("https://rmda.kulib.kyoto-u.ac.jp/item/rb00008736#?c=0&amp;m=0&amp;s=0&amp;cv=446")</f>
        <v>https://rmda.kulib.kyoto-u.ac.jp/item/rb00008736#?c=0&amp;m=0&amp;s=0&amp;cv=446</v>
      </c>
      <c r="E3715" s="6"/>
      <c r="F3715" s="6"/>
      <c r="G3715" s="6"/>
      <c r="H3715" s="6"/>
      <c r="I3715" s="6">
        <v>294</v>
      </c>
      <c r="J3715" s="6" t="str">
        <f>HYPERLINK("https://rmda.kulib.kyoto-u.ac.jp/item/rb00000898#?c=0&amp;m=0&amp;s=0&amp;cv=293")</f>
        <v>https://rmda.kulib.kyoto-u.ac.jp/item/rb00000898#?c=0&amp;m=0&amp;s=0&amp;cv=293</v>
      </c>
    </row>
    <row r="3716" spans="1:10" x14ac:dyDescent="0.15">
      <c r="A3716" s="6" t="s">
        <v>225</v>
      </c>
      <c r="B3716" s="95" t="s">
        <v>3681</v>
      </c>
      <c r="C3716" s="6">
        <v>497</v>
      </c>
      <c r="D3716" s="6" t="str">
        <f>HYPERLINK("https://rmda.kulib.kyoto-u.ac.jp/item/rb00008736#?c=0&amp;m=0&amp;s=0&amp;cv=496")</f>
        <v>https://rmda.kulib.kyoto-u.ac.jp/item/rb00008736#?c=0&amp;m=0&amp;s=0&amp;cv=496</v>
      </c>
      <c r="E3716" s="6"/>
      <c r="F3716" s="6"/>
      <c r="G3716" s="6"/>
      <c r="H3716" s="6"/>
      <c r="I3716" s="6">
        <v>345</v>
      </c>
      <c r="J3716" s="6" t="str">
        <f>HYPERLINK("https://rmda.kulib.kyoto-u.ac.jp/item/rb00000898#?c=0&amp;m=0&amp;s=0&amp;cv=344")</f>
        <v>https://rmda.kulib.kyoto-u.ac.jp/item/rb00000898#?c=0&amp;m=0&amp;s=0&amp;cv=344</v>
      </c>
    </row>
    <row r="3717" spans="1:10" x14ac:dyDescent="0.15">
      <c r="A3717" s="6" t="s">
        <v>225</v>
      </c>
      <c r="B3717" s="6" t="s">
        <v>2761</v>
      </c>
      <c r="C3717" s="6">
        <v>497</v>
      </c>
      <c r="D3717" s="6" t="str">
        <f>HYPERLINK("https://rmda.kulib.kyoto-u.ac.jp/item/rb00008736#?c=0&amp;m=0&amp;s=0&amp;cv=496")</f>
        <v>https://rmda.kulib.kyoto-u.ac.jp/item/rb00008736#?c=0&amp;m=0&amp;s=0&amp;cv=496</v>
      </c>
      <c r="E3717" s="6"/>
      <c r="F3717" s="6"/>
      <c r="G3717" s="6"/>
      <c r="H3717" s="6"/>
      <c r="I3717" s="6">
        <v>345</v>
      </c>
      <c r="J3717" s="6" t="str">
        <f>HYPERLINK("https://rmda.kulib.kyoto-u.ac.jp/item/rb00000898#?c=0&amp;m=0&amp;s=0&amp;cv=344")</f>
        <v>https://rmda.kulib.kyoto-u.ac.jp/item/rb00000898#?c=0&amp;m=0&amp;s=0&amp;cv=344</v>
      </c>
    </row>
    <row r="3718" spans="1:10" x14ac:dyDescent="0.15">
      <c r="A3718" s="6" t="s">
        <v>225</v>
      </c>
      <c r="B3718" s="6" t="s">
        <v>3684</v>
      </c>
      <c r="C3718" s="6">
        <v>498</v>
      </c>
      <c r="D3718" s="6" t="str">
        <f>HYPERLINK("https://rmda.kulib.kyoto-u.ac.jp/item/rb00008736#?c=0&amp;m=0&amp;s=0&amp;cv=497")</f>
        <v>https://rmda.kulib.kyoto-u.ac.jp/item/rb00008736#?c=0&amp;m=0&amp;s=0&amp;cv=497</v>
      </c>
      <c r="E3718" s="6"/>
      <c r="F3718" s="6"/>
      <c r="G3718" s="6"/>
      <c r="H3718" s="6"/>
      <c r="I3718" s="6">
        <v>346</v>
      </c>
      <c r="J3718" s="6" t="str">
        <f>HYPERLINK("https://rmda.kulib.kyoto-u.ac.jp/item/rb00000898#?c=0&amp;m=0&amp;s=0&amp;cv=345")</f>
        <v>https://rmda.kulib.kyoto-u.ac.jp/item/rb00000898#?c=0&amp;m=0&amp;s=0&amp;cv=345</v>
      </c>
    </row>
    <row r="3719" spans="1:10" x14ac:dyDescent="0.15">
      <c r="A3719" s="6" t="s">
        <v>225</v>
      </c>
      <c r="B3719" s="6" t="s">
        <v>3685</v>
      </c>
      <c r="C3719" s="6">
        <v>498</v>
      </c>
      <c r="D3719" s="6" t="str">
        <f>HYPERLINK("https://rmda.kulib.kyoto-u.ac.jp/item/rb00008736#?c=0&amp;m=0&amp;s=0&amp;cv=497")</f>
        <v>https://rmda.kulib.kyoto-u.ac.jp/item/rb00008736#?c=0&amp;m=0&amp;s=0&amp;cv=497</v>
      </c>
      <c r="E3719" s="6"/>
      <c r="F3719" s="6"/>
      <c r="G3719" s="6"/>
      <c r="H3719" s="6"/>
      <c r="I3719" s="6">
        <v>346</v>
      </c>
      <c r="J3719" s="6" t="str">
        <f>HYPERLINK("https://rmda.kulib.kyoto-u.ac.jp/item/rb00000898#?c=0&amp;m=0&amp;s=0&amp;cv=345")</f>
        <v>https://rmda.kulib.kyoto-u.ac.jp/item/rb00000898#?c=0&amp;m=0&amp;s=0&amp;cv=345</v>
      </c>
    </row>
    <row r="3720" spans="1:10" x14ac:dyDescent="0.15">
      <c r="A3720" s="6" t="s">
        <v>225</v>
      </c>
      <c r="B3720" s="6" t="s">
        <v>3686</v>
      </c>
      <c r="C3720" s="6">
        <v>498</v>
      </c>
      <c r="D3720" s="6" t="str">
        <f>HYPERLINK("https://rmda.kulib.kyoto-u.ac.jp/item/rb00008736#?c=0&amp;m=0&amp;s=0&amp;cv=497")</f>
        <v>https://rmda.kulib.kyoto-u.ac.jp/item/rb00008736#?c=0&amp;m=0&amp;s=0&amp;cv=497</v>
      </c>
      <c r="E3720" s="6"/>
      <c r="F3720" s="6"/>
      <c r="G3720" s="6"/>
      <c r="H3720" s="6"/>
      <c r="I3720" s="6">
        <v>346</v>
      </c>
      <c r="J3720" s="6" t="str">
        <f>HYPERLINK("https://rmda.kulib.kyoto-u.ac.jp/item/rb00000898#?c=0&amp;m=0&amp;s=0&amp;cv=345")</f>
        <v>https://rmda.kulib.kyoto-u.ac.jp/item/rb00000898#?c=0&amp;m=0&amp;s=0&amp;cv=345</v>
      </c>
    </row>
    <row r="3721" spans="1:10" x14ac:dyDescent="0.15">
      <c r="A3721" s="6" t="s">
        <v>225</v>
      </c>
      <c r="B3721" s="6" t="s">
        <v>3687</v>
      </c>
      <c r="C3721" s="6">
        <v>499</v>
      </c>
      <c r="D3721" s="6" t="str">
        <f>HYPERLINK("https://rmda.kulib.kyoto-u.ac.jp/item/rb00008736#?c=0&amp;m=0&amp;s=0&amp;cv=498")</f>
        <v>https://rmda.kulib.kyoto-u.ac.jp/item/rb00008736#?c=0&amp;m=0&amp;s=0&amp;cv=498</v>
      </c>
      <c r="E3721" s="6"/>
      <c r="F3721" s="6"/>
      <c r="G3721" s="6"/>
      <c r="H3721" s="6"/>
      <c r="I3721" s="6">
        <v>347</v>
      </c>
      <c r="J3721" s="6" t="str">
        <f>HYPERLINK("https://rmda.kulib.kyoto-u.ac.jp/item/rb00000898#?c=0&amp;m=0&amp;s=0&amp;cv=346")</f>
        <v>https://rmda.kulib.kyoto-u.ac.jp/item/rb00000898#?c=0&amp;m=0&amp;s=0&amp;cv=346</v>
      </c>
    </row>
    <row r="3722" spans="1:10" x14ac:dyDescent="0.15">
      <c r="A3722" s="6" t="s">
        <v>225</v>
      </c>
      <c r="B3722" s="6" t="s">
        <v>3688</v>
      </c>
      <c r="C3722" s="6">
        <v>499</v>
      </c>
      <c r="D3722" s="6" t="str">
        <f>HYPERLINK("https://rmda.kulib.kyoto-u.ac.jp/item/rb00008736#?c=0&amp;m=0&amp;s=0&amp;cv=498")</f>
        <v>https://rmda.kulib.kyoto-u.ac.jp/item/rb00008736#?c=0&amp;m=0&amp;s=0&amp;cv=498</v>
      </c>
      <c r="E3722" s="6"/>
      <c r="F3722" s="6"/>
      <c r="G3722" s="6"/>
      <c r="H3722" s="6"/>
      <c r="I3722" s="6">
        <v>347</v>
      </c>
      <c r="J3722" s="6" t="str">
        <f>HYPERLINK("https://rmda.kulib.kyoto-u.ac.jp/item/rb00000898#?c=0&amp;m=0&amp;s=0&amp;cv=346")</f>
        <v>https://rmda.kulib.kyoto-u.ac.jp/item/rb00000898#?c=0&amp;m=0&amp;s=0&amp;cv=346</v>
      </c>
    </row>
    <row r="3723" spans="1:10" x14ac:dyDescent="0.15">
      <c r="A3723" s="6" t="s">
        <v>225</v>
      </c>
      <c r="B3723" s="6" t="s">
        <v>3718</v>
      </c>
      <c r="C3723" s="6">
        <v>500</v>
      </c>
      <c r="D3723" s="6" t="str">
        <f>HYPERLINK("https://rmda.kulib.kyoto-u.ac.jp/item/rb00008736#?c=0&amp;m=0&amp;s=0&amp;cv=499")</f>
        <v>https://rmda.kulib.kyoto-u.ac.jp/item/rb00008736#?c=0&amp;m=0&amp;s=0&amp;cv=499</v>
      </c>
      <c r="E3723" s="6"/>
      <c r="F3723" s="6"/>
      <c r="G3723" s="6"/>
      <c r="H3723" s="6"/>
      <c r="I3723" s="6">
        <v>348</v>
      </c>
      <c r="J3723" s="6" t="str">
        <f>HYPERLINK("https://rmda.kulib.kyoto-u.ac.jp/item/rb00000898#?c=0&amp;m=0&amp;s=0&amp;cv=347")</f>
        <v>https://rmda.kulib.kyoto-u.ac.jp/item/rb00000898#?c=0&amp;m=0&amp;s=0&amp;cv=347</v>
      </c>
    </row>
    <row r="3724" spans="1:10" x14ac:dyDescent="0.15">
      <c r="A3724" s="6" t="s">
        <v>225</v>
      </c>
      <c r="B3724" s="6" t="s">
        <v>3816</v>
      </c>
      <c r="C3724" s="6">
        <v>501</v>
      </c>
      <c r="D3724" s="6" t="str">
        <f>HYPERLINK("https://rmda.kulib.kyoto-u.ac.jp/item/rb00008736#?c=0&amp;m=0&amp;s=0&amp;cv=500")</f>
        <v>https://rmda.kulib.kyoto-u.ac.jp/item/rb00008736#?c=0&amp;m=0&amp;s=0&amp;cv=500</v>
      </c>
      <c r="E3724" s="6"/>
      <c r="F3724" s="6"/>
      <c r="G3724" s="6"/>
      <c r="H3724" s="6"/>
      <c r="I3724" s="6">
        <v>349</v>
      </c>
      <c r="J3724" s="6" t="str">
        <f>HYPERLINK("https://rmda.kulib.kyoto-u.ac.jp/item/rb00000898#?c=0&amp;m=0&amp;s=0&amp;cv=348")</f>
        <v>https://rmda.kulib.kyoto-u.ac.jp/item/rb00000898#?c=0&amp;m=0&amp;s=0&amp;cv=348</v>
      </c>
    </row>
    <row r="3725" spans="1:10" x14ac:dyDescent="0.15">
      <c r="A3725" s="6" t="s">
        <v>225</v>
      </c>
      <c r="B3725" s="6" t="s">
        <v>3690</v>
      </c>
      <c r="C3725" s="6">
        <v>502</v>
      </c>
      <c r="D3725" s="6" t="str">
        <f>HYPERLINK("https://rmda.kulib.kyoto-u.ac.jp/item/rb00008736#?c=0&amp;m=0&amp;s=0&amp;cv=501")</f>
        <v>https://rmda.kulib.kyoto-u.ac.jp/item/rb00008736#?c=0&amp;m=0&amp;s=0&amp;cv=501</v>
      </c>
      <c r="E3725" s="6"/>
      <c r="F3725" s="6"/>
      <c r="G3725" s="6"/>
      <c r="H3725" s="6"/>
      <c r="I3725" s="6">
        <v>350</v>
      </c>
      <c r="J3725" s="6" t="str">
        <f>HYPERLINK("https://rmda.kulib.kyoto-u.ac.jp/item/rb00000898#?c=0&amp;m=0&amp;s=0&amp;cv=349")</f>
        <v>https://rmda.kulib.kyoto-u.ac.jp/item/rb00000898#?c=0&amp;m=0&amp;s=0&amp;cv=349</v>
      </c>
    </row>
    <row r="3726" spans="1:10" x14ac:dyDescent="0.15">
      <c r="A3726" s="6" t="s">
        <v>225</v>
      </c>
      <c r="B3726" s="6" t="s">
        <v>3691</v>
      </c>
      <c r="C3726" s="6">
        <v>502</v>
      </c>
      <c r="D3726" s="6" t="str">
        <f>HYPERLINK("https://rmda.kulib.kyoto-u.ac.jp/item/rb00008736#?c=0&amp;m=0&amp;s=0&amp;cv=501")</f>
        <v>https://rmda.kulib.kyoto-u.ac.jp/item/rb00008736#?c=0&amp;m=0&amp;s=0&amp;cv=501</v>
      </c>
      <c r="E3726" s="6"/>
      <c r="F3726" s="6"/>
      <c r="G3726" s="6"/>
      <c r="H3726" s="6"/>
      <c r="I3726" s="6">
        <v>350</v>
      </c>
      <c r="J3726" s="6" t="str">
        <f>HYPERLINK("https://rmda.kulib.kyoto-u.ac.jp/item/rb00000898#?c=0&amp;m=0&amp;s=0&amp;cv=349")</f>
        <v>https://rmda.kulib.kyoto-u.ac.jp/item/rb00000898#?c=0&amp;m=0&amp;s=0&amp;cv=349</v>
      </c>
    </row>
    <row r="3727" spans="1:10" x14ac:dyDescent="0.15">
      <c r="A3727" s="6" t="s">
        <v>225</v>
      </c>
      <c r="B3727" s="6" t="s">
        <v>6113</v>
      </c>
      <c r="C3727" s="6">
        <v>503</v>
      </c>
      <c r="D3727" s="6" t="str">
        <f>HYPERLINK("https://rmda.kulib.kyoto-u.ac.jp/item/rb00008736#?c=0&amp;m=0&amp;s=0&amp;cv=502")</f>
        <v>https://rmda.kulib.kyoto-u.ac.jp/item/rb00008736#?c=0&amp;m=0&amp;s=0&amp;cv=502</v>
      </c>
      <c r="E3727" s="6"/>
      <c r="F3727" s="6"/>
      <c r="G3727" s="6"/>
      <c r="H3727" s="6"/>
      <c r="I3727" s="6">
        <v>351</v>
      </c>
      <c r="J3727" s="6" t="str">
        <f>HYPERLINK("https://rmda.kulib.kyoto-u.ac.jp/item/rb00000898#?c=0&amp;m=0&amp;s=0&amp;cv=350")</f>
        <v>https://rmda.kulib.kyoto-u.ac.jp/item/rb00000898#?c=0&amp;m=0&amp;s=0&amp;cv=350</v>
      </c>
    </row>
    <row r="3728" spans="1:10" x14ac:dyDescent="0.15">
      <c r="A3728" s="6" t="s">
        <v>225</v>
      </c>
      <c r="B3728" s="6" t="s">
        <v>3719</v>
      </c>
      <c r="C3728" s="6">
        <v>503</v>
      </c>
      <c r="D3728" s="6" t="str">
        <f>HYPERLINK("https://rmda.kulib.kyoto-u.ac.jp/item/rb00008736#?c=0&amp;m=0&amp;s=0&amp;cv=502")</f>
        <v>https://rmda.kulib.kyoto-u.ac.jp/item/rb00008736#?c=0&amp;m=0&amp;s=0&amp;cv=502</v>
      </c>
      <c r="E3728" s="6"/>
      <c r="F3728" s="6"/>
      <c r="G3728" s="6"/>
      <c r="H3728" s="6"/>
      <c r="I3728" s="6">
        <v>351</v>
      </c>
      <c r="J3728" s="6" t="str">
        <f>HYPERLINK("https://rmda.kulib.kyoto-u.ac.jp/item/rb00000898#?c=0&amp;m=0&amp;s=0&amp;cv=350")</f>
        <v>https://rmda.kulib.kyoto-u.ac.jp/item/rb00000898#?c=0&amp;m=0&amp;s=0&amp;cv=350</v>
      </c>
    </row>
    <row r="3729" spans="1:10" x14ac:dyDescent="0.15">
      <c r="A3729" s="6" t="s">
        <v>225</v>
      </c>
      <c r="B3729" s="6" t="s">
        <v>3720</v>
      </c>
      <c r="C3729" s="6">
        <v>504</v>
      </c>
      <c r="D3729" s="6" t="str">
        <f>HYPERLINK("https://rmda.kulib.kyoto-u.ac.jp/item/rb00008736#?c=0&amp;m=0&amp;s=0&amp;cv=503")</f>
        <v>https://rmda.kulib.kyoto-u.ac.jp/item/rb00008736#?c=0&amp;m=0&amp;s=0&amp;cv=503</v>
      </c>
      <c r="E3729" s="6"/>
      <c r="F3729" s="6"/>
      <c r="G3729" s="6"/>
      <c r="H3729" s="6"/>
      <c r="I3729" s="6">
        <v>352</v>
      </c>
      <c r="J3729" s="6" t="str">
        <f>HYPERLINK("https://rmda.kulib.kyoto-u.ac.jp/item/rb00000898#?c=0&amp;m=0&amp;s=0&amp;cv=351")</f>
        <v>https://rmda.kulib.kyoto-u.ac.jp/item/rb00000898#?c=0&amp;m=0&amp;s=0&amp;cv=351</v>
      </c>
    </row>
    <row r="3730" spans="1:10" x14ac:dyDescent="0.15">
      <c r="A3730" s="6" t="s">
        <v>225</v>
      </c>
      <c r="B3730" s="6" t="s">
        <v>3721</v>
      </c>
      <c r="C3730" s="6">
        <v>504</v>
      </c>
      <c r="D3730" s="6" t="str">
        <f>HYPERLINK("https://rmda.kulib.kyoto-u.ac.jp/item/rb00008736#?c=0&amp;m=0&amp;s=0&amp;cv=503")</f>
        <v>https://rmda.kulib.kyoto-u.ac.jp/item/rb00008736#?c=0&amp;m=0&amp;s=0&amp;cv=503</v>
      </c>
      <c r="E3730" s="6"/>
      <c r="F3730" s="6"/>
      <c r="G3730" s="6"/>
      <c r="H3730" s="6"/>
      <c r="I3730" s="6">
        <v>352</v>
      </c>
      <c r="J3730" s="6" t="str">
        <f>HYPERLINK("https://rmda.kulib.kyoto-u.ac.jp/item/rb00000898#?c=0&amp;m=0&amp;s=0&amp;cv=351")</f>
        <v>https://rmda.kulib.kyoto-u.ac.jp/item/rb00000898#?c=0&amp;m=0&amp;s=0&amp;cv=351</v>
      </c>
    </row>
    <row r="3731" spans="1:10" x14ac:dyDescent="0.15">
      <c r="A3731" s="6" t="s">
        <v>225</v>
      </c>
      <c r="B3731" s="72" t="s">
        <v>3682</v>
      </c>
      <c r="C3731" s="6">
        <v>509</v>
      </c>
      <c r="D3731" s="6" t="str">
        <f>HYPERLINK("https://rmda.kulib.kyoto-u.ac.jp/item/rb00008736#?c=0&amp;m=0&amp;s=0&amp;cv=508")</f>
        <v>https://rmda.kulib.kyoto-u.ac.jp/item/rb00008736#?c=0&amp;m=0&amp;s=0&amp;cv=508</v>
      </c>
      <c r="E3731" s="6"/>
      <c r="F3731" s="6"/>
      <c r="G3731" s="6"/>
      <c r="H3731" s="6"/>
      <c r="I3731" s="6">
        <v>356</v>
      </c>
      <c r="J3731" s="6" t="str">
        <f>HYPERLINK("https://rmda.kulib.kyoto-u.ac.jp/item/rb00000898#?c=0&amp;m=0&amp;s=0&amp;cv=355")</f>
        <v>https://rmda.kulib.kyoto-u.ac.jp/item/rb00000898#?c=0&amp;m=0&amp;s=0&amp;cv=355</v>
      </c>
    </row>
    <row r="3732" spans="1:10" x14ac:dyDescent="0.15">
      <c r="A3732" s="6" t="s">
        <v>225</v>
      </c>
      <c r="B3732" s="6" t="s">
        <v>2793</v>
      </c>
      <c r="C3732" s="6">
        <v>509</v>
      </c>
      <c r="D3732" s="6" t="str">
        <f>HYPERLINK("https://rmda.kulib.kyoto-u.ac.jp/item/rb00008736#?c=0&amp;m=0&amp;s=0&amp;cv=508")</f>
        <v>https://rmda.kulib.kyoto-u.ac.jp/item/rb00008736#?c=0&amp;m=0&amp;s=0&amp;cv=508</v>
      </c>
      <c r="E3732" s="6"/>
      <c r="F3732" s="6"/>
      <c r="G3732" s="6">
        <v>371</v>
      </c>
      <c r="H3732" s="6" t="str">
        <f>HYPERLINK("https://rmda.kulib.kyoto-u.ac.jp/item/rb00000899#?c=0&amp;m=0&amp;s=0&amp;cv=370")</f>
        <v>https://rmda.kulib.kyoto-u.ac.jp/item/rb00000899#?c=0&amp;m=0&amp;s=0&amp;cv=370</v>
      </c>
      <c r="I3732" s="6">
        <v>357</v>
      </c>
      <c r="J3732" s="6" t="str">
        <f>HYPERLINK("https://rmda.kulib.kyoto-u.ac.jp/item/rb00000898#?c=0&amp;m=0&amp;s=0&amp;cv=356")</f>
        <v>https://rmda.kulib.kyoto-u.ac.jp/item/rb00000898#?c=0&amp;m=0&amp;s=0&amp;cv=356</v>
      </c>
    </row>
    <row r="3733" spans="1:10" x14ac:dyDescent="0.15">
      <c r="A3733" s="6" t="s">
        <v>225</v>
      </c>
      <c r="B3733" s="72" t="s">
        <v>3817</v>
      </c>
      <c r="C3733" s="6">
        <v>510</v>
      </c>
      <c r="D3733" s="6" t="str">
        <f>HYPERLINK("https://rmda.kulib.kyoto-u.ac.jp/item/rb00008736#?c=0&amp;m=0&amp;s=0&amp;cv=509")</f>
        <v>https://rmda.kulib.kyoto-u.ac.jp/item/rb00008736#?c=0&amp;m=0&amp;s=0&amp;cv=509</v>
      </c>
      <c r="E3733" s="6"/>
      <c r="F3733" s="6"/>
      <c r="G3733" s="6"/>
      <c r="H3733" s="6"/>
      <c r="I3733" s="6">
        <v>358</v>
      </c>
      <c r="J3733" s="6" t="str">
        <f>HYPERLINK("https://rmda.kulib.kyoto-u.ac.jp/item/rb00000898#?c=0&amp;m=0&amp;s=0&amp;cv=357")</f>
        <v>https://rmda.kulib.kyoto-u.ac.jp/item/rb00000898#?c=0&amp;m=0&amp;s=0&amp;cv=357</v>
      </c>
    </row>
    <row r="3734" spans="1:10" x14ac:dyDescent="0.15">
      <c r="A3734" s="6" t="s">
        <v>225</v>
      </c>
      <c r="B3734" s="6" t="s">
        <v>2794</v>
      </c>
      <c r="C3734" s="6">
        <v>510</v>
      </c>
      <c r="D3734" s="6" t="str">
        <f>HYPERLINK("https://rmda.kulib.kyoto-u.ac.jp/item/rb00008736#?c=0&amp;m=0&amp;s=0&amp;cv=509")</f>
        <v>https://rmda.kulib.kyoto-u.ac.jp/item/rb00008736#?c=0&amp;m=0&amp;s=0&amp;cv=509</v>
      </c>
      <c r="E3734" s="6"/>
      <c r="F3734" s="6"/>
      <c r="G3734" s="6"/>
      <c r="H3734" s="6"/>
      <c r="I3734" s="6">
        <v>358</v>
      </c>
      <c r="J3734" s="6" t="str">
        <f>HYPERLINK("https://rmda.kulib.kyoto-u.ac.jp/item/rb00000898#?c=0&amp;m=0&amp;s=0&amp;cv=357")</f>
        <v>https://rmda.kulib.kyoto-u.ac.jp/item/rb00000898#?c=0&amp;m=0&amp;s=0&amp;cv=357</v>
      </c>
    </row>
    <row r="3735" spans="1:10" x14ac:dyDescent="0.15">
      <c r="A3735" s="6" t="s">
        <v>225</v>
      </c>
      <c r="B3735" s="6" t="s">
        <v>6114</v>
      </c>
      <c r="C3735" s="6">
        <v>511</v>
      </c>
      <c r="D3735" s="6" t="str">
        <f>HYPERLINK("https://rmda.kulib.kyoto-u.ac.jp/item/rb00008736#?c=0&amp;m=0&amp;s=0&amp;cv=510")</f>
        <v>https://rmda.kulib.kyoto-u.ac.jp/item/rb00008736#?c=0&amp;m=0&amp;s=0&amp;cv=510</v>
      </c>
      <c r="E3735" s="6"/>
      <c r="F3735" s="6"/>
      <c r="G3735" s="6"/>
      <c r="H3735" s="6"/>
      <c r="I3735" s="6">
        <v>359</v>
      </c>
      <c r="J3735" s="6" t="str">
        <f>HYPERLINK("https://rmda.kulib.kyoto-u.ac.jp/item/rb00000898#?c=0&amp;m=0&amp;s=0&amp;cv=358")</f>
        <v>https://rmda.kulib.kyoto-u.ac.jp/item/rb00000898#?c=0&amp;m=0&amp;s=0&amp;cv=358</v>
      </c>
    </row>
    <row r="3736" spans="1:10" x14ac:dyDescent="0.15">
      <c r="A3736" s="6" t="s">
        <v>225</v>
      </c>
      <c r="B3736" s="6" t="s">
        <v>6115</v>
      </c>
      <c r="C3736" s="6">
        <v>513</v>
      </c>
      <c r="D3736" s="6" t="str">
        <f>HYPERLINK("https://rmda.kulib.kyoto-u.ac.jp/item/rb00008736#?c=0&amp;m=0&amp;s=0&amp;cv=512")</f>
        <v>https://rmda.kulib.kyoto-u.ac.jp/item/rb00008736#?c=0&amp;m=0&amp;s=0&amp;cv=512</v>
      </c>
      <c r="E3736" s="6"/>
      <c r="F3736" s="6"/>
      <c r="G3736" s="6"/>
      <c r="H3736" s="6"/>
      <c r="I3736" s="6">
        <v>361</v>
      </c>
      <c r="J3736" s="6" t="str">
        <f>HYPERLINK("https://rmda.kulib.kyoto-u.ac.jp/item/rb00000898#?c=0&amp;m=0&amp;s=0&amp;cv=360")</f>
        <v>https://rmda.kulib.kyoto-u.ac.jp/item/rb00000898#?c=0&amp;m=0&amp;s=0&amp;cv=360</v>
      </c>
    </row>
    <row r="3737" spans="1:10" x14ac:dyDescent="0.15">
      <c r="A3737" s="6" t="s">
        <v>225</v>
      </c>
      <c r="B3737" s="6" t="s">
        <v>2597</v>
      </c>
      <c r="C3737" s="6">
        <v>513</v>
      </c>
      <c r="D3737" s="6" t="str">
        <f>HYPERLINK("https://rmda.kulib.kyoto-u.ac.jp/item/rb00008736#?c=0&amp;m=0&amp;s=0&amp;cv=512")</f>
        <v>https://rmda.kulib.kyoto-u.ac.jp/item/rb00008736#?c=0&amp;m=0&amp;s=0&amp;cv=512</v>
      </c>
      <c r="E3737" s="6"/>
      <c r="F3737" s="6"/>
      <c r="G3737" s="6"/>
      <c r="H3737" s="6"/>
      <c r="I3737" s="6">
        <v>362</v>
      </c>
      <c r="J3737" s="6" t="str">
        <f>HYPERLINK("https://rmda.kulib.kyoto-u.ac.jp/item/rb00000898#?c=0&amp;m=0&amp;s=0&amp;cv=361")</f>
        <v>https://rmda.kulib.kyoto-u.ac.jp/item/rb00000898#?c=0&amp;m=0&amp;s=0&amp;cv=361</v>
      </c>
    </row>
    <row r="3738" spans="1:10" x14ac:dyDescent="0.15">
      <c r="A3738" s="6" t="s">
        <v>225</v>
      </c>
      <c r="B3738" s="6" t="s">
        <v>6116</v>
      </c>
      <c r="C3738" s="6">
        <v>520</v>
      </c>
      <c r="D3738" s="6" t="str">
        <f>HYPERLINK("https://rmda.kulib.kyoto-u.ac.jp/item/rb00008736#?c=0&amp;m=0&amp;s=0&amp;cv=519")</f>
        <v>https://rmda.kulib.kyoto-u.ac.jp/item/rb00008736#?c=0&amp;m=0&amp;s=0&amp;cv=519</v>
      </c>
      <c r="E3738" s="6"/>
      <c r="F3738" s="6"/>
      <c r="G3738" s="6"/>
      <c r="H3738" s="6"/>
      <c r="I3738" s="6">
        <v>362</v>
      </c>
      <c r="J3738" s="6" t="str">
        <f>HYPERLINK("https://rmda.kulib.kyoto-u.ac.jp/item/rb00000898#?c=0&amp;m=0&amp;s=0&amp;cv=361")</f>
        <v>https://rmda.kulib.kyoto-u.ac.jp/item/rb00000898#?c=0&amp;m=0&amp;s=0&amp;cv=361</v>
      </c>
    </row>
    <row r="3739" spans="1:10" x14ac:dyDescent="0.15">
      <c r="A3739" s="6" t="s">
        <v>225</v>
      </c>
      <c r="B3739" s="6" t="s">
        <v>3733</v>
      </c>
      <c r="C3739" s="6">
        <v>525</v>
      </c>
      <c r="D3739" s="6" t="str">
        <f>HYPERLINK("https://rmda.kulib.kyoto-u.ac.jp/item/rb00008736#?c=0&amp;m=0&amp;s=0&amp;cv=524")</f>
        <v>https://rmda.kulib.kyoto-u.ac.jp/item/rb00008736#?c=0&amp;m=0&amp;s=0&amp;cv=524</v>
      </c>
      <c r="E3739" s="6"/>
      <c r="F3739" s="6"/>
      <c r="G3739" s="6"/>
      <c r="H3739" s="6"/>
      <c r="I3739" s="6">
        <v>358</v>
      </c>
      <c r="J3739" s="6" t="str">
        <f>HYPERLINK("https://rmda.kulib.kyoto-u.ac.jp/item/rb00000898#?c=0&amp;m=0&amp;s=0&amp;cv=357")</f>
        <v>https://rmda.kulib.kyoto-u.ac.jp/item/rb00000898#?c=0&amp;m=0&amp;s=0&amp;cv=357</v>
      </c>
    </row>
    <row r="3740" spans="1:10" x14ac:dyDescent="0.15">
      <c r="A3740" s="6" t="s">
        <v>225</v>
      </c>
      <c r="B3740" s="6" t="s">
        <v>3734</v>
      </c>
      <c r="C3740" s="6">
        <v>534</v>
      </c>
      <c r="D3740" s="6" t="str">
        <f>HYPERLINK("https://rmda.kulib.kyoto-u.ac.jp/item/rb00008736#?c=0&amp;m=0&amp;s=0&amp;cv=533")</f>
        <v>https://rmda.kulib.kyoto-u.ac.jp/item/rb00008736#?c=0&amp;m=0&amp;s=0&amp;cv=533</v>
      </c>
      <c r="E3740" s="6"/>
      <c r="F3740" s="6"/>
      <c r="G3740" s="6"/>
      <c r="H3740" s="6"/>
      <c r="I3740" s="6">
        <v>373</v>
      </c>
      <c r="J3740" s="6" t="str">
        <f>HYPERLINK("https://rmda.kulib.kyoto-u.ac.jp/item/rb00000898#?c=0&amp;m=0&amp;s=0&amp;cv=372")</f>
        <v>https://rmda.kulib.kyoto-u.ac.jp/item/rb00000898#?c=0&amp;m=0&amp;s=0&amp;cv=372</v>
      </c>
    </row>
    <row r="3741" spans="1:10" x14ac:dyDescent="0.15">
      <c r="A3741" s="6" t="s">
        <v>225</v>
      </c>
      <c r="B3741" s="6" t="s">
        <v>3735</v>
      </c>
      <c r="C3741" s="6">
        <v>538</v>
      </c>
      <c r="D3741" s="6" t="str">
        <f>HYPERLINK("https://rmda.kulib.kyoto-u.ac.jp/item/rb00008736#?c=0&amp;m=0&amp;s=0&amp;cv=537")</f>
        <v>https://rmda.kulib.kyoto-u.ac.jp/item/rb00008736#?c=0&amp;m=0&amp;s=0&amp;cv=537</v>
      </c>
      <c r="E3741" s="6"/>
      <c r="F3741" s="6"/>
      <c r="G3741" s="6"/>
      <c r="H3741" s="6"/>
      <c r="I3741" s="6">
        <v>382</v>
      </c>
      <c r="J3741" s="6" t="str">
        <f>HYPERLINK("https://rmda.kulib.kyoto-u.ac.jp/item/rb00000898#?c=0&amp;m=0&amp;s=0&amp;cv=381")</f>
        <v>https://rmda.kulib.kyoto-u.ac.jp/item/rb00000898#?c=0&amp;m=0&amp;s=0&amp;cv=381</v>
      </c>
    </row>
    <row r="3742" spans="1:10" x14ac:dyDescent="0.15">
      <c r="A3742" s="6" t="s">
        <v>225</v>
      </c>
      <c r="B3742" s="6" t="s">
        <v>3736</v>
      </c>
      <c r="C3742" s="6">
        <v>547</v>
      </c>
      <c r="D3742" s="6" t="str">
        <f>HYPERLINK("https://rmda.kulib.kyoto-u.ac.jp/item/rb00008736#?c=0&amp;m=0&amp;s=0&amp;cv=546")</f>
        <v>https://rmda.kulib.kyoto-u.ac.jp/item/rb00008736#?c=0&amp;m=0&amp;s=0&amp;cv=546</v>
      </c>
      <c r="E3742" s="6"/>
      <c r="F3742" s="6"/>
      <c r="G3742" s="6"/>
      <c r="H3742" s="6"/>
      <c r="I3742" s="6">
        <v>386</v>
      </c>
      <c r="J3742" s="6" t="str">
        <f>HYPERLINK("https://rmda.kulib.kyoto-u.ac.jp/item/rb00000898#?c=0&amp;m=0&amp;s=0&amp;cv=385")</f>
        <v>https://rmda.kulib.kyoto-u.ac.jp/item/rb00000898#?c=0&amp;m=0&amp;s=0&amp;cv=385</v>
      </c>
    </row>
    <row r="3743" spans="1:10" x14ac:dyDescent="0.15">
      <c r="A3743" s="6" t="s">
        <v>225</v>
      </c>
      <c r="B3743" s="6" t="s">
        <v>3737</v>
      </c>
      <c r="C3743" s="6">
        <v>566</v>
      </c>
      <c r="D3743" s="6" t="str">
        <f>HYPERLINK("https://rmda.kulib.kyoto-u.ac.jp/item/rb00008736#?c=0&amp;m=0&amp;s=0&amp;cv=565")</f>
        <v>https://rmda.kulib.kyoto-u.ac.jp/item/rb00008736#?c=0&amp;m=0&amp;s=0&amp;cv=565</v>
      </c>
      <c r="E3743" s="6"/>
      <c r="F3743" s="6"/>
      <c r="G3743" s="6"/>
      <c r="H3743" s="6"/>
      <c r="I3743" s="6">
        <v>396</v>
      </c>
      <c r="J3743" s="6" t="str">
        <f>HYPERLINK("https://rmda.kulib.kyoto-u.ac.jp/item/rb00000898#?c=0&amp;m=0&amp;s=0&amp;cv=395")</f>
        <v>https://rmda.kulib.kyoto-u.ac.jp/item/rb00000898#?c=0&amp;m=0&amp;s=0&amp;cv=395</v>
      </c>
    </row>
    <row r="3744" spans="1:10" x14ac:dyDescent="0.15">
      <c r="A3744" s="6" t="s">
        <v>225</v>
      </c>
      <c r="B3744" s="6" t="s">
        <v>3738</v>
      </c>
      <c r="C3744" s="6">
        <v>570</v>
      </c>
      <c r="D3744" s="6" t="str">
        <f>HYPERLINK("https://rmda.kulib.kyoto-u.ac.jp/item/rb00008736#?c=0&amp;m=0&amp;s=0&amp;cv=569")</f>
        <v>https://rmda.kulib.kyoto-u.ac.jp/item/rb00008736#?c=0&amp;m=0&amp;s=0&amp;cv=569</v>
      </c>
      <c r="E3744" s="6"/>
      <c r="F3744" s="6"/>
      <c r="G3744" s="6"/>
      <c r="H3744" s="6"/>
      <c r="I3744" s="6">
        <v>414</v>
      </c>
      <c r="J3744" s="6" t="str">
        <f>HYPERLINK("https://rmda.kulib.kyoto-u.ac.jp/item/rb00000898#?c=0&amp;m=0&amp;s=0&amp;cv=413")</f>
        <v>https://rmda.kulib.kyoto-u.ac.jp/item/rb00000898#?c=0&amp;m=0&amp;s=0&amp;cv=413</v>
      </c>
    </row>
    <row r="3745" spans="1:10" x14ac:dyDescent="0.15">
      <c r="A3745" s="6" t="s">
        <v>225</v>
      </c>
      <c r="B3745" s="72" t="s">
        <v>3683</v>
      </c>
      <c r="C3745" s="6">
        <v>579</v>
      </c>
      <c r="D3745" s="6" t="str">
        <f>HYPERLINK("https://rmda.kulib.kyoto-u.ac.jp/item/rb00008736#?c=0&amp;m=0&amp;s=0&amp;cv=578")</f>
        <v>https://rmda.kulib.kyoto-u.ac.jp/item/rb00008736#?c=0&amp;m=0&amp;s=0&amp;cv=578</v>
      </c>
      <c r="E3745" s="6"/>
      <c r="F3745" s="6"/>
      <c r="G3745" s="6"/>
      <c r="H3745" s="6"/>
      <c r="I3745" s="6"/>
      <c r="J3745" s="6"/>
    </row>
    <row r="3746" spans="1:10" x14ac:dyDescent="0.15">
      <c r="A3746" s="6" t="s">
        <v>225</v>
      </c>
      <c r="B3746" s="6" t="s">
        <v>2795</v>
      </c>
      <c r="C3746" s="6">
        <v>579</v>
      </c>
      <c r="D3746" s="6" t="str">
        <f>HYPERLINK("https://rmda.kulib.kyoto-u.ac.jp/item/rb00008736#?c=0&amp;m=0&amp;s=0&amp;cv=578")</f>
        <v>https://rmda.kulib.kyoto-u.ac.jp/item/rb00008736#?c=0&amp;m=0&amp;s=0&amp;cv=578</v>
      </c>
      <c r="E3746" s="6"/>
      <c r="F3746" s="6"/>
      <c r="G3746" s="6"/>
      <c r="H3746" s="6"/>
      <c r="I3746" s="6">
        <v>424</v>
      </c>
      <c r="J3746" s="6" t="str">
        <f>HYPERLINK("https://rmda.kulib.kyoto-u.ac.jp/item/rb00000898#?c=0&amp;m=0&amp;s=0&amp;cv=423")</f>
        <v>https://rmda.kulib.kyoto-u.ac.jp/item/rb00000898#?c=0&amp;m=0&amp;s=0&amp;cv=423</v>
      </c>
    </row>
    <row r="3747" spans="1:10" x14ac:dyDescent="0.15">
      <c r="A3747" s="6" t="s">
        <v>225</v>
      </c>
      <c r="B3747" s="6" t="s">
        <v>2796</v>
      </c>
      <c r="C3747" s="6">
        <v>614</v>
      </c>
      <c r="D3747" s="6" t="str">
        <f>HYPERLINK("https://rmda.kulib.kyoto-u.ac.jp/item/rb00008736#?c=0&amp;m=0&amp;s=0&amp;cv=613")</f>
        <v>https://rmda.kulib.kyoto-u.ac.jp/item/rb00008736#?c=0&amp;m=0&amp;s=0&amp;cv=613</v>
      </c>
      <c r="E3747" s="6"/>
      <c r="F3747" s="6"/>
      <c r="G3747" s="6"/>
      <c r="H3747" s="6"/>
      <c r="I3747" s="6">
        <v>460</v>
      </c>
      <c r="J3747" s="6" t="str">
        <f>HYPERLINK("https://rmda.kulib.kyoto-u.ac.jp/item/rb00000898#?c=0&amp;m=0&amp;s=0&amp;cv=459")</f>
        <v>https://rmda.kulib.kyoto-u.ac.jp/item/rb00000898#?c=0&amp;m=0&amp;s=0&amp;cv=459</v>
      </c>
    </row>
    <row r="3748" spans="1:10" x14ac:dyDescent="0.15">
      <c r="A3748" s="6" t="s">
        <v>225</v>
      </c>
      <c r="B3748" s="6" t="s">
        <v>3818</v>
      </c>
      <c r="C3748" s="6">
        <v>614</v>
      </c>
      <c r="D3748" s="6" t="str">
        <f>HYPERLINK("https://rmda.kulib.kyoto-u.ac.jp/item/rb00008736#?c=0&amp;m=0&amp;s=0&amp;cv=613")</f>
        <v>https://rmda.kulib.kyoto-u.ac.jp/item/rb00008736#?c=0&amp;m=0&amp;s=0&amp;cv=613</v>
      </c>
      <c r="E3748" s="6"/>
      <c r="F3748" s="6"/>
      <c r="G3748" s="6"/>
      <c r="H3748" s="6"/>
      <c r="I3748" s="6">
        <v>460</v>
      </c>
      <c r="J3748" s="6" t="str">
        <f>HYPERLINK("https://rmda.kulib.kyoto-u.ac.jp/item/rb00000898#?c=0&amp;m=0&amp;s=0&amp;cv=459")</f>
        <v>https://rmda.kulib.kyoto-u.ac.jp/item/rb00000898#?c=0&amp;m=0&amp;s=0&amp;cv=459</v>
      </c>
    </row>
    <row r="3749" spans="1:10" x14ac:dyDescent="0.15">
      <c r="A3749" s="6" t="s">
        <v>225</v>
      </c>
      <c r="B3749" s="6" t="s">
        <v>3819</v>
      </c>
      <c r="C3749" s="6">
        <v>626</v>
      </c>
      <c r="D3749" s="6" t="str">
        <f>HYPERLINK("https://rmda.kulib.kyoto-u.ac.jp/item/rb00008736#?c=0&amp;m=0&amp;s=0&amp;cv=625")</f>
        <v>https://rmda.kulib.kyoto-u.ac.jp/item/rb00008736#?c=0&amp;m=0&amp;s=0&amp;cv=625</v>
      </c>
      <c r="E3749" s="6"/>
      <c r="F3749" s="6"/>
      <c r="G3749" s="6"/>
      <c r="H3749" s="6"/>
      <c r="I3749" s="6">
        <v>472</v>
      </c>
      <c r="J3749" s="6" t="str">
        <f>HYPERLINK("https://rmda.kulib.kyoto-u.ac.jp/item/rb00000898#?c=0&amp;m=0&amp;s=0&amp;cv=471")</f>
        <v>https://rmda.kulib.kyoto-u.ac.jp/item/rb00000898#?c=0&amp;m=0&amp;s=0&amp;cv=471</v>
      </c>
    </row>
    <row r="3750" spans="1:10" x14ac:dyDescent="0.15">
      <c r="A3750" s="6" t="s">
        <v>225</v>
      </c>
      <c r="B3750" s="72" t="s">
        <v>2797</v>
      </c>
      <c r="C3750" s="6">
        <v>628</v>
      </c>
      <c r="D3750" s="6" t="str">
        <f>HYPERLINK("https://rmda.kulib.kyoto-u.ac.jp/item/rb00008736#?c=0&amp;m=0&amp;s=0&amp;cv=627")</f>
        <v>https://rmda.kulib.kyoto-u.ac.jp/item/rb00008736#?c=0&amp;m=0&amp;s=0&amp;cv=627</v>
      </c>
      <c r="E3750" s="6"/>
      <c r="F3750" s="6"/>
      <c r="G3750" s="6"/>
      <c r="H3750" s="6"/>
      <c r="I3750" s="6">
        <v>474</v>
      </c>
      <c r="J3750" s="6" t="str">
        <f>HYPERLINK("https://rmda.kulib.kyoto-u.ac.jp/item/rb00000898#?c=0&amp;m=0&amp;s=0&amp;cv=473")</f>
        <v>https://rmda.kulib.kyoto-u.ac.jp/item/rb00000898#?c=0&amp;m=0&amp;s=0&amp;cv=473</v>
      </c>
    </row>
    <row r="3751" spans="1:10" x14ac:dyDescent="0.15">
      <c r="A3751" s="6" t="s">
        <v>225</v>
      </c>
      <c r="B3751" s="6" t="s">
        <v>2798</v>
      </c>
      <c r="C3751" s="6">
        <v>628</v>
      </c>
      <c r="D3751" s="6" t="str">
        <f>HYPERLINK("https://rmda.kulib.kyoto-u.ac.jp/item/rb00008736#?c=0&amp;m=0&amp;s=0&amp;cv=627")</f>
        <v>https://rmda.kulib.kyoto-u.ac.jp/item/rb00008736#?c=0&amp;m=0&amp;s=0&amp;cv=627</v>
      </c>
      <c r="E3751" s="6"/>
      <c r="F3751" s="6"/>
      <c r="G3751" s="6"/>
      <c r="H3751" s="6"/>
      <c r="I3751" s="6">
        <v>474</v>
      </c>
      <c r="J3751" s="6" t="str">
        <f>HYPERLINK("https://rmda.kulib.kyoto-u.ac.jp/item/rb00000898#?c=0&amp;m=0&amp;s=0&amp;cv=473")</f>
        <v>https://rmda.kulib.kyoto-u.ac.jp/item/rb00000898#?c=0&amp;m=0&amp;s=0&amp;cv=473</v>
      </c>
    </row>
    <row r="3752" spans="1:10" x14ac:dyDescent="0.15">
      <c r="A3752" s="6" t="s">
        <v>225</v>
      </c>
      <c r="B3752" s="6" t="s">
        <v>2799</v>
      </c>
      <c r="C3752" s="6">
        <v>631</v>
      </c>
      <c r="D3752" s="6" t="str">
        <f>HYPERLINK("https://rmda.kulib.kyoto-u.ac.jp/item/rb00008736#?c=0&amp;m=0&amp;s=0&amp;cv=630")</f>
        <v>https://rmda.kulib.kyoto-u.ac.jp/item/rb00008736#?c=0&amp;m=0&amp;s=0&amp;cv=630</v>
      </c>
      <c r="E3752" s="6"/>
      <c r="F3752" s="6"/>
      <c r="G3752" s="6"/>
      <c r="H3752" s="6"/>
      <c r="I3752" s="6">
        <v>477</v>
      </c>
      <c r="J3752" s="6" t="str">
        <f>HYPERLINK("https://rmda.kulib.kyoto-u.ac.jp/item/rb00000898#?c=0&amp;m=0&amp;s=0&amp;cv=476")</f>
        <v>https://rmda.kulib.kyoto-u.ac.jp/item/rb00000898#?c=0&amp;m=0&amp;s=0&amp;cv=476</v>
      </c>
    </row>
    <row r="3753" spans="1:10" x14ac:dyDescent="0.15">
      <c r="A3753" s="6" t="s">
        <v>225</v>
      </c>
      <c r="B3753" s="6" t="s">
        <v>2800</v>
      </c>
      <c r="C3753" s="6">
        <v>635</v>
      </c>
      <c r="D3753" s="6" t="str">
        <f>HYPERLINK("https://rmda.kulib.kyoto-u.ac.jp/item/rb00008736#?c=0&amp;m=0&amp;s=0&amp;cv=634")</f>
        <v>https://rmda.kulib.kyoto-u.ac.jp/item/rb00008736#?c=0&amp;m=0&amp;s=0&amp;cv=634</v>
      </c>
      <c r="E3753" s="6"/>
      <c r="F3753" s="6"/>
      <c r="G3753" s="6"/>
      <c r="H3753" s="6"/>
      <c r="I3753" s="6">
        <v>481</v>
      </c>
      <c r="J3753" s="6" t="str">
        <f>HYPERLINK("https://rmda.kulib.kyoto-u.ac.jp/item/rb00000898#?c=0&amp;m=0&amp;s=0&amp;cv=480")</f>
        <v>https://rmda.kulib.kyoto-u.ac.jp/item/rb00000898#?c=0&amp;m=0&amp;s=0&amp;cv=480</v>
      </c>
    </row>
    <row r="3754" spans="1:10" x14ac:dyDescent="0.15">
      <c r="A3754" s="6" t="s">
        <v>225</v>
      </c>
      <c r="B3754" s="6" t="s">
        <v>6117</v>
      </c>
      <c r="C3754" s="6">
        <v>641</v>
      </c>
      <c r="D3754" s="6" t="str">
        <f>HYPERLINK("https://rmda.kulib.kyoto-u.ac.jp/item/rb00008736#?c=0&amp;m=0&amp;s=0&amp;cv=640")</f>
        <v>https://rmda.kulib.kyoto-u.ac.jp/item/rb00008736#?c=0&amp;m=0&amp;s=0&amp;cv=640</v>
      </c>
      <c r="E3754" s="6"/>
      <c r="F3754" s="6"/>
      <c r="G3754" s="6"/>
      <c r="H3754" s="6"/>
      <c r="I3754" s="6">
        <v>487</v>
      </c>
      <c r="J3754" s="6" t="str">
        <f>HYPERLINK("https://rmda.kulib.kyoto-u.ac.jp/item/rb00000898#?c=0&amp;m=0&amp;s=0&amp;cv=486")</f>
        <v>https://rmda.kulib.kyoto-u.ac.jp/item/rb00000898#?c=0&amp;m=0&amp;s=0&amp;cv=486</v>
      </c>
    </row>
    <row r="3755" spans="1:10" x14ac:dyDescent="0.15">
      <c r="A3755" s="6" t="s">
        <v>225</v>
      </c>
      <c r="B3755" s="95" t="s">
        <v>2801</v>
      </c>
      <c r="C3755" s="6">
        <v>651</v>
      </c>
      <c r="D3755" s="6" t="str">
        <f>HYPERLINK("https://rmda.kulib.kyoto-u.ac.jp/item/rb00008736#?c=0&amp;m=0&amp;s=0&amp;cv=650")</f>
        <v>https://rmda.kulib.kyoto-u.ac.jp/item/rb00008736#?c=0&amp;m=0&amp;s=0&amp;cv=650</v>
      </c>
      <c r="E3755" s="6"/>
      <c r="F3755" s="6"/>
      <c r="G3755" s="6"/>
      <c r="H3755" s="6"/>
      <c r="I3755" s="6">
        <v>498</v>
      </c>
      <c r="J3755" s="6" t="str">
        <f>HYPERLINK("https://rmda.kulib.kyoto-u.ac.jp/item/rb00000898#?c=0&amp;m=0&amp;s=0&amp;cv=497")</f>
        <v>https://rmda.kulib.kyoto-u.ac.jp/item/rb00000898#?c=0&amp;m=0&amp;s=0&amp;cv=497</v>
      </c>
    </row>
    <row r="3756" spans="1:10" x14ac:dyDescent="0.15">
      <c r="A3756" s="6" t="s">
        <v>225</v>
      </c>
      <c r="B3756" s="72" t="s">
        <v>2802</v>
      </c>
      <c r="C3756" s="6">
        <v>651</v>
      </c>
      <c r="D3756" s="6" t="str">
        <f>HYPERLINK("https://rmda.kulib.kyoto-u.ac.jp/item/rb00008736#?c=0&amp;m=0&amp;s=0&amp;cv=650")</f>
        <v>https://rmda.kulib.kyoto-u.ac.jp/item/rb00008736#?c=0&amp;m=0&amp;s=0&amp;cv=650</v>
      </c>
      <c r="E3756" s="6"/>
      <c r="F3756" s="6"/>
      <c r="G3756" s="6"/>
      <c r="H3756" s="6"/>
      <c r="I3756" s="6">
        <v>498</v>
      </c>
      <c r="J3756" s="6" t="str">
        <f>HYPERLINK("https://rmda.kulib.kyoto-u.ac.jp/item/rb00000898#?c=0&amp;m=0&amp;s=0&amp;cv=497")</f>
        <v>https://rmda.kulib.kyoto-u.ac.jp/item/rb00000898#?c=0&amp;m=0&amp;s=0&amp;cv=497</v>
      </c>
    </row>
    <row r="3757" spans="1:10" x14ac:dyDescent="0.15">
      <c r="A3757" s="6" t="s">
        <v>225</v>
      </c>
      <c r="B3757" s="6" t="s">
        <v>6118</v>
      </c>
      <c r="C3757" s="6">
        <v>651</v>
      </c>
      <c r="D3757" s="6" t="str">
        <f>HYPERLINK("https://rmda.kulib.kyoto-u.ac.jp/item/rb00008736#?c=0&amp;m=0&amp;s=0&amp;cv=650")</f>
        <v>https://rmda.kulib.kyoto-u.ac.jp/item/rb00008736#?c=0&amp;m=0&amp;s=0&amp;cv=650</v>
      </c>
      <c r="E3757" s="6"/>
      <c r="F3757" s="6"/>
      <c r="G3757" s="6"/>
      <c r="H3757" s="6"/>
      <c r="I3757" s="6">
        <v>498</v>
      </c>
      <c r="J3757" s="6" t="str">
        <f>HYPERLINK("https://rmda.kulib.kyoto-u.ac.jp/item/rb00000898#?c=0&amp;m=0&amp;s=0&amp;cv=497")</f>
        <v>https://rmda.kulib.kyoto-u.ac.jp/item/rb00000898#?c=0&amp;m=0&amp;s=0&amp;cv=497</v>
      </c>
    </row>
    <row r="3758" spans="1:10" x14ac:dyDescent="0.15">
      <c r="A3758" s="6" t="s">
        <v>225</v>
      </c>
      <c r="B3758" s="6" t="s">
        <v>6119</v>
      </c>
      <c r="C3758" s="6">
        <v>655</v>
      </c>
      <c r="D3758" s="6" t="str">
        <f>HYPERLINK("https://rmda.kulib.kyoto-u.ac.jp/item/rb00008736#?c=0&amp;m=0&amp;s=0&amp;cv=654")</f>
        <v>https://rmda.kulib.kyoto-u.ac.jp/item/rb00008736#?c=0&amp;m=0&amp;s=0&amp;cv=654</v>
      </c>
      <c r="E3758" s="6"/>
      <c r="F3758" s="6"/>
      <c r="G3758" s="6"/>
      <c r="H3758" s="6"/>
      <c r="I3758" s="6">
        <v>502</v>
      </c>
      <c r="J3758" s="6" t="str">
        <f>HYPERLINK("https://rmda.kulib.kyoto-u.ac.jp/item/rb00000898#?c=0&amp;m=0&amp;s=0&amp;cv=501")</f>
        <v>https://rmda.kulib.kyoto-u.ac.jp/item/rb00000898#?c=0&amp;m=0&amp;s=0&amp;cv=501</v>
      </c>
    </row>
    <row r="3759" spans="1:10" x14ac:dyDescent="0.15">
      <c r="A3759" s="6" t="s">
        <v>225</v>
      </c>
      <c r="B3759" s="6" t="s">
        <v>6120</v>
      </c>
      <c r="C3759" s="6">
        <v>655</v>
      </c>
      <c r="D3759" s="6" t="str">
        <f>HYPERLINK("https://rmda.kulib.kyoto-u.ac.jp/item/rb00008736#?c=0&amp;m=0&amp;s=0&amp;cv=654")</f>
        <v>https://rmda.kulib.kyoto-u.ac.jp/item/rb00008736#?c=0&amp;m=0&amp;s=0&amp;cv=654</v>
      </c>
      <c r="E3759" s="6"/>
      <c r="F3759" s="6"/>
      <c r="G3759" s="6"/>
      <c r="H3759" s="6"/>
      <c r="I3759" s="6">
        <v>502</v>
      </c>
      <c r="J3759" s="6" t="str">
        <f>HYPERLINK("https://rmda.kulib.kyoto-u.ac.jp/item/rb00000898#?c=0&amp;m=0&amp;s=0&amp;cv=501")</f>
        <v>https://rmda.kulib.kyoto-u.ac.jp/item/rb00000898#?c=0&amp;m=0&amp;s=0&amp;cv=501</v>
      </c>
    </row>
    <row r="3760" spans="1:10" x14ac:dyDescent="0.15">
      <c r="A3760" s="6" t="s">
        <v>225</v>
      </c>
      <c r="B3760" s="6" t="s">
        <v>6121</v>
      </c>
      <c r="C3760" s="6">
        <v>657</v>
      </c>
      <c r="D3760" s="6" t="str">
        <f>HYPERLINK("https://rmda.kulib.kyoto-u.ac.jp/item/rb00008736#?c=0&amp;m=0&amp;s=0&amp;cv=656")</f>
        <v>https://rmda.kulib.kyoto-u.ac.jp/item/rb00008736#?c=0&amp;m=0&amp;s=0&amp;cv=656</v>
      </c>
      <c r="E3760" s="6"/>
      <c r="F3760" s="6"/>
      <c r="G3760" s="6"/>
      <c r="H3760" s="6"/>
      <c r="I3760" s="6">
        <v>504</v>
      </c>
      <c r="J3760" s="6" t="str">
        <f>HYPERLINK("https://rmda.kulib.kyoto-u.ac.jp/item/rb00000898#?c=0&amp;m=0&amp;s=0&amp;cv=503")</f>
        <v>https://rmda.kulib.kyoto-u.ac.jp/item/rb00000898#?c=0&amp;m=0&amp;s=0&amp;cv=503</v>
      </c>
    </row>
    <row r="3761" spans="1:10" x14ac:dyDescent="0.15">
      <c r="A3761" s="6" t="s">
        <v>225</v>
      </c>
      <c r="B3761" s="6" t="s">
        <v>6122</v>
      </c>
      <c r="C3761" s="6">
        <v>658</v>
      </c>
      <c r="D3761" s="6" t="str">
        <f>HYPERLINK("https://rmda.kulib.kyoto-u.ac.jp/item/rb00008736#?c=0&amp;m=0&amp;s=0&amp;cv=657")</f>
        <v>https://rmda.kulib.kyoto-u.ac.jp/item/rb00008736#?c=0&amp;m=0&amp;s=0&amp;cv=657</v>
      </c>
      <c r="E3761" s="6"/>
      <c r="F3761" s="6"/>
      <c r="G3761" s="6"/>
      <c r="H3761" s="6"/>
      <c r="I3761" s="6">
        <v>505</v>
      </c>
      <c r="J3761" s="6" t="str">
        <f>HYPERLINK("https://rmda.kulib.kyoto-u.ac.jp/item/rb00000898#?c=0&amp;m=0&amp;s=0&amp;cv=504")</f>
        <v>https://rmda.kulib.kyoto-u.ac.jp/item/rb00000898#?c=0&amp;m=0&amp;s=0&amp;cv=504</v>
      </c>
    </row>
    <row r="3762" spans="1:10" x14ac:dyDescent="0.15">
      <c r="A3762" s="6" t="s">
        <v>225</v>
      </c>
      <c r="B3762" s="6" t="s">
        <v>6123</v>
      </c>
      <c r="C3762" s="6">
        <v>659</v>
      </c>
      <c r="D3762" s="6" t="str">
        <f>HYPERLINK("https://rmda.kulib.kyoto-u.ac.jp/item/rb00008736#?c=0&amp;m=0&amp;s=0&amp;cv=658")</f>
        <v>https://rmda.kulib.kyoto-u.ac.jp/item/rb00008736#?c=0&amp;m=0&amp;s=0&amp;cv=658</v>
      </c>
      <c r="E3762" s="6"/>
      <c r="F3762" s="6"/>
      <c r="G3762" s="6"/>
      <c r="H3762" s="6"/>
      <c r="I3762" s="6">
        <v>506</v>
      </c>
      <c r="J3762" s="6" t="str">
        <f>HYPERLINK("https://rmda.kulib.kyoto-u.ac.jp/item/rb00000898#?c=0&amp;m=0&amp;s=0&amp;cv=505")</f>
        <v>https://rmda.kulib.kyoto-u.ac.jp/item/rb00000898#?c=0&amp;m=0&amp;s=0&amp;cv=505</v>
      </c>
    </row>
    <row r="3763" spans="1:10" x14ac:dyDescent="0.15">
      <c r="A3763" s="6" t="s">
        <v>225</v>
      </c>
      <c r="B3763" s="72" t="s">
        <v>3689</v>
      </c>
      <c r="C3763" s="6">
        <v>660</v>
      </c>
      <c r="D3763" s="6" t="str">
        <f>HYPERLINK("https://rmda.kulib.kyoto-u.ac.jp/item/rb00008736#?c=0&amp;m=0&amp;s=0&amp;cv=659")</f>
        <v>https://rmda.kulib.kyoto-u.ac.jp/item/rb00008736#?c=0&amp;m=0&amp;s=0&amp;cv=659</v>
      </c>
      <c r="E3763" s="6"/>
      <c r="F3763" s="6"/>
      <c r="G3763" s="6"/>
      <c r="H3763" s="6"/>
      <c r="I3763" s="6">
        <v>507</v>
      </c>
      <c r="J3763" s="6" t="str">
        <f>HYPERLINK("https://rmda.kulib.kyoto-u.ac.jp/item/rb00000898#?c=0&amp;m=0&amp;s=0&amp;cv=506")</f>
        <v>https://rmda.kulib.kyoto-u.ac.jp/item/rb00000898#?c=0&amp;m=0&amp;s=0&amp;cv=506</v>
      </c>
    </row>
    <row r="3764" spans="1:10" x14ac:dyDescent="0.15">
      <c r="A3764" s="6" t="s">
        <v>225</v>
      </c>
      <c r="B3764" s="6" t="s">
        <v>6124</v>
      </c>
      <c r="C3764" s="6">
        <v>660</v>
      </c>
      <c r="D3764" s="6" t="str">
        <f>HYPERLINK("https://rmda.kulib.kyoto-u.ac.jp/item/rb00008736#?c=0&amp;m=0&amp;s=0&amp;cv=659")</f>
        <v>https://rmda.kulib.kyoto-u.ac.jp/item/rb00008736#?c=0&amp;m=0&amp;s=0&amp;cv=659</v>
      </c>
      <c r="E3764" s="6"/>
      <c r="F3764" s="6"/>
      <c r="G3764" s="6"/>
      <c r="H3764" s="6"/>
      <c r="I3764" s="6">
        <v>507</v>
      </c>
      <c r="J3764" s="6" t="str">
        <f>HYPERLINK("https://rmda.kulib.kyoto-u.ac.jp/item/rb00000898#?c=0&amp;m=0&amp;s=0&amp;cv=506")</f>
        <v>https://rmda.kulib.kyoto-u.ac.jp/item/rb00000898#?c=0&amp;m=0&amp;s=0&amp;cv=506</v>
      </c>
    </row>
    <row r="3765" spans="1:10" x14ac:dyDescent="0.15">
      <c r="A3765" s="6" t="s">
        <v>225</v>
      </c>
      <c r="B3765" s="6" t="s">
        <v>6125</v>
      </c>
      <c r="C3765" s="6">
        <v>661</v>
      </c>
      <c r="D3765" s="6" t="str">
        <f>HYPERLINK("https://rmda.kulib.kyoto-u.ac.jp/item/rb00008736#?c=0&amp;m=0&amp;s=0&amp;cv=660")</f>
        <v>https://rmda.kulib.kyoto-u.ac.jp/item/rb00008736#?c=0&amp;m=0&amp;s=0&amp;cv=660</v>
      </c>
      <c r="E3765" s="6"/>
      <c r="F3765" s="6"/>
      <c r="G3765" s="6"/>
      <c r="H3765" s="6"/>
      <c r="I3765" s="6">
        <v>508</v>
      </c>
      <c r="J3765" s="6" t="str">
        <f>HYPERLINK("https://rmda.kulib.kyoto-u.ac.jp/item/rb00000898#?c=0&amp;m=0&amp;s=0&amp;cv=507")</f>
        <v>https://rmda.kulib.kyoto-u.ac.jp/item/rb00000898#?c=0&amp;m=0&amp;s=0&amp;cv=507</v>
      </c>
    </row>
    <row r="3766" spans="1:10" x14ac:dyDescent="0.15">
      <c r="A3766" s="6" t="s">
        <v>225</v>
      </c>
      <c r="B3766" s="6" t="s">
        <v>6126</v>
      </c>
      <c r="C3766" s="6">
        <v>663</v>
      </c>
      <c r="D3766" s="6" t="str">
        <f>HYPERLINK("https://rmda.kulib.kyoto-u.ac.jp/item/rb00008736#?c=0&amp;m=0&amp;s=0&amp;cv=662")</f>
        <v>https://rmda.kulib.kyoto-u.ac.jp/item/rb00008736#?c=0&amp;m=0&amp;s=0&amp;cv=662</v>
      </c>
      <c r="E3766" s="6"/>
      <c r="F3766" s="6"/>
      <c r="G3766" s="6"/>
      <c r="H3766" s="6"/>
      <c r="I3766" s="6">
        <v>510</v>
      </c>
      <c r="J3766" s="6" t="str">
        <f>HYPERLINK("https://rmda.kulib.kyoto-u.ac.jp/item/rb00000898#?c=0&amp;m=0&amp;s=0&amp;cv=509")</f>
        <v>https://rmda.kulib.kyoto-u.ac.jp/item/rb00000898#?c=0&amp;m=0&amp;s=0&amp;cv=509</v>
      </c>
    </row>
    <row r="3767" spans="1:10" x14ac:dyDescent="0.15">
      <c r="A3767" s="6" t="s">
        <v>225</v>
      </c>
      <c r="B3767" s="6" t="s">
        <v>6127</v>
      </c>
      <c r="C3767" s="6">
        <v>665</v>
      </c>
      <c r="D3767" s="6" t="str">
        <f>HYPERLINK("https://rmda.kulib.kyoto-u.ac.jp/item/rb00008736#?c=0&amp;m=0&amp;s=0&amp;cv=664")</f>
        <v>https://rmda.kulib.kyoto-u.ac.jp/item/rb00008736#?c=0&amp;m=0&amp;s=0&amp;cv=664</v>
      </c>
      <c r="E3767" s="6"/>
      <c r="F3767" s="6"/>
      <c r="G3767" s="6"/>
      <c r="H3767" s="6"/>
      <c r="I3767" s="6">
        <v>512</v>
      </c>
      <c r="J3767" s="6" t="str">
        <f>HYPERLINK("https://rmda.kulib.kyoto-u.ac.jp/item/rb00000898#?c=0&amp;m=0&amp;s=0&amp;cv=511")</f>
        <v>https://rmda.kulib.kyoto-u.ac.jp/item/rb00000898#?c=0&amp;m=0&amp;s=0&amp;cv=511</v>
      </c>
    </row>
    <row r="3768" spans="1:10" x14ac:dyDescent="0.15">
      <c r="A3768" s="6" t="s">
        <v>225</v>
      </c>
      <c r="B3768" s="6" t="s">
        <v>3820</v>
      </c>
      <c r="C3768" s="6">
        <v>667</v>
      </c>
      <c r="D3768" s="6" t="str">
        <f>HYPERLINK("https://rmda.kulib.kyoto-u.ac.jp/item/rb00008736#?c=0&amp;m=0&amp;s=0&amp;cv=666")</f>
        <v>https://rmda.kulib.kyoto-u.ac.jp/item/rb00008736#?c=0&amp;m=0&amp;s=0&amp;cv=666</v>
      </c>
      <c r="E3768" s="6"/>
      <c r="F3768" s="6"/>
      <c r="G3768" s="6"/>
      <c r="H3768" s="6"/>
      <c r="I3768" s="6">
        <v>514</v>
      </c>
      <c r="J3768" s="6" t="str">
        <f>HYPERLINK("https://rmda.kulib.kyoto-u.ac.jp/item/rb00000898#?c=0&amp;m=0&amp;s=0&amp;cv=513")</f>
        <v>https://rmda.kulib.kyoto-u.ac.jp/item/rb00000898#?c=0&amp;m=0&amp;s=0&amp;cv=513</v>
      </c>
    </row>
    <row r="3769" spans="1:10" x14ac:dyDescent="0.15">
      <c r="A3769" s="6" t="s">
        <v>225</v>
      </c>
      <c r="B3769" s="6" t="s">
        <v>6128</v>
      </c>
      <c r="C3769" s="6">
        <v>668</v>
      </c>
      <c r="D3769" s="6" t="str">
        <f>HYPERLINK("https://rmda.kulib.kyoto-u.ac.jp/item/rb00008736#?c=0&amp;m=0&amp;s=0&amp;cv=667")</f>
        <v>https://rmda.kulib.kyoto-u.ac.jp/item/rb00008736#?c=0&amp;m=0&amp;s=0&amp;cv=667</v>
      </c>
      <c r="E3769" s="6"/>
      <c r="F3769" s="6"/>
      <c r="G3769" s="6"/>
      <c r="H3769" s="6"/>
      <c r="I3769" s="6">
        <v>515</v>
      </c>
      <c r="J3769" s="6" t="str">
        <f>HYPERLINK("https://rmda.kulib.kyoto-u.ac.jp/item/rb00000898#?c=0&amp;m=0&amp;s=0&amp;cv=514")</f>
        <v>https://rmda.kulib.kyoto-u.ac.jp/item/rb00000898#?c=0&amp;m=0&amp;s=0&amp;cv=514</v>
      </c>
    </row>
    <row r="3770" spans="1:10" x14ac:dyDescent="0.15">
      <c r="A3770" s="6" t="s">
        <v>225</v>
      </c>
      <c r="B3770" s="6" t="s">
        <v>6129</v>
      </c>
      <c r="C3770" s="6">
        <v>669</v>
      </c>
      <c r="D3770" s="6" t="str">
        <f>HYPERLINK("https://rmda.kulib.kyoto-u.ac.jp/item/rb00008736#?c=0&amp;m=0&amp;s=0&amp;cv=668")</f>
        <v>https://rmda.kulib.kyoto-u.ac.jp/item/rb00008736#?c=0&amp;m=0&amp;s=0&amp;cv=668</v>
      </c>
      <c r="E3770" s="6"/>
      <c r="F3770" s="6"/>
      <c r="G3770" s="6"/>
      <c r="H3770" s="6"/>
      <c r="I3770" s="6">
        <v>516</v>
      </c>
      <c r="J3770" s="6" t="str">
        <f>HYPERLINK("https://rmda.kulib.kyoto-u.ac.jp/item/rb00000898#?c=0&amp;m=0&amp;s=0&amp;cv=515")</f>
        <v>https://rmda.kulib.kyoto-u.ac.jp/item/rb00000898#?c=0&amp;m=0&amp;s=0&amp;cv=515</v>
      </c>
    </row>
    <row r="3771" spans="1:10" x14ac:dyDescent="0.15">
      <c r="A3771" s="6" t="s">
        <v>225</v>
      </c>
      <c r="B3771" s="6" t="s">
        <v>3821</v>
      </c>
      <c r="C3771" s="6">
        <v>672</v>
      </c>
      <c r="D3771" s="6" t="str">
        <f>HYPERLINK("https://rmda.kulib.kyoto-u.ac.jp/item/rb00008736#?c=0&amp;m=0&amp;s=0&amp;cv=671")</f>
        <v>https://rmda.kulib.kyoto-u.ac.jp/item/rb00008736#?c=0&amp;m=0&amp;s=0&amp;cv=671</v>
      </c>
      <c r="E3771" s="6"/>
      <c r="F3771" s="6"/>
      <c r="G3771" s="6"/>
      <c r="H3771" s="6"/>
      <c r="I3771" s="6">
        <v>519</v>
      </c>
      <c r="J3771" s="6" t="str">
        <f>HYPERLINK("https://rmda.kulib.kyoto-u.ac.jp/item/rb00000898#?c=0&amp;m=0&amp;s=0&amp;cv=518")</f>
        <v>https://rmda.kulib.kyoto-u.ac.jp/item/rb00000898#?c=0&amp;m=0&amp;s=0&amp;cv=518</v>
      </c>
    </row>
    <row r="3772" spans="1:10" x14ac:dyDescent="0.15">
      <c r="A3772" s="6" t="s">
        <v>225</v>
      </c>
      <c r="B3772" s="72" t="s">
        <v>3692</v>
      </c>
      <c r="C3772" s="6">
        <v>674</v>
      </c>
      <c r="D3772" s="6" t="str">
        <f>HYPERLINK("https://rmda.kulib.kyoto-u.ac.jp/item/rb00008736#?c=0&amp;m=0&amp;s=0&amp;cv=673")</f>
        <v>https://rmda.kulib.kyoto-u.ac.jp/item/rb00008736#?c=0&amp;m=0&amp;s=0&amp;cv=673</v>
      </c>
      <c r="E3772" s="6"/>
      <c r="F3772" s="6"/>
      <c r="G3772" s="6"/>
      <c r="H3772" s="6"/>
      <c r="I3772" s="6">
        <v>521</v>
      </c>
      <c r="J3772" s="6" t="str">
        <f>HYPERLINK("https://rmda.kulib.kyoto-u.ac.jp/item/rb00000898#?c=0&amp;m=0&amp;s=0&amp;cv=520")</f>
        <v>https://rmda.kulib.kyoto-u.ac.jp/item/rb00000898#?c=0&amp;m=0&amp;s=0&amp;cv=520</v>
      </c>
    </row>
    <row r="3773" spans="1:10" x14ac:dyDescent="0.15">
      <c r="A3773" s="6" t="s">
        <v>225</v>
      </c>
      <c r="B3773" s="72" t="s">
        <v>3722</v>
      </c>
      <c r="C3773" s="6">
        <v>674</v>
      </c>
      <c r="D3773" s="6" t="str">
        <f>HYPERLINK("https://rmda.kulib.kyoto-u.ac.jp/item/rb00008736#?c=0&amp;m=0&amp;s=0&amp;cv=673")</f>
        <v>https://rmda.kulib.kyoto-u.ac.jp/item/rb00008736#?c=0&amp;m=0&amp;s=0&amp;cv=673</v>
      </c>
      <c r="E3773" s="6"/>
      <c r="F3773" s="6"/>
      <c r="G3773" s="6"/>
      <c r="H3773" s="6"/>
      <c r="I3773" s="6">
        <v>521</v>
      </c>
      <c r="J3773" s="6" t="str">
        <f>HYPERLINK("https://rmda.kulib.kyoto-u.ac.jp/item/rb00000898#?c=0&amp;m=0&amp;s=0&amp;cv=520")</f>
        <v>https://rmda.kulib.kyoto-u.ac.jp/item/rb00000898#?c=0&amp;m=0&amp;s=0&amp;cv=520</v>
      </c>
    </row>
    <row r="3774" spans="1:10" x14ac:dyDescent="0.15">
      <c r="A3774" s="6" t="s">
        <v>225</v>
      </c>
      <c r="B3774" s="6" t="s">
        <v>6130</v>
      </c>
      <c r="C3774" s="6">
        <v>674</v>
      </c>
      <c r="D3774" s="6" t="str">
        <f>HYPERLINK("https://rmda.kulib.kyoto-u.ac.jp/item/rb00008736#?c=0&amp;m=0&amp;s=0&amp;cv=673")</f>
        <v>https://rmda.kulib.kyoto-u.ac.jp/item/rb00008736#?c=0&amp;m=0&amp;s=0&amp;cv=673</v>
      </c>
      <c r="E3774" s="6"/>
      <c r="F3774" s="6"/>
      <c r="G3774" s="6"/>
      <c r="H3774" s="6"/>
      <c r="I3774" s="6">
        <v>521</v>
      </c>
      <c r="J3774" s="6" t="str">
        <f>HYPERLINK("https://rmda.kulib.kyoto-u.ac.jp/item/rb00000898#?c=0&amp;m=0&amp;s=0&amp;cv=520")</f>
        <v>https://rmda.kulib.kyoto-u.ac.jp/item/rb00000898#?c=0&amp;m=0&amp;s=0&amp;cv=520</v>
      </c>
    </row>
    <row r="3775" spans="1:10" x14ac:dyDescent="0.15">
      <c r="A3775" s="6" t="s">
        <v>225</v>
      </c>
      <c r="B3775" s="6" t="s">
        <v>3822</v>
      </c>
      <c r="C3775" s="6">
        <v>675</v>
      </c>
      <c r="D3775" s="6" t="str">
        <f>HYPERLINK("https://rmda.kulib.kyoto-u.ac.jp/item/rb00008736#?c=0&amp;m=0&amp;s=0&amp;cv=674")</f>
        <v>https://rmda.kulib.kyoto-u.ac.jp/item/rb00008736#?c=0&amp;m=0&amp;s=0&amp;cv=674</v>
      </c>
      <c r="E3775" s="6"/>
      <c r="F3775" s="6"/>
      <c r="G3775" s="6"/>
      <c r="H3775" s="6"/>
      <c r="I3775" s="6">
        <v>522</v>
      </c>
      <c r="J3775" s="6" t="str">
        <f>HYPERLINK("https://rmda.kulib.kyoto-u.ac.jp/item/rb00000898#?c=0&amp;m=0&amp;s=0&amp;cv=521")</f>
        <v>https://rmda.kulib.kyoto-u.ac.jp/item/rb00000898#?c=0&amp;m=0&amp;s=0&amp;cv=521</v>
      </c>
    </row>
    <row r="3776" spans="1:10" x14ac:dyDescent="0.15">
      <c r="A3776" s="6" t="s">
        <v>225</v>
      </c>
      <c r="B3776" s="6" t="s">
        <v>3823</v>
      </c>
      <c r="C3776" s="6">
        <v>677</v>
      </c>
      <c r="D3776" s="6" t="str">
        <f>HYPERLINK("https://rmda.kulib.kyoto-u.ac.jp/item/rb00008736#?c=0&amp;m=0&amp;s=0&amp;cv=676")</f>
        <v>https://rmda.kulib.kyoto-u.ac.jp/item/rb00008736#?c=0&amp;m=0&amp;s=0&amp;cv=676</v>
      </c>
      <c r="E3776" s="6"/>
      <c r="F3776" s="6"/>
      <c r="G3776" s="6"/>
      <c r="H3776" s="6"/>
      <c r="I3776" s="6">
        <v>524</v>
      </c>
      <c r="J3776" s="6" t="str">
        <f>HYPERLINK("https://rmda.kulib.kyoto-u.ac.jp/item/rb00000898#?c=0&amp;m=0&amp;s=0&amp;cv=523")</f>
        <v>https://rmda.kulib.kyoto-u.ac.jp/item/rb00000898#?c=0&amp;m=0&amp;s=0&amp;cv=523</v>
      </c>
    </row>
    <row r="3777" spans="1:10" x14ac:dyDescent="0.15">
      <c r="A3777" s="6" t="s">
        <v>225</v>
      </c>
      <c r="B3777" s="6" t="s">
        <v>3824</v>
      </c>
      <c r="C3777" s="6">
        <v>678</v>
      </c>
      <c r="D3777" s="6" t="str">
        <f>HYPERLINK("https://rmda.kulib.kyoto-u.ac.jp/item/rb00008736#?c=0&amp;m=0&amp;s=0&amp;cv=677")</f>
        <v>https://rmda.kulib.kyoto-u.ac.jp/item/rb00008736#?c=0&amp;m=0&amp;s=0&amp;cv=677</v>
      </c>
      <c r="E3777" s="6"/>
      <c r="F3777" s="6"/>
      <c r="G3777" s="6"/>
      <c r="H3777" s="6"/>
      <c r="I3777" s="6">
        <v>525</v>
      </c>
      <c r="J3777" s="6" t="str">
        <f>HYPERLINK("https://rmda.kulib.kyoto-u.ac.jp/item/rb00000898#?c=0&amp;m=0&amp;s=0&amp;cv=524")</f>
        <v>https://rmda.kulib.kyoto-u.ac.jp/item/rb00000898#?c=0&amp;m=0&amp;s=0&amp;cv=524</v>
      </c>
    </row>
    <row r="3778" spans="1:10" x14ac:dyDescent="0.15">
      <c r="A3778" s="6" t="s">
        <v>225</v>
      </c>
      <c r="B3778" s="6" t="s">
        <v>3825</v>
      </c>
      <c r="C3778" s="6">
        <v>678</v>
      </c>
      <c r="D3778" s="6" t="str">
        <f>HYPERLINK("https://rmda.kulib.kyoto-u.ac.jp/item/rb00008736#?c=0&amp;m=0&amp;s=0&amp;cv=677")</f>
        <v>https://rmda.kulib.kyoto-u.ac.jp/item/rb00008736#?c=0&amp;m=0&amp;s=0&amp;cv=677</v>
      </c>
      <c r="E3778" s="6"/>
      <c r="F3778" s="6"/>
      <c r="G3778" s="6"/>
      <c r="H3778" s="6"/>
      <c r="I3778" s="6">
        <v>525</v>
      </c>
      <c r="J3778" s="6" t="str">
        <f>HYPERLINK("https://rmda.kulib.kyoto-u.ac.jp/item/rb00000898#?c=0&amp;m=0&amp;s=0&amp;cv=524")</f>
        <v>https://rmda.kulib.kyoto-u.ac.jp/item/rb00000898#?c=0&amp;m=0&amp;s=0&amp;cv=524</v>
      </c>
    </row>
    <row r="3779" spans="1:10" x14ac:dyDescent="0.15">
      <c r="A3779" s="6" t="s">
        <v>225</v>
      </c>
      <c r="B3779" s="6" t="s">
        <v>3826</v>
      </c>
      <c r="C3779" s="6">
        <v>683</v>
      </c>
      <c r="D3779" s="6" t="str">
        <f>HYPERLINK("https://rmda.kulib.kyoto-u.ac.jp/item/rb00008736#?c=0&amp;m=0&amp;s=0&amp;cv=682")</f>
        <v>https://rmda.kulib.kyoto-u.ac.jp/item/rb00008736#?c=0&amp;m=0&amp;s=0&amp;cv=682</v>
      </c>
      <c r="E3779" s="6"/>
      <c r="F3779" s="6"/>
      <c r="G3779" s="6"/>
      <c r="H3779" s="6"/>
      <c r="I3779" s="6">
        <v>530</v>
      </c>
      <c r="J3779" s="6" t="str">
        <f>HYPERLINK("https://rmda.kulib.kyoto-u.ac.jp/item/rb00000898#?c=0&amp;m=0&amp;s=0&amp;cv=529")</f>
        <v>https://rmda.kulib.kyoto-u.ac.jp/item/rb00000898#?c=0&amp;m=0&amp;s=0&amp;cv=529</v>
      </c>
    </row>
    <row r="3780" spans="1:10" x14ac:dyDescent="0.15">
      <c r="A3780" s="6" t="s">
        <v>225</v>
      </c>
      <c r="B3780" s="6" t="s">
        <v>3827</v>
      </c>
      <c r="C3780" s="6">
        <v>685</v>
      </c>
      <c r="D3780" s="6" t="str">
        <f>HYPERLINK("https://rmda.kulib.kyoto-u.ac.jp/item/rb00008736#?c=0&amp;m=0&amp;s=0&amp;cv=684")</f>
        <v>https://rmda.kulib.kyoto-u.ac.jp/item/rb00008736#?c=0&amp;m=0&amp;s=0&amp;cv=684</v>
      </c>
      <c r="E3780" s="6"/>
      <c r="F3780" s="6"/>
      <c r="G3780" s="6"/>
      <c r="H3780" s="6"/>
      <c r="I3780" s="6">
        <v>532</v>
      </c>
      <c r="J3780" s="6" t="str">
        <f>HYPERLINK("https://rmda.kulib.kyoto-u.ac.jp/item/rb00000898#?c=0&amp;m=0&amp;s=0&amp;cv=531")</f>
        <v>https://rmda.kulib.kyoto-u.ac.jp/item/rb00000898#?c=0&amp;m=0&amp;s=0&amp;cv=531</v>
      </c>
    </row>
    <row r="3781" spans="1:10" x14ac:dyDescent="0.15">
      <c r="A3781" s="6" t="s">
        <v>225</v>
      </c>
      <c r="B3781" s="6" t="s">
        <v>3828</v>
      </c>
      <c r="C3781" s="6">
        <v>686</v>
      </c>
      <c r="D3781" s="6" t="str">
        <f>HYPERLINK("https://rmda.kulib.kyoto-u.ac.jp/item/rb00008736#?c=0&amp;m=0&amp;s=0&amp;cv=685")</f>
        <v>https://rmda.kulib.kyoto-u.ac.jp/item/rb00008736#?c=0&amp;m=0&amp;s=0&amp;cv=685</v>
      </c>
      <c r="E3781" s="6"/>
      <c r="F3781" s="6"/>
      <c r="G3781" s="6"/>
      <c r="H3781" s="6"/>
      <c r="I3781" s="6">
        <v>533</v>
      </c>
      <c r="J3781" s="6" t="str">
        <f>HYPERLINK("https://rmda.kulib.kyoto-u.ac.jp/item/rb00000898#?c=0&amp;m=0&amp;s=0&amp;cv=532")</f>
        <v>https://rmda.kulib.kyoto-u.ac.jp/item/rb00000898#?c=0&amp;m=0&amp;s=0&amp;cv=532</v>
      </c>
    </row>
    <row r="3782" spans="1:10" x14ac:dyDescent="0.15">
      <c r="A3782" s="6" t="s">
        <v>225</v>
      </c>
      <c r="B3782" s="6" t="s">
        <v>3829</v>
      </c>
      <c r="C3782" s="6">
        <v>688</v>
      </c>
      <c r="D3782" s="6" t="str">
        <f>HYPERLINK("https://rmda.kulib.kyoto-u.ac.jp/item/rb00008736#?c=0&amp;m=0&amp;s=0&amp;cv=687")</f>
        <v>https://rmda.kulib.kyoto-u.ac.jp/item/rb00008736#?c=0&amp;m=0&amp;s=0&amp;cv=687</v>
      </c>
      <c r="E3782" s="6"/>
      <c r="F3782" s="6"/>
      <c r="G3782" s="6"/>
      <c r="H3782" s="6"/>
      <c r="I3782" s="6">
        <v>535</v>
      </c>
      <c r="J3782" s="6" t="str">
        <f>HYPERLINK("https://rmda.kulib.kyoto-u.ac.jp/item/rb00000898#?c=0&amp;m=0&amp;s=0&amp;cv=534")</f>
        <v>https://rmda.kulib.kyoto-u.ac.jp/item/rb00000898#?c=0&amp;m=0&amp;s=0&amp;cv=534</v>
      </c>
    </row>
    <row r="3783" spans="1:10" x14ac:dyDescent="0.15">
      <c r="A3783" s="6" t="s">
        <v>225</v>
      </c>
      <c r="B3783" s="6" t="s">
        <v>3830</v>
      </c>
      <c r="C3783" s="6">
        <v>689</v>
      </c>
      <c r="D3783" s="6" t="str">
        <f>HYPERLINK("https://rmda.kulib.kyoto-u.ac.jp/item/rb00008736#?c=0&amp;m=0&amp;s=0&amp;cv=688")</f>
        <v>https://rmda.kulib.kyoto-u.ac.jp/item/rb00008736#?c=0&amp;m=0&amp;s=0&amp;cv=688</v>
      </c>
      <c r="E3783" s="6"/>
      <c r="F3783" s="6"/>
      <c r="G3783" s="6"/>
      <c r="H3783" s="6"/>
      <c r="I3783" s="6">
        <v>536</v>
      </c>
      <c r="J3783" s="6" t="str">
        <f>HYPERLINK("https://rmda.kulib.kyoto-u.ac.jp/item/rb00000898#?c=0&amp;m=0&amp;s=0&amp;cv=535")</f>
        <v>https://rmda.kulib.kyoto-u.ac.jp/item/rb00000898#?c=0&amp;m=0&amp;s=0&amp;cv=535</v>
      </c>
    </row>
    <row r="3784" spans="1:10" x14ac:dyDescent="0.15">
      <c r="A3784" s="6" t="s">
        <v>225</v>
      </c>
      <c r="B3784" s="6" t="s">
        <v>3831</v>
      </c>
      <c r="C3784" s="6">
        <v>692</v>
      </c>
      <c r="D3784" s="6" t="str">
        <f>HYPERLINK("https://rmda.kulib.kyoto-u.ac.jp/item/rb00008736#?c=0&amp;m=0&amp;s=0&amp;cv=691")</f>
        <v>https://rmda.kulib.kyoto-u.ac.jp/item/rb00008736#?c=0&amp;m=0&amp;s=0&amp;cv=691</v>
      </c>
      <c r="E3784" s="6"/>
      <c r="F3784" s="6"/>
      <c r="G3784" s="6"/>
      <c r="H3784" s="6"/>
      <c r="I3784" s="6">
        <v>539</v>
      </c>
      <c r="J3784" s="6" t="str">
        <f>HYPERLINK("https://rmda.kulib.kyoto-u.ac.jp/item/rb00000898#?c=0&amp;m=0&amp;s=0&amp;cv=538")</f>
        <v>https://rmda.kulib.kyoto-u.ac.jp/item/rb00000898#?c=0&amp;m=0&amp;s=0&amp;cv=538</v>
      </c>
    </row>
    <row r="3785" spans="1:10" x14ac:dyDescent="0.15">
      <c r="A3785" s="6" t="s">
        <v>225</v>
      </c>
      <c r="B3785" s="6" t="s">
        <v>3832</v>
      </c>
      <c r="C3785" s="6">
        <v>694</v>
      </c>
      <c r="D3785" s="6" t="str">
        <f>HYPERLINK("https://rmda.kulib.kyoto-u.ac.jp/item/rb00008736#?c=0&amp;m=0&amp;s=0&amp;cv=693")</f>
        <v>https://rmda.kulib.kyoto-u.ac.jp/item/rb00008736#?c=0&amp;m=0&amp;s=0&amp;cv=693</v>
      </c>
      <c r="E3785" s="6"/>
      <c r="F3785" s="6"/>
      <c r="G3785" s="6"/>
      <c r="H3785" s="6"/>
      <c r="I3785" s="6">
        <v>541</v>
      </c>
      <c r="J3785" s="6" t="str">
        <f>HYPERLINK("https://rmda.kulib.kyoto-u.ac.jp/item/rb00000898#?c=0&amp;m=0&amp;s=0&amp;cv=540")</f>
        <v>https://rmda.kulib.kyoto-u.ac.jp/item/rb00000898#?c=0&amp;m=0&amp;s=0&amp;cv=540</v>
      </c>
    </row>
    <row r="3786" spans="1:10" x14ac:dyDescent="0.15">
      <c r="A3786" s="6" t="s">
        <v>225</v>
      </c>
      <c r="B3786" s="72" t="s">
        <v>3693</v>
      </c>
      <c r="C3786" s="6">
        <v>695</v>
      </c>
      <c r="D3786" s="6" t="str">
        <f>HYPERLINK("https://rmda.kulib.kyoto-u.ac.jp/item/rb00008736#?c=0&amp;m=0&amp;s=0&amp;cv=694")</f>
        <v>https://rmda.kulib.kyoto-u.ac.jp/item/rb00008736#?c=0&amp;m=0&amp;s=0&amp;cv=694</v>
      </c>
      <c r="E3786" s="6"/>
      <c r="F3786" s="6"/>
      <c r="G3786" s="6"/>
      <c r="H3786" s="6"/>
      <c r="I3786" s="6">
        <v>542</v>
      </c>
      <c r="J3786" s="6" t="str">
        <f>HYPERLINK("https://rmda.kulib.kyoto-u.ac.jp/item/rb00000898#?c=0&amp;m=0&amp;s=0&amp;cv=541")</f>
        <v>https://rmda.kulib.kyoto-u.ac.jp/item/rb00000898#?c=0&amp;m=0&amp;s=0&amp;cv=541</v>
      </c>
    </row>
    <row r="3787" spans="1:10" x14ac:dyDescent="0.15">
      <c r="A3787" s="6" t="s">
        <v>225</v>
      </c>
      <c r="B3787" s="6" t="s">
        <v>3833</v>
      </c>
      <c r="C3787" s="6">
        <v>695</v>
      </c>
      <c r="D3787" s="6" t="str">
        <f>HYPERLINK("https://rmda.kulib.kyoto-u.ac.jp/item/rb00008736#?c=0&amp;m=0&amp;s=0&amp;cv=694")</f>
        <v>https://rmda.kulib.kyoto-u.ac.jp/item/rb00008736#?c=0&amp;m=0&amp;s=0&amp;cv=694</v>
      </c>
      <c r="E3787" s="6"/>
      <c r="F3787" s="6"/>
      <c r="G3787" s="6"/>
      <c r="H3787" s="6"/>
      <c r="I3787" s="6">
        <v>542</v>
      </c>
      <c r="J3787" s="6" t="str">
        <f>HYPERLINK("https://rmda.kulib.kyoto-u.ac.jp/item/rb00000898#?c=0&amp;m=0&amp;s=0&amp;cv=541")</f>
        <v>https://rmda.kulib.kyoto-u.ac.jp/item/rb00000898#?c=0&amp;m=0&amp;s=0&amp;cv=541</v>
      </c>
    </row>
    <row r="3788" spans="1:10" x14ac:dyDescent="0.15">
      <c r="A3788" s="6" t="s">
        <v>225</v>
      </c>
      <c r="B3788" s="6" t="s">
        <v>3834</v>
      </c>
      <c r="C3788" s="6">
        <v>697</v>
      </c>
      <c r="D3788" s="6" t="str">
        <f>HYPERLINK("https://rmda.kulib.kyoto-u.ac.jp/item/rb00008736#?c=0&amp;m=0&amp;s=0&amp;cv=696")</f>
        <v>https://rmda.kulib.kyoto-u.ac.jp/item/rb00008736#?c=0&amp;m=0&amp;s=0&amp;cv=696</v>
      </c>
      <c r="E3788" s="6"/>
      <c r="F3788" s="6"/>
      <c r="G3788" s="6"/>
      <c r="H3788" s="6"/>
      <c r="I3788" s="6">
        <v>544</v>
      </c>
      <c r="J3788" s="6" t="str">
        <f>HYPERLINK("https://rmda.kulib.kyoto-u.ac.jp/item/rb00000898#?c=0&amp;m=0&amp;s=0&amp;cv=543")</f>
        <v>https://rmda.kulib.kyoto-u.ac.jp/item/rb00000898#?c=0&amp;m=0&amp;s=0&amp;cv=543</v>
      </c>
    </row>
    <row r="3789" spans="1:10" x14ac:dyDescent="0.15">
      <c r="A3789" s="6" t="s">
        <v>225</v>
      </c>
      <c r="B3789" s="6" t="s">
        <v>3835</v>
      </c>
      <c r="C3789" s="6">
        <v>699</v>
      </c>
      <c r="D3789" s="6" t="str">
        <f>HYPERLINK("https://rmda.kulib.kyoto-u.ac.jp/item/rb00008736#?c=0&amp;m=0&amp;s=0&amp;cv=698")</f>
        <v>https://rmda.kulib.kyoto-u.ac.jp/item/rb00008736#?c=0&amp;m=0&amp;s=0&amp;cv=698</v>
      </c>
      <c r="E3789" s="6"/>
      <c r="F3789" s="6"/>
      <c r="G3789" s="6"/>
      <c r="H3789" s="6"/>
      <c r="I3789" s="6">
        <v>546</v>
      </c>
      <c r="J3789" s="6" t="str">
        <f>HYPERLINK("https://rmda.kulib.kyoto-u.ac.jp/item/rb00000898#?c=0&amp;m=0&amp;s=0&amp;cv=545")</f>
        <v>https://rmda.kulib.kyoto-u.ac.jp/item/rb00000898#?c=0&amp;m=0&amp;s=0&amp;cv=545</v>
      </c>
    </row>
    <row r="3790" spans="1:10" x14ac:dyDescent="0.15">
      <c r="A3790" s="6" t="s">
        <v>225</v>
      </c>
      <c r="B3790" s="6" t="s">
        <v>3836</v>
      </c>
      <c r="C3790" s="6">
        <v>701</v>
      </c>
      <c r="D3790" s="6" t="str">
        <f>HYPERLINK("https://rmda.kulib.kyoto-u.ac.jp/item/rb00008736#?c=0&amp;m=0&amp;s=0&amp;cv=700")</f>
        <v>https://rmda.kulib.kyoto-u.ac.jp/item/rb00008736#?c=0&amp;m=0&amp;s=0&amp;cv=700</v>
      </c>
      <c r="E3790" s="6"/>
      <c r="F3790" s="6"/>
      <c r="G3790" s="6"/>
      <c r="H3790" s="6"/>
      <c r="I3790" s="6">
        <v>548</v>
      </c>
      <c r="J3790" s="6" t="str">
        <f>HYPERLINK("https://rmda.kulib.kyoto-u.ac.jp/item/rb00000898#?c=0&amp;m=0&amp;s=0&amp;cv=547")</f>
        <v>https://rmda.kulib.kyoto-u.ac.jp/item/rb00000898#?c=0&amp;m=0&amp;s=0&amp;cv=547</v>
      </c>
    </row>
    <row r="3791" spans="1:10" x14ac:dyDescent="0.15">
      <c r="A3791" s="6" t="s">
        <v>225</v>
      </c>
      <c r="B3791" s="72" t="s">
        <v>3694</v>
      </c>
      <c r="C3791" s="6">
        <v>702</v>
      </c>
      <c r="D3791" s="6" t="str">
        <f>HYPERLINK("https://rmda.kulib.kyoto-u.ac.jp/item/rb00008736#?c=0&amp;m=0&amp;s=0&amp;cv=701")</f>
        <v>https://rmda.kulib.kyoto-u.ac.jp/item/rb00008736#?c=0&amp;m=0&amp;s=0&amp;cv=701</v>
      </c>
      <c r="E3791" s="6"/>
      <c r="F3791" s="6"/>
      <c r="G3791" s="6"/>
      <c r="H3791" s="6"/>
      <c r="I3791" s="6">
        <v>549</v>
      </c>
      <c r="J3791" s="6" t="str">
        <f>HYPERLINK("https://rmda.kulib.kyoto-u.ac.jp/item/rb00000898#?c=0&amp;m=0&amp;s=0&amp;cv=548")</f>
        <v>https://rmda.kulib.kyoto-u.ac.jp/item/rb00000898#?c=0&amp;m=0&amp;s=0&amp;cv=548</v>
      </c>
    </row>
    <row r="3792" spans="1:10" x14ac:dyDescent="0.15">
      <c r="A3792" s="6" t="s">
        <v>225</v>
      </c>
      <c r="B3792" s="6" t="s">
        <v>3837</v>
      </c>
      <c r="C3792" s="6">
        <v>702</v>
      </c>
      <c r="D3792" s="6" t="str">
        <f>HYPERLINK("https://rmda.kulib.kyoto-u.ac.jp/item/rb00008736#?c=0&amp;m=0&amp;s=0&amp;cv=701")</f>
        <v>https://rmda.kulib.kyoto-u.ac.jp/item/rb00008736#?c=0&amp;m=0&amp;s=0&amp;cv=701</v>
      </c>
      <c r="E3792" s="6"/>
      <c r="F3792" s="6"/>
      <c r="G3792" s="6"/>
      <c r="H3792" s="6"/>
      <c r="I3792" s="6">
        <v>549</v>
      </c>
      <c r="J3792" s="6" t="str">
        <f>HYPERLINK("https://rmda.kulib.kyoto-u.ac.jp/item/rb00000898#?c=0&amp;m=0&amp;s=0&amp;cv=548")</f>
        <v>https://rmda.kulib.kyoto-u.ac.jp/item/rb00000898#?c=0&amp;m=0&amp;s=0&amp;cv=548</v>
      </c>
    </row>
    <row r="3793" spans="1:10" x14ac:dyDescent="0.15">
      <c r="A3793" s="6" t="s">
        <v>225</v>
      </c>
      <c r="B3793" s="6" t="s">
        <v>3838</v>
      </c>
      <c r="C3793" s="6">
        <v>705</v>
      </c>
      <c r="D3793" s="6" t="str">
        <f>HYPERLINK("https://rmda.kulib.kyoto-u.ac.jp/item/rb00008736#?c=0&amp;m=0&amp;s=0&amp;cv=704")</f>
        <v>https://rmda.kulib.kyoto-u.ac.jp/item/rb00008736#?c=0&amp;m=0&amp;s=0&amp;cv=704</v>
      </c>
      <c r="E3793" s="6"/>
      <c r="F3793" s="6"/>
      <c r="G3793" s="6"/>
      <c r="H3793" s="6"/>
      <c r="I3793" s="6">
        <v>552</v>
      </c>
      <c r="J3793" s="6" t="str">
        <f>HYPERLINK("https://rmda.kulib.kyoto-u.ac.jp/item/rb00000898#?c=0&amp;m=0&amp;s=0&amp;cv=551")</f>
        <v>https://rmda.kulib.kyoto-u.ac.jp/item/rb00000898#?c=0&amp;m=0&amp;s=0&amp;cv=551</v>
      </c>
    </row>
    <row r="3794" spans="1:10" x14ac:dyDescent="0.15">
      <c r="A3794" s="6" t="s">
        <v>225</v>
      </c>
      <c r="B3794" s="72" t="s">
        <v>3695</v>
      </c>
      <c r="C3794" s="6">
        <v>708</v>
      </c>
      <c r="D3794" s="6" t="str">
        <f>HYPERLINK("https://rmda.kulib.kyoto-u.ac.jp/item/rb00008736#?c=0&amp;m=0&amp;s=0&amp;cv=707")</f>
        <v>https://rmda.kulib.kyoto-u.ac.jp/item/rb00008736#?c=0&amp;m=0&amp;s=0&amp;cv=707</v>
      </c>
      <c r="E3794" s="6"/>
      <c r="F3794" s="6"/>
      <c r="G3794" s="6"/>
      <c r="H3794" s="6"/>
      <c r="I3794" s="6">
        <v>555</v>
      </c>
      <c r="J3794" s="6" t="str">
        <f>HYPERLINK("https://rmda.kulib.kyoto-u.ac.jp/item/rb00000898#?c=0&amp;m=0&amp;s=0&amp;cv=554")</f>
        <v>https://rmda.kulib.kyoto-u.ac.jp/item/rb00000898#?c=0&amp;m=0&amp;s=0&amp;cv=554</v>
      </c>
    </row>
    <row r="3795" spans="1:10" x14ac:dyDescent="0.15">
      <c r="A3795" s="6" t="s">
        <v>225</v>
      </c>
      <c r="B3795" s="6" t="s">
        <v>3839</v>
      </c>
      <c r="C3795" s="6">
        <v>708</v>
      </c>
      <c r="D3795" s="6" t="str">
        <f>HYPERLINK("https://rmda.kulib.kyoto-u.ac.jp/item/rb00008736#?c=0&amp;m=0&amp;s=0&amp;cv=707")</f>
        <v>https://rmda.kulib.kyoto-u.ac.jp/item/rb00008736#?c=0&amp;m=0&amp;s=0&amp;cv=707</v>
      </c>
      <c r="E3795" s="6"/>
      <c r="F3795" s="6"/>
      <c r="G3795" s="6"/>
      <c r="H3795" s="6"/>
      <c r="I3795" s="6">
        <v>555</v>
      </c>
      <c r="J3795" s="6" t="str">
        <f>HYPERLINK("https://rmda.kulib.kyoto-u.ac.jp/item/rb00000898#?c=0&amp;m=0&amp;s=0&amp;cv=554")</f>
        <v>https://rmda.kulib.kyoto-u.ac.jp/item/rb00000898#?c=0&amp;m=0&amp;s=0&amp;cv=554</v>
      </c>
    </row>
    <row r="3796" spans="1:10" x14ac:dyDescent="0.15">
      <c r="A3796" s="6" t="s">
        <v>225</v>
      </c>
      <c r="B3796" s="6" t="s">
        <v>3840</v>
      </c>
      <c r="C3796" s="6">
        <v>709</v>
      </c>
      <c r="D3796" s="6" t="str">
        <f>HYPERLINK("https://rmda.kulib.kyoto-u.ac.jp/item/rb00008736#?c=0&amp;m=0&amp;s=0&amp;cv=708")</f>
        <v>https://rmda.kulib.kyoto-u.ac.jp/item/rb00008736#?c=0&amp;m=0&amp;s=0&amp;cv=708</v>
      </c>
      <c r="E3796" s="6"/>
      <c r="F3796" s="6"/>
      <c r="G3796" s="6"/>
      <c r="H3796" s="6"/>
      <c r="I3796" s="6">
        <v>556</v>
      </c>
      <c r="J3796" s="6" t="str">
        <f>HYPERLINK("https://rmda.kulib.kyoto-u.ac.jp/item/rb00000898#?c=0&amp;m=0&amp;s=0&amp;cv=555")</f>
        <v>https://rmda.kulib.kyoto-u.ac.jp/item/rb00000898#?c=0&amp;m=0&amp;s=0&amp;cv=555</v>
      </c>
    </row>
    <row r="3797" spans="1:10" x14ac:dyDescent="0.15">
      <c r="A3797" s="6" t="s">
        <v>225</v>
      </c>
      <c r="B3797" s="6" t="s">
        <v>3841</v>
      </c>
      <c r="C3797" s="6">
        <v>711</v>
      </c>
      <c r="D3797" s="6" t="str">
        <f>HYPERLINK("https://rmda.kulib.kyoto-u.ac.jp/item/rb00008736#?c=0&amp;m=0&amp;s=0&amp;cv=710")</f>
        <v>https://rmda.kulib.kyoto-u.ac.jp/item/rb00008736#?c=0&amp;m=0&amp;s=0&amp;cv=710</v>
      </c>
      <c r="E3797" s="6"/>
      <c r="F3797" s="6"/>
      <c r="G3797" s="6"/>
      <c r="H3797" s="6"/>
      <c r="I3797" s="6">
        <v>558</v>
      </c>
      <c r="J3797" s="6" t="str">
        <f>HYPERLINK("https://rmda.kulib.kyoto-u.ac.jp/item/rb00000898#?c=0&amp;m=0&amp;s=0&amp;cv=557")</f>
        <v>https://rmda.kulib.kyoto-u.ac.jp/item/rb00000898#?c=0&amp;m=0&amp;s=0&amp;cv=557</v>
      </c>
    </row>
    <row r="3798" spans="1:10" x14ac:dyDescent="0.15">
      <c r="A3798" s="6" t="s">
        <v>225</v>
      </c>
      <c r="B3798" s="6" t="s">
        <v>3842</v>
      </c>
      <c r="C3798" s="6">
        <v>712</v>
      </c>
      <c r="D3798" s="6" t="str">
        <f>HYPERLINK("https://rmda.kulib.kyoto-u.ac.jp/item/rb00008736#?c=0&amp;m=0&amp;s=0&amp;cv=711")</f>
        <v>https://rmda.kulib.kyoto-u.ac.jp/item/rb00008736#?c=0&amp;m=0&amp;s=0&amp;cv=711</v>
      </c>
      <c r="E3798" s="6"/>
      <c r="F3798" s="6"/>
      <c r="G3798" s="6"/>
      <c r="H3798" s="6"/>
      <c r="I3798" s="6">
        <v>559</v>
      </c>
      <c r="J3798" s="6" t="str">
        <f>HYPERLINK("https://rmda.kulib.kyoto-u.ac.jp/item/rb00000898#?c=0&amp;m=0&amp;s=0&amp;cv=558")</f>
        <v>https://rmda.kulib.kyoto-u.ac.jp/item/rb00000898#?c=0&amp;m=0&amp;s=0&amp;cv=558</v>
      </c>
    </row>
    <row r="3799" spans="1:10" x14ac:dyDescent="0.15">
      <c r="A3799" s="6" t="s">
        <v>225</v>
      </c>
      <c r="B3799" s="6" t="s">
        <v>3843</v>
      </c>
      <c r="C3799" s="6">
        <v>714</v>
      </c>
      <c r="D3799" s="6" t="str">
        <f>HYPERLINK("https://rmda.kulib.kyoto-u.ac.jp/item/rb00008736#?c=0&amp;m=0&amp;s=0&amp;cv=713")</f>
        <v>https://rmda.kulib.kyoto-u.ac.jp/item/rb00008736#?c=0&amp;m=0&amp;s=0&amp;cv=713</v>
      </c>
      <c r="E3799" s="6"/>
      <c r="F3799" s="6"/>
      <c r="G3799" s="6"/>
      <c r="H3799" s="6"/>
      <c r="I3799" s="6">
        <v>561</v>
      </c>
      <c r="J3799" s="6" t="str">
        <f>HYPERLINK("https://rmda.kulib.kyoto-u.ac.jp/item/rb00000898#?c=0&amp;m=0&amp;s=0&amp;cv=560")</f>
        <v>https://rmda.kulib.kyoto-u.ac.jp/item/rb00000898#?c=0&amp;m=0&amp;s=0&amp;cv=560</v>
      </c>
    </row>
    <row r="3800" spans="1:10" x14ac:dyDescent="0.15">
      <c r="A3800" s="6" t="s">
        <v>225</v>
      </c>
      <c r="B3800" s="6" t="s">
        <v>3844</v>
      </c>
      <c r="C3800" s="6">
        <v>716</v>
      </c>
      <c r="D3800" s="6" t="str">
        <f>HYPERLINK("https://rmda.kulib.kyoto-u.ac.jp/item/rb00008736#?c=0&amp;m=0&amp;s=0&amp;cv=715")</f>
        <v>https://rmda.kulib.kyoto-u.ac.jp/item/rb00008736#?c=0&amp;m=0&amp;s=0&amp;cv=715</v>
      </c>
      <c r="E3800" s="6"/>
      <c r="F3800" s="6"/>
      <c r="G3800" s="6"/>
      <c r="H3800" s="6"/>
      <c r="I3800" s="6">
        <v>563</v>
      </c>
      <c r="J3800" s="6" t="str">
        <f>HYPERLINK("https://rmda.kulib.kyoto-u.ac.jp/item/rb00000898#?c=0&amp;m=0&amp;s=0&amp;cv=562")</f>
        <v>https://rmda.kulib.kyoto-u.ac.jp/item/rb00000898#?c=0&amp;m=0&amp;s=0&amp;cv=562</v>
      </c>
    </row>
    <row r="3801" spans="1:10" x14ac:dyDescent="0.15">
      <c r="A3801" s="6" t="s">
        <v>225</v>
      </c>
      <c r="B3801" s="6" t="s">
        <v>3845</v>
      </c>
      <c r="C3801" s="6">
        <v>718</v>
      </c>
      <c r="D3801" s="6" t="str">
        <f>HYPERLINK("https://rmda.kulib.kyoto-u.ac.jp/item/rb00008736#?c=0&amp;m=0&amp;s=0&amp;cv=717")</f>
        <v>https://rmda.kulib.kyoto-u.ac.jp/item/rb00008736#?c=0&amp;m=0&amp;s=0&amp;cv=717</v>
      </c>
      <c r="E3801" s="6"/>
      <c r="F3801" s="6"/>
      <c r="G3801" s="6"/>
      <c r="H3801" s="6"/>
      <c r="I3801" s="6">
        <v>565</v>
      </c>
      <c r="J3801" s="6" t="str">
        <f>HYPERLINK("https://rmda.kulib.kyoto-u.ac.jp/item/rb00000898#?c=0&amp;m=0&amp;s=0&amp;cv=564")</f>
        <v>https://rmda.kulib.kyoto-u.ac.jp/item/rb00000898#?c=0&amp;m=0&amp;s=0&amp;cv=564</v>
      </c>
    </row>
    <row r="3802" spans="1:10" x14ac:dyDescent="0.15">
      <c r="A3802" s="6" t="s">
        <v>225</v>
      </c>
      <c r="B3802" s="72" t="s">
        <v>3696</v>
      </c>
      <c r="C3802" s="6">
        <v>722</v>
      </c>
      <c r="D3802" s="6" t="str">
        <f>HYPERLINK("https://rmda.kulib.kyoto-u.ac.jp/item/rb00008736#?c=0&amp;m=0&amp;s=0&amp;cv=721")</f>
        <v>https://rmda.kulib.kyoto-u.ac.jp/item/rb00008736#?c=0&amp;m=0&amp;s=0&amp;cv=721</v>
      </c>
      <c r="E3802" s="6"/>
      <c r="F3802" s="6"/>
      <c r="G3802" s="6"/>
      <c r="H3802" s="6"/>
      <c r="I3802" s="6"/>
      <c r="J3802" s="6"/>
    </row>
    <row r="3803" spans="1:10" x14ac:dyDescent="0.15">
      <c r="A3803" s="6" t="s">
        <v>225</v>
      </c>
      <c r="B3803" s="6" t="s">
        <v>3846</v>
      </c>
      <c r="C3803" s="6">
        <v>722</v>
      </c>
      <c r="D3803" s="6" t="str">
        <f>HYPERLINK("https://rmda.kulib.kyoto-u.ac.jp/item/rb00008736#?c=0&amp;m=0&amp;s=0&amp;cv=721")</f>
        <v>https://rmda.kulib.kyoto-u.ac.jp/item/rb00008736#?c=0&amp;m=0&amp;s=0&amp;cv=721</v>
      </c>
      <c r="E3803" s="6"/>
      <c r="F3803" s="6"/>
      <c r="G3803" s="6"/>
      <c r="H3803" s="6"/>
      <c r="I3803" s="6">
        <v>566</v>
      </c>
      <c r="J3803" s="6" t="str">
        <f>HYPERLINK("https://rmda.kulib.kyoto-u.ac.jp/item/rb00000898#?c=0&amp;m=0&amp;s=0&amp;cv=565")</f>
        <v>https://rmda.kulib.kyoto-u.ac.jp/item/rb00000898#?c=0&amp;m=0&amp;s=0&amp;cv=565</v>
      </c>
    </row>
    <row r="3804" spans="1:10" x14ac:dyDescent="0.15">
      <c r="A3804" s="6" t="s">
        <v>225</v>
      </c>
      <c r="B3804" s="6" t="s">
        <v>3847</v>
      </c>
      <c r="C3804" s="6">
        <v>723</v>
      </c>
      <c r="D3804" s="6" t="str">
        <f>HYPERLINK("https://rmda.kulib.kyoto-u.ac.jp/item/rb00008736#?c=0&amp;m=0&amp;s=0&amp;cv=722")</f>
        <v>https://rmda.kulib.kyoto-u.ac.jp/item/rb00008736#?c=0&amp;m=0&amp;s=0&amp;cv=722</v>
      </c>
      <c r="E3804" s="6"/>
      <c r="F3804" s="6"/>
      <c r="G3804" s="6"/>
      <c r="H3804" s="6"/>
      <c r="I3804" s="6">
        <v>567</v>
      </c>
      <c r="J3804" s="6" t="str">
        <f>HYPERLINK("https://rmda.kulib.kyoto-u.ac.jp/item/rb00000898#?c=0&amp;m=0&amp;s=0&amp;cv=566")</f>
        <v>https://rmda.kulib.kyoto-u.ac.jp/item/rb00000898#?c=0&amp;m=0&amp;s=0&amp;cv=566</v>
      </c>
    </row>
    <row r="3805" spans="1:10" x14ac:dyDescent="0.15">
      <c r="A3805" s="6" t="s">
        <v>225</v>
      </c>
      <c r="B3805" s="6" t="s">
        <v>3848</v>
      </c>
      <c r="C3805" s="6">
        <v>726</v>
      </c>
      <c r="D3805" s="6" t="str">
        <f>HYPERLINK("https://rmda.kulib.kyoto-u.ac.jp/item/rb00008736#?c=0&amp;m=0&amp;s=0&amp;cv=725")</f>
        <v>https://rmda.kulib.kyoto-u.ac.jp/item/rb00008736#?c=0&amp;m=0&amp;s=0&amp;cv=725</v>
      </c>
      <c r="E3805" s="6"/>
      <c r="F3805" s="6"/>
      <c r="G3805" s="6"/>
      <c r="H3805" s="6"/>
      <c r="I3805" s="6">
        <v>570</v>
      </c>
      <c r="J3805" s="6" t="str">
        <f>HYPERLINK("https://rmda.kulib.kyoto-u.ac.jp/item/rb00000898#?c=0&amp;m=0&amp;s=0&amp;cv=569")</f>
        <v>https://rmda.kulib.kyoto-u.ac.jp/item/rb00000898#?c=0&amp;m=0&amp;s=0&amp;cv=569</v>
      </c>
    </row>
    <row r="3806" spans="1:10" x14ac:dyDescent="0.15">
      <c r="A3806" s="6" t="s">
        <v>225</v>
      </c>
      <c r="B3806" s="72" t="s">
        <v>3697</v>
      </c>
      <c r="C3806" s="6">
        <v>728</v>
      </c>
      <c r="D3806" s="6" t="str">
        <f>HYPERLINK("https://rmda.kulib.kyoto-u.ac.jp/item/rb00008736#?c=0&amp;m=0&amp;s=0&amp;cv=727")</f>
        <v>https://rmda.kulib.kyoto-u.ac.jp/item/rb00008736#?c=0&amp;m=0&amp;s=0&amp;cv=727</v>
      </c>
      <c r="E3806" s="6"/>
      <c r="F3806" s="6"/>
      <c r="G3806" s="6"/>
      <c r="H3806" s="6"/>
      <c r="I3806" s="6">
        <v>572</v>
      </c>
      <c r="J3806" s="6" t="str">
        <f>HYPERLINK("https://rmda.kulib.kyoto-u.ac.jp/item/rb00000898#?c=0&amp;m=0&amp;s=0&amp;cv=571")</f>
        <v>https://rmda.kulib.kyoto-u.ac.jp/item/rb00000898#?c=0&amp;m=0&amp;s=0&amp;cv=571</v>
      </c>
    </row>
    <row r="3807" spans="1:10" x14ac:dyDescent="0.15">
      <c r="A3807" s="6" t="s">
        <v>225</v>
      </c>
      <c r="B3807" s="6" t="s">
        <v>3849</v>
      </c>
      <c r="C3807" s="6">
        <v>728</v>
      </c>
      <c r="D3807" s="6" t="str">
        <f>HYPERLINK("https://rmda.kulib.kyoto-u.ac.jp/item/rb00008736#?c=0&amp;m=0&amp;s=0&amp;cv=727")</f>
        <v>https://rmda.kulib.kyoto-u.ac.jp/item/rb00008736#?c=0&amp;m=0&amp;s=0&amp;cv=727</v>
      </c>
      <c r="E3807" s="6"/>
      <c r="F3807" s="6"/>
      <c r="G3807" s="6"/>
      <c r="H3807" s="6"/>
      <c r="I3807" s="6">
        <v>572</v>
      </c>
      <c r="J3807" s="6" t="str">
        <f>HYPERLINK("https://rmda.kulib.kyoto-u.ac.jp/item/rb00000898#?c=0&amp;m=0&amp;s=0&amp;cv=571")</f>
        <v>https://rmda.kulib.kyoto-u.ac.jp/item/rb00000898#?c=0&amp;m=0&amp;s=0&amp;cv=571</v>
      </c>
    </row>
    <row r="3808" spans="1:10" x14ac:dyDescent="0.15">
      <c r="A3808" s="6" t="s">
        <v>225</v>
      </c>
      <c r="B3808" s="6" t="s">
        <v>3850</v>
      </c>
      <c r="C3808" s="6">
        <v>729</v>
      </c>
      <c r="D3808" s="6" t="str">
        <f>HYPERLINK("https://rmda.kulib.kyoto-u.ac.jp/item/rb00008736#?c=0&amp;m=0&amp;s=0&amp;cv=728")</f>
        <v>https://rmda.kulib.kyoto-u.ac.jp/item/rb00008736#?c=0&amp;m=0&amp;s=0&amp;cv=728</v>
      </c>
      <c r="E3808" s="6"/>
      <c r="F3808" s="6"/>
      <c r="G3808" s="6"/>
      <c r="H3808" s="6"/>
      <c r="I3808" s="6">
        <v>573</v>
      </c>
      <c r="J3808" s="6" t="str">
        <f>HYPERLINK("https://rmda.kulib.kyoto-u.ac.jp/item/rb00000898#?c=0&amp;m=0&amp;s=0&amp;cv=572")</f>
        <v>https://rmda.kulib.kyoto-u.ac.jp/item/rb00000898#?c=0&amp;m=0&amp;s=0&amp;cv=572</v>
      </c>
    </row>
    <row r="3809" spans="1:10" x14ac:dyDescent="0.15">
      <c r="A3809" s="6" t="s">
        <v>225</v>
      </c>
      <c r="B3809" s="72" t="s">
        <v>3698</v>
      </c>
      <c r="C3809" s="6">
        <v>730</v>
      </c>
      <c r="D3809" s="6" t="str">
        <f>HYPERLINK("https://rmda.kulib.kyoto-u.ac.jp/item/rb00008736#?c=0&amp;m=0&amp;s=0&amp;cv=729")</f>
        <v>https://rmda.kulib.kyoto-u.ac.jp/item/rb00008736#?c=0&amp;m=0&amp;s=0&amp;cv=729</v>
      </c>
      <c r="E3809" s="6"/>
      <c r="F3809" s="6"/>
      <c r="G3809" s="6"/>
      <c r="H3809" s="6"/>
      <c r="I3809" s="6">
        <v>574</v>
      </c>
      <c r="J3809" s="6" t="str">
        <f>HYPERLINK("https://rmda.kulib.kyoto-u.ac.jp/item/rb00000898#?c=0&amp;m=0&amp;s=0&amp;cv=573")</f>
        <v>https://rmda.kulib.kyoto-u.ac.jp/item/rb00000898#?c=0&amp;m=0&amp;s=0&amp;cv=573</v>
      </c>
    </row>
    <row r="3810" spans="1:10" x14ac:dyDescent="0.15">
      <c r="A3810" s="6" t="s">
        <v>225</v>
      </c>
      <c r="B3810" s="6" t="s">
        <v>3851</v>
      </c>
      <c r="C3810" s="6">
        <v>730</v>
      </c>
      <c r="D3810" s="6" t="str">
        <f>HYPERLINK("https://rmda.kulib.kyoto-u.ac.jp/item/rb00008736#?c=0&amp;m=0&amp;s=0&amp;cv=729")</f>
        <v>https://rmda.kulib.kyoto-u.ac.jp/item/rb00008736#?c=0&amp;m=0&amp;s=0&amp;cv=729</v>
      </c>
      <c r="E3810" s="6"/>
      <c r="F3810" s="6"/>
      <c r="G3810" s="6"/>
      <c r="H3810" s="6"/>
      <c r="I3810" s="6">
        <v>574</v>
      </c>
      <c r="J3810" s="6" t="str">
        <f>HYPERLINK("https://rmda.kulib.kyoto-u.ac.jp/item/rb00000898#?c=0&amp;m=0&amp;s=0&amp;cv=573")</f>
        <v>https://rmda.kulib.kyoto-u.ac.jp/item/rb00000898#?c=0&amp;m=0&amp;s=0&amp;cv=573</v>
      </c>
    </row>
    <row r="3811" spans="1:10" x14ac:dyDescent="0.15">
      <c r="A3811" s="6" t="s">
        <v>225</v>
      </c>
      <c r="B3811" s="6" t="s">
        <v>3852</v>
      </c>
      <c r="C3811" s="6">
        <v>731</v>
      </c>
      <c r="D3811" s="6" t="str">
        <f>HYPERLINK("https://rmda.kulib.kyoto-u.ac.jp/item/rb00008736#?c=0&amp;m=0&amp;s=0&amp;cv=730")</f>
        <v>https://rmda.kulib.kyoto-u.ac.jp/item/rb00008736#?c=0&amp;m=0&amp;s=0&amp;cv=730</v>
      </c>
      <c r="E3811" s="6"/>
      <c r="F3811" s="6"/>
      <c r="G3811" s="6"/>
      <c r="H3811" s="6"/>
      <c r="I3811" s="6">
        <v>575</v>
      </c>
      <c r="J3811" s="6" t="str">
        <f>HYPERLINK("https://rmda.kulib.kyoto-u.ac.jp/item/rb00000898#?c=0&amp;m=0&amp;s=0&amp;cv=574")</f>
        <v>https://rmda.kulib.kyoto-u.ac.jp/item/rb00000898#?c=0&amp;m=0&amp;s=0&amp;cv=574</v>
      </c>
    </row>
    <row r="3812" spans="1:10" x14ac:dyDescent="0.15">
      <c r="A3812" s="6" t="s">
        <v>225</v>
      </c>
      <c r="B3812" s="6" t="s">
        <v>3853</v>
      </c>
      <c r="C3812" s="6">
        <v>732</v>
      </c>
      <c r="D3812" s="6" t="str">
        <f>HYPERLINK("https://rmda.kulib.kyoto-u.ac.jp/item/rb00008736#?c=0&amp;m=0&amp;s=0&amp;cv=731")</f>
        <v>https://rmda.kulib.kyoto-u.ac.jp/item/rb00008736#?c=0&amp;m=0&amp;s=0&amp;cv=731</v>
      </c>
      <c r="E3812" s="6"/>
      <c r="F3812" s="6"/>
      <c r="G3812" s="6"/>
      <c r="H3812" s="6"/>
      <c r="I3812" s="6">
        <v>576</v>
      </c>
      <c r="J3812" s="6" t="str">
        <f>HYPERLINK("https://rmda.kulib.kyoto-u.ac.jp/item/rb00000898#?c=0&amp;m=0&amp;s=0&amp;cv=575")</f>
        <v>https://rmda.kulib.kyoto-u.ac.jp/item/rb00000898#?c=0&amp;m=0&amp;s=0&amp;cv=575</v>
      </c>
    </row>
    <row r="3813" spans="1:10" x14ac:dyDescent="0.15">
      <c r="A3813" s="6" t="s">
        <v>225</v>
      </c>
      <c r="B3813" s="6" t="s">
        <v>3854</v>
      </c>
      <c r="C3813" s="6">
        <v>734</v>
      </c>
      <c r="D3813" s="6" t="str">
        <f>HYPERLINK("https://rmda.kulib.kyoto-u.ac.jp/item/rb00008736#?c=0&amp;m=0&amp;s=0&amp;cv=733")</f>
        <v>https://rmda.kulib.kyoto-u.ac.jp/item/rb00008736#?c=0&amp;m=0&amp;s=0&amp;cv=733</v>
      </c>
      <c r="E3813" s="6"/>
      <c r="F3813" s="6"/>
      <c r="G3813" s="6"/>
      <c r="H3813" s="6"/>
      <c r="I3813" s="6">
        <v>578</v>
      </c>
      <c r="J3813" s="6" t="str">
        <f>HYPERLINK("https://rmda.kulib.kyoto-u.ac.jp/item/rb00000898#?c=0&amp;m=0&amp;s=0&amp;cv=577")</f>
        <v>https://rmda.kulib.kyoto-u.ac.jp/item/rb00000898#?c=0&amp;m=0&amp;s=0&amp;cv=577</v>
      </c>
    </row>
    <row r="3814" spans="1:10" x14ac:dyDescent="0.15">
      <c r="A3814" s="6" t="s">
        <v>225</v>
      </c>
      <c r="B3814" s="6" t="s">
        <v>3855</v>
      </c>
      <c r="C3814" s="6">
        <v>734</v>
      </c>
      <c r="D3814" s="6" t="str">
        <f>HYPERLINK("https://rmda.kulib.kyoto-u.ac.jp/item/rb00008736#?c=0&amp;m=0&amp;s=0&amp;cv=733")</f>
        <v>https://rmda.kulib.kyoto-u.ac.jp/item/rb00008736#?c=0&amp;m=0&amp;s=0&amp;cv=733</v>
      </c>
      <c r="E3814" s="6"/>
      <c r="F3814" s="6"/>
      <c r="G3814" s="6"/>
      <c r="H3814" s="6"/>
      <c r="I3814" s="6">
        <v>578</v>
      </c>
      <c r="J3814" s="6" t="str">
        <f>HYPERLINK("https://rmda.kulib.kyoto-u.ac.jp/item/rb00000898#?c=0&amp;m=0&amp;s=0&amp;cv=577")</f>
        <v>https://rmda.kulib.kyoto-u.ac.jp/item/rb00000898#?c=0&amp;m=0&amp;s=0&amp;cv=577</v>
      </c>
    </row>
    <row r="3815" spans="1:10" x14ac:dyDescent="0.15">
      <c r="A3815" s="6" t="s">
        <v>225</v>
      </c>
      <c r="B3815" s="6" t="s">
        <v>3856</v>
      </c>
      <c r="C3815" s="6">
        <v>735</v>
      </c>
      <c r="D3815" s="6" t="str">
        <f>HYPERLINK("https://rmda.kulib.kyoto-u.ac.jp/item/rb00008736#?c=0&amp;m=0&amp;s=0&amp;cv=734")</f>
        <v>https://rmda.kulib.kyoto-u.ac.jp/item/rb00008736#?c=0&amp;m=0&amp;s=0&amp;cv=734</v>
      </c>
      <c r="E3815" s="6"/>
      <c r="F3815" s="6"/>
      <c r="G3815" s="6"/>
      <c r="H3815" s="6"/>
      <c r="I3815" s="6">
        <v>579</v>
      </c>
      <c r="J3815" s="6" t="str">
        <f>HYPERLINK("https://rmda.kulib.kyoto-u.ac.jp/item/rb00000898#?c=0&amp;m=0&amp;s=0&amp;cv=578")</f>
        <v>https://rmda.kulib.kyoto-u.ac.jp/item/rb00000898#?c=0&amp;m=0&amp;s=0&amp;cv=578</v>
      </c>
    </row>
    <row r="3816" spans="1:10" x14ac:dyDescent="0.15">
      <c r="A3816" s="6" t="s">
        <v>225</v>
      </c>
      <c r="B3816" s="72" t="s">
        <v>3741</v>
      </c>
      <c r="C3816" s="6">
        <v>735</v>
      </c>
      <c r="D3816" s="6" t="str">
        <f>HYPERLINK("https://rmda.kulib.kyoto-u.ac.jp/item/rb00008736#?c=0&amp;m=0&amp;s=0&amp;cv=734")</f>
        <v>https://rmda.kulib.kyoto-u.ac.jp/item/rb00008736#?c=0&amp;m=0&amp;s=0&amp;cv=734</v>
      </c>
      <c r="E3816" s="6"/>
      <c r="F3816" s="6"/>
      <c r="G3816" s="6"/>
      <c r="H3816" s="6"/>
      <c r="I3816" s="6">
        <v>579</v>
      </c>
      <c r="J3816" s="6" t="str">
        <f>HYPERLINK("https://rmda.kulib.kyoto-u.ac.jp/item/rb00000898#?c=0&amp;m=0&amp;s=0&amp;cv=578")</f>
        <v>https://rmda.kulib.kyoto-u.ac.jp/item/rb00000898#?c=0&amp;m=0&amp;s=0&amp;cv=578</v>
      </c>
    </row>
    <row r="3817" spans="1:10" x14ac:dyDescent="0.15">
      <c r="A3817" s="6" t="s">
        <v>225</v>
      </c>
      <c r="B3817" s="6" t="s">
        <v>3857</v>
      </c>
      <c r="C3817" s="6">
        <v>735</v>
      </c>
      <c r="D3817" s="6" t="str">
        <f>HYPERLINK("https://rmda.kulib.kyoto-u.ac.jp/item/rb00008736#?c=0&amp;m=0&amp;s=0&amp;cv=734")</f>
        <v>https://rmda.kulib.kyoto-u.ac.jp/item/rb00008736#?c=0&amp;m=0&amp;s=0&amp;cv=734</v>
      </c>
      <c r="E3817" s="6"/>
      <c r="F3817" s="6"/>
      <c r="G3817" s="6"/>
      <c r="H3817" s="6"/>
      <c r="I3817" s="6">
        <v>579</v>
      </c>
      <c r="J3817" s="6" t="str">
        <f>HYPERLINK("https://rmda.kulib.kyoto-u.ac.jp/item/rb00000898#?c=0&amp;m=0&amp;s=0&amp;cv=578")</f>
        <v>https://rmda.kulib.kyoto-u.ac.jp/item/rb00000898#?c=0&amp;m=0&amp;s=0&amp;cv=578</v>
      </c>
    </row>
    <row r="3818" spans="1:10" x14ac:dyDescent="0.15">
      <c r="A3818" s="6" t="s">
        <v>225</v>
      </c>
      <c r="B3818" s="6" t="s">
        <v>3858</v>
      </c>
      <c r="C3818" s="6">
        <v>736</v>
      </c>
      <c r="D3818" s="6" t="str">
        <f>HYPERLINK("https://rmda.kulib.kyoto-u.ac.jp/item/rb00008736#?c=0&amp;m=0&amp;s=0&amp;cv=735")</f>
        <v>https://rmda.kulib.kyoto-u.ac.jp/item/rb00008736#?c=0&amp;m=0&amp;s=0&amp;cv=735</v>
      </c>
      <c r="E3818" s="6"/>
      <c r="F3818" s="6"/>
      <c r="G3818" s="6"/>
      <c r="H3818" s="6"/>
      <c r="I3818" s="6">
        <v>580</v>
      </c>
      <c r="J3818" s="6" t="str">
        <f>HYPERLINK("https://rmda.kulib.kyoto-u.ac.jp/item/rb00000898#?c=0&amp;m=0&amp;s=0&amp;cv=579")</f>
        <v>https://rmda.kulib.kyoto-u.ac.jp/item/rb00000898#?c=0&amp;m=0&amp;s=0&amp;cv=579</v>
      </c>
    </row>
    <row r="3819" spans="1:10" x14ac:dyDescent="0.15">
      <c r="A3819" s="6" t="s">
        <v>225</v>
      </c>
      <c r="B3819" s="6" t="s">
        <v>3859</v>
      </c>
      <c r="C3819" s="6">
        <v>737</v>
      </c>
      <c r="D3819" s="6" t="str">
        <f>HYPERLINK("https://rmda.kulib.kyoto-u.ac.jp/item/rb00008736#?c=0&amp;m=0&amp;s=0&amp;cv=736")</f>
        <v>https://rmda.kulib.kyoto-u.ac.jp/item/rb00008736#?c=0&amp;m=0&amp;s=0&amp;cv=736</v>
      </c>
      <c r="E3819" s="6"/>
      <c r="F3819" s="6"/>
      <c r="G3819" s="6"/>
      <c r="H3819" s="6"/>
      <c r="I3819" s="6">
        <v>581</v>
      </c>
      <c r="J3819" s="6" t="str">
        <f>HYPERLINK("https://rmda.kulib.kyoto-u.ac.jp/item/rb00000898#?c=0&amp;m=0&amp;s=0&amp;cv=580")</f>
        <v>https://rmda.kulib.kyoto-u.ac.jp/item/rb00000898#?c=0&amp;m=0&amp;s=0&amp;cv=580</v>
      </c>
    </row>
    <row r="3820" spans="1:10" x14ac:dyDescent="0.15">
      <c r="A3820" s="6" t="s">
        <v>225</v>
      </c>
      <c r="B3820" s="72" t="s">
        <v>3699</v>
      </c>
      <c r="C3820" s="6">
        <v>739</v>
      </c>
      <c r="D3820" s="6" t="str">
        <f>HYPERLINK("https://rmda.kulib.kyoto-u.ac.jp/item/rb00008736#?c=0&amp;m=0&amp;s=0&amp;cv=738")</f>
        <v>https://rmda.kulib.kyoto-u.ac.jp/item/rb00008736#?c=0&amp;m=0&amp;s=0&amp;cv=738</v>
      </c>
      <c r="E3820" s="6"/>
      <c r="F3820" s="6"/>
      <c r="G3820" s="6"/>
      <c r="H3820" s="6"/>
      <c r="I3820" s="6">
        <v>583</v>
      </c>
      <c r="J3820" s="6" t="str">
        <f>HYPERLINK("https://rmda.kulib.kyoto-u.ac.jp/item/rb00000898#?c=0&amp;m=0&amp;s=0&amp;cv=582")</f>
        <v>https://rmda.kulib.kyoto-u.ac.jp/item/rb00000898#?c=0&amp;m=0&amp;s=0&amp;cv=582</v>
      </c>
    </row>
    <row r="3821" spans="1:10" x14ac:dyDescent="0.15">
      <c r="A3821" s="6" t="s">
        <v>225</v>
      </c>
      <c r="B3821" s="6" t="s">
        <v>3860</v>
      </c>
      <c r="C3821" s="6">
        <v>739</v>
      </c>
      <c r="D3821" s="6" t="str">
        <f>HYPERLINK("https://rmda.kulib.kyoto-u.ac.jp/item/rb00008736#?c=0&amp;m=0&amp;s=0&amp;cv=738")</f>
        <v>https://rmda.kulib.kyoto-u.ac.jp/item/rb00008736#?c=0&amp;m=0&amp;s=0&amp;cv=738</v>
      </c>
      <c r="E3821" s="6"/>
      <c r="F3821" s="6"/>
      <c r="G3821" s="6"/>
      <c r="H3821" s="6"/>
      <c r="I3821" s="6">
        <v>583</v>
      </c>
      <c r="J3821" s="6" t="str">
        <f>HYPERLINK("https://rmda.kulib.kyoto-u.ac.jp/item/rb00000898#?c=0&amp;m=0&amp;s=0&amp;cv=582")</f>
        <v>https://rmda.kulib.kyoto-u.ac.jp/item/rb00000898#?c=0&amp;m=0&amp;s=0&amp;cv=582</v>
      </c>
    </row>
    <row r="3822" spans="1:10" x14ac:dyDescent="0.15">
      <c r="A3822" s="6" t="s">
        <v>225</v>
      </c>
      <c r="B3822" s="72" t="s">
        <v>3700</v>
      </c>
      <c r="C3822" s="6">
        <v>740</v>
      </c>
      <c r="D3822" s="6" t="str">
        <f>HYPERLINK("https://rmda.kulib.kyoto-u.ac.jp/item/rb00008736#?c=0&amp;m=0&amp;s=0&amp;cv=739")</f>
        <v>https://rmda.kulib.kyoto-u.ac.jp/item/rb00008736#?c=0&amp;m=0&amp;s=0&amp;cv=739</v>
      </c>
      <c r="E3822" s="6"/>
      <c r="F3822" s="6"/>
      <c r="G3822" s="6"/>
      <c r="H3822" s="6"/>
      <c r="I3822" s="6">
        <v>584</v>
      </c>
      <c r="J3822" s="6" t="str">
        <f>HYPERLINK("https://rmda.kulib.kyoto-u.ac.jp/item/rb00000898#?c=0&amp;m=0&amp;s=0&amp;cv=583")</f>
        <v>https://rmda.kulib.kyoto-u.ac.jp/item/rb00000898#?c=0&amp;m=0&amp;s=0&amp;cv=583</v>
      </c>
    </row>
    <row r="3823" spans="1:10" x14ac:dyDescent="0.15">
      <c r="A3823" s="6" t="s">
        <v>225</v>
      </c>
      <c r="B3823" s="6" t="s">
        <v>3861</v>
      </c>
      <c r="C3823" s="6">
        <v>740</v>
      </c>
      <c r="D3823" s="6" t="str">
        <f>HYPERLINK("https://rmda.kulib.kyoto-u.ac.jp/item/rb00008736#?c=0&amp;m=0&amp;s=0&amp;cv=739")</f>
        <v>https://rmda.kulib.kyoto-u.ac.jp/item/rb00008736#?c=0&amp;m=0&amp;s=0&amp;cv=739</v>
      </c>
      <c r="E3823" s="6"/>
      <c r="F3823" s="6"/>
      <c r="G3823" s="6"/>
      <c r="H3823" s="6"/>
      <c r="I3823" s="6">
        <v>584</v>
      </c>
      <c r="J3823" s="6" t="str">
        <f>HYPERLINK("https://rmda.kulib.kyoto-u.ac.jp/item/rb00000898#?c=0&amp;m=0&amp;s=0&amp;cv=583")</f>
        <v>https://rmda.kulib.kyoto-u.ac.jp/item/rb00000898#?c=0&amp;m=0&amp;s=0&amp;cv=583</v>
      </c>
    </row>
    <row r="3824" spans="1:10" x14ac:dyDescent="0.15">
      <c r="A3824" s="6" t="s">
        <v>225</v>
      </c>
      <c r="B3824" s="6" t="s">
        <v>3862</v>
      </c>
      <c r="C3824" s="6">
        <v>741</v>
      </c>
      <c r="D3824" s="6" t="str">
        <f>HYPERLINK("https://rmda.kulib.kyoto-u.ac.jp/item/rb00008736#?c=0&amp;m=0&amp;s=0&amp;cv=740")</f>
        <v>https://rmda.kulib.kyoto-u.ac.jp/item/rb00008736#?c=0&amp;m=0&amp;s=0&amp;cv=740</v>
      </c>
      <c r="E3824" s="6"/>
      <c r="F3824" s="6"/>
      <c r="G3824" s="6"/>
      <c r="H3824" s="6"/>
      <c r="I3824" s="6">
        <v>585</v>
      </c>
      <c r="J3824" s="6" t="str">
        <f>HYPERLINK("https://rmda.kulib.kyoto-u.ac.jp/item/rb00000898#?c=0&amp;m=0&amp;s=0&amp;cv=584")</f>
        <v>https://rmda.kulib.kyoto-u.ac.jp/item/rb00000898#?c=0&amp;m=0&amp;s=0&amp;cv=584</v>
      </c>
    </row>
    <row r="3825" spans="1:10" x14ac:dyDescent="0.15">
      <c r="A3825" s="6" t="s">
        <v>225</v>
      </c>
      <c r="B3825" s="6" t="s">
        <v>3863</v>
      </c>
      <c r="C3825" s="6">
        <v>742</v>
      </c>
      <c r="D3825" s="6" t="str">
        <f>HYPERLINK("https://rmda.kulib.kyoto-u.ac.jp/item/rb00008736#?c=0&amp;m=0&amp;s=0&amp;cv=741")</f>
        <v>https://rmda.kulib.kyoto-u.ac.jp/item/rb00008736#?c=0&amp;m=0&amp;s=0&amp;cv=741</v>
      </c>
      <c r="E3825" s="6"/>
      <c r="F3825" s="6"/>
      <c r="G3825" s="6"/>
      <c r="H3825" s="6"/>
      <c r="I3825" s="6">
        <v>586</v>
      </c>
      <c r="J3825" s="6" t="str">
        <f>HYPERLINK("https://rmda.kulib.kyoto-u.ac.jp/item/rb00000898#?c=0&amp;m=0&amp;s=0&amp;cv=585")</f>
        <v>https://rmda.kulib.kyoto-u.ac.jp/item/rb00000898#?c=0&amp;m=0&amp;s=0&amp;cv=585</v>
      </c>
    </row>
    <row r="3826" spans="1:10" x14ac:dyDescent="0.15">
      <c r="A3826" s="6" t="s">
        <v>225</v>
      </c>
      <c r="B3826" s="6" t="s">
        <v>3864</v>
      </c>
      <c r="C3826" s="6">
        <v>742</v>
      </c>
      <c r="D3826" s="6" t="str">
        <f>HYPERLINK("https://rmda.kulib.kyoto-u.ac.jp/item/rb00008736#?c=0&amp;m=0&amp;s=0&amp;cv=741")</f>
        <v>https://rmda.kulib.kyoto-u.ac.jp/item/rb00008736#?c=0&amp;m=0&amp;s=0&amp;cv=741</v>
      </c>
      <c r="E3826" s="6"/>
      <c r="F3826" s="6"/>
      <c r="G3826" s="6"/>
      <c r="H3826" s="6"/>
      <c r="I3826" s="6">
        <v>586</v>
      </c>
      <c r="J3826" s="6" t="str">
        <f>HYPERLINK("https://rmda.kulib.kyoto-u.ac.jp/item/rb00000898#?c=0&amp;m=0&amp;s=0&amp;cv=585")</f>
        <v>https://rmda.kulib.kyoto-u.ac.jp/item/rb00000898#?c=0&amp;m=0&amp;s=0&amp;cv=585</v>
      </c>
    </row>
    <row r="3827" spans="1:10" x14ac:dyDescent="0.15">
      <c r="A3827" s="6" t="s">
        <v>225</v>
      </c>
      <c r="B3827" s="6" t="s">
        <v>6131</v>
      </c>
      <c r="C3827" s="6">
        <v>743</v>
      </c>
      <c r="D3827" s="6" t="str">
        <f>HYPERLINK("https://rmda.kulib.kyoto-u.ac.jp/item/rb00008736#?c=0&amp;m=0&amp;s=0&amp;cv=742")</f>
        <v>https://rmda.kulib.kyoto-u.ac.jp/item/rb00008736#?c=0&amp;m=0&amp;s=0&amp;cv=742</v>
      </c>
      <c r="E3827" s="6"/>
      <c r="F3827" s="6"/>
      <c r="G3827" s="6"/>
      <c r="H3827" s="6"/>
      <c r="I3827" s="6">
        <v>587</v>
      </c>
      <c r="J3827" s="6" t="str">
        <f>HYPERLINK("https://rmda.kulib.kyoto-u.ac.jp/item/rb00000898#?c=0&amp;m=0&amp;s=0&amp;cv=586")</f>
        <v>https://rmda.kulib.kyoto-u.ac.jp/item/rb00000898#?c=0&amp;m=0&amp;s=0&amp;cv=586</v>
      </c>
    </row>
    <row r="3828" spans="1:10" x14ac:dyDescent="0.15">
      <c r="A3828" s="6" t="s">
        <v>225</v>
      </c>
      <c r="B3828" s="6" t="s">
        <v>3865</v>
      </c>
      <c r="C3828" s="6">
        <v>743</v>
      </c>
      <c r="D3828" s="6" t="str">
        <f>HYPERLINK("https://rmda.kulib.kyoto-u.ac.jp/item/rb00008736#?c=0&amp;m=0&amp;s=0&amp;cv=742")</f>
        <v>https://rmda.kulib.kyoto-u.ac.jp/item/rb00008736#?c=0&amp;m=0&amp;s=0&amp;cv=742</v>
      </c>
      <c r="E3828" s="6"/>
      <c r="F3828" s="6"/>
      <c r="G3828" s="6"/>
      <c r="H3828" s="6"/>
      <c r="I3828" s="6">
        <v>587</v>
      </c>
      <c r="J3828" s="6" t="str">
        <f>HYPERLINK("https://rmda.kulib.kyoto-u.ac.jp/item/rb00000898#?c=0&amp;m=0&amp;s=0&amp;cv=586")</f>
        <v>https://rmda.kulib.kyoto-u.ac.jp/item/rb00000898#?c=0&amp;m=0&amp;s=0&amp;cv=586</v>
      </c>
    </row>
    <row r="3829" spans="1:10" x14ac:dyDescent="0.15">
      <c r="A3829" s="6" t="s">
        <v>225</v>
      </c>
      <c r="B3829" s="72" t="s">
        <v>3701</v>
      </c>
      <c r="C3829" s="6">
        <v>745</v>
      </c>
      <c r="D3829" s="6" t="str">
        <f>HYPERLINK("https://rmda.kulib.kyoto-u.ac.jp/item/rb00008736#?c=0&amp;m=0&amp;s=0&amp;cv=744")</f>
        <v>https://rmda.kulib.kyoto-u.ac.jp/item/rb00008736#?c=0&amp;m=0&amp;s=0&amp;cv=744</v>
      </c>
      <c r="E3829" s="6"/>
      <c r="F3829" s="6"/>
      <c r="G3829" s="6"/>
      <c r="H3829" s="6"/>
      <c r="I3829" s="6">
        <v>589</v>
      </c>
      <c r="J3829" s="6" t="str">
        <f>HYPERLINK("https://rmda.kulib.kyoto-u.ac.jp/item/rb00000898#?c=0&amp;m=0&amp;s=0&amp;cv=588")</f>
        <v>https://rmda.kulib.kyoto-u.ac.jp/item/rb00000898#?c=0&amp;m=0&amp;s=0&amp;cv=588</v>
      </c>
    </row>
    <row r="3830" spans="1:10" x14ac:dyDescent="0.15">
      <c r="A3830" s="6" t="s">
        <v>225</v>
      </c>
      <c r="B3830" s="6" t="s">
        <v>3866</v>
      </c>
      <c r="C3830" s="6">
        <v>745</v>
      </c>
      <c r="D3830" s="6" t="str">
        <f>HYPERLINK("https://rmda.kulib.kyoto-u.ac.jp/item/rb00008736#?c=0&amp;m=0&amp;s=0&amp;cv=744")</f>
        <v>https://rmda.kulib.kyoto-u.ac.jp/item/rb00008736#?c=0&amp;m=0&amp;s=0&amp;cv=744</v>
      </c>
      <c r="E3830" s="6"/>
      <c r="F3830" s="6"/>
      <c r="G3830" s="6"/>
      <c r="H3830" s="6"/>
      <c r="I3830" s="6">
        <v>589</v>
      </c>
      <c r="J3830" s="6" t="str">
        <f>HYPERLINK("https://rmda.kulib.kyoto-u.ac.jp/item/rb00000898#?c=0&amp;m=0&amp;s=0&amp;cv=588")</f>
        <v>https://rmda.kulib.kyoto-u.ac.jp/item/rb00000898#?c=0&amp;m=0&amp;s=0&amp;cv=588</v>
      </c>
    </row>
    <row r="3831" spans="1:10" x14ac:dyDescent="0.15">
      <c r="A3831" s="6" t="s">
        <v>225</v>
      </c>
      <c r="B3831" s="6" t="s">
        <v>3867</v>
      </c>
      <c r="C3831" s="6">
        <v>746</v>
      </c>
      <c r="D3831" s="6" t="str">
        <f>HYPERLINK("https://rmda.kulib.kyoto-u.ac.jp/item/rb00008736#?c=0&amp;m=0&amp;s=0&amp;cv=745")</f>
        <v>https://rmda.kulib.kyoto-u.ac.jp/item/rb00008736#?c=0&amp;m=0&amp;s=0&amp;cv=745</v>
      </c>
      <c r="E3831" s="6"/>
      <c r="F3831" s="6"/>
      <c r="G3831" s="6"/>
      <c r="H3831" s="6"/>
      <c r="I3831" s="6">
        <v>590</v>
      </c>
      <c r="J3831" s="6" t="str">
        <f>HYPERLINK("https://rmda.kulib.kyoto-u.ac.jp/item/rb00000898#?c=0&amp;m=0&amp;s=0&amp;cv=589")</f>
        <v>https://rmda.kulib.kyoto-u.ac.jp/item/rb00000898#?c=0&amp;m=0&amp;s=0&amp;cv=589</v>
      </c>
    </row>
    <row r="3832" spans="1:10" x14ac:dyDescent="0.15">
      <c r="A3832" s="6" t="s">
        <v>225</v>
      </c>
      <c r="B3832" s="6" t="s">
        <v>3868</v>
      </c>
      <c r="C3832" s="6">
        <v>746</v>
      </c>
      <c r="D3832" s="6" t="str">
        <f>HYPERLINK("https://rmda.kulib.kyoto-u.ac.jp/item/rb00008736#?c=0&amp;m=0&amp;s=0&amp;cv=745")</f>
        <v>https://rmda.kulib.kyoto-u.ac.jp/item/rb00008736#?c=0&amp;m=0&amp;s=0&amp;cv=745</v>
      </c>
      <c r="E3832" s="6"/>
      <c r="F3832" s="6"/>
      <c r="G3832" s="6"/>
      <c r="H3832" s="6"/>
      <c r="I3832" s="6">
        <v>590</v>
      </c>
      <c r="J3832" s="6" t="str">
        <f>HYPERLINK("https://rmda.kulib.kyoto-u.ac.jp/item/rb00000898#?c=0&amp;m=0&amp;s=0&amp;cv=589")</f>
        <v>https://rmda.kulib.kyoto-u.ac.jp/item/rb00000898#?c=0&amp;m=0&amp;s=0&amp;cv=589</v>
      </c>
    </row>
    <row r="3833" spans="1:10" x14ac:dyDescent="0.15">
      <c r="A3833" s="6" t="s">
        <v>225</v>
      </c>
      <c r="B3833" s="6" t="s">
        <v>3869</v>
      </c>
      <c r="C3833" s="6">
        <v>747</v>
      </c>
      <c r="D3833" s="6" t="str">
        <f>HYPERLINK("https://rmda.kulib.kyoto-u.ac.jp/item/rb00008736#?c=0&amp;m=0&amp;s=0&amp;cv=746")</f>
        <v>https://rmda.kulib.kyoto-u.ac.jp/item/rb00008736#?c=0&amp;m=0&amp;s=0&amp;cv=746</v>
      </c>
      <c r="E3833" s="6"/>
      <c r="F3833" s="6"/>
      <c r="G3833" s="6"/>
      <c r="H3833" s="6"/>
      <c r="I3833" s="6">
        <v>591</v>
      </c>
      <c r="J3833" s="6" t="str">
        <f>HYPERLINK("https://rmda.kulib.kyoto-u.ac.jp/item/rb00000898#?c=0&amp;m=0&amp;s=0&amp;cv=590")</f>
        <v>https://rmda.kulib.kyoto-u.ac.jp/item/rb00000898#?c=0&amp;m=0&amp;s=0&amp;cv=590</v>
      </c>
    </row>
    <row r="3834" spans="1:10" x14ac:dyDescent="0.15">
      <c r="A3834" s="6" t="s">
        <v>225</v>
      </c>
      <c r="B3834" s="6" t="s">
        <v>3870</v>
      </c>
      <c r="C3834" s="6">
        <v>747</v>
      </c>
      <c r="D3834" s="6" t="str">
        <f>HYPERLINK("https://rmda.kulib.kyoto-u.ac.jp/item/rb00008736#?c=0&amp;m=0&amp;s=0&amp;cv=746")</f>
        <v>https://rmda.kulib.kyoto-u.ac.jp/item/rb00008736#?c=0&amp;m=0&amp;s=0&amp;cv=746</v>
      </c>
      <c r="E3834" s="6"/>
      <c r="F3834" s="6"/>
      <c r="G3834" s="6"/>
      <c r="H3834" s="6"/>
      <c r="I3834" s="6">
        <v>591</v>
      </c>
      <c r="J3834" s="6" t="str">
        <f>HYPERLINK("https://rmda.kulib.kyoto-u.ac.jp/item/rb00000898#?c=0&amp;m=0&amp;s=0&amp;cv=590")</f>
        <v>https://rmda.kulib.kyoto-u.ac.jp/item/rb00000898#?c=0&amp;m=0&amp;s=0&amp;cv=590</v>
      </c>
    </row>
    <row r="3835" spans="1:10" x14ac:dyDescent="0.15">
      <c r="A3835" s="6" t="s">
        <v>225</v>
      </c>
      <c r="B3835" s="6" t="s">
        <v>3871</v>
      </c>
      <c r="C3835" s="6">
        <v>747</v>
      </c>
      <c r="D3835" s="6" t="str">
        <f>HYPERLINK("https://rmda.kulib.kyoto-u.ac.jp/item/rb00008736#?c=0&amp;m=0&amp;s=0&amp;cv=746")</f>
        <v>https://rmda.kulib.kyoto-u.ac.jp/item/rb00008736#?c=0&amp;m=0&amp;s=0&amp;cv=746</v>
      </c>
      <c r="E3835" s="6"/>
      <c r="F3835" s="6"/>
      <c r="G3835" s="6"/>
      <c r="H3835" s="6"/>
      <c r="I3835" s="6">
        <v>591</v>
      </c>
      <c r="J3835" s="6" t="str">
        <f>HYPERLINK("https://rmda.kulib.kyoto-u.ac.jp/item/rb00000898#?c=0&amp;m=0&amp;s=0&amp;cv=590")</f>
        <v>https://rmda.kulib.kyoto-u.ac.jp/item/rb00000898#?c=0&amp;m=0&amp;s=0&amp;cv=590</v>
      </c>
    </row>
    <row r="3836" spans="1:10" x14ac:dyDescent="0.15">
      <c r="A3836" s="6" t="s">
        <v>225</v>
      </c>
      <c r="B3836" s="6" t="s">
        <v>3872</v>
      </c>
      <c r="C3836" s="6">
        <v>749</v>
      </c>
      <c r="D3836" s="6" t="str">
        <f>HYPERLINK("https://rmda.kulib.kyoto-u.ac.jp/item/rb00008736#?c=0&amp;m=0&amp;s=0&amp;cv=748")</f>
        <v>https://rmda.kulib.kyoto-u.ac.jp/item/rb00008736#?c=0&amp;m=0&amp;s=0&amp;cv=748</v>
      </c>
      <c r="E3836" s="6"/>
      <c r="F3836" s="6"/>
      <c r="G3836" s="6"/>
      <c r="H3836" s="6"/>
      <c r="I3836" s="6">
        <v>593</v>
      </c>
      <c r="J3836" s="6" t="str">
        <f>HYPERLINK("https://rmda.kulib.kyoto-u.ac.jp/item/rb00000898#?c=0&amp;m=0&amp;s=0&amp;cv=592")</f>
        <v>https://rmda.kulib.kyoto-u.ac.jp/item/rb00000898#?c=0&amp;m=0&amp;s=0&amp;cv=592</v>
      </c>
    </row>
    <row r="3837" spans="1:10" x14ac:dyDescent="0.15">
      <c r="A3837" s="6" t="s">
        <v>225</v>
      </c>
      <c r="B3837" s="6" t="s">
        <v>3873</v>
      </c>
      <c r="C3837" s="6">
        <v>750</v>
      </c>
      <c r="D3837" s="6" t="str">
        <f>HYPERLINK("https://rmda.kulib.kyoto-u.ac.jp/item/rb00008736#?c=0&amp;m=0&amp;s=0&amp;cv=749")</f>
        <v>https://rmda.kulib.kyoto-u.ac.jp/item/rb00008736#?c=0&amp;m=0&amp;s=0&amp;cv=749</v>
      </c>
      <c r="E3837" s="6"/>
      <c r="F3837" s="6"/>
      <c r="G3837" s="6"/>
      <c r="H3837" s="6"/>
      <c r="I3837" s="6">
        <v>594</v>
      </c>
      <c r="J3837" s="6" t="str">
        <f>HYPERLINK("https://rmda.kulib.kyoto-u.ac.jp/item/rb00000898#?c=0&amp;m=0&amp;s=0&amp;cv=593")</f>
        <v>https://rmda.kulib.kyoto-u.ac.jp/item/rb00000898#?c=0&amp;m=0&amp;s=0&amp;cv=593</v>
      </c>
    </row>
    <row r="3838" spans="1:10" x14ac:dyDescent="0.15">
      <c r="A3838" s="6" t="s">
        <v>225</v>
      </c>
      <c r="B3838" s="6" t="s">
        <v>3874</v>
      </c>
      <c r="C3838" s="6">
        <v>751</v>
      </c>
      <c r="D3838" s="6" t="str">
        <f>HYPERLINK("https://rmda.kulib.kyoto-u.ac.jp/item/rb00008736#?c=0&amp;m=0&amp;s=0&amp;cv=750")</f>
        <v>https://rmda.kulib.kyoto-u.ac.jp/item/rb00008736#?c=0&amp;m=0&amp;s=0&amp;cv=750</v>
      </c>
      <c r="E3838" s="6"/>
      <c r="F3838" s="6"/>
      <c r="G3838" s="6"/>
      <c r="H3838" s="6"/>
      <c r="I3838" s="6">
        <v>595</v>
      </c>
      <c r="J3838" s="6" t="str">
        <f>HYPERLINK("https://rmda.kulib.kyoto-u.ac.jp/item/rb00000898#?c=0&amp;m=0&amp;s=0&amp;cv=594")</f>
        <v>https://rmda.kulib.kyoto-u.ac.jp/item/rb00000898#?c=0&amp;m=0&amp;s=0&amp;cv=594</v>
      </c>
    </row>
    <row r="3839" spans="1:10" x14ac:dyDescent="0.15">
      <c r="A3839" s="6" t="s">
        <v>225</v>
      </c>
      <c r="B3839" s="6" t="s">
        <v>3875</v>
      </c>
      <c r="C3839" s="6">
        <v>752</v>
      </c>
      <c r="D3839" s="6" t="str">
        <f>HYPERLINK("https://rmda.kulib.kyoto-u.ac.jp/item/rb00008736#?c=0&amp;m=0&amp;s=0&amp;cv=751")</f>
        <v>https://rmda.kulib.kyoto-u.ac.jp/item/rb00008736#?c=0&amp;m=0&amp;s=0&amp;cv=751</v>
      </c>
      <c r="E3839" s="6"/>
      <c r="F3839" s="6"/>
      <c r="G3839" s="6"/>
      <c r="H3839" s="6"/>
      <c r="I3839" s="6">
        <v>596</v>
      </c>
      <c r="J3839" s="6" t="str">
        <f>HYPERLINK("https://rmda.kulib.kyoto-u.ac.jp/item/rb00000898#?c=0&amp;m=0&amp;s=0&amp;cv=595")</f>
        <v>https://rmda.kulib.kyoto-u.ac.jp/item/rb00000898#?c=0&amp;m=0&amp;s=0&amp;cv=595</v>
      </c>
    </row>
    <row r="3840" spans="1:10" x14ac:dyDescent="0.15">
      <c r="A3840" s="6" t="s">
        <v>225</v>
      </c>
      <c r="B3840" s="6" t="s">
        <v>3876</v>
      </c>
      <c r="C3840" s="6">
        <v>752</v>
      </c>
      <c r="D3840" s="6" t="str">
        <f>HYPERLINK("https://rmda.kulib.kyoto-u.ac.jp/item/rb00008736#?c=0&amp;m=0&amp;s=0&amp;cv=751")</f>
        <v>https://rmda.kulib.kyoto-u.ac.jp/item/rb00008736#?c=0&amp;m=0&amp;s=0&amp;cv=751</v>
      </c>
      <c r="E3840" s="6"/>
      <c r="F3840" s="6"/>
      <c r="G3840" s="6"/>
      <c r="H3840" s="6"/>
      <c r="I3840" s="6">
        <v>596</v>
      </c>
      <c r="J3840" s="6" t="str">
        <f>HYPERLINK("https://rmda.kulib.kyoto-u.ac.jp/item/rb00000898#?c=0&amp;m=0&amp;s=0&amp;cv=595")</f>
        <v>https://rmda.kulib.kyoto-u.ac.jp/item/rb00000898#?c=0&amp;m=0&amp;s=0&amp;cv=595</v>
      </c>
    </row>
    <row r="3841" spans="1:10" x14ac:dyDescent="0.15">
      <c r="A3841" s="6" t="s">
        <v>225</v>
      </c>
      <c r="B3841" s="6" t="s">
        <v>3877</v>
      </c>
      <c r="C3841" s="6">
        <v>753</v>
      </c>
      <c r="D3841" s="6" t="str">
        <f>HYPERLINK("https://rmda.kulib.kyoto-u.ac.jp/item/rb00008736#?c=0&amp;m=0&amp;s=0&amp;cv=752")</f>
        <v>https://rmda.kulib.kyoto-u.ac.jp/item/rb00008736#?c=0&amp;m=0&amp;s=0&amp;cv=752</v>
      </c>
      <c r="E3841" s="6"/>
      <c r="F3841" s="6"/>
      <c r="G3841" s="6"/>
      <c r="H3841" s="6"/>
      <c r="I3841" s="6">
        <v>597</v>
      </c>
      <c r="J3841" s="6" t="str">
        <f>HYPERLINK("https://rmda.kulib.kyoto-u.ac.jp/item/rb00000898#?c=0&amp;m=0&amp;s=0&amp;cv=596")</f>
        <v>https://rmda.kulib.kyoto-u.ac.jp/item/rb00000898#?c=0&amp;m=0&amp;s=0&amp;cv=596</v>
      </c>
    </row>
    <row r="3842" spans="1:10" x14ac:dyDescent="0.15">
      <c r="A3842" s="6" t="s">
        <v>225</v>
      </c>
      <c r="B3842" s="6" t="s">
        <v>3878</v>
      </c>
      <c r="C3842" s="6">
        <v>755</v>
      </c>
      <c r="D3842" s="6" t="str">
        <f>HYPERLINK("https://rmda.kulib.kyoto-u.ac.jp/item/rb00008736#?c=0&amp;m=0&amp;s=0&amp;cv=754")</f>
        <v>https://rmda.kulib.kyoto-u.ac.jp/item/rb00008736#?c=0&amp;m=0&amp;s=0&amp;cv=754</v>
      </c>
      <c r="E3842" s="6"/>
      <c r="F3842" s="6"/>
      <c r="G3842" s="6"/>
      <c r="H3842" s="6"/>
      <c r="I3842" s="6">
        <v>599</v>
      </c>
      <c r="J3842" s="6" t="str">
        <f>HYPERLINK("https://rmda.kulib.kyoto-u.ac.jp/item/rb00000898#?c=0&amp;m=0&amp;s=0&amp;cv=598")</f>
        <v>https://rmda.kulib.kyoto-u.ac.jp/item/rb00000898#?c=0&amp;m=0&amp;s=0&amp;cv=598</v>
      </c>
    </row>
    <row r="3843" spans="1:10" x14ac:dyDescent="0.15">
      <c r="A3843" s="6" t="s">
        <v>225</v>
      </c>
      <c r="B3843" s="6" t="s">
        <v>3879</v>
      </c>
      <c r="C3843" s="6">
        <v>755</v>
      </c>
      <c r="D3843" s="6" t="str">
        <f>HYPERLINK("https://rmda.kulib.kyoto-u.ac.jp/item/rb00008736#?c=0&amp;m=0&amp;s=0&amp;cv=754")</f>
        <v>https://rmda.kulib.kyoto-u.ac.jp/item/rb00008736#?c=0&amp;m=0&amp;s=0&amp;cv=754</v>
      </c>
      <c r="E3843" s="6"/>
      <c r="F3843" s="6"/>
      <c r="G3843" s="6"/>
      <c r="H3843" s="6"/>
      <c r="I3843" s="6">
        <v>599</v>
      </c>
      <c r="J3843" s="6" t="str">
        <f>HYPERLINK("https://rmda.kulib.kyoto-u.ac.jp/item/rb00000898#?c=0&amp;m=0&amp;s=0&amp;cv=598")</f>
        <v>https://rmda.kulib.kyoto-u.ac.jp/item/rb00000898#?c=0&amp;m=0&amp;s=0&amp;cv=598</v>
      </c>
    </row>
    <row r="3844" spans="1:10" x14ac:dyDescent="0.15">
      <c r="A3844" s="6" t="s">
        <v>225</v>
      </c>
      <c r="B3844" s="30" t="s">
        <v>3880</v>
      </c>
      <c r="C3844" s="6">
        <v>755</v>
      </c>
      <c r="D3844" s="6" t="str">
        <f>HYPERLINK("https://rmda.kulib.kyoto-u.ac.jp/item/rb00008736#?c=0&amp;m=0&amp;s=0&amp;cv=754")</f>
        <v>https://rmda.kulib.kyoto-u.ac.jp/item/rb00008736#?c=0&amp;m=0&amp;s=0&amp;cv=754</v>
      </c>
      <c r="E3844" s="6"/>
      <c r="F3844" s="6"/>
      <c r="G3844" s="6"/>
      <c r="H3844" s="6"/>
      <c r="I3844" s="6">
        <v>599</v>
      </c>
      <c r="J3844" s="6" t="str">
        <f>HYPERLINK("https://rmda.kulib.kyoto-u.ac.jp/item/rb00000898#?c=0&amp;m=0&amp;s=0&amp;cv=598")</f>
        <v>https://rmda.kulib.kyoto-u.ac.jp/item/rb00000898#?c=0&amp;m=0&amp;s=0&amp;cv=598</v>
      </c>
    </row>
    <row r="3845" spans="1:10" x14ac:dyDescent="0.15">
      <c r="A3845" s="6" t="s">
        <v>225</v>
      </c>
      <c r="B3845" s="72" t="s">
        <v>3702</v>
      </c>
      <c r="C3845" s="6">
        <v>757</v>
      </c>
      <c r="D3845" s="6" t="str">
        <f>HYPERLINK("https://rmda.kulib.kyoto-u.ac.jp/item/rb00008736#?c=0&amp;m=0&amp;s=0&amp;cv=756")</f>
        <v>https://rmda.kulib.kyoto-u.ac.jp/item/rb00008736#?c=0&amp;m=0&amp;s=0&amp;cv=756</v>
      </c>
      <c r="E3845" s="6"/>
      <c r="F3845" s="6"/>
      <c r="G3845" s="6"/>
      <c r="H3845" s="6"/>
      <c r="I3845" s="6">
        <v>601</v>
      </c>
      <c r="J3845" s="6" t="str">
        <f>HYPERLINK("https://rmda.kulib.kyoto-u.ac.jp/item/rb00000898#?c=0&amp;m=0&amp;s=0&amp;cv=600")</f>
        <v>https://rmda.kulib.kyoto-u.ac.jp/item/rb00000898#?c=0&amp;m=0&amp;s=0&amp;cv=600</v>
      </c>
    </row>
    <row r="3846" spans="1:10" x14ac:dyDescent="0.15">
      <c r="A3846" s="6" t="s">
        <v>225</v>
      </c>
      <c r="B3846" s="6" t="s">
        <v>3881</v>
      </c>
      <c r="C3846" s="6">
        <v>757</v>
      </c>
      <c r="D3846" s="6" t="str">
        <f>HYPERLINK("https://rmda.kulib.kyoto-u.ac.jp/item/rb00008736#?c=0&amp;m=0&amp;s=0&amp;cv=756")</f>
        <v>https://rmda.kulib.kyoto-u.ac.jp/item/rb00008736#?c=0&amp;m=0&amp;s=0&amp;cv=756</v>
      </c>
      <c r="E3846" s="6"/>
      <c r="F3846" s="6"/>
      <c r="G3846" s="6"/>
      <c r="H3846" s="6"/>
      <c r="I3846" s="6">
        <v>601</v>
      </c>
      <c r="J3846" s="6" t="str">
        <f>HYPERLINK("https://rmda.kulib.kyoto-u.ac.jp/item/rb00000898#?c=0&amp;m=0&amp;s=0&amp;cv=600")</f>
        <v>https://rmda.kulib.kyoto-u.ac.jp/item/rb00000898#?c=0&amp;m=0&amp;s=0&amp;cv=600</v>
      </c>
    </row>
    <row r="3847" spans="1:10" x14ac:dyDescent="0.15">
      <c r="A3847" s="6" t="s">
        <v>225</v>
      </c>
      <c r="B3847" s="6" t="s">
        <v>3742</v>
      </c>
      <c r="C3847" s="6">
        <v>757</v>
      </c>
      <c r="D3847" s="6" t="str">
        <f>HYPERLINK("https://rmda.kulib.kyoto-u.ac.jp/item/rb00008736#?c=0&amp;m=0&amp;s=0&amp;cv=756")</f>
        <v>https://rmda.kulib.kyoto-u.ac.jp/item/rb00008736#?c=0&amp;m=0&amp;s=0&amp;cv=756</v>
      </c>
      <c r="E3847" s="6"/>
      <c r="F3847" s="6"/>
      <c r="G3847" s="6"/>
      <c r="H3847" s="6"/>
      <c r="I3847" s="6">
        <v>601</v>
      </c>
      <c r="J3847" s="6" t="str">
        <f>HYPERLINK("https://rmda.kulib.kyoto-u.ac.jp/item/rb00000898#?c=0&amp;m=0&amp;s=0&amp;cv=600")</f>
        <v>https://rmda.kulib.kyoto-u.ac.jp/item/rb00000898#?c=0&amp;m=0&amp;s=0&amp;cv=600</v>
      </c>
    </row>
    <row r="3848" spans="1:10" x14ac:dyDescent="0.15">
      <c r="A3848" s="6" t="s">
        <v>225</v>
      </c>
      <c r="B3848" s="6" t="s">
        <v>3882</v>
      </c>
      <c r="C3848" s="6">
        <v>759</v>
      </c>
      <c r="D3848" s="6" t="str">
        <f>HYPERLINK("https://rmda.kulib.kyoto-u.ac.jp/item/rb00008736#?c=0&amp;m=0&amp;s=0&amp;cv=758")</f>
        <v>https://rmda.kulib.kyoto-u.ac.jp/item/rb00008736#?c=0&amp;m=0&amp;s=0&amp;cv=758</v>
      </c>
      <c r="E3848" s="6"/>
      <c r="F3848" s="6"/>
      <c r="G3848" s="6"/>
      <c r="H3848" s="6"/>
      <c r="I3848" s="6">
        <v>603</v>
      </c>
      <c r="J3848" s="6" t="str">
        <f>HYPERLINK("https://rmda.kulib.kyoto-u.ac.jp/item/rb00000898#?c=0&amp;m=0&amp;s=0&amp;cv=602")</f>
        <v>https://rmda.kulib.kyoto-u.ac.jp/item/rb00000898#?c=0&amp;m=0&amp;s=0&amp;cv=602</v>
      </c>
    </row>
    <row r="3849" spans="1:10" x14ac:dyDescent="0.15">
      <c r="A3849" s="6" t="s">
        <v>225</v>
      </c>
      <c r="B3849" s="6" t="s">
        <v>3883</v>
      </c>
      <c r="C3849" s="6">
        <v>760</v>
      </c>
      <c r="D3849" s="6" t="str">
        <f>HYPERLINK("https://rmda.kulib.kyoto-u.ac.jp/item/rb00008736#?c=0&amp;m=0&amp;s=0&amp;cv=759")</f>
        <v>https://rmda.kulib.kyoto-u.ac.jp/item/rb00008736#?c=0&amp;m=0&amp;s=0&amp;cv=759</v>
      </c>
      <c r="E3849" s="6"/>
      <c r="F3849" s="6"/>
      <c r="G3849" s="6"/>
      <c r="H3849" s="6"/>
      <c r="I3849" s="6">
        <v>604</v>
      </c>
      <c r="J3849" s="6" t="str">
        <f>HYPERLINK("https://rmda.kulib.kyoto-u.ac.jp/item/rb00000898#?c=0&amp;m=0&amp;s=0&amp;cv=603")</f>
        <v>https://rmda.kulib.kyoto-u.ac.jp/item/rb00000898#?c=0&amp;m=0&amp;s=0&amp;cv=603</v>
      </c>
    </row>
    <row r="3850" spans="1:10" x14ac:dyDescent="0.15">
      <c r="A3850" s="6" t="s">
        <v>225</v>
      </c>
      <c r="B3850" s="6" t="s">
        <v>3884</v>
      </c>
      <c r="C3850" s="6">
        <v>761</v>
      </c>
      <c r="D3850" s="6" t="str">
        <f>HYPERLINK("https://rmda.kulib.kyoto-u.ac.jp/item/rb00008736#?c=0&amp;m=0&amp;s=0&amp;cv=760")</f>
        <v>https://rmda.kulib.kyoto-u.ac.jp/item/rb00008736#?c=0&amp;m=0&amp;s=0&amp;cv=760</v>
      </c>
      <c r="E3850" s="6"/>
      <c r="F3850" s="6"/>
      <c r="G3850" s="6"/>
      <c r="H3850" s="6"/>
      <c r="I3850" s="6">
        <v>605</v>
      </c>
      <c r="J3850" s="6" t="str">
        <f>HYPERLINK("https://rmda.kulib.kyoto-u.ac.jp/item/rb00000898#?c=0&amp;m=0&amp;s=0&amp;cv=604")</f>
        <v>https://rmda.kulib.kyoto-u.ac.jp/item/rb00000898#?c=0&amp;m=0&amp;s=0&amp;cv=604</v>
      </c>
    </row>
    <row r="3851" spans="1:10" x14ac:dyDescent="0.15">
      <c r="A3851" s="6" t="s">
        <v>225</v>
      </c>
      <c r="B3851" s="6" t="s">
        <v>3885</v>
      </c>
      <c r="C3851" s="6">
        <v>763</v>
      </c>
      <c r="D3851" s="6" t="str">
        <f>HYPERLINK("https://rmda.kulib.kyoto-u.ac.jp/item/rb00008736#?c=0&amp;m=0&amp;s=0&amp;cv=762")</f>
        <v>https://rmda.kulib.kyoto-u.ac.jp/item/rb00008736#?c=0&amp;m=0&amp;s=0&amp;cv=762</v>
      </c>
      <c r="E3851" s="6"/>
      <c r="F3851" s="6"/>
      <c r="G3851" s="6"/>
      <c r="H3851" s="6"/>
      <c r="I3851" s="6">
        <v>607</v>
      </c>
      <c r="J3851" s="6" t="str">
        <f>HYPERLINK("https://rmda.kulib.kyoto-u.ac.jp/item/rb00000898#?c=0&amp;m=0&amp;s=0&amp;cv=606")</f>
        <v>https://rmda.kulib.kyoto-u.ac.jp/item/rb00000898#?c=0&amp;m=0&amp;s=0&amp;cv=606</v>
      </c>
    </row>
    <row r="3852" spans="1:10" x14ac:dyDescent="0.15">
      <c r="A3852" s="6" t="s">
        <v>225</v>
      </c>
      <c r="B3852" s="6" t="s">
        <v>3886</v>
      </c>
      <c r="C3852" s="6">
        <v>765</v>
      </c>
      <c r="D3852" s="6" t="str">
        <f>HYPERLINK("https://rmda.kulib.kyoto-u.ac.jp/item/rb00008736#?c=0&amp;m=0&amp;s=0&amp;cv=764")</f>
        <v>https://rmda.kulib.kyoto-u.ac.jp/item/rb00008736#?c=0&amp;m=0&amp;s=0&amp;cv=764</v>
      </c>
      <c r="E3852" s="6"/>
      <c r="F3852" s="6"/>
      <c r="G3852" s="6"/>
      <c r="H3852" s="6"/>
      <c r="I3852" s="6">
        <v>609</v>
      </c>
      <c r="J3852" s="6" t="str">
        <f>HYPERLINK("https://rmda.kulib.kyoto-u.ac.jp/item/rb00000898#?c=0&amp;m=0&amp;s=0&amp;cv=608")</f>
        <v>https://rmda.kulib.kyoto-u.ac.jp/item/rb00000898#?c=0&amp;m=0&amp;s=0&amp;cv=608</v>
      </c>
    </row>
    <row r="3853" spans="1:10" x14ac:dyDescent="0.15">
      <c r="A3853" s="6" t="s">
        <v>225</v>
      </c>
      <c r="B3853" s="6" t="s">
        <v>3887</v>
      </c>
      <c r="C3853" s="6">
        <v>767</v>
      </c>
      <c r="D3853" s="6" t="str">
        <f>HYPERLINK("https://rmda.kulib.kyoto-u.ac.jp/item/rb00008736#?c=0&amp;m=0&amp;s=0&amp;cv=766")</f>
        <v>https://rmda.kulib.kyoto-u.ac.jp/item/rb00008736#?c=0&amp;m=0&amp;s=0&amp;cv=766</v>
      </c>
      <c r="E3853" s="6"/>
      <c r="F3853" s="6"/>
      <c r="G3853" s="6"/>
      <c r="H3853" s="6"/>
      <c r="I3853" s="6">
        <v>611</v>
      </c>
      <c r="J3853" s="6" t="str">
        <f>HYPERLINK("https://rmda.kulib.kyoto-u.ac.jp/item/rb00000898#?c=0&amp;m=0&amp;s=0&amp;cv=610")</f>
        <v>https://rmda.kulib.kyoto-u.ac.jp/item/rb00000898#?c=0&amp;m=0&amp;s=0&amp;cv=610</v>
      </c>
    </row>
    <row r="3854" spans="1:10" x14ac:dyDescent="0.15">
      <c r="A3854" s="6" t="s">
        <v>225</v>
      </c>
      <c r="B3854" s="6" t="s">
        <v>3888</v>
      </c>
      <c r="C3854" s="6">
        <v>768</v>
      </c>
      <c r="D3854" s="6" t="str">
        <f>HYPERLINK("https://rmda.kulib.kyoto-u.ac.jp/item/rb00008736#?c=0&amp;m=0&amp;s=0&amp;cv=767")</f>
        <v>https://rmda.kulib.kyoto-u.ac.jp/item/rb00008736#?c=0&amp;m=0&amp;s=0&amp;cv=767</v>
      </c>
      <c r="E3854" s="6"/>
      <c r="F3854" s="6"/>
      <c r="G3854" s="6"/>
      <c r="H3854" s="6"/>
      <c r="I3854" s="6">
        <v>612</v>
      </c>
      <c r="J3854" s="6" t="str">
        <f>HYPERLINK("https://rmda.kulib.kyoto-u.ac.jp/item/rb00000898#?c=0&amp;m=0&amp;s=0&amp;cv=611")</f>
        <v>https://rmda.kulib.kyoto-u.ac.jp/item/rb00000898#?c=0&amp;m=0&amp;s=0&amp;cv=611</v>
      </c>
    </row>
    <row r="3855" spans="1:10" x14ac:dyDescent="0.15">
      <c r="A3855" s="6" t="s">
        <v>225</v>
      </c>
      <c r="B3855" s="72" t="s">
        <v>3703</v>
      </c>
      <c r="C3855" s="6">
        <v>773</v>
      </c>
      <c r="D3855" s="6" t="str">
        <f>HYPERLINK("https://rmda.kulib.kyoto-u.ac.jp/item/rb00008736#?c=0&amp;m=0&amp;s=0&amp;cv=772")</f>
        <v>https://rmda.kulib.kyoto-u.ac.jp/item/rb00008736#?c=0&amp;m=0&amp;s=0&amp;cv=772</v>
      </c>
      <c r="E3855" s="6"/>
      <c r="F3855" s="6"/>
      <c r="G3855" s="6"/>
      <c r="H3855" s="6"/>
      <c r="I3855" s="6">
        <v>616</v>
      </c>
      <c r="J3855" s="6" t="str">
        <f>HYPERLINK("https://rmda.kulib.kyoto-u.ac.jp/item/rb00000898#?c=0&amp;m=0&amp;s=0&amp;cv=615")</f>
        <v>https://rmda.kulib.kyoto-u.ac.jp/item/rb00000898#?c=0&amp;m=0&amp;s=0&amp;cv=615</v>
      </c>
    </row>
    <row r="3856" spans="1:10" x14ac:dyDescent="0.15">
      <c r="A3856" s="6" t="s">
        <v>225</v>
      </c>
      <c r="B3856" s="72" t="s">
        <v>3704</v>
      </c>
      <c r="C3856" s="6">
        <v>773</v>
      </c>
      <c r="D3856" s="6" t="str">
        <f>HYPERLINK("https://rmda.kulib.kyoto-u.ac.jp/item/rb00008736#?c=0&amp;m=0&amp;s=0&amp;cv=772")</f>
        <v>https://rmda.kulib.kyoto-u.ac.jp/item/rb00008736#?c=0&amp;m=0&amp;s=0&amp;cv=772</v>
      </c>
      <c r="E3856" s="6"/>
      <c r="F3856" s="6"/>
      <c r="G3856" s="6"/>
      <c r="H3856" s="6"/>
      <c r="I3856" s="6">
        <v>617</v>
      </c>
      <c r="J3856" s="6" t="str">
        <f>HYPERLINK("https://rmda.kulib.kyoto-u.ac.jp/item/rb00000898#?c=0&amp;m=0&amp;s=0&amp;cv=616")</f>
        <v>https://rmda.kulib.kyoto-u.ac.jp/item/rb00000898#?c=0&amp;m=0&amp;s=0&amp;cv=616</v>
      </c>
    </row>
    <row r="3857" spans="1:10" x14ac:dyDescent="0.15">
      <c r="A3857" s="6" t="s">
        <v>225</v>
      </c>
      <c r="B3857" s="66" t="s">
        <v>3889</v>
      </c>
      <c r="C3857" s="6">
        <v>773</v>
      </c>
      <c r="D3857" s="6" t="str">
        <f>HYPERLINK("https://rmda.kulib.kyoto-u.ac.jp/item/rb00008736#?c=0&amp;m=0&amp;s=0&amp;cv=772")</f>
        <v>https://rmda.kulib.kyoto-u.ac.jp/item/rb00008736#?c=0&amp;m=0&amp;s=0&amp;cv=772</v>
      </c>
      <c r="E3857" s="6"/>
      <c r="F3857" s="6"/>
      <c r="G3857" s="6"/>
      <c r="H3857" s="6"/>
      <c r="I3857" s="6">
        <v>617</v>
      </c>
      <c r="J3857" s="6" t="str">
        <f>HYPERLINK("https://rmda.kulib.kyoto-u.ac.jp/item/rb00000898#?c=0&amp;m=0&amp;s=0&amp;cv=616")</f>
        <v>https://rmda.kulib.kyoto-u.ac.jp/item/rb00000898#?c=0&amp;m=0&amp;s=0&amp;cv=616</v>
      </c>
    </row>
    <row r="3858" spans="1:10" x14ac:dyDescent="0.15">
      <c r="A3858" s="6" t="s">
        <v>225</v>
      </c>
      <c r="B3858" s="6" t="s">
        <v>3890</v>
      </c>
      <c r="C3858" s="6">
        <v>778</v>
      </c>
      <c r="D3858" s="6" t="str">
        <f>HYPERLINK("https://rmda.kulib.kyoto-u.ac.jp/item/rb00008736#?c=0&amp;m=0&amp;s=0&amp;cv=777")</f>
        <v>https://rmda.kulib.kyoto-u.ac.jp/item/rb00008736#?c=0&amp;m=0&amp;s=0&amp;cv=777</v>
      </c>
      <c r="E3858" s="6"/>
      <c r="F3858" s="6"/>
      <c r="G3858" s="6"/>
      <c r="H3858" s="6"/>
      <c r="I3858" s="6">
        <v>622</v>
      </c>
      <c r="J3858" s="6" t="str">
        <f>HYPERLINK("https://rmda.kulib.kyoto-u.ac.jp/item/rb00000898#?c=0&amp;m=0&amp;s=0&amp;cv=621")</f>
        <v>https://rmda.kulib.kyoto-u.ac.jp/item/rb00000898#?c=0&amp;m=0&amp;s=0&amp;cv=621</v>
      </c>
    </row>
    <row r="3859" spans="1:10" x14ac:dyDescent="0.15">
      <c r="A3859" s="6" t="s">
        <v>225</v>
      </c>
      <c r="B3859" s="6" t="s">
        <v>3891</v>
      </c>
      <c r="C3859" s="6">
        <v>779</v>
      </c>
      <c r="D3859" s="6" t="str">
        <f>HYPERLINK("https://rmda.kulib.kyoto-u.ac.jp/item/rb00008736#?c=0&amp;m=0&amp;s=0&amp;cv=778")</f>
        <v>https://rmda.kulib.kyoto-u.ac.jp/item/rb00008736#?c=0&amp;m=0&amp;s=0&amp;cv=778</v>
      </c>
      <c r="E3859" s="6"/>
      <c r="F3859" s="6"/>
      <c r="G3859" s="6"/>
      <c r="H3859" s="6"/>
      <c r="I3859" s="6">
        <v>623</v>
      </c>
      <c r="J3859" s="6" t="str">
        <f>HYPERLINK("https://rmda.kulib.kyoto-u.ac.jp/item/rb00000898#?c=0&amp;m=0&amp;s=0&amp;cv=622")</f>
        <v>https://rmda.kulib.kyoto-u.ac.jp/item/rb00000898#?c=0&amp;m=0&amp;s=0&amp;cv=622</v>
      </c>
    </row>
    <row r="3860" spans="1:10" x14ac:dyDescent="0.15">
      <c r="A3860" s="6" t="s">
        <v>225</v>
      </c>
      <c r="B3860" s="6" t="s">
        <v>3892</v>
      </c>
      <c r="C3860" s="6">
        <v>781</v>
      </c>
      <c r="D3860" s="6" t="str">
        <f>HYPERLINK("https://rmda.kulib.kyoto-u.ac.jp/item/rb00008736#?c=0&amp;m=0&amp;s=0&amp;cv=780")</f>
        <v>https://rmda.kulib.kyoto-u.ac.jp/item/rb00008736#?c=0&amp;m=0&amp;s=0&amp;cv=780</v>
      </c>
      <c r="E3860" s="6"/>
      <c r="F3860" s="6"/>
      <c r="G3860" s="6"/>
      <c r="H3860" s="6"/>
      <c r="I3860" s="6">
        <v>625</v>
      </c>
      <c r="J3860" s="6" t="str">
        <f>HYPERLINK("https://rmda.kulib.kyoto-u.ac.jp/item/rb00000898#?c=0&amp;m=0&amp;s=0&amp;cv=624")</f>
        <v>https://rmda.kulib.kyoto-u.ac.jp/item/rb00000898#?c=0&amp;m=0&amp;s=0&amp;cv=624</v>
      </c>
    </row>
    <row r="3861" spans="1:10" x14ac:dyDescent="0.15">
      <c r="A3861" s="6" t="s">
        <v>225</v>
      </c>
      <c r="B3861" s="6" t="s">
        <v>3893</v>
      </c>
      <c r="C3861" s="6">
        <v>782</v>
      </c>
      <c r="D3861" s="6" t="str">
        <f>HYPERLINK("https://rmda.kulib.kyoto-u.ac.jp/item/rb00008736#?c=0&amp;m=0&amp;s=0&amp;cv=781")</f>
        <v>https://rmda.kulib.kyoto-u.ac.jp/item/rb00008736#?c=0&amp;m=0&amp;s=0&amp;cv=781</v>
      </c>
      <c r="E3861" s="6"/>
      <c r="F3861" s="6"/>
      <c r="G3861" s="6"/>
      <c r="H3861" s="6"/>
      <c r="I3861" s="6">
        <v>626</v>
      </c>
      <c r="J3861" s="6" t="str">
        <f>HYPERLINK("https://rmda.kulib.kyoto-u.ac.jp/item/rb00000898#?c=0&amp;m=0&amp;s=0&amp;cv=625")</f>
        <v>https://rmda.kulib.kyoto-u.ac.jp/item/rb00000898#?c=0&amp;m=0&amp;s=0&amp;cv=625</v>
      </c>
    </row>
    <row r="3862" spans="1:10" x14ac:dyDescent="0.15">
      <c r="A3862" s="6" t="s">
        <v>225</v>
      </c>
      <c r="B3862" s="6" t="s">
        <v>3894</v>
      </c>
      <c r="C3862" s="6">
        <v>790</v>
      </c>
      <c r="D3862" s="6" t="str">
        <f>HYPERLINK("https://rmda.kulib.kyoto-u.ac.jp/item/rb00008736#?c=0&amp;m=0&amp;s=0&amp;cv=789")</f>
        <v>https://rmda.kulib.kyoto-u.ac.jp/item/rb00008736#?c=0&amp;m=0&amp;s=0&amp;cv=789</v>
      </c>
      <c r="E3862" s="6"/>
      <c r="F3862" s="6"/>
      <c r="G3862" s="6"/>
      <c r="H3862" s="6"/>
      <c r="I3862" s="6">
        <v>634</v>
      </c>
      <c r="J3862" s="6" t="str">
        <f>HYPERLINK("https://rmda.kulib.kyoto-u.ac.jp/item/rb00000898#?c=0&amp;m=0&amp;s=0&amp;cv=633")</f>
        <v>https://rmda.kulib.kyoto-u.ac.jp/item/rb00000898#?c=0&amp;m=0&amp;s=0&amp;cv=633</v>
      </c>
    </row>
    <row r="3863" spans="1:10" x14ac:dyDescent="0.15">
      <c r="A3863" s="6" t="s">
        <v>225</v>
      </c>
      <c r="B3863" s="6" t="s">
        <v>3895</v>
      </c>
      <c r="C3863" s="6">
        <v>792</v>
      </c>
      <c r="D3863" s="6" t="str">
        <f>HYPERLINK("https://rmda.kulib.kyoto-u.ac.jp/item/rb00008736#?c=0&amp;m=0&amp;s=0&amp;cv=791")</f>
        <v>https://rmda.kulib.kyoto-u.ac.jp/item/rb00008736#?c=0&amp;m=0&amp;s=0&amp;cv=791</v>
      </c>
      <c r="E3863" s="6"/>
      <c r="F3863" s="6"/>
      <c r="G3863" s="6"/>
      <c r="H3863" s="6"/>
      <c r="I3863" s="6">
        <v>636</v>
      </c>
      <c r="J3863" s="6" t="str">
        <f>HYPERLINK("https://rmda.kulib.kyoto-u.ac.jp/item/rb00000898#?c=0&amp;m=0&amp;s=0&amp;cv=635")</f>
        <v>https://rmda.kulib.kyoto-u.ac.jp/item/rb00000898#?c=0&amp;m=0&amp;s=0&amp;cv=635</v>
      </c>
    </row>
    <row r="3864" spans="1:10" x14ac:dyDescent="0.15">
      <c r="A3864" s="6" t="s">
        <v>225</v>
      </c>
      <c r="B3864" s="72" t="s">
        <v>3896</v>
      </c>
      <c r="C3864" s="6">
        <v>797</v>
      </c>
      <c r="D3864" s="6" t="str">
        <f>HYPERLINK("https://rmda.kulib.kyoto-u.ac.jp/item/rb00008736#?c=0&amp;m=0&amp;s=0&amp;cv=796")</f>
        <v>https://rmda.kulib.kyoto-u.ac.jp/item/rb00008736#?c=0&amp;m=0&amp;s=0&amp;cv=796</v>
      </c>
      <c r="E3864" s="6"/>
      <c r="F3864" s="6"/>
      <c r="G3864" s="6"/>
      <c r="H3864" s="6"/>
      <c r="I3864" s="6">
        <v>641</v>
      </c>
      <c r="J3864" s="6" t="str">
        <f>HYPERLINK("https://rmda.kulib.kyoto-u.ac.jp/item/rb00000898#?c=0&amp;m=0&amp;s=0&amp;cv=640")</f>
        <v>https://rmda.kulib.kyoto-u.ac.jp/item/rb00000898#?c=0&amp;m=0&amp;s=0&amp;cv=640</v>
      </c>
    </row>
    <row r="3865" spans="1:10" x14ac:dyDescent="0.15">
      <c r="A3865" s="6" t="s">
        <v>225</v>
      </c>
      <c r="B3865" s="6" t="s">
        <v>3897</v>
      </c>
      <c r="C3865" s="6">
        <v>797</v>
      </c>
      <c r="D3865" s="6" t="str">
        <f>HYPERLINK("https://rmda.kulib.kyoto-u.ac.jp/item/rb00008736#?c=0&amp;m=0&amp;s=0&amp;cv=796")</f>
        <v>https://rmda.kulib.kyoto-u.ac.jp/item/rb00008736#?c=0&amp;m=0&amp;s=0&amp;cv=796</v>
      </c>
      <c r="E3865" s="6"/>
      <c r="F3865" s="6"/>
      <c r="G3865" s="6"/>
      <c r="H3865" s="6"/>
      <c r="I3865" s="6">
        <v>641</v>
      </c>
      <c r="J3865" s="6" t="str">
        <f>HYPERLINK("https://rmda.kulib.kyoto-u.ac.jp/item/rb00000898#?c=0&amp;m=0&amp;s=0&amp;cv=640")</f>
        <v>https://rmda.kulib.kyoto-u.ac.jp/item/rb00000898#?c=0&amp;m=0&amp;s=0&amp;cv=640</v>
      </c>
    </row>
    <row r="3866" spans="1:10" x14ac:dyDescent="0.15">
      <c r="A3866" s="6" t="s">
        <v>225</v>
      </c>
      <c r="B3866" s="6" t="s">
        <v>3898</v>
      </c>
      <c r="C3866" s="6">
        <v>800</v>
      </c>
      <c r="D3866" s="6" t="str">
        <f>HYPERLINK("https://rmda.kulib.kyoto-u.ac.jp/item/rb00008736#?c=0&amp;m=0&amp;s=0&amp;cv=799")</f>
        <v>https://rmda.kulib.kyoto-u.ac.jp/item/rb00008736#?c=0&amp;m=0&amp;s=0&amp;cv=799</v>
      </c>
      <c r="E3866" s="6"/>
      <c r="F3866" s="6"/>
      <c r="G3866" s="6"/>
      <c r="H3866" s="6"/>
      <c r="I3866" s="6">
        <v>644</v>
      </c>
      <c r="J3866" s="6" t="str">
        <f>HYPERLINK("https://rmda.kulib.kyoto-u.ac.jp/item/rb00000898#?c=0&amp;m=0&amp;s=0&amp;cv=643")</f>
        <v>https://rmda.kulib.kyoto-u.ac.jp/item/rb00000898#?c=0&amp;m=0&amp;s=0&amp;cv=643</v>
      </c>
    </row>
    <row r="3867" spans="1:10" x14ac:dyDescent="0.15">
      <c r="A3867" s="6" t="s">
        <v>225</v>
      </c>
      <c r="B3867" s="6" t="s">
        <v>3899</v>
      </c>
      <c r="C3867" s="6">
        <v>802</v>
      </c>
      <c r="D3867" s="6" t="str">
        <f>HYPERLINK("https://rmda.kulib.kyoto-u.ac.jp/item/rb00008736#?c=0&amp;m=0&amp;s=0&amp;cv=801")</f>
        <v>https://rmda.kulib.kyoto-u.ac.jp/item/rb00008736#?c=0&amp;m=0&amp;s=0&amp;cv=801</v>
      </c>
      <c r="E3867" s="6"/>
      <c r="F3867" s="6"/>
      <c r="G3867" s="6"/>
      <c r="H3867" s="6"/>
      <c r="I3867" s="6">
        <v>646</v>
      </c>
      <c r="J3867" s="6" t="str">
        <f>HYPERLINK("https://rmda.kulib.kyoto-u.ac.jp/item/rb00000898#?c=0&amp;m=0&amp;s=0&amp;cv=645")</f>
        <v>https://rmda.kulib.kyoto-u.ac.jp/item/rb00000898#?c=0&amp;m=0&amp;s=0&amp;cv=645</v>
      </c>
    </row>
    <row r="3868" spans="1:10" x14ac:dyDescent="0.15">
      <c r="A3868" s="6" t="s">
        <v>225</v>
      </c>
      <c r="B3868" s="6" t="s">
        <v>3900</v>
      </c>
      <c r="C3868" s="6">
        <v>803</v>
      </c>
      <c r="D3868" s="6" t="str">
        <f>HYPERLINK("https://rmda.kulib.kyoto-u.ac.jp/item/rb00008736#?c=0&amp;m=0&amp;s=0&amp;cv=802")</f>
        <v>https://rmda.kulib.kyoto-u.ac.jp/item/rb00008736#?c=0&amp;m=0&amp;s=0&amp;cv=802</v>
      </c>
      <c r="E3868" s="6"/>
      <c r="F3868" s="6"/>
      <c r="G3868" s="6"/>
      <c r="H3868" s="6"/>
      <c r="I3868" s="6">
        <v>647</v>
      </c>
      <c r="J3868" s="6" t="str">
        <f>HYPERLINK("https://rmda.kulib.kyoto-u.ac.jp/item/rb00000898#?c=0&amp;m=0&amp;s=0&amp;cv=646")</f>
        <v>https://rmda.kulib.kyoto-u.ac.jp/item/rb00000898#?c=0&amp;m=0&amp;s=0&amp;cv=646</v>
      </c>
    </row>
    <row r="3869" spans="1:10" x14ac:dyDescent="0.15">
      <c r="A3869" s="6" t="s">
        <v>225</v>
      </c>
      <c r="B3869" s="6" t="s">
        <v>3901</v>
      </c>
      <c r="C3869" s="6">
        <v>804</v>
      </c>
      <c r="D3869" s="6" t="str">
        <f>HYPERLINK("https://rmda.kulib.kyoto-u.ac.jp/item/rb00008736#?c=0&amp;m=0&amp;s=0&amp;cv=803")</f>
        <v>https://rmda.kulib.kyoto-u.ac.jp/item/rb00008736#?c=0&amp;m=0&amp;s=0&amp;cv=803</v>
      </c>
      <c r="E3869" s="6"/>
      <c r="F3869" s="6"/>
      <c r="G3869" s="6"/>
      <c r="H3869" s="6"/>
      <c r="I3869" s="6">
        <v>648</v>
      </c>
      <c r="J3869" s="6" t="str">
        <f>HYPERLINK("https://rmda.kulib.kyoto-u.ac.jp/item/rb00000898#?c=0&amp;m=0&amp;s=0&amp;cv=647")</f>
        <v>https://rmda.kulib.kyoto-u.ac.jp/item/rb00000898#?c=0&amp;m=0&amp;s=0&amp;cv=647</v>
      </c>
    </row>
    <row r="3870" spans="1:10" x14ac:dyDescent="0.15">
      <c r="A3870" s="6" t="s">
        <v>225</v>
      </c>
      <c r="B3870" s="6" t="s">
        <v>3902</v>
      </c>
      <c r="C3870" s="6">
        <v>804</v>
      </c>
      <c r="D3870" s="6" t="str">
        <f>HYPERLINK("https://rmda.kulib.kyoto-u.ac.jp/item/rb00008736#?c=0&amp;m=0&amp;s=0&amp;cv=803")</f>
        <v>https://rmda.kulib.kyoto-u.ac.jp/item/rb00008736#?c=0&amp;m=0&amp;s=0&amp;cv=803</v>
      </c>
      <c r="E3870" s="6"/>
      <c r="F3870" s="6"/>
      <c r="G3870" s="6"/>
      <c r="H3870" s="6"/>
      <c r="I3870" s="6">
        <v>648</v>
      </c>
      <c r="J3870" s="6" t="str">
        <f>HYPERLINK("https://rmda.kulib.kyoto-u.ac.jp/item/rb00000898#?c=0&amp;m=0&amp;s=0&amp;cv=647")</f>
        <v>https://rmda.kulib.kyoto-u.ac.jp/item/rb00000898#?c=0&amp;m=0&amp;s=0&amp;cv=647</v>
      </c>
    </row>
    <row r="3871" spans="1:10" x14ac:dyDescent="0.15">
      <c r="A3871" s="6" t="s">
        <v>225</v>
      </c>
      <c r="B3871" s="6" t="s">
        <v>3903</v>
      </c>
      <c r="C3871" s="6">
        <v>807</v>
      </c>
      <c r="D3871" s="6" t="str">
        <f>HYPERLINK("https://rmda.kulib.kyoto-u.ac.jp/item/rb00008736#?c=0&amp;m=0&amp;s=0&amp;cv=806")</f>
        <v>https://rmda.kulib.kyoto-u.ac.jp/item/rb00008736#?c=0&amp;m=0&amp;s=0&amp;cv=806</v>
      </c>
      <c r="E3871" s="6"/>
      <c r="F3871" s="6"/>
      <c r="G3871" s="6"/>
      <c r="H3871" s="6"/>
      <c r="I3871" s="6">
        <v>651</v>
      </c>
      <c r="J3871" s="6" t="str">
        <f>HYPERLINK("https://rmda.kulib.kyoto-u.ac.jp/item/rb00000898#?c=0&amp;m=0&amp;s=0&amp;cv=650")</f>
        <v>https://rmda.kulib.kyoto-u.ac.jp/item/rb00000898#?c=0&amp;m=0&amp;s=0&amp;cv=650</v>
      </c>
    </row>
    <row r="3872" spans="1:10" x14ac:dyDescent="0.15">
      <c r="A3872" s="6" t="s">
        <v>225</v>
      </c>
      <c r="B3872" s="6" t="s">
        <v>3904</v>
      </c>
      <c r="C3872" s="6">
        <v>807</v>
      </c>
      <c r="D3872" s="6" t="str">
        <f>HYPERLINK("https://rmda.kulib.kyoto-u.ac.jp/item/rb00008736#?c=0&amp;m=0&amp;s=0&amp;cv=806")</f>
        <v>https://rmda.kulib.kyoto-u.ac.jp/item/rb00008736#?c=0&amp;m=0&amp;s=0&amp;cv=806</v>
      </c>
      <c r="E3872" s="6"/>
      <c r="F3872" s="6"/>
      <c r="G3872" s="6"/>
      <c r="H3872" s="6"/>
      <c r="I3872" s="6">
        <v>651</v>
      </c>
      <c r="J3872" s="6" t="str">
        <f>HYPERLINK("https://rmda.kulib.kyoto-u.ac.jp/item/rb00000898#?c=0&amp;m=0&amp;s=0&amp;cv=650")</f>
        <v>https://rmda.kulib.kyoto-u.ac.jp/item/rb00000898#?c=0&amp;m=0&amp;s=0&amp;cv=650</v>
      </c>
    </row>
    <row r="3873" spans="1:10" x14ac:dyDescent="0.15">
      <c r="A3873" s="6" t="s">
        <v>225</v>
      </c>
      <c r="B3873" s="6" t="s">
        <v>3905</v>
      </c>
      <c r="C3873" s="6">
        <v>808</v>
      </c>
      <c r="D3873" s="6" t="str">
        <f>HYPERLINK("https://rmda.kulib.kyoto-u.ac.jp/item/rb00008736#?c=0&amp;m=0&amp;s=0&amp;cv=807")</f>
        <v>https://rmda.kulib.kyoto-u.ac.jp/item/rb00008736#?c=0&amp;m=0&amp;s=0&amp;cv=807</v>
      </c>
      <c r="E3873" s="6"/>
      <c r="F3873" s="6"/>
      <c r="G3873" s="6"/>
      <c r="H3873" s="6"/>
      <c r="I3873" s="6">
        <v>652</v>
      </c>
      <c r="J3873" s="6" t="str">
        <f>HYPERLINK("https://rmda.kulib.kyoto-u.ac.jp/item/rb00000898#?c=0&amp;m=0&amp;s=0&amp;cv=651")</f>
        <v>https://rmda.kulib.kyoto-u.ac.jp/item/rb00000898#?c=0&amp;m=0&amp;s=0&amp;cv=651</v>
      </c>
    </row>
    <row r="3874" spans="1:10" x14ac:dyDescent="0.15">
      <c r="A3874" s="6" t="s">
        <v>225</v>
      </c>
      <c r="B3874" s="6" t="s">
        <v>3906</v>
      </c>
      <c r="C3874" s="6">
        <v>809</v>
      </c>
      <c r="D3874" s="6" t="str">
        <f>HYPERLINK("https://rmda.kulib.kyoto-u.ac.jp/item/rb00008736#?c=0&amp;m=0&amp;s=0&amp;cv=808")</f>
        <v>https://rmda.kulib.kyoto-u.ac.jp/item/rb00008736#?c=0&amp;m=0&amp;s=0&amp;cv=808</v>
      </c>
      <c r="E3874" s="6"/>
      <c r="F3874" s="6"/>
      <c r="G3874" s="6"/>
      <c r="H3874" s="6"/>
      <c r="I3874" s="6">
        <v>653</v>
      </c>
      <c r="J3874" s="6" t="str">
        <f>HYPERLINK("https://rmda.kulib.kyoto-u.ac.jp/item/rb00000898#?c=0&amp;m=0&amp;s=0&amp;cv=652")</f>
        <v>https://rmda.kulib.kyoto-u.ac.jp/item/rb00000898#?c=0&amp;m=0&amp;s=0&amp;cv=652</v>
      </c>
    </row>
    <row r="3875" spans="1:10" x14ac:dyDescent="0.15">
      <c r="A3875" s="6" t="s">
        <v>225</v>
      </c>
      <c r="B3875" s="6" t="s">
        <v>3907</v>
      </c>
      <c r="C3875" s="6">
        <v>809</v>
      </c>
      <c r="D3875" s="6" t="str">
        <f>HYPERLINK("https://rmda.kulib.kyoto-u.ac.jp/item/rb00008736#?c=0&amp;m=0&amp;s=0&amp;cv=808")</f>
        <v>https://rmda.kulib.kyoto-u.ac.jp/item/rb00008736#?c=0&amp;m=0&amp;s=0&amp;cv=808</v>
      </c>
      <c r="E3875" s="6"/>
      <c r="F3875" s="6"/>
      <c r="G3875" s="6"/>
      <c r="H3875" s="6"/>
      <c r="I3875" s="6">
        <v>653</v>
      </c>
      <c r="J3875" s="6" t="str">
        <f>HYPERLINK("https://rmda.kulib.kyoto-u.ac.jp/item/rb00000898#?c=0&amp;m=0&amp;s=0&amp;cv=652")</f>
        <v>https://rmda.kulib.kyoto-u.ac.jp/item/rb00000898#?c=0&amp;m=0&amp;s=0&amp;cv=652</v>
      </c>
    </row>
    <row r="3876" spans="1:10" x14ac:dyDescent="0.15">
      <c r="A3876" s="6" t="s">
        <v>225</v>
      </c>
      <c r="B3876" s="6" t="s">
        <v>3908</v>
      </c>
      <c r="C3876" s="6">
        <v>814</v>
      </c>
      <c r="D3876" s="6" t="str">
        <f>HYPERLINK("https://rmda.kulib.kyoto-u.ac.jp/item/rb00008736#?c=0&amp;m=0&amp;s=0&amp;cv=813")</f>
        <v>https://rmda.kulib.kyoto-u.ac.jp/item/rb00008736#?c=0&amp;m=0&amp;s=0&amp;cv=813</v>
      </c>
      <c r="E3876" s="6"/>
      <c r="F3876" s="6"/>
      <c r="G3876" s="6"/>
      <c r="H3876" s="6"/>
      <c r="I3876" s="6">
        <v>658</v>
      </c>
      <c r="J3876" s="6" t="str">
        <f>HYPERLINK("https://rmda.kulib.kyoto-u.ac.jp/item/rb00000898#?c=0&amp;m=0&amp;s=0&amp;cv=657")</f>
        <v>https://rmda.kulib.kyoto-u.ac.jp/item/rb00000898#?c=0&amp;m=0&amp;s=0&amp;cv=657</v>
      </c>
    </row>
    <row r="3877" spans="1:10" x14ac:dyDescent="0.15">
      <c r="A3877" s="6" t="s">
        <v>225</v>
      </c>
      <c r="B3877" s="6" t="s">
        <v>3909</v>
      </c>
      <c r="C3877" s="6">
        <v>816</v>
      </c>
      <c r="D3877" s="6" t="str">
        <f>HYPERLINK("https://rmda.kulib.kyoto-u.ac.jp/item/rb00008736#?c=0&amp;m=0&amp;s=0&amp;cv=815")</f>
        <v>https://rmda.kulib.kyoto-u.ac.jp/item/rb00008736#?c=0&amp;m=0&amp;s=0&amp;cv=815</v>
      </c>
      <c r="E3877" s="6"/>
      <c r="F3877" s="6"/>
      <c r="G3877" s="6"/>
      <c r="H3877" s="6"/>
      <c r="I3877" s="6">
        <v>660</v>
      </c>
      <c r="J3877" s="6" t="str">
        <f>HYPERLINK("https://rmda.kulib.kyoto-u.ac.jp/item/rb00000898#?c=0&amp;m=0&amp;s=0&amp;cv=659")</f>
        <v>https://rmda.kulib.kyoto-u.ac.jp/item/rb00000898#?c=0&amp;m=0&amp;s=0&amp;cv=659</v>
      </c>
    </row>
    <row r="3878" spans="1:10" x14ac:dyDescent="0.15">
      <c r="A3878" s="6" t="s">
        <v>225</v>
      </c>
      <c r="B3878" s="6" t="s">
        <v>3910</v>
      </c>
      <c r="C3878" s="6">
        <v>816</v>
      </c>
      <c r="D3878" s="6" t="str">
        <f>HYPERLINK("https://rmda.kulib.kyoto-u.ac.jp/item/rb00008736#?c=0&amp;m=0&amp;s=0&amp;cv=815")</f>
        <v>https://rmda.kulib.kyoto-u.ac.jp/item/rb00008736#?c=0&amp;m=0&amp;s=0&amp;cv=815</v>
      </c>
      <c r="E3878" s="6"/>
      <c r="F3878" s="6"/>
      <c r="G3878" s="6"/>
      <c r="H3878" s="6"/>
      <c r="I3878" s="6">
        <v>660</v>
      </c>
      <c r="J3878" s="6" t="str">
        <f>HYPERLINK("https://rmda.kulib.kyoto-u.ac.jp/item/rb00000898#?c=0&amp;m=0&amp;s=0&amp;cv=659")</f>
        <v>https://rmda.kulib.kyoto-u.ac.jp/item/rb00000898#?c=0&amp;m=0&amp;s=0&amp;cv=659</v>
      </c>
    </row>
    <row r="3879" spans="1:10" x14ac:dyDescent="0.15">
      <c r="A3879" s="6" t="s">
        <v>225</v>
      </c>
      <c r="B3879" s="6" t="s">
        <v>3911</v>
      </c>
      <c r="C3879" s="6">
        <v>816</v>
      </c>
      <c r="D3879" s="6" t="str">
        <f>HYPERLINK("https://rmda.kulib.kyoto-u.ac.jp/item/rb00008736#?c=0&amp;m=0&amp;s=0&amp;cv=815")</f>
        <v>https://rmda.kulib.kyoto-u.ac.jp/item/rb00008736#?c=0&amp;m=0&amp;s=0&amp;cv=815</v>
      </c>
      <c r="E3879" s="6"/>
      <c r="F3879" s="6"/>
      <c r="G3879" s="6"/>
      <c r="H3879" s="6"/>
      <c r="I3879" s="6">
        <v>660</v>
      </c>
      <c r="J3879" s="6" t="str">
        <f>HYPERLINK("https://rmda.kulib.kyoto-u.ac.jp/item/rb00000898#?c=0&amp;m=0&amp;s=0&amp;cv=659")</f>
        <v>https://rmda.kulib.kyoto-u.ac.jp/item/rb00000898#?c=0&amp;m=0&amp;s=0&amp;cv=659</v>
      </c>
    </row>
    <row r="3880" spans="1:10" x14ac:dyDescent="0.15">
      <c r="A3880" s="6" t="s">
        <v>225</v>
      </c>
      <c r="B3880" s="6" t="s">
        <v>3912</v>
      </c>
      <c r="C3880" s="6">
        <v>817</v>
      </c>
      <c r="D3880" s="6" t="str">
        <f>HYPERLINK("https://rmda.kulib.kyoto-u.ac.jp/item/rb00008736#?c=0&amp;m=0&amp;s=0&amp;cv=816")</f>
        <v>https://rmda.kulib.kyoto-u.ac.jp/item/rb00008736#?c=0&amp;m=0&amp;s=0&amp;cv=816</v>
      </c>
      <c r="E3880" s="6"/>
      <c r="F3880" s="6"/>
      <c r="G3880" s="6"/>
      <c r="H3880" s="6"/>
      <c r="I3880" s="6">
        <v>661</v>
      </c>
      <c r="J3880" s="6" t="str">
        <f>HYPERLINK("https://rmda.kulib.kyoto-u.ac.jp/item/rb00000898#?c=0&amp;m=0&amp;s=0&amp;cv=660")</f>
        <v>https://rmda.kulib.kyoto-u.ac.jp/item/rb00000898#?c=0&amp;m=0&amp;s=0&amp;cv=660</v>
      </c>
    </row>
    <row r="3881" spans="1:10" x14ac:dyDescent="0.15">
      <c r="A3881" s="6" t="s">
        <v>225</v>
      </c>
      <c r="B3881" s="6" t="s">
        <v>3913</v>
      </c>
      <c r="C3881" s="6">
        <v>818</v>
      </c>
      <c r="D3881" s="6" t="str">
        <f>HYPERLINK("https://rmda.kulib.kyoto-u.ac.jp/item/rb00008736#?c=0&amp;m=0&amp;s=0&amp;cv=817")</f>
        <v>https://rmda.kulib.kyoto-u.ac.jp/item/rb00008736#?c=0&amp;m=0&amp;s=0&amp;cv=817</v>
      </c>
      <c r="E3881" s="6"/>
      <c r="F3881" s="6"/>
      <c r="G3881" s="6"/>
      <c r="H3881" s="6"/>
      <c r="I3881" s="6">
        <v>662</v>
      </c>
      <c r="J3881" s="6" t="str">
        <f>HYPERLINK("https://rmda.kulib.kyoto-u.ac.jp/item/rb00000898#?c=0&amp;m=0&amp;s=0&amp;cv=661")</f>
        <v>https://rmda.kulib.kyoto-u.ac.jp/item/rb00000898#?c=0&amp;m=0&amp;s=0&amp;cv=661</v>
      </c>
    </row>
    <row r="3882" spans="1:10" x14ac:dyDescent="0.15">
      <c r="A3882" s="6" t="s">
        <v>225</v>
      </c>
      <c r="B3882" s="6" t="s">
        <v>3914</v>
      </c>
      <c r="C3882" s="6">
        <v>819</v>
      </c>
      <c r="D3882" s="6" t="str">
        <f>HYPERLINK("https://rmda.kulib.kyoto-u.ac.jp/item/rb00008736#?c=0&amp;m=0&amp;s=0&amp;cv=818")</f>
        <v>https://rmda.kulib.kyoto-u.ac.jp/item/rb00008736#?c=0&amp;m=0&amp;s=0&amp;cv=818</v>
      </c>
      <c r="E3882" s="6"/>
      <c r="F3882" s="6"/>
      <c r="G3882" s="6"/>
      <c r="H3882" s="6"/>
      <c r="I3882" s="6">
        <v>663</v>
      </c>
      <c r="J3882" s="6" t="str">
        <f>HYPERLINK("https://rmda.kulib.kyoto-u.ac.jp/item/rb00000898#?c=0&amp;m=0&amp;s=0&amp;cv=662")</f>
        <v>https://rmda.kulib.kyoto-u.ac.jp/item/rb00000898#?c=0&amp;m=0&amp;s=0&amp;cv=662</v>
      </c>
    </row>
    <row r="3883" spans="1:10" x14ac:dyDescent="0.15">
      <c r="A3883" s="6" t="s">
        <v>225</v>
      </c>
      <c r="B3883" s="6" t="s">
        <v>3915</v>
      </c>
      <c r="C3883" s="6">
        <v>820</v>
      </c>
      <c r="D3883" s="6" t="str">
        <f>HYPERLINK("https://rmda.kulib.kyoto-u.ac.jp/item/rb00008736#?c=0&amp;m=0&amp;s=0&amp;cv=819")</f>
        <v>https://rmda.kulib.kyoto-u.ac.jp/item/rb00008736#?c=0&amp;m=0&amp;s=0&amp;cv=819</v>
      </c>
      <c r="E3883" s="6"/>
      <c r="F3883" s="6"/>
      <c r="G3883" s="6"/>
      <c r="H3883" s="6"/>
      <c r="I3883" s="6">
        <v>664</v>
      </c>
      <c r="J3883" s="6" t="str">
        <f>HYPERLINK("https://rmda.kulib.kyoto-u.ac.jp/item/rb00000898#?c=0&amp;m=0&amp;s=0&amp;cv=663")</f>
        <v>https://rmda.kulib.kyoto-u.ac.jp/item/rb00000898#?c=0&amp;m=0&amp;s=0&amp;cv=663</v>
      </c>
    </row>
    <row r="3884" spans="1:10" x14ac:dyDescent="0.15">
      <c r="A3884" s="6" t="s">
        <v>225</v>
      </c>
      <c r="B3884" s="6" t="s">
        <v>3916</v>
      </c>
      <c r="C3884" s="6">
        <v>822</v>
      </c>
      <c r="D3884" s="6" t="str">
        <f>HYPERLINK("https://rmda.kulib.kyoto-u.ac.jp/item/rb00008736#?c=0&amp;m=0&amp;s=0&amp;cv=821")</f>
        <v>https://rmda.kulib.kyoto-u.ac.jp/item/rb00008736#?c=0&amp;m=0&amp;s=0&amp;cv=821</v>
      </c>
      <c r="E3884" s="6"/>
      <c r="F3884" s="6"/>
      <c r="G3884" s="6"/>
      <c r="H3884" s="6"/>
      <c r="I3884" s="6">
        <v>666</v>
      </c>
      <c r="J3884" s="6" t="str">
        <f>HYPERLINK("https://rmda.kulib.kyoto-u.ac.jp/item/rb00000898#?c=0&amp;m=0&amp;s=0&amp;cv=665")</f>
        <v>https://rmda.kulib.kyoto-u.ac.jp/item/rb00000898#?c=0&amp;m=0&amp;s=0&amp;cv=665</v>
      </c>
    </row>
    <row r="3885" spans="1:10" x14ac:dyDescent="0.15">
      <c r="A3885" s="6" t="s">
        <v>225</v>
      </c>
      <c r="B3885" s="6" t="s">
        <v>3917</v>
      </c>
      <c r="C3885" s="6">
        <v>822</v>
      </c>
      <c r="D3885" s="6" t="str">
        <f>HYPERLINK("https://rmda.kulib.kyoto-u.ac.jp/item/rb00008736#?c=0&amp;m=0&amp;s=0&amp;cv=821")</f>
        <v>https://rmda.kulib.kyoto-u.ac.jp/item/rb00008736#?c=0&amp;m=0&amp;s=0&amp;cv=821</v>
      </c>
      <c r="E3885" s="6"/>
      <c r="F3885" s="6"/>
      <c r="G3885" s="6"/>
      <c r="H3885" s="6"/>
      <c r="I3885" s="6">
        <v>666</v>
      </c>
      <c r="J3885" s="6" t="str">
        <f>HYPERLINK("https://rmda.kulib.kyoto-u.ac.jp/item/rb00000898#?c=0&amp;m=0&amp;s=0&amp;cv=665")</f>
        <v>https://rmda.kulib.kyoto-u.ac.jp/item/rb00000898#?c=0&amp;m=0&amp;s=0&amp;cv=665</v>
      </c>
    </row>
    <row r="3886" spans="1:10" x14ac:dyDescent="0.15">
      <c r="A3886" s="6" t="s">
        <v>225</v>
      </c>
      <c r="B3886" s="6" t="s">
        <v>3918</v>
      </c>
      <c r="C3886" s="6">
        <v>823</v>
      </c>
      <c r="D3886" s="6" t="str">
        <f>HYPERLINK("https://rmda.kulib.kyoto-u.ac.jp/item/rb00008736#?c=0&amp;m=0&amp;s=0&amp;cv=822")</f>
        <v>https://rmda.kulib.kyoto-u.ac.jp/item/rb00008736#?c=0&amp;m=0&amp;s=0&amp;cv=822</v>
      </c>
      <c r="E3886" s="6"/>
      <c r="F3886" s="6"/>
      <c r="G3886" s="6"/>
      <c r="H3886" s="6"/>
      <c r="I3886" s="6">
        <v>667</v>
      </c>
      <c r="J3886" s="6" t="str">
        <f>HYPERLINK("https://rmda.kulib.kyoto-u.ac.jp/item/rb00000898#?c=0&amp;m=0&amp;s=0&amp;cv=666")</f>
        <v>https://rmda.kulib.kyoto-u.ac.jp/item/rb00000898#?c=0&amp;m=0&amp;s=0&amp;cv=666</v>
      </c>
    </row>
    <row r="3887" spans="1:10" x14ac:dyDescent="0.15">
      <c r="A3887" s="6" t="s">
        <v>225</v>
      </c>
      <c r="B3887" s="6" t="s">
        <v>3919</v>
      </c>
      <c r="C3887" s="6">
        <v>825</v>
      </c>
      <c r="D3887" s="6" t="str">
        <f>HYPERLINK("https://rmda.kulib.kyoto-u.ac.jp/item/rb00008736#?c=0&amp;m=0&amp;s=0&amp;cv=824")</f>
        <v>https://rmda.kulib.kyoto-u.ac.jp/item/rb00008736#?c=0&amp;m=0&amp;s=0&amp;cv=824</v>
      </c>
      <c r="E3887" s="6"/>
      <c r="F3887" s="6"/>
      <c r="G3887" s="6"/>
      <c r="H3887" s="6"/>
      <c r="I3887" s="6">
        <v>669</v>
      </c>
      <c r="J3887" s="6" t="str">
        <f>HYPERLINK("https://rmda.kulib.kyoto-u.ac.jp/item/rb00000898#?c=0&amp;m=0&amp;s=0&amp;cv=668")</f>
        <v>https://rmda.kulib.kyoto-u.ac.jp/item/rb00000898#?c=0&amp;m=0&amp;s=0&amp;cv=668</v>
      </c>
    </row>
    <row r="3888" spans="1:10" x14ac:dyDescent="0.15">
      <c r="A3888" s="6" t="s">
        <v>225</v>
      </c>
      <c r="B3888" s="6" t="s">
        <v>3920</v>
      </c>
      <c r="C3888" s="6">
        <v>830</v>
      </c>
      <c r="D3888" s="6" t="str">
        <f>HYPERLINK("https://rmda.kulib.kyoto-u.ac.jp/item/rb00008736#?c=0&amp;m=0&amp;s=0&amp;cv=829")</f>
        <v>https://rmda.kulib.kyoto-u.ac.jp/item/rb00008736#?c=0&amp;m=0&amp;s=0&amp;cv=829</v>
      </c>
      <c r="E3888" s="6"/>
      <c r="F3888" s="6"/>
      <c r="G3888" s="6"/>
      <c r="H3888" s="6"/>
      <c r="I3888" s="6">
        <v>674</v>
      </c>
      <c r="J3888" s="6" t="str">
        <f>HYPERLINK("https://rmda.kulib.kyoto-u.ac.jp/item/rb00000898#?c=0&amp;m=0&amp;s=0&amp;cv=673")</f>
        <v>https://rmda.kulib.kyoto-u.ac.jp/item/rb00000898#?c=0&amp;m=0&amp;s=0&amp;cv=673</v>
      </c>
    </row>
    <row r="3889" spans="1:10" x14ac:dyDescent="0.15">
      <c r="A3889" s="6" t="s">
        <v>225</v>
      </c>
      <c r="B3889" s="6" t="s">
        <v>3743</v>
      </c>
      <c r="C3889" s="6">
        <v>835</v>
      </c>
      <c r="D3889" s="6" t="str">
        <f>HYPERLINK("https://rmda.kulib.kyoto-u.ac.jp/item/rb00008736#?c=0&amp;m=0&amp;s=0&amp;cv=834")</f>
        <v>https://rmda.kulib.kyoto-u.ac.jp/item/rb00008736#?c=0&amp;m=0&amp;s=0&amp;cv=834</v>
      </c>
      <c r="E3889" s="6"/>
      <c r="F3889" s="6"/>
      <c r="G3889" s="6"/>
      <c r="H3889" s="6"/>
      <c r="I3889" s="6">
        <v>679</v>
      </c>
      <c r="J3889" s="6" t="str">
        <f>HYPERLINK("https://rmda.kulib.kyoto-u.ac.jp/item/rb00000898#?c=0&amp;m=0&amp;s=0&amp;cv=678")</f>
        <v>https://rmda.kulib.kyoto-u.ac.jp/item/rb00000898#?c=0&amp;m=0&amp;s=0&amp;cv=678</v>
      </c>
    </row>
    <row r="3890" spans="1:10" x14ac:dyDescent="0.15">
      <c r="A3890" s="6" t="s">
        <v>225</v>
      </c>
      <c r="B3890" s="6" t="s">
        <v>3921</v>
      </c>
      <c r="C3890" s="6">
        <v>836</v>
      </c>
      <c r="D3890" s="6" t="str">
        <f>HYPERLINK("https://rmda.kulib.kyoto-u.ac.jp/item/rb00008736#?c=0&amp;m=0&amp;s=0&amp;cv=835")</f>
        <v>https://rmda.kulib.kyoto-u.ac.jp/item/rb00008736#?c=0&amp;m=0&amp;s=0&amp;cv=835</v>
      </c>
      <c r="E3890" s="6"/>
      <c r="F3890" s="6"/>
      <c r="G3890" s="6"/>
      <c r="H3890" s="6"/>
      <c r="I3890" s="6">
        <v>680</v>
      </c>
      <c r="J3890" s="6" t="str">
        <f>HYPERLINK("https://rmda.kulib.kyoto-u.ac.jp/item/rb00000898#?c=0&amp;m=0&amp;s=0&amp;cv=679")</f>
        <v>https://rmda.kulib.kyoto-u.ac.jp/item/rb00000898#?c=0&amp;m=0&amp;s=0&amp;cv=679</v>
      </c>
    </row>
    <row r="3891" spans="1:10" x14ac:dyDescent="0.15">
      <c r="A3891" s="6" t="s">
        <v>225</v>
      </c>
      <c r="B3891" s="6" t="s">
        <v>3922</v>
      </c>
      <c r="C3891" s="6">
        <v>838</v>
      </c>
      <c r="D3891" s="6" t="str">
        <f>HYPERLINK("https://rmda.kulib.kyoto-u.ac.jp/item/rb00008736#?c=0&amp;m=0&amp;s=0&amp;cv=837")</f>
        <v>https://rmda.kulib.kyoto-u.ac.jp/item/rb00008736#?c=0&amp;m=0&amp;s=0&amp;cv=837</v>
      </c>
      <c r="E3891" s="6"/>
      <c r="F3891" s="6"/>
      <c r="G3891" s="6"/>
      <c r="H3891" s="6"/>
      <c r="I3891" s="6">
        <v>682</v>
      </c>
      <c r="J3891" s="6" t="str">
        <f>HYPERLINK("https://rmda.kulib.kyoto-u.ac.jp/item/rb00000898#?c=0&amp;m=0&amp;s=0&amp;cv=681")</f>
        <v>https://rmda.kulib.kyoto-u.ac.jp/item/rb00000898#?c=0&amp;m=0&amp;s=0&amp;cv=681</v>
      </c>
    </row>
    <row r="3892" spans="1:10" x14ac:dyDescent="0.15">
      <c r="A3892" s="6" t="s">
        <v>225</v>
      </c>
      <c r="B3892" s="6" t="s">
        <v>3923</v>
      </c>
      <c r="C3892" s="6">
        <v>863</v>
      </c>
      <c r="D3892" s="6" t="str">
        <f>HYPERLINK("https://rmda.kulib.kyoto-u.ac.jp/item/rb00008736#?c=0&amp;m=0&amp;s=0&amp;cv=862")</f>
        <v>https://rmda.kulib.kyoto-u.ac.jp/item/rb00008736#?c=0&amp;m=0&amp;s=0&amp;cv=862</v>
      </c>
      <c r="E3892" s="6"/>
      <c r="F3892" s="6"/>
      <c r="G3892" s="6"/>
      <c r="H3892" s="6"/>
      <c r="I3892" s="6">
        <v>707</v>
      </c>
      <c r="J3892" s="6" t="str">
        <f>HYPERLINK("https://rmda.kulib.kyoto-u.ac.jp/item/rb00000898#?c=0&amp;m=0&amp;s=0&amp;cv=706")</f>
        <v>https://rmda.kulib.kyoto-u.ac.jp/item/rb00000898#?c=0&amp;m=0&amp;s=0&amp;cv=706</v>
      </c>
    </row>
    <row r="3893" spans="1:10" x14ac:dyDescent="0.15">
      <c r="A3893" s="6" t="s">
        <v>225</v>
      </c>
      <c r="B3893" s="72" t="s">
        <v>3705</v>
      </c>
      <c r="C3893" s="6">
        <v>867</v>
      </c>
      <c r="D3893" s="6" t="str">
        <f>HYPERLINK("https://rmda.kulib.kyoto-u.ac.jp/item/rb00008736#?c=0&amp;m=0&amp;s=0&amp;cv=866")</f>
        <v>https://rmda.kulib.kyoto-u.ac.jp/item/rb00008736#?c=0&amp;m=0&amp;s=0&amp;cv=866</v>
      </c>
      <c r="E3893" s="6"/>
      <c r="F3893" s="6"/>
      <c r="G3893" s="6"/>
      <c r="H3893" s="6"/>
      <c r="I3893" s="6"/>
      <c r="J3893" s="6"/>
    </row>
    <row r="3894" spans="1:10" x14ac:dyDescent="0.15">
      <c r="A3894" s="6" t="s">
        <v>225</v>
      </c>
      <c r="B3894" s="72" t="s">
        <v>3706</v>
      </c>
      <c r="C3894" s="6">
        <v>867</v>
      </c>
      <c r="D3894" s="6" t="str">
        <f>HYPERLINK("https://rmda.kulib.kyoto-u.ac.jp/item/rb00008736#?c=0&amp;m=0&amp;s=0&amp;cv=866")</f>
        <v>https://rmda.kulib.kyoto-u.ac.jp/item/rb00008736#?c=0&amp;m=0&amp;s=0&amp;cv=866</v>
      </c>
      <c r="E3894" s="6"/>
      <c r="F3894" s="6"/>
      <c r="G3894" s="6"/>
      <c r="H3894" s="6"/>
      <c r="I3894" s="6">
        <v>708</v>
      </c>
      <c r="J3894" s="6" t="str">
        <f>HYPERLINK("https://rmda.kulib.kyoto-u.ac.jp/item/rb00000898#?c=0&amp;m=0&amp;s=0&amp;cv=707")</f>
        <v>https://rmda.kulib.kyoto-u.ac.jp/item/rb00000898#?c=0&amp;m=0&amp;s=0&amp;cv=707</v>
      </c>
    </row>
    <row r="3895" spans="1:10" x14ac:dyDescent="0.15">
      <c r="A3895" s="6" t="s">
        <v>225</v>
      </c>
      <c r="B3895" s="6" t="s">
        <v>3707</v>
      </c>
      <c r="C3895" s="6">
        <v>867</v>
      </c>
      <c r="D3895" s="6" t="str">
        <f>HYPERLINK("https://rmda.kulib.kyoto-u.ac.jp/item/rb00008736#?c=0&amp;m=0&amp;s=0&amp;cv=866")</f>
        <v>https://rmda.kulib.kyoto-u.ac.jp/item/rb00008736#?c=0&amp;m=0&amp;s=0&amp;cv=866</v>
      </c>
      <c r="E3895" s="6"/>
      <c r="F3895" s="6"/>
      <c r="G3895" s="6"/>
      <c r="H3895" s="6"/>
      <c r="I3895" s="6">
        <v>708</v>
      </c>
      <c r="J3895" s="6" t="str">
        <f>HYPERLINK("https://rmda.kulib.kyoto-u.ac.jp/item/rb00000898#?c=0&amp;m=0&amp;s=0&amp;cv=707")</f>
        <v>https://rmda.kulib.kyoto-u.ac.jp/item/rb00000898#?c=0&amp;m=0&amp;s=0&amp;cv=707</v>
      </c>
    </row>
    <row r="3896" spans="1:10" x14ac:dyDescent="0.15">
      <c r="A3896" s="6" t="s">
        <v>225</v>
      </c>
      <c r="B3896" s="6" t="s">
        <v>3744</v>
      </c>
      <c r="C3896" s="6">
        <v>875</v>
      </c>
      <c r="D3896" s="6" t="str">
        <f>HYPERLINK("https://rmda.kulib.kyoto-u.ac.jp/item/rb00008736#?c=0&amp;m=0&amp;s=0&amp;cv=874")</f>
        <v>https://rmda.kulib.kyoto-u.ac.jp/item/rb00008736#?c=0&amp;m=0&amp;s=0&amp;cv=874</v>
      </c>
      <c r="E3896" s="6"/>
      <c r="F3896" s="6"/>
      <c r="G3896" s="6"/>
      <c r="H3896" s="6"/>
      <c r="I3896" s="6">
        <v>716</v>
      </c>
      <c r="J3896" s="6" t="str">
        <f>HYPERLINK("https://rmda.kulib.kyoto-u.ac.jp/item/rb00000898#?c=0&amp;m=0&amp;s=0&amp;cv=715")</f>
        <v>https://rmda.kulib.kyoto-u.ac.jp/item/rb00000898#?c=0&amp;m=0&amp;s=0&amp;cv=715</v>
      </c>
    </row>
    <row r="3897" spans="1:10" x14ac:dyDescent="0.15">
      <c r="A3897" s="6" t="s">
        <v>225</v>
      </c>
      <c r="B3897" s="6" t="s">
        <v>3745</v>
      </c>
      <c r="C3897" s="6">
        <v>875</v>
      </c>
      <c r="D3897" s="6" t="str">
        <f>HYPERLINK("https://rmda.kulib.kyoto-u.ac.jp/item/rb00008736#?c=0&amp;m=0&amp;s=0&amp;cv=874")</f>
        <v>https://rmda.kulib.kyoto-u.ac.jp/item/rb00008736#?c=0&amp;m=0&amp;s=0&amp;cv=874</v>
      </c>
      <c r="E3897" s="6"/>
      <c r="F3897" s="6"/>
      <c r="G3897" s="6"/>
      <c r="H3897" s="6"/>
      <c r="I3897" s="6">
        <v>716</v>
      </c>
      <c r="J3897" s="6" t="str">
        <f>HYPERLINK("https://rmda.kulib.kyoto-u.ac.jp/item/rb00000898#?c=0&amp;m=0&amp;s=0&amp;cv=715")</f>
        <v>https://rmda.kulib.kyoto-u.ac.jp/item/rb00000898#?c=0&amp;m=0&amp;s=0&amp;cv=715</v>
      </c>
    </row>
    <row r="3898" spans="1:10" x14ac:dyDescent="0.15">
      <c r="A3898" s="6" t="s">
        <v>225</v>
      </c>
      <c r="B3898" s="6" t="s">
        <v>3708</v>
      </c>
      <c r="C3898" s="6">
        <v>880</v>
      </c>
      <c r="D3898" s="6" t="str">
        <f>HYPERLINK("https://rmda.kulib.kyoto-u.ac.jp/item/rb00008736#?c=0&amp;m=0&amp;s=0&amp;cv=879")</f>
        <v>https://rmda.kulib.kyoto-u.ac.jp/item/rb00008736#?c=0&amp;m=0&amp;s=0&amp;cv=879</v>
      </c>
      <c r="E3898" s="6"/>
      <c r="F3898" s="6"/>
      <c r="G3898" s="6"/>
      <c r="H3898" s="6"/>
      <c r="I3898" s="6">
        <v>721</v>
      </c>
      <c r="J3898" s="6" t="str">
        <f>HYPERLINK("https://rmda.kulib.kyoto-u.ac.jp/item/rb00000898#?c=0&amp;m=0&amp;s=0&amp;cv=720")</f>
        <v>https://rmda.kulib.kyoto-u.ac.jp/item/rb00000898#?c=0&amp;m=0&amp;s=0&amp;cv=720</v>
      </c>
    </row>
    <row r="3899" spans="1:10" x14ac:dyDescent="0.15">
      <c r="A3899" s="6" t="s">
        <v>225</v>
      </c>
      <c r="B3899" s="6" t="s">
        <v>3709</v>
      </c>
      <c r="C3899" s="6">
        <v>882</v>
      </c>
      <c r="D3899" s="6" t="str">
        <f>HYPERLINK("https://rmda.kulib.kyoto-u.ac.jp/item/rb00008736#?c=0&amp;m=0&amp;s=0&amp;cv=881")</f>
        <v>https://rmda.kulib.kyoto-u.ac.jp/item/rb00008736#?c=0&amp;m=0&amp;s=0&amp;cv=881</v>
      </c>
      <c r="E3899" s="6"/>
      <c r="F3899" s="6"/>
      <c r="G3899" s="6"/>
      <c r="H3899" s="6"/>
      <c r="I3899" s="6">
        <v>723</v>
      </c>
      <c r="J3899" s="6" t="str">
        <f>HYPERLINK("https://rmda.kulib.kyoto-u.ac.jp/item/rb00000898#?c=0&amp;m=0&amp;s=0&amp;cv=722")</f>
        <v>https://rmda.kulib.kyoto-u.ac.jp/item/rb00000898#?c=0&amp;m=0&amp;s=0&amp;cv=722</v>
      </c>
    </row>
    <row r="3900" spans="1:10" x14ac:dyDescent="0.15">
      <c r="A3900" s="6" t="s">
        <v>225</v>
      </c>
      <c r="B3900" s="6" t="s">
        <v>3710</v>
      </c>
      <c r="C3900" s="6">
        <v>885</v>
      </c>
      <c r="D3900" s="6" t="str">
        <f>HYPERLINK("https://rmda.kulib.kyoto-u.ac.jp/item/rb00008736#?c=0&amp;m=0&amp;s=0&amp;cv=884")</f>
        <v>https://rmda.kulib.kyoto-u.ac.jp/item/rb00008736#?c=0&amp;m=0&amp;s=0&amp;cv=884</v>
      </c>
      <c r="E3900" s="6"/>
      <c r="F3900" s="6"/>
      <c r="G3900" s="6"/>
      <c r="H3900" s="6"/>
      <c r="I3900" s="6">
        <v>726</v>
      </c>
      <c r="J3900" s="6" t="str">
        <f>HYPERLINK("https://rmda.kulib.kyoto-u.ac.jp/item/rb00000898#?c=0&amp;m=0&amp;s=0&amp;cv=725")</f>
        <v>https://rmda.kulib.kyoto-u.ac.jp/item/rb00000898#?c=0&amp;m=0&amp;s=0&amp;cv=725</v>
      </c>
    </row>
    <row r="3901" spans="1:10" x14ac:dyDescent="0.15">
      <c r="A3901" s="6" t="s">
        <v>225</v>
      </c>
      <c r="B3901" s="6" t="s">
        <v>3711</v>
      </c>
      <c r="C3901" s="6">
        <v>887</v>
      </c>
      <c r="D3901" s="6" t="str">
        <f>HYPERLINK("https://rmda.kulib.kyoto-u.ac.jp/item/rb00008736#?c=0&amp;m=0&amp;s=0&amp;cv=886")</f>
        <v>https://rmda.kulib.kyoto-u.ac.jp/item/rb00008736#?c=0&amp;m=0&amp;s=0&amp;cv=886</v>
      </c>
      <c r="E3901" s="6"/>
      <c r="F3901" s="6"/>
      <c r="G3901" s="6"/>
      <c r="H3901" s="6"/>
      <c r="I3901" s="6">
        <v>728</v>
      </c>
      <c r="J3901" s="6" t="str">
        <f>HYPERLINK("https://rmda.kulib.kyoto-u.ac.jp/item/rb00000898#?c=0&amp;m=0&amp;s=0&amp;cv=727")</f>
        <v>https://rmda.kulib.kyoto-u.ac.jp/item/rb00000898#?c=0&amp;m=0&amp;s=0&amp;cv=727</v>
      </c>
    </row>
    <row r="3902" spans="1:10" x14ac:dyDescent="0.15">
      <c r="A3902" s="6" t="s">
        <v>225</v>
      </c>
      <c r="B3902" s="6" t="s">
        <v>3712</v>
      </c>
      <c r="C3902" s="6">
        <v>893</v>
      </c>
      <c r="D3902" s="6" t="str">
        <f>HYPERLINK("https://rmda.kulib.kyoto-u.ac.jp/item/rb00008736#?c=0&amp;m=0&amp;s=0&amp;cv=892")</f>
        <v>https://rmda.kulib.kyoto-u.ac.jp/item/rb00008736#?c=0&amp;m=0&amp;s=0&amp;cv=892</v>
      </c>
      <c r="E3902" s="6"/>
      <c r="F3902" s="6"/>
      <c r="G3902" s="6"/>
      <c r="H3902" s="6"/>
      <c r="I3902" s="6">
        <v>734</v>
      </c>
      <c r="J3902" s="6" t="str">
        <f>HYPERLINK("https://rmda.kulib.kyoto-u.ac.jp/item/rb00000898#?c=0&amp;m=0&amp;s=0&amp;cv=733")</f>
        <v>https://rmda.kulib.kyoto-u.ac.jp/item/rb00000898#?c=0&amp;m=0&amp;s=0&amp;cv=733</v>
      </c>
    </row>
    <row r="3903" spans="1:10" x14ac:dyDescent="0.15">
      <c r="A3903" s="6" t="s">
        <v>225</v>
      </c>
      <c r="B3903" s="6" t="s">
        <v>3713</v>
      </c>
      <c r="C3903" s="6">
        <v>896</v>
      </c>
      <c r="D3903" s="6" t="str">
        <f>HYPERLINK("https://rmda.kulib.kyoto-u.ac.jp/item/rb00008736#?c=0&amp;m=0&amp;s=0&amp;cv=895")</f>
        <v>https://rmda.kulib.kyoto-u.ac.jp/item/rb00008736#?c=0&amp;m=0&amp;s=0&amp;cv=895</v>
      </c>
      <c r="E3903" s="6"/>
      <c r="F3903" s="6"/>
      <c r="G3903" s="6"/>
      <c r="H3903" s="6"/>
      <c r="I3903" s="6">
        <v>737</v>
      </c>
      <c r="J3903" s="6" t="str">
        <f>HYPERLINK("https://rmda.kulib.kyoto-u.ac.jp/item/rb00000898#?c=0&amp;m=0&amp;s=0&amp;cv=736")</f>
        <v>https://rmda.kulib.kyoto-u.ac.jp/item/rb00000898#?c=0&amp;m=0&amp;s=0&amp;cv=736</v>
      </c>
    </row>
    <row r="3904" spans="1:10" x14ac:dyDescent="0.15">
      <c r="A3904" s="6" t="s">
        <v>225</v>
      </c>
      <c r="B3904" s="72" t="s">
        <v>3714</v>
      </c>
      <c r="C3904" s="6">
        <v>910</v>
      </c>
      <c r="D3904" s="6" t="str">
        <f>HYPERLINK("https://rmda.kulib.kyoto-u.ac.jp/item/rb00008736#?c=0&amp;m=0&amp;s=0&amp;cv=909")</f>
        <v>https://rmda.kulib.kyoto-u.ac.jp/item/rb00008736#?c=0&amp;m=0&amp;s=0&amp;cv=909</v>
      </c>
      <c r="E3904" s="6"/>
      <c r="F3904" s="6"/>
      <c r="G3904" s="6"/>
      <c r="H3904" s="6"/>
      <c r="I3904" s="6">
        <v>750</v>
      </c>
      <c r="J3904" s="6" t="str">
        <f>HYPERLINK("https://rmda.kulib.kyoto-u.ac.jp/item/rb00000898#?c=0&amp;m=0&amp;s=0&amp;cv=749")</f>
        <v>https://rmda.kulib.kyoto-u.ac.jp/item/rb00000898#?c=0&amp;m=0&amp;s=0&amp;cv=749</v>
      </c>
    </row>
    <row r="3905" spans="1:10" x14ac:dyDescent="0.15">
      <c r="A3905" s="6" t="s">
        <v>225</v>
      </c>
      <c r="B3905" s="6" t="s">
        <v>3715</v>
      </c>
      <c r="C3905" s="6">
        <v>910</v>
      </c>
      <c r="D3905" s="6" t="str">
        <f>HYPERLINK("https://rmda.kulib.kyoto-u.ac.jp/item/rb00008736#?c=0&amp;m=0&amp;s=0&amp;cv=909")</f>
        <v>https://rmda.kulib.kyoto-u.ac.jp/item/rb00008736#?c=0&amp;m=0&amp;s=0&amp;cv=909</v>
      </c>
      <c r="E3905" s="6"/>
      <c r="F3905" s="6"/>
      <c r="G3905" s="6"/>
      <c r="H3905" s="6"/>
      <c r="I3905" s="6">
        <v>751</v>
      </c>
      <c r="J3905" s="6" t="str">
        <f>HYPERLINK("https://rmda.kulib.kyoto-u.ac.jp/item/rb00000898#?c=0&amp;m=0&amp;s=0&amp;cv=750")</f>
        <v>https://rmda.kulib.kyoto-u.ac.jp/item/rb00000898#?c=0&amp;m=0&amp;s=0&amp;cv=750</v>
      </c>
    </row>
    <row r="3906" spans="1:10" x14ac:dyDescent="0.15">
      <c r="A3906" s="6" t="s">
        <v>225</v>
      </c>
      <c r="B3906" s="72" t="s">
        <v>3739</v>
      </c>
      <c r="C3906" s="6">
        <v>1013</v>
      </c>
      <c r="D3906" s="6" t="str">
        <f>HYPERLINK("https://rmda.kulib.kyoto-u.ac.jp/item/rb00008736#?c=0&amp;m=0&amp;s=0&amp;cv=1012")</f>
        <v>https://rmda.kulib.kyoto-u.ac.jp/item/rb00008736#?c=0&amp;m=0&amp;s=0&amp;cv=1012</v>
      </c>
      <c r="E3906" s="6"/>
      <c r="F3906" s="6"/>
      <c r="G3906" s="6"/>
      <c r="H3906" s="6"/>
      <c r="I3906" s="6">
        <v>999</v>
      </c>
      <c r="J3906" s="6" t="str">
        <f>HYPERLINK("https://rmda.kulib.kyoto-u.ac.jp/item/rb00000898#?c=0&amp;m=0&amp;s=0&amp;cv=998")</f>
        <v>https://rmda.kulib.kyoto-u.ac.jp/item/rb00000898#?c=0&amp;m=0&amp;s=0&amp;cv=998</v>
      </c>
    </row>
    <row r="3907" spans="1:10" x14ac:dyDescent="0.15">
      <c r="A3907" s="6" t="s">
        <v>225</v>
      </c>
      <c r="B3907" s="6" t="s">
        <v>2806</v>
      </c>
      <c r="C3907" s="6">
        <v>1013</v>
      </c>
      <c r="D3907" s="6" t="str">
        <f>HYPERLINK("https://rmda.kulib.kyoto-u.ac.jp/item/rb00008736#?c=0&amp;m=0&amp;s=0&amp;cv=1012")</f>
        <v>https://rmda.kulib.kyoto-u.ac.jp/item/rb00008736#?c=0&amp;m=0&amp;s=0&amp;cv=1012</v>
      </c>
      <c r="E3907" s="6"/>
      <c r="F3907" s="6"/>
      <c r="G3907" s="6"/>
      <c r="H3907" s="6"/>
      <c r="I3907" s="6">
        <v>1000</v>
      </c>
      <c r="J3907" s="6" t="str">
        <f>HYPERLINK("https://rmda.kulib.kyoto-u.ac.jp/item/rb00000898#?c=0&amp;m=0&amp;s=0&amp;cv=999")</f>
        <v>https://rmda.kulib.kyoto-u.ac.jp/item/rb00000898#?c=0&amp;m=0&amp;s=0&amp;cv=999</v>
      </c>
    </row>
    <row r="3908" spans="1:10" x14ac:dyDescent="0.15">
      <c r="A3908" s="6" t="s">
        <v>225</v>
      </c>
      <c r="B3908" s="6" t="s">
        <v>6132</v>
      </c>
      <c r="C3908" s="6">
        <v>1068</v>
      </c>
      <c r="D3908" s="6" t="str">
        <f>HYPERLINK("https://rmda.kulib.kyoto-u.ac.jp/item/rb00008736#?c=0&amp;m=0&amp;s=0&amp;cv=1067")</f>
        <v>https://rmda.kulib.kyoto-u.ac.jp/item/rb00008736#?c=0&amp;m=0&amp;s=0&amp;cv=1067</v>
      </c>
      <c r="E3908" s="6"/>
      <c r="F3908" s="6"/>
      <c r="G3908" s="6"/>
      <c r="H3908" s="6"/>
      <c r="I3908" s="6">
        <v>1056</v>
      </c>
      <c r="J3908" s="6" t="str">
        <f>HYPERLINK("https://rmda.kulib.kyoto-u.ac.jp/item/rb00000898#?c=0&amp;m=0&amp;s=0&amp;cv=1055")</f>
        <v>https://rmda.kulib.kyoto-u.ac.jp/item/rb00000898#?c=0&amp;m=0&amp;s=0&amp;cv=1055</v>
      </c>
    </row>
    <row r="3909" spans="1:10" x14ac:dyDescent="0.15">
      <c r="A3909" s="6" t="s">
        <v>225</v>
      </c>
      <c r="B3909" s="6" t="s">
        <v>6133</v>
      </c>
      <c r="C3909" s="6">
        <v>1073</v>
      </c>
      <c r="D3909" s="6" t="str">
        <f>HYPERLINK("https://rmda.kulib.kyoto-u.ac.jp/item/rb00008736#?c=0&amp;m=0&amp;s=0&amp;cv=1072")</f>
        <v>https://rmda.kulib.kyoto-u.ac.jp/item/rb00008736#?c=0&amp;m=0&amp;s=0&amp;cv=1072</v>
      </c>
      <c r="E3909" s="6"/>
      <c r="F3909" s="6"/>
      <c r="G3909" s="6"/>
      <c r="H3909" s="6"/>
      <c r="I3909" s="6">
        <v>1061</v>
      </c>
      <c r="J3909" s="6" t="str">
        <f>HYPERLINK("https://rmda.kulib.kyoto-u.ac.jp/item/rb00000898#?c=0&amp;m=0&amp;s=0&amp;cv=1060")</f>
        <v>https://rmda.kulib.kyoto-u.ac.jp/item/rb00000898#?c=0&amp;m=0&amp;s=0&amp;cv=1060</v>
      </c>
    </row>
    <row r="3910" spans="1:10" x14ac:dyDescent="0.15">
      <c r="A3910" s="6" t="s">
        <v>225</v>
      </c>
      <c r="B3910" s="6" t="s">
        <v>6134</v>
      </c>
      <c r="C3910" s="6">
        <v>1074</v>
      </c>
      <c r="D3910" s="6" t="str">
        <f>HYPERLINK("https://rmda.kulib.kyoto-u.ac.jp/item/rb00008736#?c=0&amp;m=0&amp;s=0&amp;cv=1073")</f>
        <v>https://rmda.kulib.kyoto-u.ac.jp/item/rb00008736#?c=0&amp;m=0&amp;s=0&amp;cv=1073</v>
      </c>
      <c r="E3910" s="6"/>
      <c r="F3910" s="6"/>
      <c r="G3910" s="6"/>
      <c r="H3910" s="6"/>
      <c r="I3910" s="6">
        <v>1062</v>
      </c>
      <c r="J3910" s="6" t="str">
        <f>HYPERLINK("https://rmda.kulib.kyoto-u.ac.jp/item/rb00000898#?c=0&amp;m=0&amp;s=0&amp;cv=1061")</f>
        <v>https://rmda.kulib.kyoto-u.ac.jp/item/rb00000898#?c=0&amp;m=0&amp;s=0&amp;cv=1061</v>
      </c>
    </row>
    <row r="3911" spans="1:10" x14ac:dyDescent="0.15">
      <c r="A3911" s="6" t="s">
        <v>225</v>
      </c>
      <c r="B3911" s="6" t="s">
        <v>6135</v>
      </c>
      <c r="C3911" s="6">
        <v>1075</v>
      </c>
      <c r="D3911" s="6" t="str">
        <f>HYPERLINK("https://rmda.kulib.kyoto-u.ac.jp/item/rb00008736#?c=0&amp;m=0&amp;s=0&amp;cv=1074")</f>
        <v>https://rmda.kulib.kyoto-u.ac.jp/item/rb00008736#?c=0&amp;m=0&amp;s=0&amp;cv=1074</v>
      </c>
      <c r="E3911" s="6"/>
      <c r="F3911" s="6"/>
      <c r="G3911" s="6"/>
      <c r="H3911" s="6"/>
      <c r="I3911" s="6">
        <v>1063</v>
      </c>
      <c r="J3911" s="6" t="str">
        <f>HYPERLINK("https://rmda.kulib.kyoto-u.ac.jp/item/rb00000898#?c=0&amp;m=0&amp;s=0&amp;cv=1062")</f>
        <v>https://rmda.kulib.kyoto-u.ac.jp/item/rb00000898#?c=0&amp;m=0&amp;s=0&amp;cv=1062</v>
      </c>
    </row>
    <row r="3912" spans="1:10" x14ac:dyDescent="0.15">
      <c r="A3912" s="6" t="s">
        <v>225</v>
      </c>
      <c r="B3912" s="6" t="s">
        <v>3740</v>
      </c>
      <c r="C3912" s="6">
        <v>1076</v>
      </c>
      <c r="D3912" s="6" t="str">
        <f>HYPERLINK("https://rmda.kulib.kyoto-u.ac.jp/item/rb00008736#?c=0&amp;m=0&amp;s=0&amp;cv=1075")</f>
        <v>https://rmda.kulib.kyoto-u.ac.jp/item/rb00008736#?c=0&amp;m=0&amp;s=0&amp;cv=1075</v>
      </c>
      <c r="E3912" s="6"/>
      <c r="F3912" s="6"/>
      <c r="G3912" s="6"/>
      <c r="H3912" s="6"/>
      <c r="I3912" s="6">
        <v>1064</v>
      </c>
      <c r="J3912" s="6" t="str">
        <f>HYPERLINK("https://rmda.kulib.kyoto-u.ac.jp/item/rb00000898#?c=0&amp;m=0&amp;s=0&amp;cv=1063")</f>
        <v>https://rmda.kulib.kyoto-u.ac.jp/item/rb00000898#?c=0&amp;m=0&amp;s=0&amp;cv=1063</v>
      </c>
    </row>
    <row r="3913" spans="1:10" x14ac:dyDescent="0.15">
      <c r="A3913" s="6" t="s">
        <v>225</v>
      </c>
      <c r="B3913" s="6" t="s">
        <v>2807</v>
      </c>
      <c r="C3913" s="6">
        <v>1080</v>
      </c>
      <c r="D3913" s="6" t="str">
        <f>HYPERLINK("https://rmda.kulib.kyoto-u.ac.jp/item/rb00008736#?c=0&amp;m=0&amp;s=0&amp;cv=1079")</f>
        <v>https://rmda.kulib.kyoto-u.ac.jp/item/rb00008736#?c=0&amp;m=0&amp;s=0&amp;cv=1079</v>
      </c>
      <c r="E3913" s="6"/>
      <c r="F3913" s="6"/>
      <c r="G3913" s="6"/>
      <c r="H3913" s="6"/>
      <c r="I3913" s="6"/>
      <c r="J3913" s="6"/>
    </row>
    <row r="3914" spans="1:10" x14ac:dyDescent="0.15">
      <c r="A3914" s="6" t="s">
        <v>225</v>
      </c>
      <c r="B3914" s="6" t="s">
        <v>6136</v>
      </c>
      <c r="C3914" s="6">
        <v>1080</v>
      </c>
      <c r="D3914" s="6" t="str">
        <f>HYPERLINK("https://rmda.kulib.kyoto-u.ac.jp/item/rb00008736#?c=0&amp;m=0&amp;s=0&amp;cv=1079")</f>
        <v>https://rmda.kulib.kyoto-u.ac.jp/item/rb00008736#?c=0&amp;m=0&amp;s=0&amp;cv=1079</v>
      </c>
      <c r="E3914" s="6"/>
      <c r="F3914" s="6"/>
      <c r="G3914" s="6"/>
      <c r="H3914" s="6"/>
      <c r="I3914" s="6"/>
      <c r="J3914" s="6"/>
    </row>
    <row r="3915" spans="1:10" x14ac:dyDescent="0.15">
      <c r="A3915" s="6" t="s">
        <v>225</v>
      </c>
      <c r="B3915" s="6" t="s">
        <v>6137</v>
      </c>
      <c r="C3915" s="6">
        <v>1129</v>
      </c>
      <c r="D3915" s="6" t="str">
        <f>HYPERLINK("https://rmda.kulib.kyoto-u.ac.jp/item/rb00008736#?c=0&amp;m=0&amp;s=0&amp;cv=1128")</f>
        <v>https://rmda.kulib.kyoto-u.ac.jp/item/rb00008736#?c=0&amp;m=0&amp;s=0&amp;cv=1128</v>
      </c>
      <c r="E3915" s="6"/>
      <c r="F3915" s="6"/>
      <c r="G3915" s="6"/>
      <c r="H3915" s="6"/>
      <c r="I3915" s="6">
        <v>1065</v>
      </c>
      <c r="J3915" s="6" t="str">
        <f>HYPERLINK("https://rmda.kulib.kyoto-u.ac.jp/item/rb00000898#?c=0&amp;m=0&amp;s=0&amp;cv=1064")</f>
        <v>https://rmda.kulib.kyoto-u.ac.jp/item/rb00000898#?c=0&amp;m=0&amp;s=0&amp;cv=1064</v>
      </c>
    </row>
    <row r="3916" spans="1:10" x14ac:dyDescent="0.15">
      <c r="A3916" s="6" t="s">
        <v>225</v>
      </c>
      <c r="B3916" s="6" t="s">
        <v>6138</v>
      </c>
      <c r="C3916" s="6">
        <v>1134</v>
      </c>
      <c r="D3916" s="6" t="str">
        <f>HYPERLINK("https://rmda.kulib.kyoto-u.ac.jp/item/rb00008736#?c=0&amp;m=0&amp;s=0&amp;cv=1133")</f>
        <v>https://rmda.kulib.kyoto-u.ac.jp/item/rb00008736#?c=0&amp;m=0&amp;s=0&amp;cv=1133</v>
      </c>
      <c r="E3916" s="6"/>
      <c r="F3916" s="6"/>
      <c r="G3916" s="6"/>
      <c r="H3916" s="6"/>
      <c r="I3916" s="6">
        <v>1070</v>
      </c>
      <c r="J3916" s="6" t="str">
        <f>HYPERLINK("https://rmda.kulib.kyoto-u.ac.jp/item/rb00000898#?c=0&amp;m=0&amp;s=0&amp;cv=1069")</f>
        <v>https://rmda.kulib.kyoto-u.ac.jp/item/rb00000898#?c=0&amp;m=0&amp;s=0&amp;cv=1069</v>
      </c>
    </row>
    <row r="3917" spans="1:10" x14ac:dyDescent="0.15">
      <c r="A3917" s="6" t="s">
        <v>225</v>
      </c>
      <c r="B3917" s="6" t="s">
        <v>2808</v>
      </c>
      <c r="C3917" s="6">
        <v>1139</v>
      </c>
      <c r="D3917" s="6" t="str">
        <f>HYPERLINK("https://rmda.kulib.kyoto-u.ac.jp/item/rb00008736#?c=0&amp;m=0&amp;s=0&amp;cv=1138")</f>
        <v>https://rmda.kulib.kyoto-u.ac.jp/item/rb00008736#?c=0&amp;m=0&amp;s=0&amp;cv=1138</v>
      </c>
      <c r="E3917" s="6"/>
      <c r="F3917" s="6"/>
      <c r="G3917" s="6"/>
      <c r="H3917" s="6"/>
      <c r="I3917" s="6">
        <v>1075</v>
      </c>
      <c r="J3917" s="6" t="str">
        <f>HYPERLINK("https://rmda.kulib.kyoto-u.ac.jp/item/rb00000898#?c=0&amp;m=0&amp;s=0&amp;cv=1074")</f>
        <v>https://rmda.kulib.kyoto-u.ac.jp/item/rb00000898#?c=0&amp;m=0&amp;s=0&amp;cv=1074</v>
      </c>
    </row>
    <row r="3918" spans="1:10" x14ac:dyDescent="0.15">
      <c r="A3918" s="6" t="s">
        <v>225</v>
      </c>
      <c r="B3918" s="6" t="s">
        <v>2809</v>
      </c>
      <c r="C3918" s="6">
        <v>1140</v>
      </c>
      <c r="D3918" s="6" t="str">
        <f>HYPERLINK("https://rmda.kulib.kyoto-u.ac.jp/item/rb00008736#?c=0&amp;m=0&amp;s=0&amp;cv=1139")</f>
        <v>https://rmda.kulib.kyoto-u.ac.jp/item/rb00008736#?c=0&amp;m=0&amp;s=0&amp;cv=1139</v>
      </c>
      <c r="E3918" s="6"/>
      <c r="F3918" s="6"/>
      <c r="G3918" s="6"/>
      <c r="H3918" s="6"/>
      <c r="I3918" s="6">
        <v>1076</v>
      </c>
      <c r="J3918" s="6" t="str">
        <f>HYPERLINK("https://rmda.kulib.kyoto-u.ac.jp/item/rb00000898#?c=0&amp;m=0&amp;s=0&amp;cv=1075")</f>
        <v>https://rmda.kulib.kyoto-u.ac.jp/item/rb00000898#?c=0&amp;m=0&amp;s=0&amp;cv=1075</v>
      </c>
    </row>
    <row r="3919" spans="1:10" x14ac:dyDescent="0.15">
      <c r="A3919" s="6" t="s">
        <v>225</v>
      </c>
      <c r="B3919" s="6" t="s">
        <v>2810</v>
      </c>
      <c r="C3919" s="6">
        <v>1141</v>
      </c>
      <c r="D3919" s="6" t="str">
        <f>HYPERLINK("https://rmda.kulib.kyoto-u.ac.jp/item/rb00008736#?c=0&amp;m=0&amp;s=0&amp;cv=1140")</f>
        <v>https://rmda.kulib.kyoto-u.ac.jp/item/rb00008736#?c=0&amp;m=0&amp;s=0&amp;cv=1140</v>
      </c>
      <c r="E3919" s="6"/>
      <c r="F3919" s="6"/>
      <c r="G3919" s="6"/>
      <c r="H3919" s="6"/>
      <c r="I3919" s="6">
        <v>1077</v>
      </c>
      <c r="J3919" s="6" t="str">
        <f>HYPERLINK("https://rmda.kulib.kyoto-u.ac.jp/item/rb00000898#?c=0&amp;m=0&amp;s=0&amp;cv=1076")</f>
        <v>https://rmda.kulib.kyoto-u.ac.jp/item/rb00000898#?c=0&amp;m=0&amp;s=0&amp;cv=1076</v>
      </c>
    </row>
    <row r="3920" spans="1:10" x14ac:dyDescent="0.15">
      <c r="A3920" s="6" t="s">
        <v>225</v>
      </c>
      <c r="B3920" s="6" t="s">
        <v>2811</v>
      </c>
      <c r="C3920" s="6">
        <v>1142</v>
      </c>
      <c r="D3920" s="6" t="str">
        <f>HYPERLINK("https://rmda.kulib.kyoto-u.ac.jp/item/rb00008736#?c=0&amp;m=0&amp;s=0&amp;cv=1141")</f>
        <v>https://rmda.kulib.kyoto-u.ac.jp/item/rb00008736#?c=0&amp;m=0&amp;s=0&amp;cv=1141</v>
      </c>
      <c r="E3920" s="6"/>
      <c r="F3920" s="6"/>
      <c r="G3920" s="6"/>
      <c r="H3920" s="6"/>
      <c r="I3920" s="6">
        <v>1078</v>
      </c>
      <c r="J3920" s="6" t="str">
        <f>HYPERLINK("https://rmda.kulib.kyoto-u.ac.jp/item/rb00000898#?c=0&amp;m=0&amp;s=0&amp;cv=1077")</f>
        <v>https://rmda.kulib.kyoto-u.ac.jp/item/rb00000898#?c=0&amp;m=0&amp;s=0&amp;cv=1077</v>
      </c>
    </row>
    <row r="3921" spans="1:10" x14ac:dyDescent="0.15">
      <c r="A3921" s="6" t="s">
        <v>225</v>
      </c>
      <c r="B3921" s="6" t="s">
        <v>2812</v>
      </c>
      <c r="C3921" s="6">
        <v>1144</v>
      </c>
      <c r="D3921" s="6" t="str">
        <f>HYPERLINK("https://rmda.kulib.kyoto-u.ac.jp/item/rb00008736#?c=0&amp;m=0&amp;s=0&amp;cv=1143")</f>
        <v>https://rmda.kulib.kyoto-u.ac.jp/item/rb00008736#?c=0&amp;m=0&amp;s=0&amp;cv=1143</v>
      </c>
      <c r="E3921" s="6"/>
      <c r="F3921" s="6"/>
      <c r="G3921" s="6"/>
      <c r="H3921" s="6"/>
      <c r="I3921" s="6">
        <v>1080</v>
      </c>
      <c r="J3921" s="6" t="str">
        <f>HYPERLINK("https://rmda.kulib.kyoto-u.ac.jp/item/rb00000898#?c=0&amp;m=0&amp;s=0&amp;cv=1079")</f>
        <v>https://rmda.kulib.kyoto-u.ac.jp/item/rb00000898#?c=0&amp;m=0&amp;s=0&amp;cv=1079</v>
      </c>
    </row>
    <row r="3922" spans="1:10" x14ac:dyDescent="0.15">
      <c r="A3922" s="6" t="s">
        <v>225</v>
      </c>
      <c r="B3922" s="6" t="s">
        <v>2813</v>
      </c>
      <c r="C3922" s="6">
        <v>1149</v>
      </c>
      <c r="D3922" s="6" t="str">
        <f>HYPERLINK("https://rmda.kulib.kyoto-u.ac.jp/item/rb00008736#?c=0&amp;m=0&amp;s=0&amp;cv=1148")</f>
        <v>https://rmda.kulib.kyoto-u.ac.jp/item/rb00008736#?c=0&amp;m=0&amp;s=0&amp;cv=1148</v>
      </c>
      <c r="E3922" s="6"/>
      <c r="F3922" s="6"/>
      <c r="G3922" s="6"/>
      <c r="H3922" s="6"/>
      <c r="I3922" s="6">
        <v>1085</v>
      </c>
      <c r="J3922" s="6" t="str">
        <f>HYPERLINK("https://rmda.kulib.kyoto-u.ac.jp/item/rb00000898#?c=0&amp;m=0&amp;s=0&amp;cv=1084")</f>
        <v>https://rmda.kulib.kyoto-u.ac.jp/item/rb00000898#?c=0&amp;m=0&amp;s=0&amp;cv=1084</v>
      </c>
    </row>
    <row r="3923" spans="1:10" x14ac:dyDescent="0.15">
      <c r="A3923" s="8" t="s">
        <v>6280</v>
      </c>
      <c r="B3923" s="8" t="s">
        <v>231</v>
      </c>
      <c r="C3923" s="67"/>
      <c r="D3923" s="6"/>
      <c r="E3923" s="67"/>
      <c r="F3923" s="67"/>
      <c r="G3923" s="67"/>
      <c r="H3923" s="67"/>
      <c r="I3923" s="67"/>
      <c r="J3923" s="67"/>
    </row>
    <row r="3924" spans="1:10" x14ac:dyDescent="0.15">
      <c r="A3924" s="84" t="s">
        <v>6319</v>
      </c>
      <c r="B3924" s="6"/>
      <c r="C3924" s="6"/>
      <c r="D3924" s="6"/>
      <c r="E3924" s="67"/>
      <c r="F3924" s="67"/>
      <c r="G3924" s="67"/>
      <c r="H3924" s="67"/>
      <c r="I3924" s="67"/>
      <c r="J3924" s="67"/>
    </row>
    <row r="3925" spans="1:10" x14ac:dyDescent="0.15">
      <c r="A3925" s="11" t="s">
        <v>5438</v>
      </c>
      <c r="B3925" s="11" t="s">
        <v>236</v>
      </c>
      <c r="C3925" s="63"/>
      <c r="D3925" s="6"/>
    </row>
    <row r="3926" spans="1:10" x14ac:dyDescent="0.15">
      <c r="A3926" s="63" t="s">
        <v>5445</v>
      </c>
      <c r="B3926" s="71" t="s">
        <v>5203</v>
      </c>
      <c r="C3926" s="63"/>
      <c r="D3926" s="9" t="s">
        <v>5207</v>
      </c>
    </row>
    <row r="3927" spans="1:10" x14ac:dyDescent="0.15">
      <c r="A3927" s="6" t="s">
        <v>235</v>
      </c>
      <c r="B3927" s="71" t="s">
        <v>5430</v>
      </c>
      <c r="C3927" s="63"/>
      <c r="D3927" s="9"/>
    </row>
    <row r="3928" spans="1:10" x14ac:dyDescent="0.15">
      <c r="A3928" s="6" t="s">
        <v>235</v>
      </c>
      <c r="B3928" s="6" t="s">
        <v>5206</v>
      </c>
      <c r="C3928" s="6">
        <v>4</v>
      </c>
      <c r="D3928" s="79" t="str">
        <f>HYPERLINK("https://rmda.kulib.kyoto-u.ac.jp/item/rb00008882#?c=0&amp;m=0&amp;s=0&amp;cv=3")</f>
        <v>https://rmda.kulib.kyoto-u.ac.jp/item/rb00008882#?c=0&amp;m=0&amp;s=0&amp;cv=3</v>
      </c>
    </row>
    <row r="3929" spans="1:10" x14ac:dyDescent="0.15">
      <c r="A3929" s="6" t="s">
        <v>235</v>
      </c>
      <c r="B3929" s="6" t="s">
        <v>5205</v>
      </c>
      <c r="C3929" s="6">
        <v>7</v>
      </c>
      <c r="D3929" s="79" t="str">
        <f>HYPERLINK("https://rmda.kulib.kyoto-u.ac.jp/item/rb00008882#?c=0&amp;m=0&amp;s=0&amp;cv=6")</f>
        <v>https://rmda.kulib.kyoto-u.ac.jp/item/rb00008882#?c=0&amp;m=0&amp;s=0&amp;cv=6</v>
      </c>
    </row>
    <row r="3930" spans="1:10" x14ac:dyDescent="0.15">
      <c r="A3930" s="6" t="s">
        <v>235</v>
      </c>
      <c r="B3930" s="6" t="s">
        <v>5205</v>
      </c>
      <c r="C3930" s="6">
        <v>9</v>
      </c>
      <c r="D3930" s="79" t="str">
        <f>HYPERLINK("https://rmda.kulib.kyoto-u.ac.jp/item/rb00008882#?c=0&amp;m=0&amp;s=0&amp;cv=8")</f>
        <v>https://rmda.kulib.kyoto-u.ac.jp/item/rb00008882#?c=0&amp;m=0&amp;s=0&amp;cv=8</v>
      </c>
    </row>
    <row r="3931" spans="1:10" x14ac:dyDescent="0.15">
      <c r="A3931" s="6" t="s">
        <v>235</v>
      </c>
      <c r="B3931" s="6" t="s">
        <v>5204</v>
      </c>
      <c r="C3931" s="6">
        <v>12</v>
      </c>
      <c r="D3931" s="79" t="str">
        <f>HYPERLINK("https://rmda.kulib.kyoto-u.ac.jp/item/rb00008882#?c=0&amp;m=0&amp;s=0&amp;cv=11")</f>
        <v>https://rmda.kulib.kyoto-u.ac.jp/item/rb00008882#?c=0&amp;m=0&amp;s=0&amp;cv=11</v>
      </c>
    </row>
    <row r="3932" spans="1:10" x14ac:dyDescent="0.15">
      <c r="A3932" s="6" t="s">
        <v>235</v>
      </c>
      <c r="B3932" s="72" t="s">
        <v>3629</v>
      </c>
      <c r="C3932" s="6">
        <v>14</v>
      </c>
      <c r="D3932" s="6" t="str">
        <f>HYPERLINK("https://rmda.kulib.kyoto-u.ac.jp/item/rb00008882#?c=0&amp;m=0&amp;s=0&amp;cv=13")</f>
        <v>https://rmda.kulib.kyoto-u.ac.jp/item/rb00008882#?c=0&amp;m=0&amp;s=0&amp;cv=13</v>
      </c>
    </row>
    <row r="3933" spans="1:10" x14ac:dyDescent="0.15">
      <c r="A3933" s="6" t="s">
        <v>235</v>
      </c>
      <c r="B3933" s="6" t="s">
        <v>3563</v>
      </c>
      <c r="C3933" s="6">
        <v>14</v>
      </c>
      <c r="D3933" s="6" t="str">
        <f>HYPERLINK("https://rmda.kulib.kyoto-u.ac.jp/item/rb00008882#?c=0&amp;m=0&amp;s=0&amp;cv=13")</f>
        <v>https://rmda.kulib.kyoto-u.ac.jp/item/rb00008882#?c=0&amp;m=0&amp;s=0&amp;cv=13</v>
      </c>
    </row>
    <row r="3934" spans="1:10" x14ac:dyDescent="0.15">
      <c r="A3934" s="6" t="s">
        <v>235</v>
      </c>
      <c r="B3934" s="6" t="s">
        <v>3564</v>
      </c>
      <c r="C3934" s="6">
        <v>26</v>
      </c>
      <c r="D3934" s="6" t="str">
        <f>HYPERLINK("https://rmda.kulib.kyoto-u.ac.jp/item/rb00008882#?c=0&amp;m=0&amp;s=0&amp;cv=25")</f>
        <v>https://rmda.kulib.kyoto-u.ac.jp/item/rb00008882#?c=0&amp;m=0&amp;s=0&amp;cv=25</v>
      </c>
    </row>
    <row r="3935" spans="1:10" x14ac:dyDescent="0.15">
      <c r="A3935" s="6" t="s">
        <v>235</v>
      </c>
      <c r="B3935" s="6" t="s">
        <v>3565</v>
      </c>
      <c r="C3935" s="6">
        <v>63</v>
      </c>
      <c r="D3935" s="6" t="str">
        <f>HYPERLINK("https://rmda.kulib.kyoto-u.ac.jp/item/rb00008882#?c=0&amp;m=0&amp;s=0&amp;cv=62")</f>
        <v>https://rmda.kulib.kyoto-u.ac.jp/item/rb00008882#?c=0&amp;m=0&amp;s=0&amp;cv=62</v>
      </c>
    </row>
    <row r="3936" spans="1:10" x14ac:dyDescent="0.15">
      <c r="A3936" s="6" t="s">
        <v>235</v>
      </c>
      <c r="B3936" s="6" t="s">
        <v>3566</v>
      </c>
      <c r="C3936" s="6">
        <v>65</v>
      </c>
      <c r="D3936" s="6" t="str">
        <f>HYPERLINK("https://rmda.kulib.kyoto-u.ac.jp/item/rb00008882#?c=0&amp;m=0&amp;s=0&amp;cv=64")</f>
        <v>https://rmda.kulib.kyoto-u.ac.jp/item/rb00008882#?c=0&amp;m=0&amp;s=0&amp;cv=64</v>
      </c>
    </row>
    <row r="3937" spans="1:4" x14ac:dyDescent="0.15">
      <c r="A3937" s="6" t="s">
        <v>235</v>
      </c>
      <c r="B3937" s="6" t="s">
        <v>3567</v>
      </c>
      <c r="C3937" s="6">
        <v>70</v>
      </c>
      <c r="D3937" s="6" t="str">
        <f>HYPERLINK("https://rmda.kulib.kyoto-u.ac.jp/item/rb00008882#?c=0&amp;m=0&amp;s=0&amp;cv=69")</f>
        <v>https://rmda.kulib.kyoto-u.ac.jp/item/rb00008882#?c=0&amp;m=0&amp;s=0&amp;cv=69</v>
      </c>
    </row>
    <row r="3938" spans="1:4" x14ac:dyDescent="0.15">
      <c r="A3938" s="6" t="s">
        <v>235</v>
      </c>
      <c r="B3938" s="6" t="s">
        <v>3568</v>
      </c>
      <c r="C3938" s="6">
        <v>74</v>
      </c>
      <c r="D3938" s="6" t="str">
        <f>HYPERLINK("https://rmda.kulib.kyoto-u.ac.jp/item/rb00008882#?c=0&amp;m=0&amp;s=0&amp;cv=73")</f>
        <v>https://rmda.kulib.kyoto-u.ac.jp/item/rb00008882#?c=0&amp;m=0&amp;s=0&amp;cv=73</v>
      </c>
    </row>
    <row r="3939" spans="1:4" x14ac:dyDescent="0.15">
      <c r="A3939" s="6" t="s">
        <v>235</v>
      </c>
      <c r="B3939" s="6" t="s">
        <v>3569</v>
      </c>
      <c r="C3939" s="6">
        <v>80</v>
      </c>
      <c r="D3939" s="6" t="str">
        <f>HYPERLINK("https://rmda.kulib.kyoto-u.ac.jp/item/rb00008882#?c=0&amp;m=0&amp;s=0&amp;cv=79")</f>
        <v>https://rmda.kulib.kyoto-u.ac.jp/item/rb00008882#?c=0&amp;m=0&amp;s=0&amp;cv=79</v>
      </c>
    </row>
    <row r="3940" spans="1:4" x14ac:dyDescent="0.15">
      <c r="A3940" s="6" t="s">
        <v>235</v>
      </c>
      <c r="B3940" s="72" t="s">
        <v>2815</v>
      </c>
      <c r="C3940" s="6">
        <v>86</v>
      </c>
      <c r="D3940" s="6" t="str">
        <f>HYPERLINK("https://rmda.kulib.kyoto-u.ac.jp/item/rb00008882#?c=0&amp;m=0&amp;s=0&amp;cv=85")</f>
        <v>https://rmda.kulib.kyoto-u.ac.jp/item/rb00008882#?c=0&amp;m=0&amp;s=0&amp;cv=85</v>
      </c>
    </row>
    <row r="3941" spans="1:4" x14ac:dyDescent="0.15">
      <c r="A3941" s="6" t="s">
        <v>235</v>
      </c>
      <c r="B3941" s="6" t="s">
        <v>3570</v>
      </c>
      <c r="C3941" s="6">
        <v>86</v>
      </c>
      <c r="D3941" s="6" t="str">
        <f>HYPERLINK("https://rmda.kulib.kyoto-u.ac.jp/item/rb00008882#?c=0&amp;m=0&amp;s=0&amp;cv=85")</f>
        <v>https://rmda.kulib.kyoto-u.ac.jp/item/rb00008882#?c=0&amp;m=0&amp;s=0&amp;cv=85</v>
      </c>
    </row>
    <row r="3942" spans="1:4" x14ac:dyDescent="0.15">
      <c r="A3942" s="6" t="s">
        <v>235</v>
      </c>
      <c r="B3942" s="6" t="s">
        <v>3634</v>
      </c>
      <c r="C3942" s="6">
        <v>96</v>
      </c>
      <c r="D3942" s="6" t="str">
        <f>HYPERLINK("https://rmda.kulib.kyoto-u.ac.jp/item/rb00008882#?c=0&amp;m=0&amp;s=0&amp;cv=95")</f>
        <v>https://rmda.kulib.kyoto-u.ac.jp/item/rb00008882#?c=0&amp;m=0&amp;s=0&amp;cv=95</v>
      </c>
    </row>
    <row r="3943" spans="1:4" x14ac:dyDescent="0.15">
      <c r="A3943" s="6" t="s">
        <v>235</v>
      </c>
      <c r="B3943" s="6" t="s">
        <v>3571</v>
      </c>
      <c r="C3943" s="6">
        <v>100</v>
      </c>
      <c r="D3943" s="6" t="str">
        <f>HYPERLINK("https://rmda.kulib.kyoto-u.ac.jp/item/rb00008882#?c=0&amp;m=0&amp;s=0&amp;cv=99")</f>
        <v>https://rmda.kulib.kyoto-u.ac.jp/item/rb00008882#?c=0&amp;m=0&amp;s=0&amp;cv=99</v>
      </c>
    </row>
    <row r="3944" spans="1:4" x14ac:dyDescent="0.15">
      <c r="A3944" s="6" t="s">
        <v>235</v>
      </c>
      <c r="B3944" s="6" t="s">
        <v>3572</v>
      </c>
      <c r="C3944" s="6">
        <v>111</v>
      </c>
      <c r="D3944" s="6" t="str">
        <f>HYPERLINK("https://rmda.kulib.kyoto-u.ac.jp/item/rb00008882#?c=0&amp;m=0&amp;s=0&amp;cv=110")</f>
        <v>https://rmda.kulib.kyoto-u.ac.jp/item/rb00008882#?c=0&amp;m=0&amp;s=0&amp;cv=110</v>
      </c>
    </row>
    <row r="3945" spans="1:4" x14ac:dyDescent="0.15">
      <c r="A3945" s="6" t="s">
        <v>235</v>
      </c>
      <c r="B3945" s="6" t="s">
        <v>3573</v>
      </c>
      <c r="C3945" s="6">
        <v>115</v>
      </c>
      <c r="D3945" s="6" t="str">
        <f>HYPERLINK("https://rmda.kulib.kyoto-u.ac.jp/item/rb00008882#?c=0&amp;m=0&amp;s=0&amp;cv=114")</f>
        <v>https://rmda.kulib.kyoto-u.ac.jp/item/rb00008882#?c=0&amp;m=0&amp;s=0&amp;cv=114</v>
      </c>
    </row>
    <row r="3946" spans="1:4" x14ac:dyDescent="0.15">
      <c r="A3946" s="6" t="s">
        <v>235</v>
      </c>
      <c r="B3946" s="6" t="s">
        <v>3574</v>
      </c>
      <c r="C3946" s="6">
        <v>121</v>
      </c>
      <c r="D3946" s="6" t="str">
        <f>HYPERLINK("https://rmda.kulib.kyoto-u.ac.jp/item/rb00008882#?c=0&amp;m=0&amp;s=0&amp;cv=120")</f>
        <v>https://rmda.kulib.kyoto-u.ac.jp/item/rb00008882#?c=0&amp;m=0&amp;s=0&amp;cv=120</v>
      </c>
    </row>
    <row r="3947" spans="1:4" x14ac:dyDescent="0.15">
      <c r="A3947" s="6" t="s">
        <v>235</v>
      </c>
      <c r="B3947" s="6" t="s">
        <v>3575</v>
      </c>
      <c r="C3947" s="6">
        <v>123</v>
      </c>
      <c r="D3947" s="6" t="str">
        <f>HYPERLINK("https://rmda.kulib.kyoto-u.ac.jp/item/rb00008882#?c=0&amp;m=0&amp;s=0&amp;cv=122")</f>
        <v>https://rmda.kulib.kyoto-u.ac.jp/item/rb00008882#?c=0&amp;m=0&amp;s=0&amp;cv=122</v>
      </c>
    </row>
    <row r="3948" spans="1:4" x14ac:dyDescent="0.15">
      <c r="A3948" s="6" t="s">
        <v>235</v>
      </c>
      <c r="B3948" s="6" t="s">
        <v>3576</v>
      </c>
      <c r="C3948" s="6">
        <v>126</v>
      </c>
      <c r="D3948" s="6" t="str">
        <f>HYPERLINK("https://rmda.kulib.kyoto-u.ac.jp/item/rb00008882#?c=0&amp;m=0&amp;s=0&amp;cv=125")</f>
        <v>https://rmda.kulib.kyoto-u.ac.jp/item/rb00008882#?c=0&amp;m=0&amp;s=0&amp;cv=125</v>
      </c>
    </row>
    <row r="3949" spans="1:4" x14ac:dyDescent="0.15">
      <c r="A3949" s="6" t="s">
        <v>235</v>
      </c>
      <c r="B3949" s="6" t="s">
        <v>3577</v>
      </c>
      <c r="C3949" s="6">
        <v>132</v>
      </c>
      <c r="D3949" s="6" t="str">
        <f>HYPERLINK("https://rmda.kulib.kyoto-u.ac.jp/item/rb00008882#?c=0&amp;m=0&amp;s=0&amp;cv=131")</f>
        <v>https://rmda.kulib.kyoto-u.ac.jp/item/rb00008882#?c=0&amp;m=0&amp;s=0&amp;cv=131</v>
      </c>
    </row>
    <row r="3950" spans="1:4" x14ac:dyDescent="0.15">
      <c r="A3950" s="6" t="s">
        <v>235</v>
      </c>
      <c r="B3950" s="6" t="s">
        <v>3578</v>
      </c>
      <c r="C3950" s="6">
        <v>134</v>
      </c>
      <c r="D3950" s="6" t="str">
        <f>HYPERLINK("https://rmda.kulib.kyoto-u.ac.jp/item/rb00008882#?c=0&amp;m=0&amp;s=0&amp;cv=133")</f>
        <v>https://rmda.kulib.kyoto-u.ac.jp/item/rb00008882#?c=0&amp;m=0&amp;s=0&amp;cv=133</v>
      </c>
    </row>
    <row r="3951" spans="1:4" x14ac:dyDescent="0.15">
      <c r="A3951" s="6" t="s">
        <v>235</v>
      </c>
      <c r="B3951" s="72" t="s">
        <v>2816</v>
      </c>
      <c r="C3951" s="6">
        <v>145</v>
      </c>
      <c r="D3951" s="6" t="str">
        <f>HYPERLINK("https://rmda.kulib.kyoto-u.ac.jp/item/rb00008882#?c=0&amp;m=0&amp;s=0&amp;cv=144")</f>
        <v>https://rmda.kulib.kyoto-u.ac.jp/item/rb00008882#?c=0&amp;m=0&amp;s=0&amp;cv=144</v>
      </c>
    </row>
    <row r="3952" spans="1:4" x14ac:dyDescent="0.15">
      <c r="A3952" s="6" t="s">
        <v>235</v>
      </c>
      <c r="B3952" s="6" t="s">
        <v>3579</v>
      </c>
      <c r="C3952" s="6">
        <v>145</v>
      </c>
      <c r="D3952" s="6" t="str">
        <f>HYPERLINK("https://rmda.kulib.kyoto-u.ac.jp/item/rb00008882#?c=0&amp;m=0&amp;s=0&amp;cv=144")</f>
        <v>https://rmda.kulib.kyoto-u.ac.jp/item/rb00008882#?c=0&amp;m=0&amp;s=0&amp;cv=144</v>
      </c>
    </row>
    <row r="3953" spans="1:4" x14ac:dyDescent="0.15">
      <c r="A3953" s="6" t="s">
        <v>235</v>
      </c>
      <c r="B3953" s="6" t="s">
        <v>3635</v>
      </c>
      <c r="C3953" s="6">
        <v>170</v>
      </c>
      <c r="D3953" s="6" t="str">
        <f>HYPERLINK("https://rmda.kulib.kyoto-u.ac.jp/item/rb00008882#?c=0&amp;m=0&amp;s=0&amp;cv=169")</f>
        <v>https://rmda.kulib.kyoto-u.ac.jp/item/rb00008882#?c=0&amp;m=0&amp;s=0&amp;cv=169</v>
      </c>
    </row>
    <row r="3954" spans="1:4" x14ac:dyDescent="0.15">
      <c r="A3954" s="6" t="s">
        <v>235</v>
      </c>
      <c r="B3954" s="6" t="s">
        <v>3580</v>
      </c>
      <c r="C3954" s="6">
        <v>177</v>
      </c>
      <c r="D3954" s="6" t="str">
        <f>HYPERLINK("https://rmda.kulib.kyoto-u.ac.jp/item/rb00008882#?c=0&amp;m=0&amp;s=0&amp;cv=176")</f>
        <v>https://rmda.kulib.kyoto-u.ac.jp/item/rb00008882#?c=0&amp;m=0&amp;s=0&amp;cv=176</v>
      </c>
    </row>
    <row r="3955" spans="1:4" x14ac:dyDescent="0.15">
      <c r="A3955" s="6" t="s">
        <v>235</v>
      </c>
      <c r="B3955" s="6" t="s">
        <v>3581</v>
      </c>
      <c r="C3955" s="6">
        <v>181</v>
      </c>
      <c r="D3955" s="6" t="str">
        <f>HYPERLINK("https://rmda.kulib.kyoto-u.ac.jp/item/rb00008882#?c=0&amp;m=0&amp;s=0&amp;cv=180")</f>
        <v>https://rmda.kulib.kyoto-u.ac.jp/item/rb00008882#?c=0&amp;m=0&amp;s=0&amp;cv=180</v>
      </c>
    </row>
    <row r="3956" spans="1:4" x14ac:dyDescent="0.15">
      <c r="A3956" s="6" t="s">
        <v>235</v>
      </c>
      <c r="B3956" s="6" t="s">
        <v>3582</v>
      </c>
      <c r="C3956" s="6">
        <v>191</v>
      </c>
      <c r="D3956" s="6" t="str">
        <f>HYPERLINK("https://rmda.kulib.kyoto-u.ac.jp/item/rb00008882#?c=0&amp;m=0&amp;s=0&amp;cv=190")</f>
        <v>https://rmda.kulib.kyoto-u.ac.jp/item/rb00008882#?c=0&amp;m=0&amp;s=0&amp;cv=190</v>
      </c>
    </row>
    <row r="3957" spans="1:4" x14ac:dyDescent="0.15">
      <c r="A3957" s="6" t="s">
        <v>235</v>
      </c>
      <c r="B3957" s="6" t="s">
        <v>3583</v>
      </c>
      <c r="C3957" s="6">
        <v>193</v>
      </c>
      <c r="D3957" s="6" t="str">
        <f>HYPERLINK("https://rmda.kulib.kyoto-u.ac.jp/item/rb00008882#?c=0&amp;m=0&amp;s=0&amp;cv=192")</f>
        <v>https://rmda.kulib.kyoto-u.ac.jp/item/rb00008882#?c=0&amp;m=0&amp;s=0&amp;cv=192</v>
      </c>
    </row>
    <row r="3958" spans="1:4" x14ac:dyDescent="0.15">
      <c r="A3958" s="6" t="s">
        <v>235</v>
      </c>
      <c r="B3958" s="6" t="s">
        <v>3584</v>
      </c>
      <c r="C3958" s="6">
        <v>195</v>
      </c>
      <c r="D3958" s="6" t="str">
        <f>HYPERLINK("https://rmda.kulib.kyoto-u.ac.jp/item/rb00008882#?c=0&amp;m=0&amp;s=0&amp;cv=194")</f>
        <v>https://rmda.kulib.kyoto-u.ac.jp/item/rb00008882#?c=0&amp;m=0&amp;s=0&amp;cv=194</v>
      </c>
    </row>
    <row r="3959" spans="1:4" x14ac:dyDescent="0.15">
      <c r="A3959" s="6" t="s">
        <v>235</v>
      </c>
      <c r="B3959" s="6" t="s">
        <v>3585</v>
      </c>
      <c r="C3959" s="6">
        <v>197</v>
      </c>
      <c r="D3959" s="6" t="str">
        <f>HYPERLINK("https://rmda.kulib.kyoto-u.ac.jp/item/rb00008882#?c=0&amp;m=0&amp;s=0&amp;cv=196")</f>
        <v>https://rmda.kulib.kyoto-u.ac.jp/item/rb00008882#?c=0&amp;m=0&amp;s=0&amp;cv=196</v>
      </c>
    </row>
    <row r="3960" spans="1:4" x14ac:dyDescent="0.15">
      <c r="A3960" s="6" t="s">
        <v>235</v>
      </c>
      <c r="B3960" s="6" t="s">
        <v>3586</v>
      </c>
      <c r="C3960" s="6">
        <v>199</v>
      </c>
      <c r="D3960" s="6" t="str">
        <f>HYPERLINK("https://rmda.kulib.kyoto-u.ac.jp/item/rb00008882#?c=0&amp;m=0&amp;s=0&amp;cv=198")</f>
        <v>https://rmda.kulib.kyoto-u.ac.jp/item/rb00008882#?c=0&amp;m=0&amp;s=0&amp;cv=198</v>
      </c>
    </row>
    <row r="3961" spans="1:4" x14ac:dyDescent="0.15">
      <c r="A3961" s="6" t="s">
        <v>235</v>
      </c>
      <c r="B3961" s="6" t="s">
        <v>3636</v>
      </c>
      <c r="C3961" s="6">
        <v>203</v>
      </c>
      <c r="D3961" s="6" t="str">
        <f>HYPERLINK("https://rmda.kulib.kyoto-u.ac.jp/item/rb00008882#?c=0&amp;m=0&amp;s=0&amp;cv=202")</f>
        <v>https://rmda.kulib.kyoto-u.ac.jp/item/rb00008882#?c=0&amp;m=0&amp;s=0&amp;cv=202</v>
      </c>
    </row>
    <row r="3962" spans="1:4" x14ac:dyDescent="0.15">
      <c r="A3962" s="6" t="s">
        <v>235</v>
      </c>
      <c r="B3962" s="72" t="s">
        <v>2817</v>
      </c>
      <c r="C3962" s="6">
        <v>210</v>
      </c>
      <c r="D3962" s="6" t="str">
        <f>HYPERLINK("https://rmda.kulib.kyoto-u.ac.jp/item/rb00008882#?c=0&amp;m=0&amp;s=0&amp;cv=209")</f>
        <v>https://rmda.kulib.kyoto-u.ac.jp/item/rb00008882#?c=0&amp;m=0&amp;s=0&amp;cv=209</v>
      </c>
    </row>
    <row r="3963" spans="1:4" x14ac:dyDescent="0.15">
      <c r="A3963" s="6" t="s">
        <v>235</v>
      </c>
      <c r="B3963" s="6" t="s">
        <v>3587</v>
      </c>
      <c r="C3963" s="6">
        <v>210</v>
      </c>
      <c r="D3963" s="6" t="str">
        <f>HYPERLINK("https://rmda.kulib.kyoto-u.ac.jp/item/rb00008882#?c=0&amp;m=0&amp;s=0&amp;cv=209")</f>
        <v>https://rmda.kulib.kyoto-u.ac.jp/item/rb00008882#?c=0&amp;m=0&amp;s=0&amp;cv=209</v>
      </c>
    </row>
    <row r="3964" spans="1:4" x14ac:dyDescent="0.15">
      <c r="A3964" s="6" t="s">
        <v>235</v>
      </c>
      <c r="B3964" s="6" t="s">
        <v>3588</v>
      </c>
      <c r="C3964" s="6">
        <v>214</v>
      </c>
      <c r="D3964" s="6" t="str">
        <f>HYPERLINK("https://rmda.kulib.kyoto-u.ac.jp/item/rb00008882#?c=0&amp;m=0&amp;s=0&amp;cv=213")</f>
        <v>https://rmda.kulib.kyoto-u.ac.jp/item/rb00008882#?c=0&amp;m=0&amp;s=0&amp;cv=213</v>
      </c>
    </row>
    <row r="3965" spans="1:4" x14ac:dyDescent="0.15">
      <c r="A3965" s="6" t="s">
        <v>235</v>
      </c>
      <c r="B3965" s="6" t="s">
        <v>3589</v>
      </c>
      <c r="C3965" s="6">
        <v>220</v>
      </c>
      <c r="D3965" s="6" t="str">
        <f>HYPERLINK("https://rmda.kulib.kyoto-u.ac.jp/item/rb00008882#?c=0&amp;m=0&amp;s=0&amp;cv=219")</f>
        <v>https://rmda.kulib.kyoto-u.ac.jp/item/rb00008882#?c=0&amp;m=0&amp;s=0&amp;cv=219</v>
      </c>
    </row>
    <row r="3966" spans="1:4" x14ac:dyDescent="0.15">
      <c r="A3966" s="6" t="s">
        <v>235</v>
      </c>
      <c r="B3966" s="6" t="s">
        <v>3590</v>
      </c>
      <c r="C3966" s="6">
        <v>222</v>
      </c>
      <c r="D3966" s="6" t="str">
        <f>HYPERLINK("https://rmda.kulib.kyoto-u.ac.jp/item/rb00008882#?c=0&amp;m=0&amp;s=0&amp;cv=221")</f>
        <v>https://rmda.kulib.kyoto-u.ac.jp/item/rb00008882#?c=0&amp;m=0&amp;s=0&amp;cv=221</v>
      </c>
    </row>
    <row r="3967" spans="1:4" x14ac:dyDescent="0.15">
      <c r="A3967" s="6" t="s">
        <v>235</v>
      </c>
      <c r="B3967" s="6" t="s">
        <v>3591</v>
      </c>
      <c r="C3967" s="6">
        <v>223</v>
      </c>
      <c r="D3967" s="6" t="str">
        <f>HYPERLINK("https://rmda.kulib.kyoto-u.ac.jp/item/rb00008882#?c=0&amp;m=0&amp;s=0&amp;cv=222")</f>
        <v>https://rmda.kulib.kyoto-u.ac.jp/item/rb00008882#?c=0&amp;m=0&amp;s=0&amp;cv=222</v>
      </c>
    </row>
    <row r="3968" spans="1:4" x14ac:dyDescent="0.15">
      <c r="A3968" s="6" t="s">
        <v>235</v>
      </c>
      <c r="B3968" s="6" t="s">
        <v>3592</v>
      </c>
      <c r="C3968" s="6">
        <v>225</v>
      </c>
      <c r="D3968" s="6" t="str">
        <f>HYPERLINK("https://rmda.kulib.kyoto-u.ac.jp/item/rb00008882#?c=0&amp;m=0&amp;s=0&amp;cv=224")</f>
        <v>https://rmda.kulib.kyoto-u.ac.jp/item/rb00008882#?c=0&amp;m=0&amp;s=0&amp;cv=224</v>
      </c>
    </row>
    <row r="3969" spans="1:4" x14ac:dyDescent="0.15">
      <c r="A3969" s="6" t="s">
        <v>235</v>
      </c>
      <c r="B3969" s="6" t="s">
        <v>3593</v>
      </c>
      <c r="C3969" s="6">
        <v>227</v>
      </c>
      <c r="D3969" s="6" t="str">
        <f>HYPERLINK("https://rmda.kulib.kyoto-u.ac.jp/item/rb00008882#?c=0&amp;m=0&amp;s=0&amp;cv=226")</f>
        <v>https://rmda.kulib.kyoto-u.ac.jp/item/rb00008882#?c=0&amp;m=0&amp;s=0&amp;cv=226</v>
      </c>
    </row>
    <row r="3970" spans="1:4" x14ac:dyDescent="0.15">
      <c r="A3970" s="6" t="s">
        <v>235</v>
      </c>
      <c r="B3970" s="6" t="s">
        <v>3594</v>
      </c>
      <c r="C3970" s="6">
        <v>234</v>
      </c>
      <c r="D3970" s="6" t="str">
        <f>HYPERLINK("https://rmda.kulib.kyoto-u.ac.jp/item/rb00008882#?c=0&amp;m=0&amp;s=0&amp;cv=233")</f>
        <v>https://rmda.kulib.kyoto-u.ac.jp/item/rb00008882#?c=0&amp;m=0&amp;s=0&amp;cv=233</v>
      </c>
    </row>
    <row r="3971" spans="1:4" x14ac:dyDescent="0.15">
      <c r="A3971" s="6" t="s">
        <v>235</v>
      </c>
      <c r="B3971" s="6" t="s">
        <v>3595</v>
      </c>
      <c r="C3971" s="6">
        <v>238</v>
      </c>
      <c r="D3971" s="6" t="str">
        <f>HYPERLINK("https://rmda.kulib.kyoto-u.ac.jp/item/rb00008882#?c=0&amp;m=0&amp;s=0&amp;cv=237")</f>
        <v>https://rmda.kulib.kyoto-u.ac.jp/item/rb00008882#?c=0&amp;m=0&amp;s=0&amp;cv=237</v>
      </c>
    </row>
    <row r="3972" spans="1:4" x14ac:dyDescent="0.15">
      <c r="A3972" s="6" t="s">
        <v>235</v>
      </c>
      <c r="B3972" s="6" t="s">
        <v>3596</v>
      </c>
      <c r="C3972" s="6">
        <v>242</v>
      </c>
      <c r="D3972" s="6" t="str">
        <f>HYPERLINK("https://rmda.kulib.kyoto-u.ac.jp/item/rb00008882#?c=0&amp;m=0&amp;s=0&amp;cv=241")</f>
        <v>https://rmda.kulib.kyoto-u.ac.jp/item/rb00008882#?c=0&amp;m=0&amp;s=0&amp;cv=241</v>
      </c>
    </row>
    <row r="3973" spans="1:4" x14ac:dyDescent="0.15">
      <c r="A3973" s="6" t="s">
        <v>235</v>
      </c>
      <c r="B3973" s="6" t="s">
        <v>3597</v>
      </c>
      <c r="C3973" s="6">
        <v>246</v>
      </c>
      <c r="D3973" s="6" t="str">
        <f>HYPERLINK("https://rmda.kulib.kyoto-u.ac.jp/item/rb00008882#?c=0&amp;m=0&amp;s=0&amp;cv=245")</f>
        <v>https://rmda.kulib.kyoto-u.ac.jp/item/rb00008882#?c=0&amp;m=0&amp;s=0&amp;cv=245</v>
      </c>
    </row>
    <row r="3974" spans="1:4" x14ac:dyDescent="0.15">
      <c r="A3974" s="6" t="s">
        <v>235</v>
      </c>
      <c r="B3974" s="6" t="s">
        <v>3598</v>
      </c>
      <c r="C3974" s="6">
        <v>248</v>
      </c>
      <c r="D3974" s="6" t="str">
        <f>HYPERLINK("https://rmda.kulib.kyoto-u.ac.jp/item/rb00008882#?c=0&amp;m=0&amp;s=0&amp;cv=247")</f>
        <v>https://rmda.kulib.kyoto-u.ac.jp/item/rb00008882#?c=0&amp;m=0&amp;s=0&amp;cv=247</v>
      </c>
    </row>
    <row r="3975" spans="1:4" x14ac:dyDescent="0.15">
      <c r="A3975" s="6" t="s">
        <v>235</v>
      </c>
      <c r="B3975" s="6" t="s">
        <v>3599</v>
      </c>
      <c r="C3975" s="6">
        <v>250</v>
      </c>
      <c r="D3975" s="6" t="str">
        <f>HYPERLINK("https://rmda.kulib.kyoto-u.ac.jp/item/rb00008882#?c=0&amp;m=0&amp;s=0&amp;cv=249")</f>
        <v>https://rmda.kulib.kyoto-u.ac.jp/item/rb00008882#?c=0&amp;m=0&amp;s=0&amp;cv=249</v>
      </c>
    </row>
    <row r="3976" spans="1:4" x14ac:dyDescent="0.15">
      <c r="A3976" s="6" t="s">
        <v>235</v>
      </c>
      <c r="B3976" s="6" t="s">
        <v>3600</v>
      </c>
      <c r="C3976" s="6">
        <v>254</v>
      </c>
      <c r="D3976" s="6" t="str">
        <f>HYPERLINK("https://rmda.kulib.kyoto-u.ac.jp/item/rb00008882#?c=0&amp;m=0&amp;s=0&amp;cv=253")</f>
        <v>https://rmda.kulib.kyoto-u.ac.jp/item/rb00008882#?c=0&amp;m=0&amp;s=0&amp;cv=253</v>
      </c>
    </row>
    <row r="3977" spans="1:4" x14ac:dyDescent="0.15">
      <c r="A3977" s="6" t="s">
        <v>235</v>
      </c>
      <c r="B3977" s="6" t="s">
        <v>3601</v>
      </c>
      <c r="C3977" s="6">
        <v>257</v>
      </c>
      <c r="D3977" s="6" t="str">
        <f>HYPERLINK("https://rmda.kulib.kyoto-u.ac.jp/item/rb00008882#?c=0&amp;m=0&amp;s=0&amp;cv=256")</f>
        <v>https://rmda.kulib.kyoto-u.ac.jp/item/rb00008882#?c=0&amp;m=0&amp;s=0&amp;cv=256</v>
      </c>
    </row>
    <row r="3978" spans="1:4" x14ac:dyDescent="0.15">
      <c r="A3978" s="6" t="s">
        <v>235</v>
      </c>
      <c r="B3978" s="6" t="s">
        <v>3602</v>
      </c>
      <c r="C3978" s="6">
        <v>259</v>
      </c>
      <c r="D3978" s="6" t="str">
        <f>HYPERLINK("https://rmda.kulib.kyoto-u.ac.jp/item/rb00008882#?c=0&amp;m=0&amp;s=0&amp;cv=258")</f>
        <v>https://rmda.kulib.kyoto-u.ac.jp/item/rb00008882#?c=0&amp;m=0&amp;s=0&amp;cv=258</v>
      </c>
    </row>
    <row r="3979" spans="1:4" x14ac:dyDescent="0.15">
      <c r="A3979" s="6" t="s">
        <v>235</v>
      </c>
      <c r="B3979" s="6" t="s">
        <v>3603</v>
      </c>
      <c r="C3979" s="6">
        <v>261</v>
      </c>
      <c r="D3979" s="6" t="str">
        <f>HYPERLINK("https://rmda.kulib.kyoto-u.ac.jp/item/rb00008882#?c=0&amp;m=0&amp;s=0&amp;cv=260")</f>
        <v>https://rmda.kulib.kyoto-u.ac.jp/item/rb00008882#?c=0&amp;m=0&amp;s=0&amp;cv=260</v>
      </c>
    </row>
    <row r="3980" spans="1:4" x14ac:dyDescent="0.15">
      <c r="A3980" s="6" t="s">
        <v>235</v>
      </c>
      <c r="B3980" s="72" t="s">
        <v>2818</v>
      </c>
      <c r="C3980" s="6">
        <v>271</v>
      </c>
      <c r="D3980" s="6" t="str">
        <f>HYPERLINK("https://rmda.kulib.kyoto-u.ac.jp/item/rb00008882#?c=0&amp;m=0&amp;s=0&amp;cv=270")</f>
        <v>https://rmda.kulib.kyoto-u.ac.jp/item/rb00008882#?c=0&amp;m=0&amp;s=0&amp;cv=270</v>
      </c>
    </row>
    <row r="3981" spans="1:4" x14ac:dyDescent="0.15">
      <c r="A3981" s="6" t="s">
        <v>235</v>
      </c>
      <c r="B3981" s="6" t="s">
        <v>3604</v>
      </c>
      <c r="C3981" s="6">
        <v>271</v>
      </c>
      <c r="D3981" s="6" t="str">
        <f>HYPERLINK("https://rmda.kulib.kyoto-u.ac.jp/item/rb00008882#?c=0&amp;m=0&amp;s=0&amp;cv=270")</f>
        <v>https://rmda.kulib.kyoto-u.ac.jp/item/rb00008882#?c=0&amp;m=0&amp;s=0&amp;cv=270</v>
      </c>
    </row>
    <row r="3982" spans="1:4" x14ac:dyDescent="0.15">
      <c r="A3982" s="6" t="s">
        <v>235</v>
      </c>
      <c r="B3982" s="6" t="s">
        <v>3605</v>
      </c>
      <c r="C3982" s="6">
        <v>277</v>
      </c>
      <c r="D3982" s="6" t="str">
        <f>HYPERLINK("https://rmda.kulib.kyoto-u.ac.jp/item/rb00008882#?c=0&amp;m=0&amp;s=0&amp;cv=276")</f>
        <v>https://rmda.kulib.kyoto-u.ac.jp/item/rb00008882#?c=0&amp;m=0&amp;s=0&amp;cv=276</v>
      </c>
    </row>
    <row r="3983" spans="1:4" x14ac:dyDescent="0.15">
      <c r="A3983" s="6" t="s">
        <v>235</v>
      </c>
      <c r="B3983" s="6" t="s">
        <v>3606</v>
      </c>
      <c r="C3983" s="6">
        <v>280</v>
      </c>
      <c r="D3983" s="6" t="str">
        <f>HYPERLINK("https://rmda.kulib.kyoto-u.ac.jp/item/rb00008882#?c=0&amp;m=0&amp;s=0&amp;cv=279")</f>
        <v>https://rmda.kulib.kyoto-u.ac.jp/item/rb00008882#?c=0&amp;m=0&amp;s=0&amp;cv=279</v>
      </c>
    </row>
    <row r="3984" spans="1:4" x14ac:dyDescent="0.15">
      <c r="A3984" s="6" t="s">
        <v>235</v>
      </c>
      <c r="B3984" s="6" t="s">
        <v>3607</v>
      </c>
      <c r="C3984" s="6">
        <v>281</v>
      </c>
      <c r="D3984" s="6" t="str">
        <f>HYPERLINK("https://rmda.kulib.kyoto-u.ac.jp/item/rb00008882#?c=0&amp;m=0&amp;s=0&amp;cv=280")</f>
        <v>https://rmda.kulib.kyoto-u.ac.jp/item/rb00008882#?c=0&amp;m=0&amp;s=0&amp;cv=280</v>
      </c>
    </row>
    <row r="3985" spans="1:4" x14ac:dyDescent="0.15">
      <c r="A3985" s="6" t="s">
        <v>235</v>
      </c>
      <c r="B3985" s="6" t="s">
        <v>3608</v>
      </c>
      <c r="C3985" s="6">
        <v>284</v>
      </c>
      <c r="D3985" s="6" t="str">
        <f>HYPERLINK("https://rmda.kulib.kyoto-u.ac.jp/item/rb00008882#?c=0&amp;m=0&amp;s=0&amp;cv=283")</f>
        <v>https://rmda.kulib.kyoto-u.ac.jp/item/rb00008882#?c=0&amp;m=0&amp;s=0&amp;cv=283</v>
      </c>
    </row>
    <row r="3986" spans="1:4" x14ac:dyDescent="0.15">
      <c r="A3986" s="6" t="s">
        <v>235</v>
      </c>
      <c r="B3986" s="6" t="s">
        <v>3609</v>
      </c>
      <c r="C3986" s="6">
        <v>288</v>
      </c>
      <c r="D3986" s="6" t="str">
        <f>HYPERLINK("https://rmda.kulib.kyoto-u.ac.jp/item/rb00008882#?c=0&amp;m=0&amp;s=0&amp;cv=287")</f>
        <v>https://rmda.kulib.kyoto-u.ac.jp/item/rb00008882#?c=0&amp;m=0&amp;s=0&amp;cv=287</v>
      </c>
    </row>
    <row r="3987" spans="1:4" x14ac:dyDescent="0.15">
      <c r="A3987" s="6" t="s">
        <v>235</v>
      </c>
      <c r="B3987" s="6" t="s">
        <v>3610</v>
      </c>
      <c r="C3987" s="6">
        <v>290</v>
      </c>
      <c r="D3987" s="6" t="str">
        <f>HYPERLINK("https://rmda.kulib.kyoto-u.ac.jp/item/rb00008882#?c=0&amp;m=0&amp;s=0&amp;cv=289")</f>
        <v>https://rmda.kulib.kyoto-u.ac.jp/item/rb00008882#?c=0&amp;m=0&amp;s=0&amp;cv=289</v>
      </c>
    </row>
    <row r="3988" spans="1:4" x14ac:dyDescent="0.15">
      <c r="A3988" s="6" t="s">
        <v>235</v>
      </c>
      <c r="B3988" s="6" t="s">
        <v>3611</v>
      </c>
      <c r="C3988" s="6">
        <v>292</v>
      </c>
      <c r="D3988" s="6" t="str">
        <f>HYPERLINK("https://rmda.kulib.kyoto-u.ac.jp/item/rb00008882#?c=0&amp;m=0&amp;s=0&amp;cv=291")</f>
        <v>https://rmda.kulib.kyoto-u.ac.jp/item/rb00008882#?c=0&amp;m=0&amp;s=0&amp;cv=291</v>
      </c>
    </row>
    <row r="3989" spans="1:4" x14ac:dyDescent="0.15">
      <c r="A3989" s="6" t="s">
        <v>235</v>
      </c>
      <c r="B3989" s="6" t="s">
        <v>3612</v>
      </c>
      <c r="C3989" s="6">
        <v>295</v>
      </c>
      <c r="D3989" s="6" t="str">
        <f>HYPERLINK("https://rmda.kulib.kyoto-u.ac.jp/item/rb00008882#?c=0&amp;m=0&amp;s=0&amp;cv=294")</f>
        <v>https://rmda.kulib.kyoto-u.ac.jp/item/rb00008882#?c=0&amp;m=0&amp;s=0&amp;cv=294</v>
      </c>
    </row>
    <row r="3990" spans="1:4" x14ac:dyDescent="0.15">
      <c r="A3990" s="6" t="s">
        <v>235</v>
      </c>
      <c r="B3990" s="6" t="s">
        <v>3613</v>
      </c>
      <c r="C3990" s="6">
        <v>299</v>
      </c>
      <c r="D3990" s="6" t="str">
        <f>HYPERLINK("https://rmda.kulib.kyoto-u.ac.jp/item/rb00008882#?c=0&amp;m=0&amp;s=0&amp;cv=298")</f>
        <v>https://rmda.kulib.kyoto-u.ac.jp/item/rb00008882#?c=0&amp;m=0&amp;s=0&amp;cv=298</v>
      </c>
    </row>
    <row r="3991" spans="1:4" x14ac:dyDescent="0.15">
      <c r="A3991" s="6" t="s">
        <v>235</v>
      </c>
      <c r="B3991" s="6" t="s">
        <v>3614</v>
      </c>
      <c r="C3991" s="6">
        <v>302</v>
      </c>
      <c r="D3991" s="6" t="str">
        <f>HYPERLINK("https://rmda.kulib.kyoto-u.ac.jp/item/rb00008882#?c=0&amp;m=0&amp;s=0&amp;cv=301")</f>
        <v>https://rmda.kulib.kyoto-u.ac.jp/item/rb00008882#?c=0&amp;m=0&amp;s=0&amp;cv=301</v>
      </c>
    </row>
    <row r="3992" spans="1:4" x14ac:dyDescent="0.15">
      <c r="A3992" s="6" t="s">
        <v>235</v>
      </c>
      <c r="B3992" s="6" t="s">
        <v>3615</v>
      </c>
      <c r="C3992" s="6">
        <v>307</v>
      </c>
      <c r="D3992" s="6" t="str">
        <f>HYPERLINK("https://rmda.kulib.kyoto-u.ac.jp/item/rb00008882#?c=0&amp;m=0&amp;s=0&amp;cv=306")</f>
        <v>https://rmda.kulib.kyoto-u.ac.jp/item/rb00008882#?c=0&amp;m=0&amp;s=0&amp;cv=306</v>
      </c>
    </row>
    <row r="3993" spans="1:4" x14ac:dyDescent="0.15">
      <c r="A3993" s="6" t="s">
        <v>235</v>
      </c>
      <c r="B3993" s="6" t="s">
        <v>3616</v>
      </c>
      <c r="C3993" s="6">
        <v>311</v>
      </c>
      <c r="D3993" s="6" t="str">
        <f>HYPERLINK("https://rmda.kulib.kyoto-u.ac.jp/item/rb00008882#?c=0&amp;m=0&amp;s=0&amp;cv=310")</f>
        <v>https://rmda.kulib.kyoto-u.ac.jp/item/rb00008882#?c=0&amp;m=0&amp;s=0&amp;cv=310</v>
      </c>
    </row>
    <row r="3994" spans="1:4" x14ac:dyDescent="0.15">
      <c r="A3994" s="6" t="s">
        <v>235</v>
      </c>
      <c r="B3994" s="6" t="s">
        <v>3617</v>
      </c>
      <c r="C3994" s="6">
        <v>312</v>
      </c>
      <c r="D3994" s="6" t="str">
        <f>HYPERLINK("https://rmda.kulib.kyoto-u.ac.jp/item/rb00008882#?c=0&amp;m=0&amp;s=0&amp;cv=311")</f>
        <v>https://rmda.kulib.kyoto-u.ac.jp/item/rb00008882#?c=0&amp;m=0&amp;s=0&amp;cv=311</v>
      </c>
    </row>
    <row r="3995" spans="1:4" x14ac:dyDescent="0.15">
      <c r="A3995" s="6" t="s">
        <v>235</v>
      </c>
      <c r="B3995" s="6" t="s">
        <v>3618</v>
      </c>
      <c r="C3995" s="6">
        <v>315</v>
      </c>
      <c r="D3995" s="6" t="str">
        <f>HYPERLINK("https://rmda.kulib.kyoto-u.ac.jp/item/rb00008882#?c=0&amp;m=0&amp;s=0&amp;cv=314")</f>
        <v>https://rmda.kulib.kyoto-u.ac.jp/item/rb00008882#?c=0&amp;m=0&amp;s=0&amp;cv=314</v>
      </c>
    </row>
    <row r="3996" spans="1:4" x14ac:dyDescent="0.15">
      <c r="A3996" s="6" t="s">
        <v>235</v>
      </c>
      <c r="B3996" s="6" t="s">
        <v>3619</v>
      </c>
      <c r="C3996" s="6">
        <v>318</v>
      </c>
      <c r="D3996" s="6" t="str">
        <f>HYPERLINK("https://rmda.kulib.kyoto-u.ac.jp/item/rb00008882#?c=0&amp;m=0&amp;s=0&amp;cv=317")</f>
        <v>https://rmda.kulib.kyoto-u.ac.jp/item/rb00008882#?c=0&amp;m=0&amp;s=0&amp;cv=317</v>
      </c>
    </row>
    <row r="3997" spans="1:4" x14ac:dyDescent="0.15">
      <c r="A3997" s="6" t="s">
        <v>235</v>
      </c>
      <c r="B3997" s="6" t="s">
        <v>3620</v>
      </c>
      <c r="C3997" s="6">
        <v>323</v>
      </c>
      <c r="D3997" s="6" t="str">
        <f>HYPERLINK("https://rmda.kulib.kyoto-u.ac.jp/item/rb00008882#?c=0&amp;m=0&amp;s=0&amp;cv=322")</f>
        <v>https://rmda.kulib.kyoto-u.ac.jp/item/rb00008882#?c=0&amp;m=0&amp;s=0&amp;cv=322</v>
      </c>
    </row>
    <row r="3998" spans="1:4" x14ac:dyDescent="0.15">
      <c r="A3998" s="6" t="s">
        <v>235</v>
      </c>
      <c r="B3998" s="6" t="s">
        <v>3621</v>
      </c>
      <c r="C3998" s="6">
        <v>332</v>
      </c>
      <c r="D3998" s="6" t="str">
        <f>HYPERLINK("https://rmda.kulib.kyoto-u.ac.jp/item/rb00008882#?c=0&amp;m=0&amp;s=0&amp;cv=331")</f>
        <v>https://rmda.kulib.kyoto-u.ac.jp/item/rb00008882#?c=0&amp;m=0&amp;s=0&amp;cv=331</v>
      </c>
    </row>
    <row r="3999" spans="1:4" x14ac:dyDescent="0.15">
      <c r="A3999" s="6" t="s">
        <v>235</v>
      </c>
      <c r="B3999" s="6" t="s">
        <v>3622</v>
      </c>
      <c r="C3999" s="6">
        <v>334</v>
      </c>
      <c r="D3999" s="6" t="str">
        <f>HYPERLINK("https://rmda.kulib.kyoto-u.ac.jp/item/rb00008882#?c=0&amp;m=0&amp;s=0&amp;cv=333")</f>
        <v>https://rmda.kulib.kyoto-u.ac.jp/item/rb00008882#?c=0&amp;m=0&amp;s=0&amp;cv=333</v>
      </c>
    </row>
    <row r="4000" spans="1:4" x14ac:dyDescent="0.15">
      <c r="A4000" s="6" t="s">
        <v>235</v>
      </c>
      <c r="B4000" s="6" t="s">
        <v>3623</v>
      </c>
      <c r="C4000" s="6">
        <v>336</v>
      </c>
      <c r="D4000" s="6" t="str">
        <f>HYPERLINK("https://rmda.kulib.kyoto-u.ac.jp/item/rb00008882#?c=0&amp;m=0&amp;s=0&amp;cv=335")</f>
        <v>https://rmda.kulib.kyoto-u.ac.jp/item/rb00008882#?c=0&amp;m=0&amp;s=0&amp;cv=335</v>
      </c>
    </row>
    <row r="4001" spans="1:4" x14ac:dyDescent="0.15">
      <c r="A4001" s="6" t="s">
        <v>235</v>
      </c>
      <c r="B4001" s="72" t="s">
        <v>2819</v>
      </c>
      <c r="C4001" s="6">
        <v>345</v>
      </c>
      <c r="D4001" s="6" t="str">
        <f>HYPERLINK("https://rmda.kulib.kyoto-u.ac.jp/item/rb00008882#?c=0&amp;m=0&amp;s=0&amp;cv=344")</f>
        <v>https://rmda.kulib.kyoto-u.ac.jp/item/rb00008882#?c=0&amp;m=0&amp;s=0&amp;cv=344</v>
      </c>
    </row>
    <row r="4002" spans="1:4" x14ac:dyDescent="0.15">
      <c r="A4002" s="6" t="s">
        <v>235</v>
      </c>
      <c r="B4002" s="6" t="s">
        <v>3624</v>
      </c>
      <c r="C4002" s="6">
        <v>345</v>
      </c>
      <c r="D4002" s="6" t="str">
        <f>HYPERLINK("https://rmda.kulib.kyoto-u.ac.jp/item/rb00008882#?c=0&amp;m=0&amp;s=0&amp;cv=344")</f>
        <v>https://rmda.kulib.kyoto-u.ac.jp/item/rb00008882#?c=0&amp;m=0&amp;s=0&amp;cv=344</v>
      </c>
    </row>
    <row r="4003" spans="1:4" x14ac:dyDescent="0.15">
      <c r="A4003" s="6" t="s">
        <v>235</v>
      </c>
      <c r="B4003" s="6" t="s">
        <v>3625</v>
      </c>
      <c r="C4003" s="6">
        <v>348</v>
      </c>
      <c r="D4003" s="6" t="str">
        <f>HYPERLINK("https://rmda.kulib.kyoto-u.ac.jp/item/rb00008882#?c=0&amp;m=0&amp;s=0&amp;cv=347")</f>
        <v>https://rmda.kulib.kyoto-u.ac.jp/item/rb00008882#?c=0&amp;m=0&amp;s=0&amp;cv=347</v>
      </c>
    </row>
    <row r="4004" spans="1:4" x14ac:dyDescent="0.15">
      <c r="A4004" s="6" t="s">
        <v>235</v>
      </c>
      <c r="B4004" s="6" t="s">
        <v>3626</v>
      </c>
      <c r="C4004" s="6">
        <v>350</v>
      </c>
      <c r="D4004" s="6" t="str">
        <f>HYPERLINK("https://rmda.kulib.kyoto-u.ac.jp/item/rb00008882#?c=0&amp;m=0&amp;s=0&amp;cv=349")</f>
        <v>https://rmda.kulib.kyoto-u.ac.jp/item/rb00008882#?c=0&amp;m=0&amp;s=0&amp;cv=349</v>
      </c>
    </row>
    <row r="4005" spans="1:4" x14ac:dyDescent="0.15">
      <c r="A4005" s="6" t="s">
        <v>235</v>
      </c>
      <c r="B4005" s="6" t="s">
        <v>3627</v>
      </c>
      <c r="C4005" s="6">
        <v>353</v>
      </c>
      <c r="D4005" s="6" t="str">
        <f>HYPERLINK("https://rmda.kulib.kyoto-u.ac.jp/item/rb00008882#?c=0&amp;m=0&amp;s=0&amp;cv=352")</f>
        <v>https://rmda.kulib.kyoto-u.ac.jp/item/rb00008882#?c=0&amp;m=0&amp;s=0&amp;cv=352</v>
      </c>
    </row>
    <row r="4006" spans="1:4" x14ac:dyDescent="0.15">
      <c r="A4006" s="6" t="s">
        <v>235</v>
      </c>
      <c r="B4006" s="6" t="s">
        <v>3630</v>
      </c>
      <c r="C4006" s="6">
        <v>356</v>
      </c>
      <c r="D4006" s="6" t="str">
        <f>HYPERLINK("https://rmda.kulib.kyoto-u.ac.jp/item/rb00008882#?c=0&amp;m=0&amp;s=0&amp;cv=355")</f>
        <v>https://rmda.kulib.kyoto-u.ac.jp/item/rb00008882#?c=0&amp;m=0&amp;s=0&amp;cv=355</v>
      </c>
    </row>
    <row r="4007" spans="1:4" x14ac:dyDescent="0.15">
      <c r="A4007" s="6" t="s">
        <v>235</v>
      </c>
      <c r="B4007" s="6" t="s">
        <v>3631</v>
      </c>
      <c r="C4007" s="6">
        <v>379</v>
      </c>
      <c r="D4007" s="6" t="str">
        <f>HYPERLINK("https://rmda.kulib.kyoto-u.ac.jp/item/rb00008882#?c=0&amp;m=0&amp;s=0&amp;cv=378")</f>
        <v>https://rmda.kulib.kyoto-u.ac.jp/item/rb00008882#?c=0&amp;m=0&amp;s=0&amp;cv=378</v>
      </c>
    </row>
    <row r="4008" spans="1:4" x14ac:dyDescent="0.15">
      <c r="A4008" s="6" t="s">
        <v>235</v>
      </c>
      <c r="B4008" s="6" t="s">
        <v>3632</v>
      </c>
      <c r="C4008" s="6">
        <v>393</v>
      </c>
      <c r="D4008" s="6" t="str">
        <f>HYPERLINK("https://rmda.kulib.kyoto-u.ac.jp/item/rb00008882#?c=0&amp;m=0&amp;s=0&amp;cv=392")</f>
        <v>https://rmda.kulib.kyoto-u.ac.jp/item/rb00008882#?c=0&amp;m=0&amp;s=0&amp;cv=392</v>
      </c>
    </row>
    <row r="4009" spans="1:4" x14ac:dyDescent="0.15">
      <c r="A4009" s="6" t="s">
        <v>235</v>
      </c>
      <c r="B4009" s="6" t="s">
        <v>3633</v>
      </c>
      <c r="C4009" s="6">
        <v>396</v>
      </c>
      <c r="D4009" s="6" t="str">
        <f>HYPERLINK("https://rmda.kulib.kyoto-u.ac.jp/item/rb00008882#?c=0&amp;m=0&amp;s=0&amp;cv=395")</f>
        <v>https://rmda.kulib.kyoto-u.ac.jp/item/rb00008882#?c=0&amp;m=0&amp;s=0&amp;cv=395</v>
      </c>
    </row>
    <row r="4010" spans="1:4" x14ac:dyDescent="0.15">
      <c r="A4010" s="86" t="s">
        <v>5436</v>
      </c>
      <c r="B4010" s="86" t="s">
        <v>236</v>
      </c>
      <c r="C4010" s="92"/>
      <c r="D4010" s="92"/>
    </row>
    <row r="4011" spans="1:4" x14ac:dyDescent="0.15">
      <c r="A4011" s="63" t="s">
        <v>5448</v>
      </c>
      <c r="B4011" s="71" t="s">
        <v>4067</v>
      </c>
      <c r="C4011" s="6"/>
      <c r="D4011" s="9" t="s">
        <v>1165</v>
      </c>
    </row>
    <row r="4012" spans="1:4" x14ac:dyDescent="0.15">
      <c r="A4012" s="6"/>
      <c r="B4012" s="71" t="s">
        <v>5230</v>
      </c>
      <c r="C4012" s="6"/>
      <c r="D4012" s="9"/>
    </row>
    <row r="4013" spans="1:4" x14ac:dyDescent="0.15">
      <c r="A4013" s="6"/>
      <c r="B4013" s="71" t="s">
        <v>6139</v>
      </c>
      <c r="C4013" s="6"/>
      <c r="D4013" s="9"/>
    </row>
    <row r="4014" spans="1:4" x14ac:dyDescent="0.15">
      <c r="A4014" s="6"/>
      <c r="B4014" s="71" t="s">
        <v>6140</v>
      </c>
      <c r="C4014" s="6"/>
      <c r="D4014" s="9"/>
    </row>
    <row r="4015" spans="1:4" x14ac:dyDescent="0.15">
      <c r="A4015" s="6"/>
      <c r="B4015" s="71" t="s">
        <v>4068</v>
      </c>
      <c r="C4015" s="6"/>
      <c r="D4015" s="9"/>
    </row>
    <row r="4016" spans="1:4" x14ac:dyDescent="0.15">
      <c r="A4016" s="6" t="s">
        <v>238</v>
      </c>
      <c r="B4016" s="6" t="s">
        <v>6141</v>
      </c>
      <c r="C4016" s="6">
        <v>4</v>
      </c>
      <c r="D4016" s="6" t="str">
        <f>HYPERLINK("https://rmda.kulib.kyoto-u.ac.jp/item/rb00008891#?c=0&amp;m=0&amp;s=0&amp;cv=3")</f>
        <v>https://rmda.kulib.kyoto-u.ac.jp/item/rb00008891#?c=0&amp;m=0&amp;s=0&amp;cv=3</v>
      </c>
    </row>
    <row r="4017" spans="1:4" x14ac:dyDescent="0.15">
      <c r="A4017" s="6" t="s">
        <v>238</v>
      </c>
      <c r="B4017" s="6" t="s">
        <v>4026</v>
      </c>
      <c r="C4017" s="6">
        <v>5</v>
      </c>
      <c r="D4017" s="6" t="str">
        <f>HYPERLINK("https://rmda.kulib.kyoto-u.ac.jp/item/rb00008891#?c=0&amp;m=0&amp;s=0&amp;cv=4")</f>
        <v>https://rmda.kulib.kyoto-u.ac.jp/item/rb00008891#?c=0&amp;m=0&amp;s=0&amp;cv=4</v>
      </c>
    </row>
    <row r="4018" spans="1:4" x14ac:dyDescent="0.15">
      <c r="A4018" s="6" t="s">
        <v>238</v>
      </c>
      <c r="B4018" s="6" t="s">
        <v>4028</v>
      </c>
      <c r="C4018" s="6">
        <v>7</v>
      </c>
      <c r="D4018" s="6" t="str">
        <f>HYPERLINK("https://rmda.kulib.kyoto-u.ac.jp/item/rb00008891#?c=0&amp;m=0&amp;s=0&amp;cv=6")</f>
        <v>https://rmda.kulib.kyoto-u.ac.jp/item/rb00008891#?c=0&amp;m=0&amp;s=0&amp;cv=6</v>
      </c>
    </row>
    <row r="4019" spans="1:4" x14ac:dyDescent="0.15">
      <c r="A4019" s="6" t="s">
        <v>238</v>
      </c>
      <c r="B4019" s="72" t="s">
        <v>4066</v>
      </c>
      <c r="C4019" s="6">
        <v>10</v>
      </c>
      <c r="D4019" s="6" t="str">
        <f>HYPERLINK("https://rmda.kulib.kyoto-u.ac.jp/item/rb00008891#?c=0&amp;m=0&amp;s=0&amp;cv=9")</f>
        <v>https://rmda.kulib.kyoto-u.ac.jp/item/rb00008891#?c=0&amp;m=0&amp;s=0&amp;cv=9</v>
      </c>
    </row>
    <row r="4020" spans="1:4" x14ac:dyDescent="0.15">
      <c r="A4020" s="6" t="s">
        <v>238</v>
      </c>
      <c r="B4020" s="72" t="s">
        <v>6142</v>
      </c>
      <c r="C4020" s="6">
        <v>10</v>
      </c>
      <c r="D4020" s="6" t="str">
        <f>HYPERLINK("https://rmda.kulib.kyoto-u.ac.jp/item/rb00008891#?c=0&amp;m=0&amp;s=0&amp;cv=9")</f>
        <v>https://rmda.kulib.kyoto-u.ac.jp/item/rb00008891#?c=0&amp;m=0&amp;s=0&amp;cv=9</v>
      </c>
    </row>
    <row r="4021" spans="1:4" x14ac:dyDescent="0.15">
      <c r="A4021" s="6" t="s">
        <v>238</v>
      </c>
      <c r="B4021" s="6" t="s">
        <v>4029</v>
      </c>
      <c r="C4021" s="6">
        <v>10</v>
      </c>
      <c r="D4021" s="6" t="str">
        <f>HYPERLINK("https://rmda.kulib.kyoto-u.ac.jp/item/rb00008891#?c=0&amp;m=0&amp;s=0&amp;cv=9")</f>
        <v>https://rmda.kulib.kyoto-u.ac.jp/item/rb00008891#?c=0&amp;m=0&amp;s=0&amp;cv=9</v>
      </c>
    </row>
    <row r="4022" spans="1:4" x14ac:dyDescent="0.15">
      <c r="A4022" s="6" t="s">
        <v>238</v>
      </c>
      <c r="B4022" s="6" t="s">
        <v>4003</v>
      </c>
      <c r="C4022" s="6">
        <v>10</v>
      </c>
      <c r="D4022" s="6" t="str">
        <f>HYPERLINK("https://rmda.kulib.kyoto-u.ac.jp/item/rb00008891#?c=0&amp;m=0&amp;s=0&amp;cv=9")</f>
        <v>https://rmda.kulib.kyoto-u.ac.jp/item/rb00008891#?c=0&amp;m=0&amp;s=0&amp;cv=9</v>
      </c>
    </row>
    <row r="4023" spans="1:4" x14ac:dyDescent="0.15">
      <c r="A4023" s="6" t="s">
        <v>238</v>
      </c>
      <c r="B4023" s="6" t="s">
        <v>4004</v>
      </c>
      <c r="C4023" s="6">
        <v>11</v>
      </c>
      <c r="D4023" s="6" t="str">
        <f>HYPERLINK("https://rmda.kulib.kyoto-u.ac.jp/item/rb00008891#?c=0&amp;m=0&amp;s=0&amp;cv=10")</f>
        <v>https://rmda.kulib.kyoto-u.ac.jp/item/rb00008891#?c=0&amp;m=0&amp;s=0&amp;cv=10</v>
      </c>
    </row>
    <row r="4024" spans="1:4" x14ac:dyDescent="0.15">
      <c r="A4024" s="6" t="s">
        <v>238</v>
      </c>
      <c r="B4024" s="6" t="s">
        <v>4005</v>
      </c>
      <c r="C4024" s="6">
        <v>11</v>
      </c>
      <c r="D4024" s="6" t="str">
        <f>HYPERLINK("https://rmda.kulib.kyoto-u.ac.jp/item/rb00008891#?c=0&amp;m=0&amp;s=0&amp;cv=10")</f>
        <v>https://rmda.kulib.kyoto-u.ac.jp/item/rb00008891#?c=0&amp;m=0&amp;s=0&amp;cv=10</v>
      </c>
    </row>
    <row r="4025" spans="1:4" x14ac:dyDescent="0.15">
      <c r="A4025" s="6" t="s">
        <v>238</v>
      </c>
      <c r="B4025" s="6" t="s">
        <v>4030</v>
      </c>
      <c r="C4025" s="6">
        <v>11</v>
      </c>
      <c r="D4025" s="6" t="str">
        <f>HYPERLINK("https://rmda.kulib.kyoto-u.ac.jp/item/rb00008891#?c=0&amp;m=0&amp;s=0&amp;cv=10")</f>
        <v>https://rmda.kulib.kyoto-u.ac.jp/item/rb00008891#?c=0&amp;m=0&amp;s=0&amp;cv=10</v>
      </c>
    </row>
    <row r="4026" spans="1:4" x14ac:dyDescent="0.15">
      <c r="A4026" s="6" t="s">
        <v>238</v>
      </c>
      <c r="B4026" s="6" t="s">
        <v>4031</v>
      </c>
      <c r="C4026" s="6">
        <v>11</v>
      </c>
      <c r="D4026" s="6" t="str">
        <f>HYPERLINK("https://rmda.kulib.kyoto-u.ac.jp/item/rb00008891#?c=0&amp;m=0&amp;s=0&amp;cv=10")</f>
        <v>https://rmda.kulib.kyoto-u.ac.jp/item/rb00008891#?c=0&amp;m=0&amp;s=0&amp;cv=10</v>
      </c>
    </row>
    <row r="4027" spans="1:4" x14ac:dyDescent="0.15">
      <c r="A4027" s="6" t="s">
        <v>238</v>
      </c>
      <c r="B4027" s="6" t="s">
        <v>4032</v>
      </c>
      <c r="C4027" s="6">
        <v>11</v>
      </c>
      <c r="D4027" s="6" t="str">
        <f>HYPERLINK("https://rmda.kulib.kyoto-u.ac.jp/item/rb00008891#?c=0&amp;m=0&amp;s=0&amp;cv=10")</f>
        <v>https://rmda.kulib.kyoto-u.ac.jp/item/rb00008891#?c=0&amp;m=0&amp;s=0&amp;cv=10</v>
      </c>
    </row>
    <row r="4028" spans="1:4" x14ac:dyDescent="0.15">
      <c r="A4028" s="6" t="s">
        <v>238</v>
      </c>
      <c r="B4028" s="6" t="s">
        <v>4033</v>
      </c>
      <c r="C4028" s="6">
        <v>12</v>
      </c>
      <c r="D4028" s="6" t="str">
        <f>HYPERLINK("https://rmda.kulib.kyoto-u.ac.jp/item/rb00008891#?c=0&amp;m=0&amp;s=0&amp;cv=11")</f>
        <v>https://rmda.kulib.kyoto-u.ac.jp/item/rb00008891#?c=0&amp;m=0&amp;s=0&amp;cv=11</v>
      </c>
    </row>
    <row r="4029" spans="1:4" x14ac:dyDescent="0.15">
      <c r="A4029" s="6" t="s">
        <v>238</v>
      </c>
      <c r="B4029" s="6" t="s">
        <v>4034</v>
      </c>
      <c r="C4029" s="6">
        <v>12</v>
      </c>
      <c r="D4029" s="6" t="str">
        <f>HYPERLINK("https://rmda.kulib.kyoto-u.ac.jp/item/rb00008891#?c=0&amp;m=0&amp;s=0&amp;cv=11")</f>
        <v>https://rmda.kulib.kyoto-u.ac.jp/item/rb00008891#?c=0&amp;m=0&amp;s=0&amp;cv=11</v>
      </c>
    </row>
    <row r="4030" spans="1:4" x14ac:dyDescent="0.15">
      <c r="A4030" s="6" t="s">
        <v>238</v>
      </c>
      <c r="B4030" s="6" t="s">
        <v>2781</v>
      </c>
      <c r="C4030" s="6">
        <v>19</v>
      </c>
      <c r="D4030" s="6" t="str">
        <f>HYPERLINK("https://rmda.kulib.kyoto-u.ac.jp/item/rb00008891#?c=0&amp;m=0&amp;s=0&amp;cv=18")</f>
        <v>https://rmda.kulib.kyoto-u.ac.jp/item/rb00008891#?c=0&amp;m=0&amp;s=0&amp;cv=18</v>
      </c>
    </row>
    <row r="4031" spans="1:4" x14ac:dyDescent="0.15">
      <c r="A4031" s="6" t="s">
        <v>238</v>
      </c>
      <c r="B4031" s="6" t="s">
        <v>1484</v>
      </c>
      <c r="C4031" s="6">
        <v>21</v>
      </c>
      <c r="D4031" s="6" t="str">
        <f>HYPERLINK("https://rmda.kulib.kyoto-u.ac.jp/item/rb00008891#?c=0&amp;m=0&amp;s=0&amp;cv=20")</f>
        <v>https://rmda.kulib.kyoto-u.ac.jp/item/rb00008891#?c=0&amp;m=0&amp;s=0&amp;cv=20</v>
      </c>
    </row>
    <row r="4032" spans="1:4" x14ac:dyDescent="0.15">
      <c r="A4032" s="6" t="s">
        <v>238</v>
      </c>
      <c r="B4032" s="6" t="s">
        <v>4035</v>
      </c>
      <c r="C4032" s="6">
        <v>21</v>
      </c>
      <c r="D4032" s="6" t="str">
        <f>HYPERLINK("https://rmda.kulib.kyoto-u.ac.jp/item/rb00008891#?c=0&amp;m=0&amp;s=0&amp;cv=20")</f>
        <v>https://rmda.kulib.kyoto-u.ac.jp/item/rb00008891#?c=0&amp;m=0&amp;s=0&amp;cv=20</v>
      </c>
    </row>
    <row r="4033" spans="1:4" x14ac:dyDescent="0.15">
      <c r="A4033" s="6" t="s">
        <v>238</v>
      </c>
      <c r="B4033" s="72" t="s">
        <v>4065</v>
      </c>
      <c r="C4033" s="6">
        <v>23</v>
      </c>
      <c r="D4033" s="6" t="str">
        <f>HYPERLINK("https://rmda.kulib.kyoto-u.ac.jp/item/rb00008891#?c=0&amp;m=0&amp;s=0&amp;cv=22")</f>
        <v>https://rmda.kulib.kyoto-u.ac.jp/item/rb00008891#?c=0&amp;m=0&amp;s=0&amp;cv=22</v>
      </c>
    </row>
    <row r="4034" spans="1:4" x14ac:dyDescent="0.15">
      <c r="A4034" s="6" t="s">
        <v>238</v>
      </c>
      <c r="B4034" s="72" t="s">
        <v>6143</v>
      </c>
      <c r="C4034" s="6">
        <v>23</v>
      </c>
      <c r="D4034" s="6" t="str">
        <f>HYPERLINK("https://rmda.kulib.kyoto-u.ac.jp/item/rb00008891#?c=0&amp;m=0&amp;s=0&amp;cv=22")</f>
        <v>https://rmda.kulib.kyoto-u.ac.jp/item/rb00008891#?c=0&amp;m=0&amp;s=0&amp;cv=22</v>
      </c>
    </row>
    <row r="4035" spans="1:4" x14ac:dyDescent="0.15">
      <c r="A4035" s="6" t="s">
        <v>238</v>
      </c>
      <c r="B4035" s="6" t="s">
        <v>4036</v>
      </c>
      <c r="C4035" s="6">
        <v>23</v>
      </c>
      <c r="D4035" s="6" t="str">
        <f>HYPERLINK("https://rmda.kulib.kyoto-u.ac.jp/item/rb00008891#?c=0&amp;m=0&amp;s=0&amp;cv=22")</f>
        <v>https://rmda.kulib.kyoto-u.ac.jp/item/rb00008891#?c=0&amp;m=0&amp;s=0&amp;cv=22</v>
      </c>
    </row>
    <row r="4036" spans="1:4" x14ac:dyDescent="0.15">
      <c r="A4036" s="6" t="s">
        <v>238</v>
      </c>
      <c r="B4036" s="6" t="s">
        <v>4037</v>
      </c>
      <c r="C4036" s="6">
        <v>24</v>
      </c>
      <c r="D4036" s="6" t="str">
        <f>HYPERLINK("https://rmda.kulib.kyoto-u.ac.jp/item/rb00008891#?c=0&amp;m=0&amp;s=0&amp;cv=23")</f>
        <v>https://rmda.kulib.kyoto-u.ac.jp/item/rb00008891#?c=0&amp;m=0&amp;s=0&amp;cv=23</v>
      </c>
    </row>
    <row r="4037" spans="1:4" x14ac:dyDescent="0.15">
      <c r="A4037" s="6" t="s">
        <v>238</v>
      </c>
      <c r="B4037" s="6" t="s">
        <v>4038</v>
      </c>
      <c r="C4037" s="6">
        <v>25</v>
      </c>
      <c r="D4037" s="6" t="str">
        <f>HYPERLINK("https://rmda.kulib.kyoto-u.ac.jp/item/rb00008891#?c=0&amp;m=0&amp;s=0&amp;cv=24")</f>
        <v>https://rmda.kulib.kyoto-u.ac.jp/item/rb00008891#?c=0&amp;m=0&amp;s=0&amp;cv=24</v>
      </c>
    </row>
    <row r="4038" spans="1:4" x14ac:dyDescent="0.15">
      <c r="A4038" s="6" t="s">
        <v>238</v>
      </c>
      <c r="B4038" s="6" t="s">
        <v>4039</v>
      </c>
      <c r="C4038" s="6">
        <v>25</v>
      </c>
      <c r="D4038" s="6" t="str">
        <f>HYPERLINK("https://rmda.kulib.kyoto-u.ac.jp/item/rb00008891#?c=0&amp;m=0&amp;s=0&amp;cv=24")</f>
        <v>https://rmda.kulib.kyoto-u.ac.jp/item/rb00008891#?c=0&amp;m=0&amp;s=0&amp;cv=24</v>
      </c>
    </row>
    <row r="4039" spans="1:4" x14ac:dyDescent="0.15">
      <c r="A4039" s="6" t="s">
        <v>238</v>
      </c>
      <c r="B4039" s="6" t="s">
        <v>4040</v>
      </c>
      <c r="C4039" s="6">
        <v>26</v>
      </c>
      <c r="D4039" s="6" t="str">
        <f>HYPERLINK("https://rmda.kulib.kyoto-u.ac.jp/item/rb00008891#?c=0&amp;m=0&amp;s=0&amp;cv=25")</f>
        <v>https://rmda.kulib.kyoto-u.ac.jp/item/rb00008891#?c=0&amp;m=0&amp;s=0&amp;cv=25</v>
      </c>
    </row>
    <row r="4040" spans="1:4" x14ac:dyDescent="0.15">
      <c r="A4040" s="6" t="s">
        <v>238</v>
      </c>
      <c r="B4040" s="6" t="s">
        <v>4006</v>
      </c>
      <c r="C4040" s="6">
        <v>26</v>
      </c>
      <c r="D4040" s="6" t="str">
        <f>HYPERLINK("https://rmda.kulib.kyoto-u.ac.jp/item/rb00008891#?c=0&amp;m=0&amp;s=0&amp;cv=25")</f>
        <v>https://rmda.kulib.kyoto-u.ac.jp/item/rb00008891#?c=0&amp;m=0&amp;s=0&amp;cv=25</v>
      </c>
    </row>
    <row r="4041" spans="1:4" x14ac:dyDescent="0.15">
      <c r="A4041" s="6" t="s">
        <v>238</v>
      </c>
      <c r="B4041" s="6" t="s">
        <v>4007</v>
      </c>
      <c r="C4041" s="6">
        <v>27</v>
      </c>
      <c r="D4041" s="6" t="str">
        <f>HYPERLINK("https://rmda.kulib.kyoto-u.ac.jp/item/rb00008891#?c=0&amp;m=0&amp;s=0&amp;cv=26")</f>
        <v>https://rmda.kulib.kyoto-u.ac.jp/item/rb00008891#?c=0&amp;m=0&amp;s=0&amp;cv=26</v>
      </c>
    </row>
    <row r="4042" spans="1:4" x14ac:dyDescent="0.15">
      <c r="A4042" s="6" t="s">
        <v>238</v>
      </c>
      <c r="B4042" s="6" t="s">
        <v>4008</v>
      </c>
      <c r="C4042" s="6">
        <v>27</v>
      </c>
      <c r="D4042" s="6" t="str">
        <f>HYPERLINK("https://rmda.kulib.kyoto-u.ac.jp/item/rb00008891#?c=0&amp;m=0&amp;s=0&amp;cv=26")</f>
        <v>https://rmda.kulib.kyoto-u.ac.jp/item/rb00008891#?c=0&amp;m=0&amp;s=0&amp;cv=26</v>
      </c>
    </row>
    <row r="4043" spans="1:4" x14ac:dyDescent="0.15">
      <c r="A4043" s="6" t="s">
        <v>238</v>
      </c>
      <c r="B4043" s="6" t="s">
        <v>4041</v>
      </c>
      <c r="C4043" s="6">
        <v>27</v>
      </c>
      <c r="D4043" s="6" t="str">
        <f>HYPERLINK("https://rmda.kulib.kyoto-u.ac.jp/item/rb00008891#?c=0&amp;m=0&amp;s=0&amp;cv=26")</f>
        <v>https://rmda.kulib.kyoto-u.ac.jp/item/rb00008891#?c=0&amp;m=0&amp;s=0&amp;cv=26</v>
      </c>
    </row>
    <row r="4044" spans="1:4" x14ac:dyDescent="0.15">
      <c r="A4044" s="6" t="s">
        <v>238</v>
      </c>
      <c r="B4044" s="6" t="s">
        <v>4042</v>
      </c>
      <c r="C4044" s="6">
        <v>28</v>
      </c>
      <c r="D4044" s="6" t="str">
        <f>HYPERLINK("https://rmda.kulib.kyoto-u.ac.jp/item/rb00008891#?c=0&amp;m=0&amp;s=0&amp;cv=27")</f>
        <v>https://rmda.kulib.kyoto-u.ac.jp/item/rb00008891#?c=0&amp;m=0&amp;s=0&amp;cv=27</v>
      </c>
    </row>
    <row r="4045" spans="1:4" x14ac:dyDescent="0.15">
      <c r="A4045" s="6" t="s">
        <v>238</v>
      </c>
      <c r="B4045" s="6" t="s">
        <v>4009</v>
      </c>
      <c r="C4045" s="6">
        <v>28</v>
      </c>
      <c r="D4045" s="6" t="str">
        <f>HYPERLINK("https://rmda.kulib.kyoto-u.ac.jp/item/rb00008891#?c=0&amp;m=0&amp;s=0&amp;cv=27")</f>
        <v>https://rmda.kulib.kyoto-u.ac.jp/item/rb00008891#?c=0&amp;m=0&amp;s=0&amp;cv=27</v>
      </c>
    </row>
    <row r="4046" spans="1:4" x14ac:dyDescent="0.15">
      <c r="A4046" s="6" t="s">
        <v>238</v>
      </c>
      <c r="B4046" s="6" t="s">
        <v>4010</v>
      </c>
      <c r="C4046" s="6">
        <v>29</v>
      </c>
      <c r="D4046" s="6" t="str">
        <f>HYPERLINK("https://rmda.kulib.kyoto-u.ac.jp/item/rb00008891#?c=0&amp;m=0&amp;s=0&amp;cv=28")</f>
        <v>https://rmda.kulib.kyoto-u.ac.jp/item/rb00008891#?c=0&amp;m=0&amp;s=0&amp;cv=28</v>
      </c>
    </row>
    <row r="4047" spans="1:4" x14ac:dyDescent="0.15">
      <c r="A4047" s="6" t="s">
        <v>238</v>
      </c>
      <c r="B4047" s="6" t="s">
        <v>4011</v>
      </c>
      <c r="C4047" s="6">
        <v>29</v>
      </c>
      <c r="D4047" s="6" t="str">
        <f>HYPERLINK("https://rmda.kulib.kyoto-u.ac.jp/item/rb00008891#?c=0&amp;m=0&amp;s=0&amp;cv=28")</f>
        <v>https://rmda.kulib.kyoto-u.ac.jp/item/rb00008891#?c=0&amp;m=0&amp;s=0&amp;cv=28</v>
      </c>
    </row>
    <row r="4048" spans="1:4" x14ac:dyDescent="0.15">
      <c r="A4048" s="6" t="s">
        <v>238</v>
      </c>
      <c r="B4048" s="6" t="s">
        <v>4012</v>
      </c>
      <c r="C4048" s="6">
        <v>30</v>
      </c>
      <c r="D4048" s="6" t="str">
        <f>HYPERLINK("https://rmda.kulib.kyoto-u.ac.jp/item/rb00008891#?c=0&amp;m=0&amp;s=0&amp;cv=29")</f>
        <v>https://rmda.kulib.kyoto-u.ac.jp/item/rb00008891#?c=0&amp;m=0&amp;s=0&amp;cv=29</v>
      </c>
    </row>
    <row r="4049" spans="1:4" x14ac:dyDescent="0.15">
      <c r="A4049" s="6" t="s">
        <v>238</v>
      </c>
      <c r="B4049" s="6" t="s">
        <v>4027</v>
      </c>
      <c r="C4049" s="6">
        <v>30</v>
      </c>
      <c r="D4049" s="6" t="str">
        <f>HYPERLINK("https://rmda.kulib.kyoto-u.ac.jp/item/rb00008891#?c=0&amp;m=0&amp;s=0&amp;cv=29")</f>
        <v>https://rmda.kulib.kyoto-u.ac.jp/item/rb00008891#?c=0&amp;m=0&amp;s=0&amp;cv=29</v>
      </c>
    </row>
    <row r="4050" spans="1:4" x14ac:dyDescent="0.15">
      <c r="A4050" s="6" t="s">
        <v>238</v>
      </c>
      <c r="B4050" s="6" t="s">
        <v>4013</v>
      </c>
      <c r="C4050" s="6">
        <v>30</v>
      </c>
      <c r="D4050" s="6" t="str">
        <f>HYPERLINK("https://rmda.kulib.kyoto-u.ac.jp/item/rb00008891#?c=0&amp;m=0&amp;s=0&amp;cv=29")</f>
        <v>https://rmda.kulib.kyoto-u.ac.jp/item/rb00008891#?c=0&amp;m=0&amp;s=0&amp;cv=29</v>
      </c>
    </row>
    <row r="4051" spans="1:4" x14ac:dyDescent="0.15">
      <c r="A4051" s="6" t="s">
        <v>238</v>
      </c>
      <c r="B4051" s="6" t="s">
        <v>4014</v>
      </c>
      <c r="C4051" s="6">
        <v>30</v>
      </c>
      <c r="D4051" s="6" t="str">
        <f>HYPERLINK("https://rmda.kulib.kyoto-u.ac.jp/item/rb00008891#?c=0&amp;m=0&amp;s=0&amp;cv=29")</f>
        <v>https://rmda.kulib.kyoto-u.ac.jp/item/rb00008891#?c=0&amp;m=0&amp;s=0&amp;cv=29</v>
      </c>
    </row>
    <row r="4052" spans="1:4" x14ac:dyDescent="0.15">
      <c r="A4052" s="6" t="s">
        <v>238</v>
      </c>
      <c r="B4052" s="6" t="s">
        <v>4043</v>
      </c>
      <c r="C4052" s="6">
        <v>31</v>
      </c>
      <c r="D4052" s="6" t="str">
        <f>HYPERLINK("https://rmda.kulib.kyoto-u.ac.jp/item/rb00008891#?c=0&amp;m=0&amp;s=0&amp;cv=30")</f>
        <v>https://rmda.kulib.kyoto-u.ac.jp/item/rb00008891#?c=0&amp;m=0&amp;s=0&amp;cv=30</v>
      </c>
    </row>
    <row r="4053" spans="1:4" x14ac:dyDescent="0.15">
      <c r="A4053" s="6" t="s">
        <v>238</v>
      </c>
      <c r="B4053" s="6" t="s">
        <v>4044</v>
      </c>
      <c r="C4053" s="6">
        <v>31</v>
      </c>
      <c r="D4053" s="6" t="str">
        <f>HYPERLINK("https://rmda.kulib.kyoto-u.ac.jp/item/rb00008891#?c=0&amp;m=0&amp;s=0&amp;cv=30")</f>
        <v>https://rmda.kulib.kyoto-u.ac.jp/item/rb00008891#?c=0&amp;m=0&amp;s=0&amp;cv=30</v>
      </c>
    </row>
    <row r="4054" spans="1:4" x14ac:dyDescent="0.15">
      <c r="A4054" s="6" t="s">
        <v>238</v>
      </c>
      <c r="B4054" s="6" t="s">
        <v>4015</v>
      </c>
      <c r="C4054" s="6">
        <v>31</v>
      </c>
      <c r="D4054" s="6" t="str">
        <f>HYPERLINK("https://rmda.kulib.kyoto-u.ac.jp/item/rb00008891#?c=0&amp;m=0&amp;s=0&amp;cv=30")</f>
        <v>https://rmda.kulib.kyoto-u.ac.jp/item/rb00008891#?c=0&amp;m=0&amp;s=0&amp;cv=30</v>
      </c>
    </row>
    <row r="4055" spans="1:4" x14ac:dyDescent="0.15">
      <c r="A4055" s="6" t="s">
        <v>238</v>
      </c>
      <c r="B4055" s="6" t="s">
        <v>4016</v>
      </c>
      <c r="C4055" s="6">
        <v>31</v>
      </c>
      <c r="D4055" s="6" t="str">
        <f>HYPERLINK("https://rmda.kulib.kyoto-u.ac.jp/item/rb00008891#?c=0&amp;m=0&amp;s=0&amp;cv=30")</f>
        <v>https://rmda.kulib.kyoto-u.ac.jp/item/rb00008891#?c=0&amp;m=0&amp;s=0&amp;cv=30</v>
      </c>
    </row>
    <row r="4056" spans="1:4" x14ac:dyDescent="0.15">
      <c r="A4056" s="6" t="s">
        <v>238</v>
      </c>
      <c r="B4056" s="6" t="s">
        <v>4045</v>
      </c>
      <c r="C4056" s="6">
        <v>32</v>
      </c>
      <c r="D4056" s="6" t="str">
        <f>HYPERLINK("https://rmda.kulib.kyoto-u.ac.jp/item/rb00008891#?c=0&amp;m=0&amp;s=0&amp;cv=31")</f>
        <v>https://rmda.kulib.kyoto-u.ac.jp/item/rb00008891#?c=0&amp;m=0&amp;s=0&amp;cv=31</v>
      </c>
    </row>
    <row r="4057" spans="1:4" x14ac:dyDescent="0.15">
      <c r="A4057" s="6" t="s">
        <v>238</v>
      </c>
      <c r="B4057" s="6" t="s">
        <v>4046</v>
      </c>
      <c r="C4057" s="6">
        <v>32</v>
      </c>
      <c r="D4057" s="6" t="str">
        <f>HYPERLINK("https://rmda.kulib.kyoto-u.ac.jp/item/rb00008891#?c=0&amp;m=0&amp;s=0&amp;cv=31")</f>
        <v>https://rmda.kulib.kyoto-u.ac.jp/item/rb00008891#?c=0&amp;m=0&amp;s=0&amp;cv=31</v>
      </c>
    </row>
    <row r="4058" spans="1:4" x14ac:dyDescent="0.15">
      <c r="A4058" s="6" t="s">
        <v>238</v>
      </c>
      <c r="B4058" s="6" t="s">
        <v>4017</v>
      </c>
      <c r="C4058" s="6">
        <v>32</v>
      </c>
      <c r="D4058" s="6" t="str">
        <f>HYPERLINK("https://rmda.kulib.kyoto-u.ac.jp/item/rb00008891#?c=0&amp;m=0&amp;s=0&amp;cv=31")</f>
        <v>https://rmda.kulib.kyoto-u.ac.jp/item/rb00008891#?c=0&amp;m=0&amp;s=0&amp;cv=31</v>
      </c>
    </row>
    <row r="4059" spans="1:4" x14ac:dyDescent="0.15">
      <c r="A4059" s="6" t="s">
        <v>238</v>
      </c>
      <c r="B4059" s="6" t="s">
        <v>4018</v>
      </c>
      <c r="C4059" s="6">
        <v>33</v>
      </c>
      <c r="D4059" s="6" t="str">
        <f>HYPERLINK("https://rmda.kulib.kyoto-u.ac.jp/item/rb00008891#?c=0&amp;m=0&amp;s=0&amp;cv=32")</f>
        <v>https://rmda.kulib.kyoto-u.ac.jp/item/rb00008891#?c=0&amp;m=0&amp;s=0&amp;cv=32</v>
      </c>
    </row>
    <row r="4060" spans="1:4" x14ac:dyDescent="0.15">
      <c r="A4060" s="6" t="s">
        <v>238</v>
      </c>
      <c r="B4060" s="6" t="s">
        <v>4019</v>
      </c>
      <c r="C4060" s="6">
        <v>33</v>
      </c>
      <c r="D4060" s="6" t="str">
        <f>HYPERLINK("https://rmda.kulib.kyoto-u.ac.jp/item/rb00008891#?c=0&amp;m=0&amp;s=0&amp;cv=32")</f>
        <v>https://rmda.kulib.kyoto-u.ac.jp/item/rb00008891#?c=0&amp;m=0&amp;s=0&amp;cv=32</v>
      </c>
    </row>
    <row r="4061" spans="1:4" x14ac:dyDescent="0.15">
      <c r="A4061" s="6" t="s">
        <v>238</v>
      </c>
      <c r="B4061" s="63" t="s">
        <v>4047</v>
      </c>
      <c r="C4061" s="6">
        <v>33</v>
      </c>
      <c r="D4061" s="73" t="str">
        <f>HYPERLINK("https://rmda.kulib.kyoto-u.ac.jp/item/rb00008891#?c=0&amp;m=0&amp;s=0&amp;cv=32")</f>
        <v>https://rmda.kulib.kyoto-u.ac.jp/item/rb00008891#?c=0&amp;m=0&amp;s=0&amp;cv=32</v>
      </c>
    </row>
    <row r="4062" spans="1:4" x14ac:dyDescent="0.15">
      <c r="A4062" s="6" t="s">
        <v>238</v>
      </c>
      <c r="B4062" s="6" t="s">
        <v>4048</v>
      </c>
      <c r="C4062" s="6">
        <v>34</v>
      </c>
      <c r="D4062" s="6" t="str">
        <f>HYPERLINK("https://rmda.kulib.kyoto-u.ac.jp/item/rb00008891#?c=0&amp;m=0&amp;s=0&amp;cv=33")</f>
        <v>https://rmda.kulib.kyoto-u.ac.jp/item/rb00008891#?c=0&amp;m=0&amp;s=0&amp;cv=33</v>
      </c>
    </row>
    <row r="4063" spans="1:4" x14ac:dyDescent="0.15">
      <c r="A4063" s="6" t="s">
        <v>238</v>
      </c>
      <c r="B4063" s="6" t="s">
        <v>4049</v>
      </c>
      <c r="C4063" s="6">
        <v>34</v>
      </c>
      <c r="D4063" s="6" t="str">
        <f>HYPERLINK("https://rmda.kulib.kyoto-u.ac.jp/item/rb00008891#?c=0&amp;m=0&amp;s=0&amp;cv=33")</f>
        <v>https://rmda.kulib.kyoto-u.ac.jp/item/rb00008891#?c=0&amp;m=0&amp;s=0&amp;cv=33</v>
      </c>
    </row>
    <row r="4064" spans="1:4" x14ac:dyDescent="0.15">
      <c r="A4064" s="6" t="s">
        <v>238</v>
      </c>
      <c r="B4064" s="6" t="s">
        <v>4050</v>
      </c>
      <c r="C4064" s="6">
        <v>34</v>
      </c>
      <c r="D4064" s="6" t="str">
        <f>HYPERLINK("https://rmda.kulib.kyoto-u.ac.jp/item/rb00008891#?c=0&amp;m=0&amp;s=0&amp;cv=33")</f>
        <v>https://rmda.kulib.kyoto-u.ac.jp/item/rb00008891#?c=0&amp;m=0&amp;s=0&amp;cv=33</v>
      </c>
    </row>
    <row r="4065" spans="1:4" x14ac:dyDescent="0.15">
      <c r="A4065" s="6" t="s">
        <v>238</v>
      </c>
      <c r="B4065" s="6" t="s">
        <v>4051</v>
      </c>
      <c r="C4065" s="6">
        <v>34</v>
      </c>
      <c r="D4065" s="6" t="str">
        <f>HYPERLINK("https://rmda.kulib.kyoto-u.ac.jp/item/rb00008891#?c=0&amp;m=0&amp;s=0&amp;cv=33")</f>
        <v>https://rmda.kulib.kyoto-u.ac.jp/item/rb00008891#?c=0&amp;m=0&amp;s=0&amp;cv=33</v>
      </c>
    </row>
    <row r="4066" spans="1:4" x14ac:dyDescent="0.15">
      <c r="A4066" s="6" t="s">
        <v>238</v>
      </c>
      <c r="B4066" s="6" t="s">
        <v>4052</v>
      </c>
      <c r="C4066" s="6">
        <v>35</v>
      </c>
      <c r="D4066" s="6" t="str">
        <f>HYPERLINK("https://rmda.kulib.kyoto-u.ac.jp/item/rb00008891#?c=0&amp;m=0&amp;s=0&amp;cv=34")</f>
        <v>https://rmda.kulib.kyoto-u.ac.jp/item/rb00008891#?c=0&amp;m=0&amp;s=0&amp;cv=34</v>
      </c>
    </row>
    <row r="4067" spans="1:4" x14ac:dyDescent="0.15">
      <c r="A4067" s="6" t="s">
        <v>238</v>
      </c>
      <c r="B4067" s="6" t="s">
        <v>4053</v>
      </c>
      <c r="C4067" s="6">
        <v>35</v>
      </c>
      <c r="D4067" s="6" t="str">
        <f>HYPERLINK("https://rmda.kulib.kyoto-u.ac.jp/item/rb00008891#?c=0&amp;m=0&amp;s=0&amp;cv=34")</f>
        <v>https://rmda.kulib.kyoto-u.ac.jp/item/rb00008891#?c=0&amp;m=0&amp;s=0&amp;cv=34</v>
      </c>
    </row>
    <row r="4068" spans="1:4" x14ac:dyDescent="0.15">
      <c r="A4068" s="6" t="s">
        <v>238</v>
      </c>
      <c r="B4068" s="6" t="s">
        <v>4054</v>
      </c>
      <c r="C4068" s="6">
        <v>35</v>
      </c>
      <c r="D4068" s="6" t="str">
        <f>HYPERLINK("https://rmda.kulib.kyoto-u.ac.jp/item/rb00008891#?c=0&amp;m=0&amp;s=0&amp;cv=34")</f>
        <v>https://rmda.kulib.kyoto-u.ac.jp/item/rb00008891#?c=0&amp;m=0&amp;s=0&amp;cv=34</v>
      </c>
    </row>
    <row r="4069" spans="1:4" x14ac:dyDescent="0.15">
      <c r="A4069" s="6" t="s">
        <v>238</v>
      </c>
      <c r="B4069" s="6" t="s">
        <v>4020</v>
      </c>
      <c r="C4069" s="6">
        <v>35</v>
      </c>
      <c r="D4069" s="6" t="str">
        <f>HYPERLINK("https://rmda.kulib.kyoto-u.ac.jp/item/rb00008891#?c=0&amp;m=0&amp;s=0&amp;cv=34")</f>
        <v>https://rmda.kulib.kyoto-u.ac.jp/item/rb00008891#?c=0&amp;m=0&amp;s=0&amp;cv=34</v>
      </c>
    </row>
    <row r="4070" spans="1:4" x14ac:dyDescent="0.15">
      <c r="A4070" s="6" t="s">
        <v>238</v>
      </c>
      <c r="B4070" s="6" t="s">
        <v>4055</v>
      </c>
      <c r="C4070" s="6">
        <v>36</v>
      </c>
      <c r="D4070" s="6" t="str">
        <f>HYPERLINK("https://rmda.kulib.kyoto-u.ac.jp/item/rb00008891#?c=0&amp;m=0&amp;s=0&amp;cv=35")</f>
        <v>https://rmda.kulib.kyoto-u.ac.jp/item/rb00008891#?c=0&amp;m=0&amp;s=0&amp;cv=35</v>
      </c>
    </row>
    <row r="4071" spans="1:4" x14ac:dyDescent="0.15">
      <c r="A4071" s="6" t="s">
        <v>238</v>
      </c>
      <c r="B4071" s="6" t="s">
        <v>4056</v>
      </c>
      <c r="C4071" s="6">
        <v>36</v>
      </c>
      <c r="D4071" s="6" t="str">
        <f>HYPERLINK("https://rmda.kulib.kyoto-u.ac.jp/item/rb00008891#?c=0&amp;m=0&amp;s=0&amp;cv=35")</f>
        <v>https://rmda.kulib.kyoto-u.ac.jp/item/rb00008891#?c=0&amp;m=0&amp;s=0&amp;cv=35</v>
      </c>
    </row>
    <row r="4072" spans="1:4" x14ac:dyDescent="0.15">
      <c r="A4072" s="6" t="s">
        <v>238</v>
      </c>
      <c r="B4072" s="6" t="s">
        <v>4057</v>
      </c>
      <c r="C4072" s="6">
        <v>37</v>
      </c>
      <c r="D4072" s="6" t="str">
        <f>HYPERLINK("https://rmda.kulib.kyoto-u.ac.jp/item/rb00008891#?c=0&amp;m=0&amp;s=0&amp;cv=36")</f>
        <v>https://rmda.kulib.kyoto-u.ac.jp/item/rb00008891#?c=0&amp;m=0&amp;s=0&amp;cv=36</v>
      </c>
    </row>
    <row r="4073" spans="1:4" x14ac:dyDescent="0.15">
      <c r="A4073" s="6" t="s">
        <v>238</v>
      </c>
      <c r="B4073" s="6" t="s">
        <v>4021</v>
      </c>
      <c r="C4073" s="6">
        <v>37</v>
      </c>
      <c r="D4073" s="6" t="str">
        <f>HYPERLINK("https://rmda.kulib.kyoto-u.ac.jp/item/rb00008891#?c=0&amp;m=0&amp;s=0&amp;cv=36")</f>
        <v>https://rmda.kulib.kyoto-u.ac.jp/item/rb00008891#?c=0&amp;m=0&amp;s=0&amp;cv=36</v>
      </c>
    </row>
    <row r="4074" spans="1:4" x14ac:dyDescent="0.15">
      <c r="A4074" s="6" t="s">
        <v>238</v>
      </c>
      <c r="B4074" s="6" t="s">
        <v>4058</v>
      </c>
      <c r="C4074" s="6">
        <v>38</v>
      </c>
      <c r="D4074" s="6" t="str">
        <f>HYPERLINK("https://rmda.kulib.kyoto-u.ac.jp/item/rb00008891#?c=0&amp;m=0&amp;s=0&amp;cv=37")</f>
        <v>https://rmda.kulib.kyoto-u.ac.jp/item/rb00008891#?c=0&amp;m=0&amp;s=0&amp;cv=37</v>
      </c>
    </row>
    <row r="4075" spans="1:4" x14ac:dyDescent="0.15">
      <c r="A4075" s="6" t="s">
        <v>238</v>
      </c>
      <c r="B4075" s="6" t="s">
        <v>4059</v>
      </c>
      <c r="C4075" s="6">
        <v>38</v>
      </c>
      <c r="D4075" s="6" t="str">
        <f>HYPERLINK("https://rmda.kulib.kyoto-u.ac.jp/item/rb00008891#?c=0&amp;m=0&amp;s=0&amp;cv=37")</f>
        <v>https://rmda.kulib.kyoto-u.ac.jp/item/rb00008891#?c=0&amp;m=0&amp;s=0&amp;cv=37</v>
      </c>
    </row>
    <row r="4076" spans="1:4" x14ac:dyDescent="0.15">
      <c r="A4076" s="6" t="s">
        <v>238</v>
      </c>
      <c r="B4076" s="6" t="s">
        <v>4022</v>
      </c>
      <c r="C4076" s="6">
        <v>39</v>
      </c>
      <c r="D4076" s="6" t="str">
        <f>HYPERLINK("https://rmda.kulib.kyoto-u.ac.jp/item/rb00008891#?c=0&amp;m=0&amp;s=0&amp;cv=38")</f>
        <v>https://rmda.kulib.kyoto-u.ac.jp/item/rb00008891#?c=0&amp;m=0&amp;s=0&amp;cv=38</v>
      </c>
    </row>
    <row r="4077" spans="1:4" x14ac:dyDescent="0.15">
      <c r="A4077" s="6" t="s">
        <v>238</v>
      </c>
      <c r="B4077" s="6" t="s">
        <v>4060</v>
      </c>
      <c r="C4077" s="6">
        <v>39</v>
      </c>
      <c r="D4077" s="6" t="str">
        <f>HYPERLINK("https://rmda.kulib.kyoto-u.ac.jp/item/rb00008891#?c=0&amp;m=0&amp;s=0&amp;cv=38")</f>
        <v>https://rmda.kulib.kyoto-u.ac.jp/item/rb00008891#?c=0&amp;m=0&amp;s=0&amp;cv=38</v>
      </c>
    </row>
    <row r="4078" spans="1:4" x14ac:dyDescent="0.15">
      <c r="A4078" s="6" t="s">
        <v>238</v>
      </c>
      <c r="B4078" s="6" t="s">
        <v>4061</v>
      </c>
      <c r="C4078" s="6">
        <v>40</v>
      </c>
      <c r="D4078" s="6" t="str">
        <f>HYPERLINK("https://rmda.kulib.kyoto-u.ac.jp/item/rb00008891#?c=0&amp;m=0&amp;s=0&amp;cv=39")</f>
        <v>https://rmda.kulib.kyoto-u.ac.jp/item/rb00008891#?c=0&amp;m=0&amp;s=0&amp;cv=39</v>
      </c>
    </row>
    <row r="4079" spans="1:4" x14ac:dyDescent="0.15">
      <c r="A4079" s="6" t="s">
        <v>238</v>
      </c>
      <c r="B4079" s="6" t="s">
        <v>4023</v>
      </c>
      <c r="C4079" s="6">
        <v>40</v>
      </c>
      <c r="D4079" s="6" t="str">
        <f>HYPERLINK("https://rmda.kulib.kyoto-u.ac.jp/item/rb00008891#?c=0&amp;m=0&amp;s=0&amp;cv=39")</f>
        <v>https://rmda.kulib.kyoto-u.ac.jp/item/rb00008891#?c=0&amp;m=0&amp;s=0&amp;cv=39</v>
      </c>
    </row>
    <row r="4080" spans="1:4" x14ac:dyDescent="0.15">
      <c r="A4080" s="6" t="s">
        <v>238</v>
      </c>
      <c r="B4080" s="6" t="s">
        <v>4024</v>
      </c>
      <c r="C4080" s="6">
        <v>40</v>
      </c>
      <c r="D4080" s="6" t="str">
        <f>HYPERLINK("https://rmda.kulib.kyoto-u.ac.jp/item/rb00008891#?c=0&amp;m=0&amp;s=0&amp;cv=39")</f>
        <v>https://rmda.kulib.kyoto-u.ac.jp/item/rb00008891#?c=0&amp;m=0&amp;s=0&amp;cv=39</v>
      </c>
    </row>
    <row r="4081" spans="1:6" x14ac:dyDescent="0.15">
      <c r="A4081" s="6" t="s">
        <v>238</v>
      </c>
      <c r="B4081" s="6" t="s">
        <v>4025</v>
      </c>
      <c r="C4081" s="6">
        <v>41</v>
      </c>
      <c r="D4081" s="6" t="str">
        <f>HYPERLINK("https://rmda.kulib.kyoto-u.ac.jp/item/rb00008891#?c=0&amp;m=0&amp;s=0&amp;cv=40")</f>
        <v>https://rmda.kulib.kyoto-u.ac.jp/item/rb00008891#?c=0&amp;m=0&amp;s=0&amp;cv=40</v>
      </c>
    </row>
    <row r="4082" spans="1:6" x14ac:dyDescent="0.15">
      <c r="A4082" s="6" t="s">
        <v>238</v>
      </c>
      <c r="B4082" s="6" t="s">
        <v>4062</v>
      </c>
      <c r="C4082" s="6">
        <v>41</v>
      </c>
      <c r="D4082" s="6" t="str">
        <f>HYPERLINK("https://rmda.kulib.kyoto-u.ac.jp/item/rb00008891#?c=0&amp;m=0&amp;s=0&amp;cv=40")</f>
        <v>https://rmda.kulib.kyoto-u.ac.jp/item/rb00008891#?c=0&amp;m=0&amp;s=0&amp;cv=40</v>
      </c>
    </row>
    <row r="4083" spans="1:6" x14ac:dyDescent="0.15">
      <c r="A4083" s="6" t="s">
        <v>238</v>
      </c>
      <c r="B4083" s="6" t="s">
        <v>4063</v>
      </c>
      <c r="C4083" s="6">
        <v>42</v>
      </c>
      <c r="D4083" s="6" t="str">
        <f>HYPERLINK("https://rmda.kulib.kyoto-u.ac.jp/item/rb00008891#?c=0&amp;m=0&amp;s=0&amp;cv=41")</f>
        <v>https://rmda.kulib.kyoto-u.ac.jp/item/rb00008891#?c=0&amp;m=0&amp;s=0&amp;cv=41</v>
      </c>
    </row>
    <row r="4084" spans="1:6" x14ac:dyDescent="0.15">
      <c r="A4084" s="6" t="s">
        <v>238</v>
      </c>
      <c r="B4084" s="6" t="s">
        <v>4064</v>
      </c>
      <c r="C4084" s="6">
        <v>42</v>
      </c>
      <c r="D4084" s="6" t="str">
        <f>HYPERLINK("https://rmda.kulib.kyoto-u.ac.jp/item/rb00008891#?c=0&amp;m=0&amp;s=0&amp;cv=41")</f>
        <v>https://rmda.kulib.kyoto-u.ac.jp/item/rb00008891#?c=0&amp;m=0&amp;s=0&amp;cv=41</v>
      </c>
    </row>
    <row r="4085" spans="1:6" x14ac:dyDescent="0.15">
      <c r="A4085" s="8" t="s">
        <v>6281</v>
      </c>
      <c r="B4085" s="8" t="s">
        <v>242</v>
      </c>
      <c r="C4085" s="67"/>
      <c r="D4085" s="6"/>
    </row>
    <row r="4086" spans="1:6" x14ac:dyDescent="0.15">
      <c r="A4086" s="84" t="s">
        <v>6320</v>
      </c>
      <c r="B4086" s="6"/>
      <c r="C4086" s="6"/>
      <c r="D4086" s="6"/>
    </row>
    <row r="4087" spans="1:6" x14ac:dyDescent="0.15">
      <c r="A4087" s="103" t="s">
        <v>5473</v>
      </c>
      <c r="B4087" s="11" t="s">
        <v>246</v>
      </c>
      <c r="C4087" s="6"/>
      <c r="D4087" s="9" t="s">
        <v>1173</v>
      </c>
      <c r="F4087" s="9" t="s">
        <v>1086</v>
      </c>
    </row>
    <row r="4088" spans="1:6" x14ac:dyDescent="0.15">
      <c r="A4088" s="118" t="s">
        <v>5472</v>
      </c>
      <c r="B4088" s="6"/>
      <c r="C4088" s="71" t="s">
        <v>5614</v>
      </c>
      <c r="D4088" s="6"/>
      <c r="F4088" s="97"/>
    </row>
    <row r="4089" spans="1:6" x14ac:dyDescent="0.15">
      <c r="B4089" s="6"/>
      <c r="C4089" s="71" t="s">
        <v>5615</v>
      </c>
      <c r="D4089" s="6"/>
      <c r="F4089" s="97"/>
    </row>
    <row r="4090" spans="1:6" x14ac:dyDescent="0.15">
      <c r="B4090" s="6"/>
      <c r="C4090" s="71" t="s">
        <v>5616</v>
      </c>
      <c r="D4090" s="6"/>
    </row>
    <row r="4091" spans="1:6" x14ac:dyDescent="0.15">
      <c r="B4091" s="6"/>
      <c r="C4091" s="71" t="s">
        <v>5617</v>
      </c>
      <c r="D4091" s="6"/>
    </row>
    <row r="4092" spans="1:6" x14ac:dyDescent="0.15">
      <c r="B4092" s="6"/>
      <c r="C4092" s="71" t="s">
        <v>5685</v>
      </c>
      <c r="D4092" s="6"/>
    </row>
    <row r="4093" spans="1:6" x14ac:dyDescent="0.15">
      <c r="B4093" s="6"/>
      <c r="C4093" s="71" t="s">
        <v>5974</v>
      </c>
      <c r="D4093" s="6"/>
    </row>
    <row r="4094" spans="1:6" x14ac:dyDescent="0.15">
      <c r="A4094" s="67" t="s">
        <v>245</v>
      </c>
      <c r="B4094" s="6" t="s">
        <v>1371</v>
      </c>
      <c r="C4094" s="6">
        <v>2</v>
      </c>
      <c r="D4094" s="6" t="str">
        <f>HYPERLINK("https://rmda.kulib.kyoto-u.ac.jp/item/rb00008739#?c=0&amp;m=0&amp;s=0&amp;cv=1")</f>
        <v>https://rmda.kulib.kyoto-u.ac.jp/item/rb00008739#?c=0&amp;m=0&amp;s=0&amp;cv=1</v>
      </c>
    </row>
    <row r="4095" spans="1:6" x14ac:dyDescent="0.15">
      <c r="A4095" s="67" t="s">
        <v>245</v>
      </c>
      <c r="B4095" s="6" t="s">
        <v>1371</v>
      </c>
      <c r="C4095" s="6">
        <v>5</v>
      </c>
      <c r="D4095" s="6" t="str">
        <f>HYPERLINK("https://rmda.kulib.kyoto-u.ac.jp/item/rb00008739#?c=0&amp;m=0&amp;s=0&amp;cv=4")</f>
        <v>https://rmda.kulib.kyoto-u.ac.jp/item/rb00008739#?c=0&amp;m=0&amp;s=0&amp;cv=4</v>
      </c>
    </row>
    <row r="4096" spans="1:6" x14ac:dyDescent="0.15">
      <c r="A4096" s="67" t="s">
        <v>245</v>
      </c>
      <c r="B4096" s="6" t="s">
        <v>2820</v>
      </c>
      <c r="C4096" s="6">
        <v>8</v>
      </c>
      <c r="D4096" s="6" t="str">
        <f>HYPERLINK("https://rmda.kulib.kyoto-u.ac.jp/item/rb00008739#?c=0&amp;m=0&amp;s=0&amp;cv=7")</f>
        <v>https://rmda.kulib.kyoto-u.ac.jp/item/rb00008739#?c=0&amp;m=0&amp;s=0&amp;cv=7</v>
      </c>
    </row>
    <row r="4097" spans="1:4" x14ac:dyDescent="0.15">
      <c r="A4097" s="67" t="s">
        <v>245</v>
      </c>
      <c r="B4097" s="6" t="s">
        <v>1709</v>
      </c>
      <c r="C4097" s="6">
        <v>10</v>
      </c>
      <c r="D4097" s="6" t="str">
        <f>HYPERLINK("https://rmda.kulib.kyoto-u.ac.jp/item/rb00008739#?c=0&amp;m=0&amp;s=0&amp;cv=9")</f>
        <v>https://rmda.kulib.kyoto-u.ac.jp/item/rb00008739#?c=0&amp;m=0&amp;s=0&amp;cv=9</v>
      </c>
    </row>
    <row r="4098" spans="1:4" x14ac:dyDescent="0.15">
      <c r="A4098" s="67" t="s">
        <v>245</v>
      </c>
      <c r="B4098" s="6" t="s">
        <v>5618</v>
      </c>
      <c r="C4098" s="6">
        <v>12</v>
      </c>
      <c r="D4098" s="6" t="str">
        <f>HYPERLINK("https://rmda.kulib.kyoto-u.ac.jp/item/rb00008739#?c=0&amp;m=0&amp;s=0&amp;cv=11")</f>
        <v>https://rmda.kulib.kyoto-u.ac.jp/item/rb00008739#?c=0&amp;m=0&amp;s=0&amp;cv=11</v>
      </c>
    </row>
    <row r="4099" spans="1:4" x14ac:dyDescent="0.15">
      <c r="A4099" s="67" t="s">
        <v>245</v>
      </c>
      <c r="B4099" s="72" t="s">
        <v>5619</v>
      </c>
      <c r="C4099" s="6">
        <v>14</v>
      </c>
      <c r="D4099" s="6" t="str">
        <f>HYPERLINK("https://rmda.kulib.kyoto-u.ac.jp/item/rb00008739#?c=0&amp;m=0&amp;s=0&amp;cv=13")</f>
        <v>https://rmda.kulib.kyoto-u.ac.jp/item/rb00008739#?c=0&amp;m=0&amp;s=0&amp;cv=13</v>
      </c>
    </row>
    <row r="4100" spans="1:4" x14ac:dyDescent="0.15">
      <c r="A4100" s="67" t="s">
        <v>245</v>
      </c>
      <c r="B4100" s="80" t="s">
        <v>5650</v>
      </c>
      <c r="C4100" s="6">
        <v>14</v>
      </c>
      <c r="D4100" s="6" t="str">
        <f>HYPERLINK("https://rmda.kulib.kyoto-u.ac.jp/item/rb00008739#?c=0&amp;m=0&amp;s=0&amp;cv=13")</f>
        <v>https://rmda.kulib.kyoto-u.ac.jp/item/rb00008739#?c=0&amp;m=0&amp;s=0&amp;cv=13</v>
      </c>
    </row>
    <row r="4101" spans="1:4" x14ac:dyDescent="0.15">
      <c r="A4101" s="67" t="s">
        <v>245</v>
      </c>
      <c r="B4101" s="6" t="s">
        <v>5635</v>
      </c>
      <c r="C4101" s="6">
        <v>14</v>
      </c>
      <c r="D4101" s="6" t="str">
        <f>HYPERLINK("https://rmda.kulib.kyoto-u.ac.jp/item/rb00008739#?c=0&amp;m=0&amp;s=0&amp;cv=13")</f>
        <v>https://rmda.kulib.kyoto-u.ac.jp/item/rb00008739#?c=0&amp;m=0&amp;s=0&amp;cv=13</v>
      </c>
    </row>
    <row r="4102" spans="1:4" x14ac:dyDescent="0.15">
      <c r="A4102" s="67" t="s">
        <v>245</v>
      </c>
      <c r="B4102" s="6" t="s">
        <v>5636</v>
      </c>
      <c r="C4102" s="6">
        <v>23</v>
      </c>
      <c r="D4102" s="6" t="str">
        <f>HYPERLINK("https://rmda.kulib.kyoto-u.ac.jp/item/rb00008739#?c=0&amp;m=0&amp;s=0&amp;cv=22")</f>
        <v>https://rmda.kulib.kyoto-u.ac.jp/item/rb00008739#?c=0&amp;m=0&amp;s=0&amp;cv=22</v>
      </c>
    </row>
    <row r="4103" spans="1:4" x14ac:dyDescent="0.15">
      <c r="A4103" s="67" t="s">
        <v>245</v>
      </c>
      <c r="B4103" s="6" t="s">
        <v>5637</v>
      </c>
      <c r="C4103" s="6">
        <v>27</v>
      </c>
      <c r="D4103" s="6" t="str">
        <f>HYPERLINK("https://rmda.kulib.kyoto-u.ac.jp/item/rb00008739#?c=0&amp;m=0&amp;s=0&amp;cv=26")</f>
        <v>https://rmda.kulib.kyoto-u.ac.jp/item/rb00008739#?c=0&amp;m=0&amp;s=0&amp;cv=26</v>
      </c>
    </row>
    <row r="4104" spans="1:4" x14ac:dyDescent="0.15">
      <c r="A4104" s="67" t="s">
        <v>245</v>
      </c>
      <c r="B4104" s="6" t="s">
        <v>5638</v>
      </c>
      <c r="C4104" s="6">
        <v>27</v>
      </c>
      <c r="D4104" s="6" t="str">
        <f>HYPERLINK("https://rmda.kulib.kyoto-u.ac.jp/item/rb00008739#?c=0&amp;m=0&amp;s=0&amp;cv=26")</f>
        <v>https://rmda.kulib.kyoto-u.ac.jp/item/rb00008739#?c=0&amp;m=0&amp;s=0&amp;cv=26</v>
      </c>
    </row>
    <row r="4105" spans="1:4" x14ac:dyDescent="0.15">
      <c r="A4105" s="67" t="s">
        <v>245</v>
      </c>
      <c r="B4105" s="6" t="s">
        <v>5639</v>
      </c>
      <c r="C4105" s="6">
        <v>27</v>
      </c>
      <c r="D4105" s="6" t="str">
        <f>HYPERLINK("https://rmda.kulib.kyoto-u.ac.jp/item/rb00008739#?c=0&amp;m=0&amp;s=0&amp;cv=26")</f>
        <v>https://rmda.kulib.kyoto-u.ac.jp/item/rb00008739#?c=0&amp;m=0&amp;s=0&amp;cv=26</v>
      </c>
    </row>
    <row r="4106" spans="1:4" x14ac:dyDescent="0.15">
      <c r="A4106" s="67" t="s">
        <v>245</v>
      </c>
      <c r="B4106" s="6" t="s">
        <v>5640</v>
      </c>
      <c r="C4106" s="6">
        <v>28</v>
      </c>
      <c r="D4106" s="6" t="str">
        <f>HYPERLINK("https://rmda.kulib.kyoto-u.ac.jp/item/rb00008739#?c=0&amp;m=0&amp;s=0&amp;cv=27")</f>
        <v>https://rmda.kulib.kyoto-u.ac.jp/item/rb00008739#?c=0&amp;m=0&amp;s=0&amp;cv=27</v>
      </c>
    </row>
    <row r="4107" spans="1:4" x14ac:dyDescent="0.15">
      <c r="A4107" s="67" t="s">
        <v>245</v>
      </c>
      <c r="B4107" s="6" t="s">
        <v>5641</v>
      </c>
      <c r="C4107" s="6">
        <v>28</v>
      </c>
      <c r="D4107" s="6" t="str">
        <f>HYPERLINK("https://rmda.kulib.kyoto-u.ac.jp/item/rb00008739#?c=0&amp;m=0&amp;s=0&amp;cv=27")</f>
        <v>https://rmda.kulib.kyoto-u.ac.jp/item/rb00008739#?c=0&amp;m=0&amp;s=0&amp;cv=27</v>
      </c>
    </row>
    <row r="4108" spans="1:4" x14ac:dyDescent="0.15">
      <c r="A4108" s="67" t="s">
        <v>245</v>
      </c>
      <c r="B4108" s="6" t="s">
        <v>5642</v>
      </c>
      <c r="C4108" s="6">
        <v>28</v>
      </c>
      <c r="D4108" s="6" t="str">
        <f>HYPERLINK("https://rmda.kulib.kyoto-u.ac.jp/item/rb00008739#?c=0&amp;m=0&amp;s=0&amp;cv=27")</f>
        <v>https://rmda.kulib.kyoto-u.ac.jp/item/rb00008739#?c=0&amp;m=0&amp;s=0&amp;cv=27</v>
      </c>
    </row>
    <row r="4109" spans="1:4" x14ac:dyDescent="0.15">
      <c r="A4109" s="67" t="s">
        <v>245</v>
      </c>
      <c r="B4109" s="6" t="s">
        <v>5643</v>
      </c>
      <c r="C4109" s="6">
        <v>29</v>
      </c>
      <c r="D4109" s="6" t="str">
        <f>HYPERLINK("https://rmda.kulib.kyoto-u.ac.jp/item/rb00008739#?c=0&amp;m=0&amp;s=0&amp;cv=28")</f>
        <v>https://rmda.kulib.kyoto-u.ac.jp/item/rb00008739#?c=0&amp;m=0&amp;s=0&amp;cv=28</v>
      </c>
    </row>
    <row r="4110" spans="1:4" x14ac:dyDescent="0.15">
      <c r="A4110" s="67" t="s">
        <v>245</v>
      </c>
      <c r="B4110" s="6" t="s">
        <v>5644</v>
      </c>
      <c r="C4110" s="6">
        <v>29</v>
      </c>
      <c r="D4110" s="6" t="str">
        <f>HYPERLINK("https://rmda.kulib.kyoto-u.ac.jp/item/rb00008739#?c=0&amp;m=0&amp;s=0&amp;cv=28")</f>
        <v>https://rmda.kulib.kyoto-u.ac.jp/item/rb00008739#?c=0&amp;m=0&amp;s=0&amp;cv=28</v>
      </c>
    </row>
    <row r="4111" spans="1:4" x14ac:dyDescent="0.15">
      <c r="A4111" s="67" t="s">
        <v>245</v>
      </c>
      <c r="B4111" s="6" t="s">
        <v>5645</v>
      </c>
      <c r="C4111" s="6">
        <v>29</v>
      </c>
      <c r="D4111" s="6" t="str">
        <f>HYPERLINK("https://rmda.kulib.kyoto-u.ac.jp/item/rb00008739#?c=0&amp;m=0&amp;s=0&amp;cv=28")</f>
        <v>https://rmda.kulib.kyoto-u.ac.jp/item/rb00008739#?c=0&amp;m=0&amp;s=0&amp;cv=28</v>
      </c>
    </row>
    <row r="4112" spans="1:4" x14ac:dyDescent="0.15">
      <c r="A4112" s="67" t="s">
        <v>245</v>
      </c>
      <c r="B4112" s="6" t="s">
        <v>5646</v>
      </c>
      <c r="C4112" s="6">
        <v>30</v>
      </c>
      <c r="D4112" s="6" t="str">
        <f>HYPERLINK("https://rmda.kulib.kyoto-u.ac.jp/item/rb00008739#?c=0&amp;m=0&amp;s=0&amp;cv=29")</f>
        <v>https://rmda.kulib.kyoto-u.ac.jp/item/rb00008739#?c=0&amp;m=0&amp;s=0&amp;cv=29</v>
      </c>
    </row>
    <row r="4113" spans="1:4" x14ac:dyDescent="0.15">
      <c r="A4113" s="67" t="s">
        <v>245</v>
      </c>
      <c r="B4113" s="6" t="s">
        <v>5647</v>
      </c>
      <c r="C4113" s="6">
        <v>30</v>
      </c>
      <c r="D4113" s="6" t="str">
        <f>HYPERLINK("https://rmda.kulib.kyoto-u.ac.jp/item/rb00008739#?c=0&amp;m=0&amp;s=0&amp;cv=29")</f>
        <v>https://rmda.kulib.kyoto-u.ac.jp/item/rb00008739#?c=0&amp;m=0&amp;s=0&amp;cv=29</v>
      </c>
    </row>
    <row r="4114" spans="1:4" x14ac:dyDescent="0.15">
      <c r="A4114" s="67" t="s">
        <v>245</v>
      </c>
      <c r="B4114" s="80" t="s">
        <v>5651</v>
      </c>
      <c r="C4114" s="6">
        <v>31</v>
      </c>
      <c r="D4114" s="6" t="str">
        <f>HYPERLINK("https://rmda.kulib.kyoto-u.ac.jp/item/rb00008739#?c=0&amp;m=0&amp;s=0&amp;cv=30")</f>
        <v>https://rmda.kulib.kyoto-u.ac.jp/item/rb00008739#?c=0&amp;m=0&amp;s=0&amp;cv=30</v>
      </c>
    </row>
    <row r="4115" spans="1:4" x14ac:dyDescent="0.15">
      <c r="A4115" s="67" t="s">
        <v>245</v>
      </c>
      <c r="B4115" s="6" t="s">
        <v>5631</v>
      </c>
      <c r="C4115" s="6">
        <v>31</v>
      </c>
      <c r="D4115" s="6" t="str">
        <f>HYPERLINK("https://rmda.kulib.kyoto-u.ac.jp/item/rb00008739#?c=0&amp;m=0&amp;s=0&amp;cv=30")</f>
        <v>https://rmda.kulib.kyoto-u.ac.jp/item/rb00008739#?c=0&amp;m=0&amp;s=0&amp;cv=30</v>
      </c>
    </row>
    <row r="4116" spans="1:4" x14ac:dyDescent="0.15">
      <c r="A4116" s="67" t="s">
        <v>245</v>
      </c>
      <c r="B4116" s="6" t="s">
        <v>5632</v>
      </c>
      <c r="C4116" s="6">
        <v>34</v>
      </c>
      <c r="D4116" s="6" t="str">
        <f>HYPERLINK("https://rmda.kulib.kyoto-u.ac.jp/item/rb00008739#?c=0&amp;m=0&amp;s=0&amp;cv=33")</f>
        <v>https://rmda.kulib.kyoto-u.ac.jp/item/rb00008739#?c=0&amp;m=0&amp;s=0&amp;cv=33</v>
      </c>
    </row>
    <row r="4117" spans="1:4" x14ac:dyDescent="0.15">
      <c r="A4117" s="67" t="s">
        <v>245</v>
      </c>
      <c r="B4117" s="6" t="s">
        <v>5633</v>
      </c>
      <c r="C4117" s="6">
        <v>37</v>
      </c>
      <c r="D4117" s="6" t="str">
        <f>HYPERLINK("https://rmda.kulib.kyoto-u.ac.jp/item/rb00008739#?c=0&amp;m=0&amp;s=0&amp;cv=36")</f>
        <v>https://rmda.kulib.kyoto-u.ac.jp/item/rb00008739#?c=0&amp;m=0&amp;s=0&amp;cv=36</v>
      </c>
    </row>
    <row r="4118" spans="1:4" x14ac:dyDescent="0.15">
      <c r="A4118" s="67" t="s">
        <v>245</v>
      </c>
      <c r="B4118" s="80" t="s">
        <v>5652</v>
      </c>
      <c r="C4118" s="6">
        <v>41</v>
      </c>
      <c r="D4118" s="6" t="str">
        <f>HYPERLINK("https://rmda.kulib.kyoto-u.ac.jp/item/rb00008739#?c=0&amp;m=0&amp;s=0&amp;cv=40")</f>
        <v>https://rmda.kulib.kyoto-u.ac.jp/item/rb00008739#?c=0&amp;m=0&amp;s=0&amp;cv=40</v>
      </c>
    </row>
    <row r="4119" spans="1:4" x14ac:dyDescent="0.15">
      <c r="A4119" s="67" t="s">
        <v>245</v>
      </c>
      <c r="B4119" s="6" t="s">
        <v>5634</v>
      </c>
      <c r="C4119" s="6">
        <v>41</v>
      </c>
      <c r="D4119" s="6" t="str">
        <f>HYPERLINK("https://rmda.kulib.kyoto-u.ac.jp/item/rb00008739#?c=0&amp;m=0&amp;s=0&amp;cv=40")</f>
        <v>https://rmda.kulib.kyoto-u.ac.jp/item/rb00008739#?c=0&amp;m=0&amp;s=0&amp;cv=40</v>
      </c>
    </row>
    <row r="4120" spans="1:4" x14ac:dyDescent="0.15">
      <c r="A4120" s="67" t="s">
        <v>245</v>
      </c>
      <c r="B4120" s="80" t="s">
        <v>5653</v>
      </c>
      <c r="C4120" s="6">
        <v>48</v>
      </c>
      <c r="D4120" s="6" t="str">
        <f t="shared" ref="D4120:D4126" si="8">HYPERLINK("https://rmda.kulib.kyoto-u.ac.jp/item/rb00008739#?c=0&amp;m=0&amp;s=0&amp;cv=47")</f>
        <v>https://rmda.kulib.kyoto-u.ac.jp/item/rb00008739#?c=0&amp;m=0&amp;s=0&amp;cv=47</v>
      </c>
    </row>
    <row r="4121" spans="1:4" x14ac:dyDescent="0.15">
      <c r="A4121" s="67" t="s">
        <v>245</v>
      </c>
      <c r="B4121" s="6" t="s">
        <v>5648</v>
      </c>
      <c r="C4121" s="6">
        <v>48</v>
      </c>
      <c r="D4121" s="6" t="str">
        <f t="shared" si="8"/>
        <v>https://rmda.kulib.kyoto-u.ac.jp/item/rb00008739#?c=0&amp;m=0&amp;s=0&amp;cv=47</v>
      </c>
    </row>
    <row r="4122" spans="1:4" x14ac:dyDescent="0.15">
      <c r="A4122" s="67" t="s">
        <v>245</v>
      </c>
      <c r="B4122" s="6" t="s">
        <v>5649</v>
      </c>
      <c r="C4122" s="6">
        <v>48</v>
      </c>
      <c r="D4122" s="6" t="str">
        <f t="shared" si="8"/>
        <v>https://rmda.kulib.kyoto-u.ac.jp/item/rb00008739#?c=0&amp;m=0&amp;s=0&amp;cv=47</v>
      </c>
    </row>
    <row r="4123" spans="1:4" x14ac:dyDescent="0.15">
      <c r="A4123" s="67" t="s">
        <v>245</v>
      </c>
      <c r="B4123" s="6" t="s">
        <v>5620</v>
      </c>
      <c r="C4123" s="6">
        <v>48</v>
      </c>
      <c r="D4123" s="6" t="str">
        <f t="shared" si="8"/>
        <v>https://rmda.kulib.kyoto-u.ac.jp/item/rb00008739#?c=0&amp;m=0&amp;s=0&amp;cv=47</v>
      </c>
    </row>
    <row r="4124" spans="1:4" x14ac:dyDescent="0.15">
      <c r="A4124" s="67" t="s">
        <v>245</v>
      </c>
      <c r="B4124" s="6" t="s">
        <v>5621</v>
      </c>
      <c r="C4124" s="6">
        <v>48</v>
      </c>
      <c r="D4124" s="6" t="str">
        <f t="shared" si="8"/>
        <v>https://rmda.kulib.kyoto-u.ac.jp/item/rb00008739#?c=0&amp;m=0&amp;s=0&amp;cv=47</v>
      </c>
    </row>
    <row r="4125" spans="1:4" x14ac:dyDescent="0.15">
      <c r="A4125" s="67" t="s">
        <v>245</v>
      </c>
      <c r="B4125" s="6" t="s">
        <v>5622</v>
      </c>
      <c r="C4125" s="6">
        <v>48</v>
      </c>
      <c r="D4125" s="6" t="str">
        <f t="shared" si="8"/>
        <v>https://rmda.kulib.kyoto-u.ac.jp/item/rb00008739#?c=0&amp;m=0&amp;s=0&amp;cv=47</v>
      </c>
    </row>
    <row r="4126" spans="1:4" x14ac:dyDescent="0.15">
      <c r="A4126" s="67" t="s">
        <v>245</v>
      </c>
      <c r="B4126" s="6" t="s">
        <v>5623</v>
      </c>
      <c r="C4126" s="6">
        <v>48</v>
      </c>
      <c r="D4126" s="6" t="str">
        <f t="shared" si="8"/>
        <v>https://rmda.kulib.kyoto-u.ac.jp/item/rb00008739#?c=0&amp;m=0&amp;s=0&amp;cv=47</v>
      </c>
    </row>
    <row r="4127" spans="1:4" x14ac:dyDescent="0.15">
      <c r="A4127" s="67" t="s">
        <v>245</v>
      </c>
      <c r="B4127" s="6" t="s">
        <v>5624</v>
      </c>
      <c r="C4127" s="6">
        <v>49</v>
      </c>
      <c r="D4127" s="6" t="str">
        <f>HYPERLINK("https://rmda.kulib.kyoto-u.ac.jp/item/rb00008739#?c=0&amp;m=0&amp;s=0&amp;cv=48")</f>
        <v>https://rmda.kulib.kyoto-u.ac.jp/item/rb00008739#?c=0&amp;m=0&amp;s=0&amp;cv=48</v>
      </c>
    </row>
    <row r="4128" spans="1:4" x14ac:dyDescent="0.15">
      <c r="A4128" s="67" t="s">
        <v>245</v>
      </c>
      <c r="B4128" s="6" t="s">
        <v>5625</v>
      </c>
      <c r="C4128" s="6">
        <v>49</v>
      </c>
      <c r="D4128" s="6" t="str">
        <f>HYPERLINK("https://rmda.kulib.kyoto-u.ac.jp/item/rb00008739#?c=0&amp;m=0&amp;s=0&amp;cv=48")</f>
        <v>https://rmda.kulib.kyoto-u.ac.jp/item/rb00008739#?c=0&amp;m=0&amp;s=0&amp;cv=48</v>
      </c>
    </row>
    <row r="4129" spans="1:4" x14ac:dyDescent="0.15">
      <c r="A4129" s="67" t="s">
        <v>245</v>
      </c>
      <c r="B4129" s="63" t="s">
        <v>5654</v>
      </c>
      <c r="C4129" s="6">
        <v>49</v>
      </c>
      <c r="D4129" s="6" t="str">
        <f>HYPERLINK("https://rmda.kulib.kyoto-u.ac.jp/item/rb00008739#?c=0&amp;m=0&amp;s=0&amp;cv=48")</f>
        <v>https://rmda.kulib.kyoto-u.ac.jp/item/rb00008739#?c=0&amp;m=0&amp;s=0&amp;cv=48</v>
      </c>
    </row>
    <row r="4130" spans="1:4" x14ac:dyDescent="0.15">
      <c r="A4130" s="67" t="s">
        <v>245</v>
      </c>
      <c r="B4130" s="6" t="s">
        <v>5626</v>
      </c>
      <c r="C4130" s="6">
        <v>72</v>
      </c>
      <c r="D4130" s="6" t="str">
        <f>HYPERLINK("https://rmda.kulib.kyoto-u.ac.jp/item/rb00008739#?c=0&amp;m=0&amp;s=0&amp;cv=71")</f>
        <v>https://rmda.kulib.kyoto-u.ac.jp/item/rb00008739#?c=0&amp;m=0&amp;s=0&amp;cv=71</v>
      </c>
    </row>
    <row r="4131" spans="1:4" x14ac:dyDescent="0.15">
      <c r="A4131" s="67" t="s">
        <v>245</v>
      </c>
      <c r="B4131" s="72" t="s">
        <v>5963</v>
      </c>
      <c r="C4131" s="6">
        <v>76</v>
      </c>
      <c r="D4131" s="6" t="str">
        <f>HYPERLINK("https://rmda.kulib.kyoto-u.ac.jp/item/rb00008739#?c=0&amp;m=0&amp;s=0&amp;cv=75")</f>
        <v>https://rmda.kulib.kyoto-u.ac.jp/item/rb00008739#?c=0&amp;m=0&amp;s=0&amp;cv=75</v>
      </c>
    </row>
    <row r="4132" spans="1:4" x14ac:dyDescent="0.15">
      <c r="A4132" s="67" t="s">
        <v>245</v>
      </c>
      <c r="B4132" s="80" t="s">
        <v>5655</v>
      </c>
      <c r="C4132" s="6">
        <v>76</v>
      </c>
      <c r="D4132" s="6" t="str">
        <f>HYPERLINK("https://rmda.kulib.kyoto-u.ac.jp/item/rb00008739#?c=0&amp;m=0&amp;s=0&amp;cv=75")</f>
        <v>https://rmda.kulib.kyoto-u.ac.jp/item/rb00008739#?c=0&amp;m=0&amp;s=0&amp;cv=75</v>
      </c>
    </row>
    <row r="4133" spans="1:4" x14ac:dyDescent="0.15">
      <c r="A4133" s="67" t="s">
        <v>245</v>
      </c>
      <c r="B4133" s="6" t="s">
        <v>5627</v>
      </c>
      <c r="C4133" s="6">
        <v>84</v>
      </c>
      <c r="D4133" s="6" t="str">
        <f>HYPERLINK("https://rmda.kulib.kyoto-u.ac.jp/item/rb00008739#?c=0&amp;m=0&amp;s=0&amp;cv=83")</f>
        <v>https://rmda.kulib.kyoto-u.ac.jp/item/rb00008739#?c=0&amp;m=0&amp;s=0&amp;cv=83</v>
      </c>
    </row>
    <row r="4134" spans="1:4" x14ac:dyDescent="0.15">
      <c r="A4134" s="67" t="s">
        <v>245</v>
      </c>
      <c r="B4134" s="6" t="s">
        <v>2687</v>
      </c>
      <c r="C4134" s="6">
        <v>102</v>
      </c>
      <c r="D4134" s="6" t="str">
        <f>HYPERLINK("https://rmda.kulib.kyoto-u.ac.jp/item/rb00008739#?c=0&amp;m=0&amp;s=0&amp;cv=101")</f>
        <v>https://rmda.kulib.kyoto-u.ac.jp/item/rb00008739#?c=0&amp;m=0&amp;s=0&amp;cv=101</v>
      </c>
    </row>
    <row r="4135" spans="1:4" x14ac:dyDescent="0.15">
      <c r="A4135" s="67" t="s">
        <v>245</v>
      </c>
      <c r="B4135" s="6" t="s">
        <v>5628</v>
      </c>
      <c r="C4135" s="6">
        <v>106</v>
      </c>
      <c r="D4135" s="6" t="str">
        <f>HYPERLINK("https://rmda.kulib.kyoto-u.ac.jp/item/rb00008739#?c=0&amp;m=0&amp;s=0&amp;cv=105")</f>
        <v>https://rmda.kulib.kyoto-u.ac.jp/item/rb00008739#?c=0&amp;m=0&amp;s=0&amp;cv=105</v>
      </c>
    </row>
    <row r="4136" spans="1:4" x14ac:dyDescent="0.15">
      <c r="A4136" s="67" t="s">
        <v>245</v>
      </c>
      <c r="B4136" s="6" t="s">
        <v>2688</v>
      </c>
      <c r="C4136" s="6">
        <v>108</v>
      </c>
      <c r="D4136" s="6" t="str">
        <f>HYPERLINK("https://rmda.kulib.kyoto-u.ac.jp/item/rb00008739#?c=0&amp;m=0&amp;s=0&amp;cv=107")</f>
        <v>https://rmda.kulib.kyoto-u.ac.jp/item/rb00008739#?c=0&amp;m=0&amp;s=0&amp;cv=107</v>
      </c>
    </row>
    <row r="4137" spans="1:4" x14ac:dyDescent="0.15">
      <c r="A4137" s="67" t="s">
        <v>245</v>
      </c>
      <c r="B4137" s="6" t="s">
        <v>2689</v>
      </c>
      <c r="C4137" s="6">
        <v>114</v>
      </c>
      <c r="D4137" s="6" t="str">
        <f>HYPERLINK("https://rmda.kulib.kyoto-u.ac.jp/item/rb00008739#?c=0&amp;m=0&amp;s=0&amp;cv=113")</f>
        <v>https://rmda.kulib.kyoto-u.ac.jp/item/rb00008739#?c=0&amp;m=0&amp;s=0&amp;cv=113</v>
      </c>
    </row>
    <row r="4138" spans="1:4" x14ac:dyDescent="0.15">
      <c r="A4138" s="67" t="s">
        <v>245</v>
      </c>
      <c r="B4138" s="6" t="s">
        <v>5964</v>
      </c>
      <c r="C4138" s="6"/>
      <c r="D4138" s="6"/>
    </row>
    <row r="4139" spans="1:4" x14ac:dyDescent="0.15">
      <c r="A4139" s="67" t="s">
        <v>245</v>
      </c>
      <c r="B4139" s="6" t="s">
        <v>2825</v>
      </c>
      <c r="C4139" s="6">
        <v>115</v>
      </c>
      <c r="D4139" s="6" t="str">
        <f>HYPERLINK("https://rmda.kulib.kyoto-u.ac.jp/item/rb00008739#?c=0&amp;m=0&amp;s=0&amp;cv=114")</f>
        <v>https://rmda.kulib.kyoto-u.ac.jp/item/rb00008739#?c=0&amp;m=0&amp;s=0&amp;cv=114</v>
      </c>
    </row>
    <row r="4140" spans="1:4" x14ac:dyDescent="0.15">
      <c r="A4140" s="67" t="s">
        <v>245</v>
      </c>
      <c r="B4140" s="6" t="s">
        <v>2032</v>
      </c>
      <c r="C4140" s="6">
        <v>118</v>
      </c>
      <c r="D4140" s="6" t="str">
        <f>HYPERLINK("https://rmda.kulib.kyoto-u.ac.jp/item/rb00008739#?c=0&amp;m=0&amp;s=0&amp;cv=117")</f>
        <v>https://rmda.kulib.kyoto-u.ac.jp/item/rb00008739#?c=0&amp;m=0&amp;s=0&amp;cv=117</v>
      </c>
    </row>
    <row r="4141" spans="1:4" x14ac:dyDescent="0.15">
      <c r="A4141" s="67" t="s">
        <v>245</v>
      </c>
      <c r="B4141" s="6" t="s">
        <v>2640</v>
      </c>
      <c r="C4141" s="6">
        <v>125</v>
      </c>
      <c r="D4141" s="6" t="str">
        <f>HYPERLINK("https://rmda.kulib.kyoto-u.ac.jp/item/rb00008739#?c=0&amp;m=0&amp;s=0&amp;cv=124")</f>
        <v>https://rmda.kulib.kyoto-u.ac.jp/item/rb00008739#?c=0&amp;m=0&amp;s=0&amp;cv=124</v>
      </c>
    </row>
    <row r="4142" spans="1:4" x14ac:dyDescent="0.15">
      <c r="A4142" s="67" t="s">
        <v>245</v>
      </c>
      <c r="B4142" s="6" t="s">
        <v>2694</v>
      </c>
      <c r="C4142" s="6">
        <v>128</v>
      </c>
      <c r="D4142" s="6" t="str">
        <f>HYPERLINK("https://rmda.kulib.kyoto-u.ac.jp/item/rb00008739#?c=0&amp;m=0&amp;s=0&amp;cv=127")</f>
        <v>https://rmda.kulib.kyoto-u.ac.jp/item/rb00008739#?c=0&amp;m=0&amp;s=0&amp;cv=127</v>
      </c>
    </row>
    <row r="4143" spans="1:4" x14ac:dyDescent="0.15">
      <c r="A4143" s="67" t="s">
        <v>245</v>
      </c>
      <c r="B4143" s="6" t="s">
        <v>5629</v>
      </c>
      <c r="C4143" s="6">
        <v>130</v>
      </c>
      <c r="D4143" s="6" t="str">
        <f>HYPERLINK("https://rmda.kulib.kyoto-u.ac.jp/item/rb00008739#?c=0&amp;m=0&amp;s=0&amp;cv=129")</f>
        <v>https://rmda.kulib.kyoto-u.ac.jp/item/rb00008739#?c=0&amp;m=0&amp;s=0&amp;cv=129</v>
      </c>
    </row>
    <row r="4144" spans="1:4" x14ac:dyDescent="0.15">
      <c r="A4144" s="67" t="s">
        <v>245</v>
      </c>
      <c r="B4144" s="6" t="s">
        <v>2826</v>
      </c>
      <c r="C4144" s="6">
        <v>131</v>
      </c>
      <c r="D4144" s="6" t="str">
        <f>HYPERLINK("https://rmda.kulib.kyoto-u.ac.jp/item/rb00008739#?c=0&amp;m=0&amp;s=0&amp;cv=130")</f>
        <v>https://rmda.kulib.kyoto-u.ac.jp/item/rb00008739#?c=0&amp;m=0&amp;s=0&amp;cv=130</v>
      </c>
    </row>
    <row r="4145" spans="1:4" x14ac:dyDescent="0.15">
      <c r="A4145" s="67" t="s">
        <v>245</v>
      </c>
      <c r="B4145" s="6" t="s">
        <v>1495</v>
      </c>
      <c r="C4145" s="6">
        <v>141</v>
      </c>
      <c r="D4145" s="6" t="str">
        <f>HYPERLINK("https://rmda.kulib.kyoto-u.ac.jp/item/rb00008739#?c=0&amp;m=0&amp;s=0&amp;cv=140")</f>
        <v>https://rmda.kulib.kyoto-u.ac.jp/item/rb00008739#?c=0&amp;m=0&amp;s=0&amp;cv=140</v>
      </c>
    </row>
    <row r="4146" spans="1:4" x14ac:dyDescent="0.15">
      <c r="A4146" s="67" t="s">
        <v>245</v>
      </c>
      <c r="B4146" s="6" t="s">
        <v>2827</v>
      </c>
      <c r="C4146" s="6">
        <v>145</v>
      </c>
      <c r="D4146" s="6" t="str">
        <f>HYPERLINK("https://rmda.kulib.kyoto-u.ac.jp/item/rb00008739#?c=0&amp;m=0&amp;s=0&amp;cv=144")</f>
        <v>https://rmda.kulib.kyoto-u.ac.jp/item/rb00008739#?c=0&amp;m=0&amp;s=0&amp;cv=144</v>
      </c>
    </row>
    <row r="4147" spans="1:4" x14ac:dyDescent="0.15">
      <c r="A4147" s="67" t="s">
        <v>245</v>
      </c>
      <c r="B4147" s="6" t="s">
        <v>2828</v>
      </c>
      <c r="C4147" s="6">
        <v>146</v>
      </c>
      <c r="D4147" s="6" t="str">
        <f>HYPERLINK("https://rmda.kulib.kyoto-u.ac.jp/item/rb00008739#?c=0&amp;m=0&amp;s=0&amp;cv=145")</f>
        <v>https://rmda.kulib.kyoto-u.ac.jp/item/rb00008739#?c=0&amp;m=0&amp;s=0&amp;cv=145</v>
      </c>
    </row>
    <row r="4148" spans="1:4" x14ac:dyDescent="0.15">
      <c r="A4148" s="67" t="s">
        <v>245</v>
      </c>
      <c r="B4148" s="72" t="s">
        <v>5965</v>
      </c>
      <c r="C4148" s="6">
        <v>151</v>
      </c>
      <c r="D4148" s="6" t="str">
        <f>HYPERLINK("https://rmda.kulib.kyoto-u.ac.jp/item/rb00008739#?c=0&amp;m=0&amp;s=0&amp;cv=150")</f>
        <v>https://rmda.kulib.kyoto-u.ac.jp/item/rb00008739#?c=0&amp;m=0&amp;s=0&amp;cv=150</v>
      </c>
    </row>
    <row r="4149" spans="1:4" x14ac:dyDescent="0.15">
      <c r="A4149" s="67" t="s">
        <v>245</v>
      </c>
      <c r="B4149" s="6" t="s">
        <v>2829</v>
      </c>
      <c r="C4149" s="6">
        <v>151</v>
      </c>
      <c r="D4149" s="6" t="str">
        <f>HYPERLINK("https://rmda.kulib.kyoto-u.ac.jp/item/rb00008739#?c=0&amp;m=0&amp;s=0&amp;cv=150")</f>
        <v>https://rmda.kulib.kyoto-u.ac.jp/item/rb00008739#?c=0&amp;m=0&amp;s=0&amp;cv=150</v>
      </c>
    </row>
    <row r="4150" spans="1:4" x14ac:dyDescent="0.15">
      <c r="A4150" s="67" t="s">
        <v>245</v>
      </c>
      <c r="B4150" s="6" t="s">
        <v>2830</v>
      </c>
      <c r="C4150" s="6">
        <v>155</v>
      </c>
      <c r="D4150" s="6" t="str">
        <f>HYPERLINK("https://rmda.kulib.kyoto-u.ac.jp/item/rb00008739#?c=0&amp;m=0&amp;s=0&amp;cv=154")</f>
        <v>https://rmda.kulib.kyoto-u.ac.jp/item/rb00008739#?c=0&amp;m=0&amp;s=0&amp;cv=154</v>
      </c>
    </row>
    <row r="4151" spans="1:4" x14ac:dyDescent="0.15">
      <c r="A4151" s="67" t="s">
        <v>245</v>
      </c>
      <c r="B4151" s="6" t="s">
        <v>2831</v>
      </c>
      <c r="C4151" s="6">
        <v>160</v>
      </c>
      <c r="D4151" s="6" t="str">
        <f>HYPERLINK("https://rmda.kulib.kyoto-u.ac.jp/item/rb00008739#?c=0&amp;m=0&amp;s=0&amp;cv=159")</f>
        <v>https://rmda.kulib.kyoto-u.ac.jp/item/rb00008739#?c=0&amp;m=0&amp;s=0&amp;cv=159</v>
      </c>
    </row>
    <row r="4152" spans="1:4" x14ac:dyDescent="0.15">
      <c r="A4152" s="67" t="s">
        <v>245</v>
      </c>
      <c r="B4152" s="6" t="s">
        <v>1451</v>
      </c>
      <c r="C4152" s="6">
        <v>164</v>
      </c>
      <c r="D4152" s="6" t="str">
        <f>HYPERLINK("https://rmda.kulib.kyoto-u.ac.jp/item/rb00008739#?c=0&amp;m=0&amp;s=0&amp;cv=163")</f>
        <v>https://rmda.kulib.kyoto-u.ac.jp/item/rb00008739#?c=0&amp;m=0&amp;s=0&amp;cv=163</v>
      </c>
    </row>
    <row r="4153" spans="1:4" x14ac:dyDescent="0.15">
      <c r="A4153" s="67" t="s">
        <v>245</v>
      </c>
      <c r="B4153" s="6" t="s">
        <v>1433</v>
      </c>
      <c r="C4153" s="6">
        <v>167</v>
      </c>
      <c r="D4153" s="6" t="str">
        <f>HYPERLINK("https://rmda.kulib.kyoto-u.ac.jp/item/rb00008739#?c=0&amp;m=0&amp;s=0&amp;cv=166")</f>
        <v>https://rmda.kulib.kyoto-u.ac.jp/item/rb00008739#?c=0&amp;m=0&amp;s=0&amp;cv=166</v>
      </c>
    </row>
    <row r="4154" spans="1:4" x14ac:dyDescent="0.15">
      <c r="A4154" s="67" t="s">
        <v>245</v>
      </c>
      <c r="B4154" s="6" t="s">
        <v>5630</v>
      </c>
      <c r="C4154" s="6">
        <v>169</v>
      </c>
      <c r="D4154" s="6" t="str">
        <f>HYPERLINK("https://rmda.kulib.kyoto-u.ac.jp/item/rb00008739#?c=0&amp;m=0&amp;s=0&amp;cv=168")</f>
        <v>https://rmda.kulib.kyoto-u.ac.jp/item/rb00008739#?c=0&amp;m=0&amp;s=0&amp;cv=168</v>
      </c>
    </row>
    <row r="4155" spans="1:4" x14ac:dyDescent="0.15">
      <c r="A4155" s="67" t="s">
        <v>245</v>
      </c>
      <c r="B4155" s="6" t="s">
        <v>2725</v>
      </c>
      <c r="C4155" s="6">
        <v>170</v>
      </c>
      <c r="D4155" s="6" t="str">
        <f>HYPERLINK("https://rmda.kulib.kyoto-u.ac.jp/item/rb00008739#?c=0&amp;m=0&amp;s=0&amp;cv=169")</f>
        <v>https://rmda.kulib.kyoto-u.ac.jp/item/rb00008739#?c=0&amp;m=0&amp;s=0&amp;cv=169</v>
      </c>
    </row>
    <row r="4156" spans="1:4" x14ac:dyDescent="0.15">
      <c r="A4156" s="67" t="s">
        <v>245</v>
      </c>
      <c r="B4156" s="6" t="s">
        <v>2558</v>
      </c>
      <c r="C4156" s="6">
        <v>177</v>
      </c>
      <c r="D4156" s="6" t="str">
        <f>HYPERLINK("https://rmda.kulib.kyoto-u.ac.jp/item/rb00008739#?c=0&amp;m=0&amp;s=0&amp;cv=176")</f>
        <v>https://rmda.kulib.kyoto-u.ac.jp/item/rb00008739#?c=0&amp;m=0&amp;s=0&amp;cv=176</v>
      </c>
    </row>
    <row r="4157" spans="1:4" x14ac:dyDescent="0.15">
      <c r="A4157" s="67" t="s">
        <v>245</v>
      </c>
      <c r="B4157" s="6" t="s">
        <v>2832</v>
      </c>
      <c r="C4157" s="6">
        <v>178</v>
      </c>
      <c r="D4157" s="6" t="str">
        <f>HYPERLINK("https://rmda.kulib.kyoto-u.ac.jp/item/rb00008739#?c=0&amp;m=0&amp;s=0&amp;cv=177")</f>
        <v>https://rmda.kulib.kyoto-u.ac.jp/item/rb00008739#?c=0&amp;m=0&amp;s=0&amp;cv=177</v>
      </c>
    </row>
    <row r="4158" spans="1:4" x14ac:dyDescent="0.15">
      <c r="A4158" s="67" t="s">
        <v>245</v>
      </c>
      <c r="B4158" s="6" t="s">
        <v>2833</v>
      </c>
      <c r="C4158" s="6">
        <v>180</v>
      </c>
      <c r="D4158" s="6" t="str">
        <f>HYPERLINK("https://rmda.kulib.kyoto-u.ac.jp/item/rb00008739#?c=0&amp;m=0&amp;s=0&amp;cv=179")</f>
        <v>https://rmda.kulib.kyoto-u.ac.jp/item/rb00008739#?c=0&amp;m=0&amp;s=0&amp;cv=179</v>
      </c>
    </row>
    <row r="4159" spans="1:4" x14ac:dyDescent="0.15">
      <c r="A4159" s="67" t="s">
        <v>245</v>
      </c>
      <c r="B4159" s="6" t="s">
        <v>2834</v>
      </c>
      <c r="C4159" s="6">
        <v>180</v>
      </c>
      <c r="D4159" s="6" t="str">
        <f>HYPERLINK("https://rmda.kulib.kyoto-u.ac.jp/item/rb00008739#?c=0&amp;m=0&amp;s=0&amp;cv=179")</f>
        <v>https://rmda.kulib.kyoto-u.ac.jp/item/rb00008739#?c=0&amp;m=0&amp;s=0&amp;cv=179</v>
      </c>
    </row>
    <row r="4160" spans="1:4" x14ac:dyDescent="0.15">
      <c r="A4160" s="67" t="s">
        <v>245</v>
      </c>
      <c r="B4160" s="6" t="s">
        <v>2835</v>
      </c>
      <c r="C4160" s="6">
        <v>181</v>
      </c>
      <c r="D4160" s="6" t="str">
        <f>HYPERLINK("https://rmda.kulib.kyoto-u.ac.jp/item/rb00008739#?c=0&amp;m=0&amp;s=0&amp;cv=180")</f>
        <v>https://rmda.kulib.kyoto-u.ac.jp/item/rb00008739#?c=0&amp;m=0&amp;s=0&amp;cv=180</v>
      </c>
    </row>
    <row r="4161" spans="1:4" x14ac:dyDescent="0.15">
      <c r="A4161" s="67" t="s">
        <v>245</v>
      </c>
      <c r="B4161" s="6" t="s">
        <v>2836</v>
      </c>
      <c r="C4161" s="6">
        <v>185</v>
      </c>
      <c r="D4161" s="6" t="str">
        <f>HYPERLINK("https://rmda.kulib.kyoto-u.ac.jp/item/rb00008739#?c=0&amp;m=0&amp;s=0&amp;cv=184")</f>
        <v>https://rmda.kulib.kyoto-u.ac.jp/item/rb00008739#?c=0&amp;m=0&amp;s=0&amp;cv=184</v>
      </c>
    </row>
    <row r="4162" spans="1:4" x14ac:dyDescent="0.15">
      <c r="A4162" s="67" t="s">
        <v>245</v>
      </c>
      <c r="B4162" s="6" t="s">
        <v>2837</v>
      </c>
      <c r="C4162" s="6">
        <v>186</v>
      </c>
      <c r="D4162" s="6" t="str">
        <f>HYPERLINK("https://rmda.kulib.kyoto-u.ac.jp/item/rb00008739#?c=0&amp;m=0&amp;s=0&amp;cv=185")</f>
        <v>https://rmda.kulib.kyoto-u.ac.jp/item/rb00008739#?c=0&amp;m=0&amp;s=0&amp;cv=185</v>
      </c>
    </row>
    <row r="4163" spans="1:4" x14ac:dyDescent="0.15">
      <c r="A4163" s="67" t="s">
        <v>245</v>
      </c>
      <c r="B4163" s="6" t="s">
        <v>5656</v>
      </c>
      <c r="C4163" s="6">
        <v>189</v>
      </c>
      <c r="D4163" s="6" t="str">
        <f>HYPERLINK("https://rmda.kulib.kyoto-u.ac.jp/item/rb00008739#?c=0&amp;m=0&amp;s=0&amp;cv=188")</f>
        <v>https://rmda.kulib.kyoto-u.ac.jp/item/rb00008739#?c=0&amp;m=0&amp;s=0&amp;cv=188</v>
      </c>
    </row>
    <row r="4164" spans="1:4" x14ac:dyDescent="0.15">
      <c r="A4164" s="67" t="s">
        <v>245</v>
      </c>
      <c r="B4164" s="6" t="s">
        <v>2838</v>
      </c>
      <c r="C4164" s="6">
        <v>189</v>
      </c>
      <c r="D4164" s="6" t="str">
        <f>HYPERLINK("https://rmda.kulib.kyoto-u.ac.jp/item/rb00008739#?c=0&amp;m=0&amp;s=0&amp;cv=188")</f>
        <v>https://rmda.kulib.kyoto-u.ac.jp/item/rb00008739#?c=0&amp;m=0&amp;s=0&amp;cv=188</v>
      </c>
    </row>
    <row r="4165" spans="1:4" x14ac:dyDescent="0.15">
      <c r="A4165" s="67" t="s">
        <v>245</v>
      </c>
      <c r="B4165" s="6" t="s">
        <v>2839</v>
      </c>
      <c r="C4165" s="6">
        <v>194</v>
      </c>
      <c r="D4165" s="6" t="str">
        <f>HYPERLINK("https://rmda.kulib.kyoto-u.ac.jp/item/rb00008739#?c=0&amp;m=0&amp;s=0&amp;cv=193")</f>
        <v>https://rmda.kulib.kyoto-u.ac.jp/item/rb00008739#?c=0&amp;m=0&amp;s=0&amp;cv=193</v>
      </c>
    </row>
    <row r="4166" spans="1:4" x14ac:dyDescent="0.15">
      <c r="A4166" s="67" t="s">
        <v>245</v>
      </c>
      <c r="B4166" s="6" t="s">
        <v>2699</v>
      </c>
      <c r="C4166" s="6">
        <v>198</v>
      </c>
      <c r="D4166" s="6" t="str">
        <f>HYPERLINK("https://rmda.kulib.kyoto-u.ac.jp/item/rb00008739#?c=0&amp;m=0&amp;s=0&amp;cv=197")</f>
        <v>https://rmda.kulib.kyoto-u.ac.jp/item/rb00008739#?c=0&amp;m=0&amp;s=0&amp;cv=197</v>
      </c>
    </row>
    <row r="4167" spans="1:4" x14ac:dyDescent="0.15">
      <c r="A4167" s="67" t="s">
        <v>245</v>
      </c>
      <c r="B4167" s="6" t="s">
        <v>2840</v>
      </c>
      <c r="C4167" s="6">
        <v>202</v>
      </c>
      <c r="D4167" s="6" t="str">
        <f>HYPERLINK("https://rmda.kulib.kyoto-u.ac.jp/item/rb00008739#?c=0&amp;m=0&amp;s=0&amp;cv=201")</f>
        <v>https://rmda.kulib.kyoto-u.ac.jp/item/rb00008739#?c=0&amp;m=0&amp;s=0&amp;cv=201</v>
      </c>
    </row>
    <row r="4168" spans="1:4" x14ac:dyDescent="0.15">
      <c r="A4168" s="67" t="s">
        <v>245</v>
      </c>
      <c r="B4168" s="6" t="s">
        <v>1408</v>
      </c>
      <c r="C4168" s="6">
        <v>205</v>
      </c>
      <c r="D4168" s="6" t="str">
        <f>HYPERLINK("https://rmda.kulib.kyoto-u.ac.jp/item/rb00008739#?c=0&amp;m=0&amp;s=0&amp;cv=204")</f>
        <v>https://rmda.kulib.kyoto-u.ac.jp/item/rb00008739#?c=0&amp;m=0&amp;s=0&amp;cv=204</v>
      </c>
    </row>
    <row r="4169" spans="1:4" x14ac:dyDescent="0.15">
      <c r="A4169" s="67" t="s">
        <v>245</v>
      </c>
      <c r="B4169" s="72" t="s">
        <v>5966</v>
      </c>
      <c r="C4169" s="6">
        <v>211</v>
      </c>
      <c r="D4169" s="6" t="str">
        <f>HYPERLINK("https://rmda.kulib.kyoto-u.ac.jp/item/rb00008739#?c=0&amp;m=0&amp;s=0&amp;cv=210")</f>
        <v>https://rmda.kulib.kyoto-u.ac.jp/item/rb00008739#?c=0&amp;m=0&amp;s=0&amp;cv=210</v>
      </c>
    </row>
    <row r="4170" spans="1:4" x14ac:dyDescent="0.15">
      <c r="A4170" s="67" t="s">
        <v>245</v>
      </c>
      <c r="B4170" s="6" t="s">
        <v>2842</v>
      </c>
      <c r="C4170" s="6">
        <v>211</v>
      </c>
      <c r="D4170" s="6" t="str">
        <f>HYPERLINK("https://rmda.kulib.kyoto-u.ac.jp/item/rb00008739#?c=0&amp;m=0&amp;s=0&amp;cv=210")</f>
        <v>https://rmda.kulib.kyoto-u.ac.jp/item/rb00008739#?c=0&amp;m=0&amp;s=0&amp;cv=210</v>
      </c>
    </row>
    <row r="4171" spans="1:4" x14ac:dyDescent="0.15">
      <c r="A4171" s="67" t="s">
        <v>245</v>
      </c>
      <c r="B4171" s="6" t="s">
        <v>2843</v>
      </c>
      <c r="C4171" s="6">
        <v>219</v>
      </c>
      <c r="D4171" s="6" t="str">
        <f>HYPERLINK("https://rmda.kulib.kyoto-u.ac.jp/item/rb00008739#?c=0&amp;m=0&amp;s=0&amp;cv=218")</f>
        <v>https://rmda.kulib.kyoto-u.ac.jp/item/rb00008739#?c=0&amp;m=0&amp;s=0&amp;cv=218</v>
      </c>
    </row>
    <row r="4172" spans="1:4" x14ac:dyDescent="0.15">
      <c r="A4172" s="67" t="s">
        <v>245</v>
      </c>
      <c r="B4172" s="6" t="s">
        <v>2844</v>
      </c>
      <c r="C4172" s="6">
        <v>222</v>
      </c>
      <c r="D4172" s="6" t="str">
        <f>HYPERLINK("https://rmda.kulib.kyoto-u.ac.jp/item/rb00008739#?c=0&amp;m=0&amp;s=0&amp;cv=221")</f>
        <v>https://rmda.kulib.kyoto-u.ac.jp/item/rb00008739#?c=0&amp;m=0&amp;s=0&amp;cv=221</v>
      </c>
    </row>
    <row r="4173" spans="1:4" x14ac:dyDescent="0.15">
      <c r="A4173" s="67" t="s">
        <v>245</v>
      </c>
      <c r="B4173" s="6" t="s">
        <v>2845</v>
      </c>
      <c r="C4173" s="6">
        <v>230</v>
      </c>
      <c r="D4173" s="6" t="str">
        <f>HYPERLINK("https://rmda.kulib.kyoto-u.ac.jp/item/rb00008739#?c=0&amp;m=0&amp;s=0&amp;cv=229")</f>
        <v>https://rmda.kulib.kyoto-u.ac.jp/item/rb00008739#?c=0&amp;m=0&amp;s=0&amp;cv=229</v>
      </c>
    </row>
    <row r="4174" spans="1:4" x14ac:dyDescent="0.15">
      <c r="A4174" s="67" t="s">
        <v>245</v>
      </c>
      <c r="B4174" s="6" t="s">
        <v>5657</v>
      </c>
      <c r="C4174" s="6">
        <v>234</v>
      </c>
      <c r="D4174" s="6" t="str">
        <f>HYPERLINK("https://rmda.kulib.kyoto-u.ac.jp/item/rb00008739#?c=0&amp;m=0&amp;s=0&amp;cv=233")</f>
        <v>https://rmda.kulib.kyoto-u.ac.jp/item/rb00008739#?c=0&amp;m=0&amp;s=0&amp;cv=233</v>
      </c>
    </row>
    <row r="4175" spans="1:4" x14ac:dyDescent="0.15">
      <c r="A4175" s="67" t="s">
        <v>245</v>
      </c>
      <c r="B4175" s="6" t="s">
        <v>2746</v>
      </c>
      <c r="C4175" s="6">
        <v>236</v>
      </c>
      <c r="D4175" s="6" t="str">
        <f>HYPERLINK("https://rmda.kulib.kyoto-u.ac.jp/item/rb00008739#?c=0&amp;m=0&amp;s=0&amp;cv=235")</f>
        <v>https://rmda.kulib.kyoto-u.ac.jp/item/rb00008739#?c=0&amp;m=0&amp;s=0&amp;cv=235</v>
      </c>
    </row>
    <row r="4176" spans="1:4" x14ac:dyDescent="0.15">
      <c r="A4176" s="67" t="s">
        <v>245</v>
      </c>
      <c r="B4176" s="6" t="s">
        <v>2846</v>
      </c>
      <c r="C4176" s="6">
        <v>239</v>
      </c>
      <c r="D4176" s="6" t="str">
        <f>HYPERLINK("https://rmda.kulib.kyoto-u.ac.jp/item/rb00008739#?c=0&amp;m=0&amp;s=0&amp;cv=238")</f>
        <v>https://rmda.kulib.kyoto-u.ac.jp/item/rb00008739#?c=0&amp;m=0&amp;s=0&amp;cv=238</v>
      </c>
    </row>
    <row r="4177" spans="1:4" x14ac:dyDescent="0.15">
      <c r="A4177" s="67" t="s">
        <v>245</v>
      </c>
      <c r="B4177" s="6" t="s">
        <v>2749</v>
      </c>
      <c r="C4177" s="6">
        <v>240</v>
      </c>
      <c r="D4177" s="6" t="str">
        <f>HYPERLINK("https://rmda.kulib.kyoto-u.ac.jp/item/rb00008739#?c=0&amp;m=0&amp;s=0&amp;cv=239")</f>
        <v>https://rmda.kulib.kyoto-u.ac.jp/item/rb00008739#?c=0&amp;m=0&amp;s=0&amp;cv=239</v>
      </c>
    </row>
    <row r="4178" spans="1:4" x14ac:dyDescent="0.15">
      <c r="A4178" s="67" t="s">
        <v>245</v>
      </c>
      <c r="B4178" s="6" t="s">
        <v>1491</v>
      </c>
      <c r="C4178" s="6">
        <v>243</v>
      </c>
      <c r="D4178" s="6" t="str">
        <f>HYPERLINK("https://rmda.kulib.kyoto-u.ac.jp/item/rb00008739#?c=0&amp;m=0&amp;s=0&amp;cv=242")</f>
        <v>https://rmda.kulib.kyoto-u.ac.jp/item/rb00008739#?c=0&amp;m=0&amp;s=0&amp;cv=242</v>
      </c>
    </row>
    <row r="4179" spans="1:4" x14ac:dyDescent="0.15">
      <c r="A4179" s="67" t="s">
        <v>245</v>
      </c>
      <c r="B4179" s="6" t="s">
        <v>2848</v>
      </c>
      <c r="C4179" s="6">
        <v>245</v>
      </c>
      <c r="D4179" s="6" t="str">
        <f>HYPERLINK("https://rmda.kulib.kyoto-u.ac.jp/item/rb00008739#?c=0&amp;m=0&amp;s=0&amp;cv=244")</f>
        <v>https://rmda.kulib.kyoto-u.ac.jp/item/rb00008739#?c=0&amp;m=0&amp;s=0&amp;cv=244</v>
      </c>
    </row>
    <row r="4180" spans="1:4" x14ac:dyDescent="0.15">
      <c r="A4180" s="67" t="s">
        <v>245</v>
      </c>
      <c r="B4180" s="6" t="s">
        <v>2849</v>
      </c>
      <c r="C4180" s="6">
        <v>246</v>
      </c>
      <c r="D4180" s="6" t="str">
        <f>HYPERLINK("https://rmda.kulib.kyoto-u.ac.jp/item/rb00008739#?c=0&amp;m=0&amp;s=0&amp;cv=245")</f>
        <v>https://rmda.kulib.kyoto-u.ac.jp/item/rb00008739#?c=0&amp;m=0&amp;s=0&amp;cv=245</v>
      </c>
    </row>
    <row r="4181" spans="1:4" x14ac:dyDescent="0.15">
      <c r="A4181" s="67" t="s">
        <v>245</v>
      </c>
      <c r="B4181" s="6" t="s">
        <v>1426</v>
      </c>
      <c r="C4181" s="6">
        <v>248</v>
      </c>
      <c r="D4181" s="6" t="str">
        <f>HYPERLINK("https://rmda.kulib.kyoto-u.ac.jp/item/rb00008739#?c=0&amp;m=0&amp;s=0&amp;cv=247")</f>
        <v>https://rmda.kulib.kyoto-u.ac.jp/item/rb00008739#?c=0&amp;m=0&amp;s=0&amp;cv=247</v>
      </c>
    </row>
    <row r="4182" spans="1:4" x14ac:dyDescent="0.15">
      <c r="A4182" s="67" t="s">
        <v>245</v>
      </c>
      <c r="B4182" s="6" t="s">
        <v>2750</v>
      </c>
      <c r="C4182" s="6">
        <v>249</v>
      </c>
      <c r="D4182" s="6" t="str">
        <f>HYPERLINK("https://rmda.kulib.kyoto-u.ac.jp/item/rb00008739#?c=0&amp;m=0&amp;s=0&amp;cv=248")</f>
        <v>https://rmda.kulib.kyoto-u.ac.jp/item/rb00008739#?c=0&amp;m=0&amp;s=0&amp;cv=248</v>
      </c>
    </row>
    <row r="4183" spans="1:4" x14ac:dyDescent="0.15">
      <c r="A4183" s="67" t="s">
        <v>245</v>
      </c>
      <c r="B4183" s="6" t="s">
        <v>2850</v>
      </c>
      <c r="C4183" s="6">
        <v>250</v>
      </c>
      <c r="D4183" s="6" t="str">
        <f>HYPERLINK("https://rmda.kulib.kyoto-u.ac.jp/item/rb00008739#?c=0&amp;m=0&amp;s=0&amp;cv=249")</f>
        <v>https://rmda.kulib.kyoto-u.ac.jp/item/rb00008739#?c=0&amp;m=0&amp;s=0&amp;cv=249</v>
      </c>
    </row>
    <row r="4184" spans="1:4" x14ac:dyDescent="0.15">
      <c r="A4184" s="67" t="s">
        <v>245</v>
      </c>
      <c r="B4184" s="6" t="s">
        <v>2737</v>
      </c>
      <c r="C4184" s="6">
        <v>252</v>
      </c>
      <c r="D4184" s="6" t="str">
        <f>HYPERLINK("https://rmda.kulib.kyoto-u.ac.jp/item/rb00008739#?c=0&amp;m=0&amp;s=0&amp;cv=251")</f>
        <v>https://rmda.kulib.kyoto-u.ac.jp/item/rb00008739#?c=0&amp;m=0&amp;s=0&amp;cv=251</v>
      </c>
    </row>
    <row r="4185" spans="1:4" x14ac:dyDescent="0.15">
      <c r="A4185" s="67" t="s">
        <v>245</v>
      </c>
      <c r="B4185" s="6" t="s">
        <v>2734</v>
      </c>
      <c r="C4185" s="6">
        <v>255</v>
      </c>
      <c r="D4185" s="6" t="str">
        <f>HYPERLINK("https://rmda.kulib.kyoto-u.ac.jp/item/rb00008739#?c=0&amp;m=0&amp;s=0&amp;cv=254")</f>
        <v>https://rmda.kulib.kyoto-u.ac.jp/item/rb00008739#?c=0&amp;m=0&amp;s=0&amp;cv=254</v>
      </c>
    </row>
    <row r="4186" spans="1:4" x14ac:dyDescent="0.15">
      <c r="A4186" s="67" t="s">
        <v>245</v>
      </c>
      <c r="B4186" s="6" t="s">
        <v>2851</v>
      </c>
      <c r="C4186" s="6">
        <v>260</v>
      </c>
      <c r="D4186" s="6" t="str">
        <f>HYPERLINK("https://rmda.kulib.kyoto-u.ac.jp/item/rb00008739#?c=0&amp;m=0&amp;s=0&amp;cv=259")</f>
        <v>https://rmda.kulib.kyoto-u.ac.jp/item/rb00008739#?c=0&amp;m=0&amp;s=0&amp;cv=259</v>
      </c>
    </row>
    <row r="4187" spans="1:4" x14ac:dyDescent="0.15">
      <c r="A4187" s="67" t="s">
        <v>245</v>
      </c>
      <c r="B4187" s="6" t="s">
        <v>2852</v>
      </c>
      <c r="C4187" s="6">
        <v>261</v>
      </c>
      <c r="D4187" s="6" t="str">
        <f>HYPERLINK("https://rmda.kulib.kyoto-u.ac.jp/item/rb00008739#?c=0&amp;m=0&amp;s=0&amp;cv=260")</f>
        <v>https://rmda.kulib.kyoto-u.ac.jp/item/rb00008739#?c=0&amp;m=0&amp;s=0&amp;cv=260</v>
      </c>
    </row>
    <row r="4188" spans="1:4" x14ac:dyDescent="0.15">
      <c r="A4188" s="67" t="s">
        <v>245</v>
      </c>
      <c r="B4188" s="6" t="s">
        <v>2853</v>
      </c>
      <c r="C4188" s="6">
        <v>264</v>
      </c>
      <c r="D4188" s="6" t="str">
        <f>HYPERLINK("https://rmda.kulib.kyoto-u.ac.jp/item/rb00008739#?c=0&amp;m=0&amp;s=0&amp;cv=263")</f>
        <v>https://rmda.kulib.kyoto-u.ac.jp/item/rb00008739#?c=0&amp;m=0&amp;s=0&amp;cv=263</v>
      </c>
    </row>
    <row r="4189" spans="1:4" x14ac:dyDescent="0.15">
      <c r="A4189" s="67" t="s">
        <v>245</v>
      </c>
      <c r="B4189" s="6" t="s">
        <v>2854</v>
      </c>
      <c r="C4189" s="6">
        <v>269</v>
      </c>
      <c r="D4189" s="6" t="str">
        <f>HYPERLINK("https://rmda.kulib.kyoto-u.ac.jp/item/rb00008739#?c=0&amp;m=0&amp;s=0&amp;cv=268")</f>
        <v>https://rmda.kulib.kyoto-u.ac.jp/item/rb00008739#?c=0&amp;m=0&amp;s=0&amp;cv=268</v>
      </c>
    </row>
    <row r="4190" spans="1:4" x14ac:dyDescent="0.15">
      <c r="A4190" s="67" t="s">
        <v>245</v>
      </c>
      <c r="B4190" s="6" t="s">
        <v>5658</v>
      </c>
      <c r="C4190" s="6">
        <v>269</v>
      </c>
      <c r="D4190" s="6" t="str">
        <f>HYPERLINK("https://rmda.kulib.kyoto-u.ac.jp/item/rb00008739#?c=0&amp;m=0&amp;s=0&amp;cv=268")</f>
        <v>https://rmda.kulib.kyoto-u.ac.jp/item/rb00008739#?c=0&amp;m=0&amp;s=0&amp;cv=268</v>
      </c>
    </row>
    <row r="4191" spans="1:4" x14ac:dyDescent="0.15">
      <c r="A4191" s="67" t="s">
        <v>245</v>
      </c>
      <c r="B4191" s="6" t="s">
        <v>2855</v>
      </c>
      <c r="C4191" s="6">
        <v>271</v>
      </c>
      <c r="D4191" s="6" t="str">
        <f>HYPERLINK("https://rmda.kulib.kyoto-u.ac.jp/item/rb00008739#?c=0&amp;m=0&amp;s=0&amp;cv=270")</f>
        <v>https://rmda.kulib.kyoto-u.ac.jp/item/rb00008739#?c=0&amp;m=0&amp;s=0&amp;cv=270</v>
      </c>
    </row>
    <row r="4192" spans="1:4" x14ac:dyDescent="0.15">
      <c r="A4192" s="67" t="s">
        <v>245</v>
      </c>
      <c r="B4192" s="6" t="s">
        <v>2856</v>
      </c>
      <c r="C4192" s="6">
        <v>272</v>
      </c>
      <c r="D4192" s="6" t="str">
        <f>HYPERLINK("https://rmda.kulib.kyoto-u.ac.jp/item/rb00008739#?c=0&amp;m=0&amp;s=0&amp;cv=271")</f>
        <v>https://rmda.kulib.kyoto-u.ac.jp/item/rb00008739#?c=0&amp;m=0&amp;s=0&amp;cv=271</v>
      </c>
    </row>
    <row r="4193" spans="1:4" x14ac:dyDescent="0.15">
      <c r="A4193" s="67" t="s">
        <v>245</v>
      </c>
      <c r="B4193" s="6" t="s">
        <v>5659</v>
      </c>
      <c r="C4193" s="6">
        <v>273</v>
      </c>
      <c r="D4193" s="6" t="str">
        <f>HYPERLINK("https://rmda.kulib.kyoto-u.ac.jp/item/rb00008739#?c=0&amp;m=0&amp;s=0&amp;cv=272")</f>
        <v>https://rmda.kulib.kyoto-u.ac.jp/item/rb00008739#?c=0&amp;m=0&amp;s=0&amp;cv=272</v>
      </c>
    </row>
    <row r="4194" spans="1:4" x14ac:dyDescent="0.15">
      <c r="A4194" s="67" t="s">
        <v>245</v>
      </c>
      <c r="B4194" s="72" t="s">
        <v>5967</v>
      </c>
      <c r="C4194" s="6">
        <v>277</v>
      </c>
      <c r="D4194" s="6" t="str">
        <f>HYPERLINK("https://rmda.kulib.kyoto-u.ac.jp/item/rb00008739#?c=0&amp;m=0&amp;s=0&amp;cv=276")</f>
        <v>https://rmda.kulib.kyoto-u.ac.jp/item/rb00008739#?c=0&amp;m=0&amp;s=0&amp;cv=276</v>
      </c>
    </row>
    <row r="4195" spans="1:4" x14ac:dyDescent="0.15">
      <c r="A4195" s="67" t="s">
        <v>245</v>
      </c>
      <c r="B4195" s="6" t="s">
        <v>1418</v>
      </c>
      <c r="C4195" s="6">
        <v>277</v>
      </c>
      <c r="D4195" s="6" t="str">
        <f>HYPERLINK("https://rmda.kulib.kyoto-u.ac.jp/item/rb00008739#?c=0&amp;m=0&amp;s=0&amp;cv=276")</f>
        <v>https://rmda.kulib.kyoto-u.ac.jp/item/rb00008739#?c=0&amp;m=0&amp;s=0&amp;cv=276</v>
      </c>
    </row>
    <row r="4196" spans="1:4" x14ac:dyDescent="0.15">
      <c r="A4196" s="67" t="s">
        <v>245</v>
      </c>
      <c r="B4196" s="6" t="s">
        <v>2858</v>
      </c>
      <c r="C4196" s="6">
        <v>281</v>
      </c>
      <c r="D4196" s="6" t="str">
        <f>HYPERLINK("https://rmda.kulib.kyoto-u.ac.jp/item/rb00008739#?c=0&amp;m=0&amp;s=0&amp;cv=280")</f>
        <v>https://rmda.kulib.kyoto-u.ac.jp/item/rb00008739#?c=0&amp;m=0&amp;s=0&amp;cv=280</v>
      </c>
    </row>
    <row r="4197" spans="1:4" x14ac:dyDescent="0.15">
      <c r="A4197" s="67" t="s">
        <v>245</v>
      </c>
      <c r="B4197" s="6" t="s">
        <v>2859</v>
      </c>
      <c r="C4197" s="6">
        <v>284</v>
      </c>
      <c r="D4197" s="6" t="str">
        <f>HYPERLINK("https://rmda.kulib.kyoto-u.ac.jp/item/rb00008739#?c=0&amp;m=0&amp;s=0&amp;cv=283")</f>
        <v>https://rmda.kulib.kyoto-u.ac.jp/item/rb00008739#?c=0&amp;m=0&amp;s=0&amp;cv=283</v>
      </c>
    </row>
    <row r="4198" spans="1:4" x14ac:dyDescent="0.15">
      <c r="A4198" s="67" t="s">
        <v>245</v>
      </c>
      <c r="B4198" s="6" t="s">
        <v>2860</v>
      </c>
      <c r="C4198" s="6">
        <v>287</v>
      </c>
      <c r="D4198" s="6" t="str">
        <f>HYPERLINK("https://rmda.kulib.kyoto-u.ac.jp/item/rb00008739#?c=0&amp;m=0&amp;s=0&amp;cv=286")</f>
        <v>https://rmda.kulib.kyoto-u.ac.jp/item/rb00008739#?c=0&amp;m=0&amp;s=0&amp;cv=286</v>
      </c>
    </row>
    <row r="4199" spans="1:4" x14ac:dyDescent="0.15">
      <c r="A4199" s="67" t="s">
        <v>245</v>
      </c>
      <c r="B4199" s="6" t="s">
        <v>2861</v>
      </c>
      <c r="C4199" s="6">
        <v>289</v>
      </c>
      <c r="D4199" s="6" t="str">
        <f>HYPERLINK("https://rmda.kulib.kyoto-u.ac.jp/item/rb00008739#?c=0&amp;m=0&amp;s=0&amp;cv=288")</f>
        <v>https://rmda.kulib.kyoto-u.ac.jp/item/rb00008739#?c=0&amp;m=0&amp;s=0&amp;cv=288</v>
      </c>
    </row>
    <row r="4200" spans="1:4" x14ac:dyDescent="0.15">
      <c r="A4200" s="67" t="s">
        <v>245</v>
      </c>
      <c r="B4200" s="6" t="s">
        <v>2756</v>
      </c>
      <c r="C4200" s="6">
        <v>292</v>
      </c>
      <c r="D4200" s="6" t="str">
        <f>HYPERLINK("https://rmda.kulib.kyoto-u.ac.jp/item/rb00008739#?c=0&amp;m=0&amp;s=0&amp;cv=291")</f>
        <v>https://rmda.kulib.kyoto-u.ac.jp/item/rb00008739#?c=0&amp;m=0&amp;s=0&amp;cv=291</v>
      </c>
    </row>
    <row r="4201" spans="1:4" x14ac:dyDescent="0.15">
      <c r="A4201" s="67" t="s">
        <v>245</v>
      </c>
      <c r="B4201" s="6" t="s">
        <v>2862</v>
      </c>
      <c r="C4201" s="6">
        <v>294</v>
      </c>
      <c r="D4201" s="6" t="str">
        <f>HYPERLINK("https://rmda.kulib.kyoto-u.ac.jp/item/rb00008739#?c=0&amp;m=0&amp;s=0&amp;cv=293")</f>
        <v>https://rmda.kulib.kyoto-u.ac.jp/item/rb00008739#?c=0&amp;m=0&amp;s=0&amp;cv=293</v>
      </c>
    </row>
    <row r="4202" spans="1:4" x14ac:dyDescent="0.15">
      <c r="A4202" s="67" t="s">
        <v>245</v>
      </c>
      <c r="B4202" s="6" t="s">
        <v>2863</v>
      </c>
      <c r="C4202" s="6">
        <v>299</v>
      </c>
      <c r="D4202" s="6" t="str">
        <f>HYPERLINK("https://rmda.kulib.kyoto-u.ac.jp/item/rb00008739#?c=0&amp;m=0&amp;s=0&amp;cv=298")</f>
        <v>https://rmda.kulib.kyoto-u.ac.jp/item/rb00008739#?c=0&amp;m=0&amp;s=0&amp;cv=298</v>
      </c>
    </row>
    <row r="4203" spans="1:4" x14ac:dyDescent="0.15">
      <c r="A4203" s="67" t="s">
        <v>245</v>
      </c>
      <c r="B4203" s="6" t="s">
        <v>2864</v>
      </c>
      <c r="C4203" s="6">
        <v>307</v>
      </c>
      <c r="D4203" s="6" t="str">
        <f>HYPERLINK("https://rmda.kulib.kyoto-u.ac.jp/item/rb00008739#?c=0&amp;m=0&amp;s=0&amp;cv=306")</f>
        <v>https://rmda.kulib.kyoto-u.ac.jp/item/rb00008739#?c=0&amp;m=0&amp;s=0&amp;cv=306</v>
      </c>
    </row>
    <row r="4204" spans="1:4" x14ac:dyDescent="0.15">
      <c r="A4204" s="67" t="s">
        <v>245</v>
      </c>
      <c r="B4204" s="6" t="s">
        <v>2865</v>
      </c>
      <c r="C4204" s="6">
        <v>311</v>
      </c>
      <c r="D4204" s="6" t="str">
        <f>HYPERLINK("https://rmda.kulib.kyoto-u.ac.jp/item/rb00008739#?c=0&amp;m=0&amp;s=0&amp;cv=310")</f>
        <v>https://rmda.kulib.kyoto-u.ac.jp/item/rb00008739#?c=0&amp;m=0&amp;s=0&amp;cv=310</v>
      </c>
    </row>
    <row r="4205" spans="1:4" x14ac:dyDescent="0.15">
      <c r="A4205" s="67" t="s">
        <v>245</v>
      </c>
      <c r="B4205" s="6" t="s">
        <v>2866</v>
      </c>
      <c r="C4205" s="6">
        <v>312</v>
      </c>
      <c r="D4205" s="6" t="str">
        <f>HYPERLINK("https://rmda.kulib.kyoto-u.ac.jp/item/rb00008739#?c=0&amp;m=0&amp;s=0&amp;cv=311")</f>
        <v>https://rmda.kulib.kyoto-u.ac.jp/item/rb00008739#?c=0&amp;m=0&amp;s=0&amp;cv=311</v>
      </c>
    </row>
    <row r="4206" spans="1:4" x14ac:dyDescent="0.15">
      <c r="A4206" s="67" t="s">
        <v>245</v>
      </c>
      <c r="B4206" s="6" t="s">
        <v>2867</v>
      </c>
      <c r="C4206" s="6">
        <v>313</v>
      </c>
      <c r="D4206" s="6" t="str">
        <f>HYPERLINK("https://rmda.kulib.kyoto-u.ac.jp/item/rb00008739#?c=0&amp;m=0&amp;s=0&amp;cv=312")</f>
        <v>https://rmda.kulib.kyoto-u.ac.jp/item/rb00008739#?c=0&amp;m=0&amp;s=0&amp;cv=312</v>
      </c>
    </row>
    <row r="4207" spans="1:4" x14ac:dyDescent="0.15">
      <c r="A4207" s="67" t="s">
        <v>245</v>
      </c>
      <c r="B4207" s="6" t="s">
        <v>2868</v>
      </c>
      <c r="C4207" s="6">
        <v>314</v>
      </c>
      <c r="D4207" s="6" t="str">
        <f>HYPERLINK("https://rmda.kulib.kyoto-u.ac.jp/item/rb00008739#?c=0&amp;m=0&amp;s=0&amp;cv=313")</f>
        <v>https://rmda.kulib.kyoto-u.ac.jp/item/rb00008739#?c=0&amp;m=0&amp;s=0&amp;cv=313</v>
      </c>
    </row>
    <row r="4208" spans="1:4" x14ac:dyDescent="0.15">
      <c r="A4208" s="67" t="s">
        <v>245</v>
      </c>
      <c r="B4208" s="6" t="s">
        <v>2555</v>
      </c>
      <c r="C4208" s="6">
        <v>318</v>
      </c>
      <c r="D4208" s="6" t="str">
        <f>HYPERLINK("https://rmda.kulib.kyoto-u.ac.jp/item/rb00008739#?c=0&amp;m=0&amp;s=0&amp;cv=317")</f>
        <v>https://rmda.kulib.kyoto-u.ac.jp/item/rb00008739#?c=0&amp;m=0&amp;s=0&amp;cv=317</v>
      </c>
    </row>
    <row r="4209" spans="1:4" x14ac:dyDescent="0.15">
      <c r="A4209" s="67" t="s">
        <v>245</v>
      </c>
      <c r="B4209" s="6" t="s">
        <v>2721</v>
      </c>
      <c r="C4209" s="6">
        <v>320</v>
      </c>
      <c r="D4209" s="6" t="str">
        <f>HYPERLINK("https://rmda.kulib.kyoto-u.ac.jp/item/rb00008739#?c=0&amp;m=0&amp;s=0&amp;cv=319")</f>
        <v>https://rmda.kulib.kyoto-u.ac.jp/item/rb00008739#?c=0&amp;m=0&amp;s=0&amp;cv=319</v>
      </c>
    </row>
    <row r="4210" spans="1:4" x14ac:dyDescent="0.15">
      <c r="A4210" s="67" t="s">
        <v>245</v>
      </c>
      <c r="B4210" s="6" t="s">
        <v>2720</v>
      </c>
      <c r="C4210" s="6">
        <v>323</v>
      </c>
      <c r="D4210" s="6" t="str">
        <f>HYPERLINK("https://rmda.kulib.kyoto-u.ac.jp/item/rb00008739#?c=0&amp;m=0&amp;s=0&amp;cv=322")</f>
        <v>https://rmda.kulib.kyoto-u.ac.jp/item/rb00008739#?c=0&amp;m=0&amp;s=0&amp;cv=322</v>
      </c>
    </row>
    <row r="4211" spans="1:4" x14ac:dyDescent="0.15">
      <c r="A4211" s="67" t="s">
        <v>245</v>
      </c>
      <c r="B4211" s="6" t="s">
        <v>2716</v>
      </c>
      <c r="C4211" s="6">
        <v>324</v>
      </c>
      <c r="D4211" s="6" t="str">
        <f>HYPERLINK("https://rmda.kulib.kyoto-u.ac.jp/item/rb00008739#?c=0&amp;m=0&amp;s=0&amp;cv=323")</f>
        <v>https://rmda.kulib.kyoto-u.ac.jp/item/rb00008739#?c=0&amp;m=0&amp;s=0&amp;cv=323</v>
      </c>
    </row>
    <row r="4212" spans="1:4" x14ac:dyDescent="0.15">
      <c r="A4212" s="67" t="s">
        <v>245</v>
      </c>
      <c r="B4212" s="6" t="s">
        <v>5660</v>
      </c>
      <c r="C4212" s="6">
        <v>325</v>
      </c>
      <c r="D4212" s="6" t="str">
        <f>HYPERLINK("https://rmda.kulib.kyoto-u.ac.jp/item/rb00008739#?c=0&amp;m=0&amp;s=0&amp;cv=324")</f>
        <v>https://rmda.kulib.kyoto-u.ac.jp/item/rb00008739#?c=0&amp;m=0&amp;s=0&amp;cv=324</v>
      </c>
    </row>
    <row r="4213" spans="1:4" x14ac:dyDescent="0.15">
      <c r="A4213" s="67" t="s">
        <v>245</v>
      </c>
      <c r="B4213" s="6" t="s">
        <v>5662</v>
      </c>
      <c r="C4213" s="6">
        <v>330</v>
      </c>
      <c r="D4213" s="6" t="str">
        <f>HYPERLINK("https://rmda.kulib.kyoto-u.ac.jp/item/rb00008739#?c=0&amp;m=0&amp;s=0&amp;cv=329")</f>
        <v>https://rmda.kulib.kyoto-u.ac.jp/item/rb00008739#?c=0&amp;m=0&amp;s=0&amp;cv=329</v>
      </c>
    </row>
    <row r="4214" spans="1:4" x14ac:dyDescent="0.15">
      <c r="A4214" s="67" t="s">
        <v>245</v>
      </c>
      <c r="B4214" s="6" t="s">
        <v>2870</v>
      </c>
      <c r="C4214" s="6">
        <v>331</v>
      </c>
      <c r="D4214" s="6" t="str">
        <f>HYPERLINK("https://rmda.kulib.kyoto-u.ac.jp/item/rb00008739#?c=0&amp;m=0&amp;s=0&amp;cv=330")</f>
        <v>https://rmda.kulib.kyoto-u.ac.jp/item/rb00008739#?c=0&amp;m=0&amp;s=0&amp;cv=330</v>
      </c>
    </row>
    <row r="4215" spans="1:4" x14ac:dyDescent="0.15">
      <c r="A4215" s="67" t="s">
        <v>245</v>
      </c>
      <c r="B4215" s="6" t="s">
        <v>5661</v>
      </c>
      <c r="C4215" s="6">
        <v>334</v>
      </c>
      <c r="D4215" s="6" t="str">
        <f>HYPERLINK("https://rmda.kulib.kyoto-u.ac.jp/item/rb00008739#?c=0&amp;m=0&amp;s=0&amp;cv=333")</f>
        <v>https://rmda.kulib.kyoto-u.ac.jp/item/rb00008739#?c=0&amp;m=0&amp;s=0&amp;cv=333</v>
      </c>
    </row>
    <row r="4216" spans="1:4" x14ac:dyDescent="0.15">
      <c r="A4216" s="67" t="s">
        <v>245</v>
      </c>
      <c r="B4216" s="6" t="s">
        <v>2872</v>
      </c>
      <c r="C4216" s="6">
        <v>337</v>
      </c>
      <c r="D4216" s="6" t="str">
        <f>HYPERLINK("https://rmda.kulib.kyoto-u.ac.jp/item/rb00008739#?c=0&amp;m=0&amp;s=0&amp;cv=336")</f>
        <v>https://rmda.kulib.kyoto-u.ac.jp/item/rb00008739#?c=0&amp;m=0&amp;s=0&amp;cv=336</v>
      </c>
    </row>
    <row r="4217" spans="1:4" x14ac:dyDescent="0.15">
      <c r="A4217" s="67" t="s">
        <v>245</v>
      </c>
      <c r="B4217" s="6" t="s">
        <v>2873</v>
      </c>
      <c r="C4217" s="6">
        <v>341</v>
      </c>
      <c r="D4217" s="6" t="str">
        <f>HYPERLINK("https://rmda.kulib.kyoto-u.ac.jp/item/rb00008739#?c=0&amp;m=0&amp;s=0&amp;cv=340")</f>
        <v>https://rmda.kulib.kyoto-u.ac.jp/item/rb00008739#?c=0&amp;m=0&amp;s=0&amp;cv=340</v>
      </c>
    </row>
    <row r="4218" spans="1:4" x14ac:dyDescent="0.15">
      <c r="A4218" s="67" t="s">
        <v>245</v>
      </c>
      <c r="B4218" s="72" t="s">
        <v>5968</v>
      </c>
      <c r="C4218" s="6">
        <v>348</v>
      </c>
      <c r="D4218" s="6" t="str">
        <f>HYPERLINK("https://rmda.kulib.kyoto-u.ac.jp/item/rb00008739#?c=0&amp;m=0&amp;s=0&amp;cv=347")</f>
        <v>https://rmda.kulib.kyoto-u.ac.jp/item/rb00008739#?c=0&amp;m=0&amp;s=0&amp;cv=347</v>
      </c>
    </row>
    <row r="4219" spans="1:4" x14ac:dyDescent="0.15">
      <c r="A4219" s="67" t="s">
        <v>245</v>
      </c>
      <c r="B4219" s="6" t="s">
        <v>2874</v>
      </c>
      <c r="C4219" s="6">
        <v>348</v>
      </c>
      <c r="D4219" s="6" t="str">
        <f>HYPERLINK("https://rmda.kulib.kyoto-u.ac.jp/item/rb00008739#?c=0&amp;m=0&amp;s=0&amp;cv=347")</f>
        <v>https://rmda.kulib.kyoto-u.ac.jp/item/rb00008739#?c=0&amp;m=0&amp;s=0&amp;cv=347</v>
      </c>
    </row>
    <row r="4220" spans="1:4" x14ac:dyDescent="0.15">
      <c r="A4220" s="67" t="s">
        <v>245</v>
      </c>
      <c r="B4220" s="6" t="s">
        <v>2844</v>
      </c>
      <c r="C4220" s="6">
        <v>354</v>
      </c>
      <c r="D4220" s="6" t="str">
        <f>HYPERLINK("https://rmda.kulib.kyoto-u.ac.jp/item/rb00008739#?c=0&amp;m=0&amp;s=0&amp;cv=353")</f>
        <v>https://rmda.kulib.kyoto-u.ac.jp/item/rb00008739#?c=0&amp;m=0&amp;s=0&amp;cv=353</v>
      </c>
    </row>
    <row r="4221" spans="1:4" x14ac:dyDescent="0.15">
      <c r="A4221" s="67" t="s">
        <v>245</v>
      </c>
      <c r="B4221" s="6" t="s">
        <v>2875</v>
      </c>
      <c r="C4221" s="6">
        <v>358</v>
      </c>
      <c r="D4221" s="6" t="str">
        <f>HYPERLINK("https://rmda.kulib.kyoto-u.ac.jp/item/rb00008739#?c=0&amp;m=0&amp;s=0&amp;cv=357")</f>
        <v>https://rmda.kulib.kyoto-u.ac.jp/item/rb00008739#?c=0&amp;m=0&amp;s=0&amp;cv=357</v>
      </c>
    </row>
    <row r="4222" spans="1:4" x14ac:dyDescent="0.15">
      <c r="A4222" s="67" t="s">
        <v>245</v>
      </c>
      <c r="B4222" s="6" t="s">
        <v>2803</v>
      </c>
      <c r="C4222" s="6">
        <v>362</v>
      </c>
      <c r="D4222" s="6" t="str">
        <f>HYPERLINK("https://rmda.kulib.kyoto-u.ac.jp/item/rb00008739#?c=0&amp;m=0&amp;s=0&amp;cv=361")</f>
        <v>https://rmda.kulib.kyoto-u.ac.jp/item/rb00008739#?c=0&amp;m=0&amp;s=0&amp;cv=361</v>
      </c>
    </row>
    <row r="4223" spans="1:4" x14ac:dyDescent="0.15">
      <c r="A4223" s="67" t="s">
        <v>245</v>
      </c>
      <c r="B4223" s="6" t="s">
        <v>2804</v>
      </c>
      <c r="C4223" s="6">
        <v>364</v>
      </c>
      <c r="D4223" s="6" t="str">
        <f>HYPERLINK("https://rmda.kulib.kyoto-u.ac.jp/item/rb00008739#?c=0&amp;m=0&amp;s=0&amp;cv=363")</f>
        <v>https://rmda.kulib.kyoto-u.ac.jp/item/rb00008739#?c=0&amp;m=0&amp;s=0&amp;cv=363</v>
      </c>
    </row>
    <row r="4224" spans="1:4" x14ac:dyDescent="0.15">
      <c r="A4224" s="67" t="s">
        <v>245</v>
      </c>
      <c r="B4224" s="80" t="s">
        <v>5663</v>
      </c>
      <c r="C4224" s="6">
        <v>368</v>
      </c>
      <c r="D4224" s="6" t="str">
        <f>HYPERLINK("https://rmda.kulib.kyoto-u.ac.jp/item/rb00008739#?c=0&amp;m=0&amp;s=0&amp;cv=367")</f>
        <v>https://rmda.kulib.kyoto-u.ac.jp/item/rb00008739#?c=0&amp;m=0&amp;s=0&amp;cv=367</v>
      </c>
    </row>
    <row r="4225" spans="1:4" x14ac:dyDescent="0.15">
      <c r="A4225" s="67" t="s">
        <v>245</v>
      </c>
      <c r="B4225" s="6" t="s">
        <v>5664</v>
      </c>
      <c r="C4225" s="6">
        <v>368</v>
      </c>
      <c r="D4225" s="6" t="str">
        <f>HYPERLINK("https://rmda.kulib.kyoto-u.ac.jp/item/rb00008739#?c=0&amp;m=0&amp;s=0&amp;cv=367")</f>
        <v>https://rmda.kulib.kyoto-u.ac.jp/item/rb00008739#?c=0&amp;m=0&amp;s=0&amp;cv=367</v>
      </c>
    </row>
    <row r="4226" spans="1:4" x14ac:dyDescent="0.15">
      <c r="A4226" s="67" t="s">
        <v>245</v>
      </c>
      <c r="B4226" s="6" t="s">
        <v>5662</v>
      </c>
      <c r="C4226" s="6">
        <v>373</v>
      </c>
      <c r="D4226" s="6" t="str">
        <f>HYPERLINK("https://rmda.kulib.kyoto-u.ac.jp/item/rb00008739#?c=0&amp;m=0&amp;s=0&amp;cv=372")</f>
        <v>https://rmda.kulib.kyoto-u.ac.jp/item/rb00008739#?c=0&amp;m=0&amp;s=0&amp;cv=372</v>
      </c>
    </row>
    <row r="4227" spans="1:4" x14ac:dyDescent="0.15">
      <c r="A4227" s="67" t="s">
        <v>245</v>
      </c>
      <c r="B4227" s="6" t="s">
        <v>2876</v>
      </c>
      <c r="C4227" s="6">
        <v>374</v>
      </c>
      <c r="D4227" s="6" t="str">
        <f>HYPERLINK("https://rmda.kulib.kyoto-u.ac.jp/item/rb00008739#?c=0&amp;m=0&amp;s=0&amp;cv=373")</f>
        <v>https://rmda.kulib.kyoto-u.ac.jp/item/rb00008739#?c=0&amp;m=0&amp;s=0&amp;cv=373</v>
      </c>
    </row>
    <row r="4228" spans="1:4" x14ac:dyDescent="0.15">
      <c r="A4228" s="67" t="s">
        <v>245</v>
      </c>
      <c r="B4228" s="6" t="s">
        <v>2877</v>
      </c>
      <c r="C4228" s="6">
        <v>379</v>
      </c>
      <c r="D4228" s="6" t="str">
        <f>HYPERLINK("https://rmda.kulib.kyoto-u.ac.jp/item/rb00008739#?c=0&amp;m=0&amp;s=0&amp;cv=378")</f>
        <v>https://rmda.kulib.kyoto-u.ac.jp/item/rb00008739#?c=0&amp;m=0&amp;s=0&amp;cv=378</v>
      </c>
    </row>
    <row r="4229" spans="1:4" x14ac:dyDescent="0.15">
      <c r="A4229" s="67" t="s">
        <v>245</v>
      </c>
      <c r="B4229" s="6" t="s">
        <v>2805</v>
      </c>
      <c r="C4229" s="6">
        <v>384</v>
      </c>
      <c r="D4229" s="6" t="str">
        <f>HYPERLINK("https://rmda.kulib.kyoto-u.ac.jp/item/rb00008739#?c=0&amp;m=0&amp;s=0&amp;cv=383")</f>
        <v>https://rmda.kulib.kyoto-u.ac.jp/item/rb00008739#?c=0&amp;m=0&amp;s=0&amp;cv=383</v>
      </c>
    </row>
    <row r="4230" spans="1:4" x14ac:dyDescent="0.15">
      <c r="A4230" s="67" t="s">
        <v>245</v>
      </c>
      <c r="B4230" s="6" t="s">
        <v>2878</v>
      </c>
      <c r="C4230" s="6">
        <v>391</v>
      </c>
      <c r="D4230" s="6" t="str">
        <f>HYPERLINK("https://rmda.kulib.kyoto-u.ac.jp/item/rb00008739#?c=0&amp;m=0&amp;s=0&amp;cv=390")</f>
        <v>https://rmda.kulib.kyoto-u.ac.jp/item/rb00008739#?c=0&amp;m=0&amp;s=0&amp;cv=390</v>
      </c>
    </row>
    <row r="4231" spans="1:4" x14ac:dyDescent="0.15">
      <c r="A4231" s="67" t="s">
        <v>245</v>
      </c>
      <c r="B4231" s="72" t="s">
        <v>5969</v>
      </c>
      <c r="C4231" s="6">
        <v>397</v>
      </c>
      <c r="D4231" s="6" t="str">
        <f>HYPERLINK("https://rmda.kulib.kyoto-u.ac.jp/item/rb00008739#?c=0&amp;m=0&amp;s=0&amp;cv=396")</f>
        <v>https://rmda.kulib.kyoto-u.ac.jp/item/rb00008739#?c=0&amp;m=0&amp;s=0&amp;cv=396</v>
      </c>
    </row>
    <row r="4232" spans="1:4" x14ac:dyDescent="0.15">
      <c r="A4232" s="67" t="s">
        <v>245</v>
      </c>
      <c r="B4232" s="80" t="s">
        <v>5665</v>
      </c>
      <c r="C4232" s="6">
        <v>397</v>
      </c>
      <c r="D4232" s="6" t="str">
        <f>HYPERLINK("https://rmda.kulib.kyoto-u.ac.jp/item/rb00008739#?c=0&amp;m=0&amp;s=0&amp;cv=396")</f>
        <v>https://rmda.kulib.kyoto-u.ac.jp/item/rb00008739#?c=0&amp;m=0&amp;s=0&amp;cv=396</v>
      </c>
    </row>
    <row r="4233" spans="1:4" x14ac:dyDescent="0.15">
      <c r="A4233" s="67" t="s">
        <v>245</v>
      </c>
      <c r="B4233" s="6" t="s">
        <v>5666</v>
      </c>
      <c r="C4233" s="6">
        <v>397</v>
      </c>
      <c r="D4233" s="6" t="str">
        <f>HYPERLINK("https://rmda.kulib.kyoto-u.ac.jp/item/rb00008739#?c=0&amp;m=0&amp;s=0&amp;cv=396")</f>
        <v>https://rmda.kulib.kyoto-u.ac.jp/item/rb00008739#?c=0&amp;m=0&amp;s=0&amp;cv=396</v>
      </c>
    </row>
    <row r="4234" spans="1:4" x14ac:dyDescent="0.15">
      <c r="A4234" s="67" t="s">
        <v>245</v>
      </c>
      <c r="B4234" s="6" t="s">
        <v>5667</v>
      </c>
      <c r="C4234" s="6">
        <v>399</v>
      </c>
      <c r="D4234" s="6" t="str">
        <f>HYPERLINK("https://rmda.kulib.kyoto-u.ac.jp/item/rb00008739#?c=0&amp;m=0&amp;s=0&amp;cv=398")</f>
        <v>https://rmda.kulib.kyoto-u.ac.jp/item/rb00008739#?c=0&amp;m=0&amp;s=0&amp;cv=398</v>
      </c>
    </row>
    <row r="4235" spans="1:4" x14ac:dyDescent="0.15">
      <c r="A4235" s="67" t="s">
        <v>245</v>
      </c>
      <c r="B4235" s="6" t="s">
        <v>5668</v>
      </c>
      <c r="C4235" s="6">
        <v>403</v>
      </c>
      <c r="D4235" s="6" t="str">
        <f>HYPERLINK("https://rmda.kulib.kyoto-u.ac.jp/item/rb00008739#?c=0&amp;m=0&amp;s=0&amp;cv=402")</f>
        <v>https://rmda.kulib.kyoto-u.ac.jp/item/rb00008739#?c=0&amp;m=0&amp;s=0&amp;cv=402</v>
      </c>
    </row>
    <row r="4236" spans="1:4" x14ac:dyDescent="0.15">
      <c r="A4236" s="67" t="s">
        <v>245</v>
      </c>
      <c r="B4236" s="6" t="s">
        <v>5683</v>
      </c>
      <c r="C4236" s="6">
        <v>403</v>
      </c>
      <c r="D4236" s="6" t="str">
        <f>HYPERLINK("https://rmda.kulib.kyoto-u.ac.jp/item/rb00008739#?c=0&amp;m=0&amp;s=0&amp;cv=402")</f>
        <v>https://rmda.kulib.kyoto-u.ac.jp/item/rb00008739#?c=0&amp;m=0&amp;s=0&amp;cv=402</v>
      </c>
    </row>
    <row r="4237" spans="1:4" x14ac:dyDescent="0.15">
      <c r="A4237" s="67" t="s">
        <v>245</v>
      </c>
      <c r="B4237" s="6" t="s">
        <v>5669</v>
      </c>
      <c r="C4237" s="6">
        <v>403</v>
      </c>
      <c r="D4237" s="6" t="str">
        <f>HYPERLINK("https://rmda.kulib.kyoto-u.ac.jp/item/rb00008739#?c=0&amp;m=0&amp;s=0&amp;cv=402")</f>
        <v>https://rmda.kulib.kyoto-u.ac.jp/item/rb00008739#?c=0&amp;m=0&amp;s=0&amp;cv=402</v>
      </c>
    </row>
    <row r="4238" spans="1:4" x14ac:dyDescent="0.15">
      <c r="A4238" s="67" t="s">
        <v>245</v>
      </c>
      <c r="B4238" s="6" t="s">
        <v>5670</v>
      </c>
      <c r="C4238" s="6">
        <v>403</v>
      </c>
      <c r="D4238" s="6" t="str">
        <f>HYPERLINK("https://rmda.kulib.kyoto-u.ac.jp/item/rb00008739#?c=0&amp;m=0&amp;s=0&amp;cv=402")</f>
        <v>https://rmda.kulib.kyoto-u.ac.jp/item/rb00008739#?c=0&amp;m=0&amp;s=0&amp;cv=402</v>
      </c>
    </row>
    <row r="4239" spans="1:4" x14ac:dyDescent="0.15">
      <c r="A4239" s="67" t="s">
        <v>245</v>
      </c>
      <c r="B4239" s="6" t="s">
        <v>5671</v>
      </c>
      <c r="C4239" s="6">
        <v>405</v>
      </c>
      <c r="D4239" s="6" t="str">
        <f>HYPERLINK("https://rmda.kulib.kyoto-u.ac.jp/item/rb00008739#?c=0&amp;m=0&amp;s=0&amp;cv=404")</f>
        <v>https://rmda.kulib.kyoto-u.ac.jp/item/rb00008739#?c=0&amp;m=0&amp;s=0&amp;cv=404</v>
      </c>
    </row>
    <row r="4240" spans="1:4" x14ac:dyDescent="0.15">
      <c r="A4240" s="67" t="s">
        <v>245</v>
      </c>
      <c r="B4240" s="6" t="s">
        <v>5672</v>
      </c>
      <c r="C4240" s="6">
        <v>405</v>
      </c>
      <c r="D4240" s="6" t="str">
        <f>HYPERLINK("https://rmda.kulib.kyoto-u.ac.jp/item/rb00008739#?c=0&amp;m=0&amp;s=0&amp;cv=404")</f>
        <v>https://rmda.kulib.kyoto-u.ac.jp/item/rb00008739#?c=0&amp;m=0&amp;s=0&amp;cv=404</v>
      </c>
    </row>
    <row r="4241" spans="1:4" x14ac:dyDescent="0.15">
      <c r="A4241" s="67" t="s">
        <v>245</v>
      </c>
      <c r="B4241" s="6" t="s">
        <v>5673</v>
      </c>
      <c r="C4241" s="6">
        <v>405</v>
      </c>
      <c r="D4241" s="6" t="str">
        <f>HYPERLINK("https://rmda.kulib.kyoto-u.ac.jp/item/rb00008739#?c=0&amp;m=0&amp;s=0&amp;cv=404")</f>
        <v>https://rmda.kulib.kyoto-u.ac.jp/item/rb00008739#?c=0&amp;m=0&amp;s=0&amp;cv=404</v>
      </c>
    </row>
    <row r="4242" spans="1:4" x14ac:dyDescent="0.15">
      <c r="A4242" s="67" t="s">
        <v>245</v>
      </c>
      <c r="B4242" s="6" t="s">
        <v>5674</v>
      </c>
      <c r="C4242" s="6">
        <v>406</v>
      </c>
      <c r="D4242" s="6" t="str">
        <f>HYPERLINK("https://rmda.kulib.kyoto-u.ac.jp/item/rb00008739#?c=0&amp;m=0&amp;s=0&amp;cv=405")</f>
        <v>https://rmda.kulib.kyoto-u.ac.jp/item/rb00008739#?c=0&amp;m=0&amp;s=0&amp;cv=405</v>
      </c>
    </row>
    <row r="4243" spans="1:4" x14ac:dyDescent="0.15">
      <c r="A4243" s="67" t="s">
        <v>245</v>
      </c>
      <c r="B4243" s="6" t="s">
        <v>5675</v>
      </c>
      <c r="C4243" s="6">
        <v>406</v>
      </c>
      <c r="D4243" s="6" t="str">
        <f>HYPERLINK("https://rmda.kulib.kyoto-u.ac.jp/item/rb00008739#?c=0&amp;m=0&amp;s=0&amp;cv=405")</f>
        <v>https://rmda.kulib.kyoto-u.ac.jp/item/rb00008739#?c=0&amp;m=0&amp;s=0&amp;cv=405</v>
      </c>
    </row>
    <row r="4244" spans="1:4" x14ac:dyDescent="0.15">
      <c r="A4244" s="67" t="s">
        <v>245</v>
      </c>
      <c r="B4244" s="6" t="s">
        <v>5676</v>
      </c>
      <c r="C4244" s="6">
        <v>407</v>
      </c>
      <c r="D4244" s="6" t="str">
        <f>HYPERLINK("https://rmda.kulib.kyoto-u.ac.jp/item/rb00008739#?c=0&amp;m=0&amp;s=0&amp;cv=406")</f>
        <v>https://rmda.kulib.kyoto-u.ac.jp/item/rb00008739#?c=0&amp;m=0&amp;s=0&amp;cv=406</v>
      </c>
    </row>
    <row r="4245" spans="1:4" x14ac:dyDescent="0.15">
      <c r="A4245" s="67" t="s">
        <v>245</v>
      </c>
      <c r="B4245" s="80" t="s">
        <v>5677</v>
      </c>
      <c r="C4245" s="6">
        <v>408</v>
      </c>
      <c r="D4245" s="6" t="str">
        <f>HYPERLINK("https://rmda.kulib.kyoto-u.ac.jp/item/rb00008739#?c=0&amp;m=0&amp;s=0&amp;cv=407")</f>
        <v>https://rmda.kulib.kyoto-u.ac.jp/item/rb00008739#?c=0&amp;m=0&amp;s=0&amp;cv=407</v>
      </c>
    </row>
    <row r="4246" spans="1:4" x14ac:dyDescent="0.15">
      <c r="A4246" s="67" t="s">
        <v>245</v>
      </c>
      <c r="B4246" s="6" t="s">
        <v>5678</v>
      </c>
      <c r="C4246" s="6">
        <v>409</v>
      </c>
      <c r="D4246" s="6" t="str">
        <f>HYPERLINK("https://rmda.kulib.kyoto-u.ac.jp/item/rb00008739#?c=0&amp;m=0&amp;s=0&amp;cv=408")</f>
        <v>https://rmda.kulib.kyoto-u.ac.jp/item/rb00008739#?c=0&amp;m=0&amp;s=0&amp;cv=408</v>
      </c>
    </row>
    <row r="4247" spans="1:4" x14ac:dyDescent="0.15">
      <c r="A4247" s="67" t="s">
        <v>245</v>
      </c>
      <c r="B4247" s="6" t="s">
        <v>1496</v>
      </c>
      <c r="C4247" s="6">
        <v>412</v>
      </c>
      <c r="D4247" s="6" t="str">
        <f>HYPERLINK("https://rmda.kulib.kyoto-u.ac.jp/item/rb00008739#?c=0&amp;m=0&amp;s=0&amp;cv=411")</f>
        <v>https://rmda.kulib.kyoto-u.ac.jp/item/rb00008739#?c=0&amp;m=0&amp;s=0&amp;cv=411</v>
      </c>
    </row>
    <row r="4248" spans="1:4" x14ac:dyDescent="0.15">
      <c r="A4248" s="67" t="s">
        <v>245</v>
      </c>
      <c r="B4248" s="6" t="s">
        <v>2882</v>
      </c>
      <c r="C4248" s="6">
        <v>417</v>
      </c>
      <c r="D4248" s="6" t="str">
        <f>HYPERLINK("https://rmda.kulib.kyoto-u.ac.jp/item/rb00008739#?c=0&amp;m=0&amp;s=0&amp;cv=416")</f>
        <v>https://rmda.kulib.kyoto-u.ac.jp/item/rb00008739#?c=0&amp;m=0&amp;s=0&amp;cv=416</v>
      </c>
    </row>
    <row r="4249" spans="1:4" x14ac:dyDescent="0.15">
      <c r="A4249" s="67" t="s">
        <v>245</v>
      </c>
      <c r="B4249" s="6" t="s">
        <v>2883</v>
      </c>
      <c r="C4249" s="6">
        <v>427</v>
      </c>
      <c r="D4249" s="6" t="str">
        <f>HYPERLINK("https://rmda.kulib.kyoto-u.ac.jp/item/rb00008739#?c=0&amp;m=0&amp;s=0&amp;cv=426")</f>
        <v>https://rmda.kulib.kyoto-u.ac.jp/item/rb00008739#?c=0&amp;m=0&amp;s=0&amp;cv=426</v>
      </c>
    </row>
    <row r="4250" spans="1:4" x14ac:dyDescent="0.15">
      <c r="A4250" s="67" t="s">
        <v>245</v>
      </c>
      <c r="B4250" s="6" t="s">
        <v>2884</v>
      </c>
      <c r="C4250" s="6">
        <v>428</v>
      </c>
      <c r="D4250" s="6" t="str">
        <f>HYPERLINK("https://rmda.kulib.kyoto-u.ac.jp/item/rb00008739#?c=0&amp;m=0&amp;s=0&amp;cv=427")</f>
        <v>https://rmda.kulib.kyoto-u.ac.jp/item/rb00008739#?c=0&amp;m=0&amp;s=0&amp;cv=427</v>
      </c>
    </row>
    <row r="4251" spans="1:4" x14ac:dyDescent="0.15">
      <c r="A4251" s="67" t="s">
        <v>245</v>
      </c>
      <c r="B4251" s="6" t="s">
        <v>2640</v>
      </c>
      <c r="C4251" s="6">
        <v>428</v>
      </c>
      <c r="D4251" s="6" t="str">
        <f>HYPERLINK("https://rmda.kulib.kyoto-u.ac.jp/item/rb00008739#?c=0&amp;m=0&amp;s=0&amp;cv=427")</f>
        <v>https://rmda.kulib.kyoto-u.ac.jp/item/rb00008739#?c=0&amp;m=0&amp;s=0&amp;cv=427</v>
      </c>
    </row>
    <row r="4252" spans="1:4" x14ac:dyDescent="0.15">
      <c r="A4252" s="67" t="s">
        <v>245</v>
      </c>
      <c r="B4252" s="6" t="s">
        <v>2885</v>
      </c>
      <c r="C4252" s="6">
        <v>429</v>
      </c>
      <c r="D4252" s="6" t="str">
        <f>HYPERLINK("https://rmda.kulib.kyoto-u.ac.jp/item/rb00008739#?c=0&amp;m=0&amp;s=0&amp;cv=428")</f>
        <v>https://rmda.kulib.kyoto-u.ac.jp/item/rb00008739#?c=0&amp;m=0&amp;s=0&amp;cv=428</v>
      </c>
    </row>
    <row r="4253" spans="1:4" x14ac:dyDescent="0.15">
      <c r="A4253" s="67" t="s">
        <v>245</v>
      </c>
      <c r="B4253" s="6" t="s">
        <v>2886</v>
      </c>
      <c r="C4253" s="6">
        <v>430</v>
      </c>
      <c r="D4253" s="6" t="str">
        <f>HYPERLINK("https://rmda.kulib.kyoto-u.ac.jp/item/rb00008739#?c=0&amp;m=0&amp;s=0&amp;cv=429")</f>
        <v>https://rmda.kulib.kyoto-u.ac.jp/item/rb00008739#?c=0&amp;m=0&amp;s=0&amp;cv=429</v>
      </c>
    </row>
    <row r="4254" spans="1:4" x14ac:dyDescent="0.15">
      <c r="A4254" s="67" t="s">
        <v>245</v>
      </c>
      <c r="B4254" s="6" t="s">
        <v>2829</v>
      </c>
      <c r="C4254" s="6">
        <v>431</v>
      </c>
      <c r="D4254" s="6" t="str">
        <f>HYPERLINK("https://rmda.kulib.kyoto-u.ac.jp/item/rb00008739#?c=0&amp;m=0&amp;s=0&amp;cv=430")</f>
        <v>https://rmda.kulib.kyoto-u.ac.jp/item/rb00008739#?c=0&amp;m=0&amp;s=0&amp;cv=430</v>
      </c>
    </row>
    <row r="4255" spans="1:4" x14ac:dyDescent="0.15">
      <c r="A4255" s="67" t="s">
        <v>245</v>
      </c>
      <c r="B4255" s="6" t="s">
        <v>2887</v>
      </c>
      <c r="C4255" s="6">
        <v>431</v>
      </c>
      <c r="D4255" s="6" t="str">
        <f>HYPERLINK("https://rmda.kulib.kyoto-u.ac.jp/item/rb00008739#?c=0&amp;m=0&amp;s=0&amp;cv=430")</f>
        <v>https://rmda.kulib.kyoto-u.ac.jp/item/rb00008739#?c=0&amp;m=0&amp;s=0&amp;cv=430</v>
      </c>
    </row>
    <row r="4256" spans="1:4" x14ac:dyDescent="0.15">
      <c r="A4256" s="67" t="s">
        <v>245</v>
      </c>
      <c r="B4256" s="6" t="s">
        <v>2888</v>
      </c>
      <c r="C4256" s="6">
        <v>431</v>
      </c>
      <c r="D4256" s="6" t="str">
        <f>HYPERLINK("https://rmda.kulib.kyoto-u.ac.jp/item/rb00008739#?c=0&amp;m=0&amp;s=0&amp;cv=430")</f>
        <v>https://rmda.kulib.kyoto-u.ac.jp/item/rb00008739#?c=0&amp;m=0&amp;s=0&amp;cv=430</v>
      </c>
    </row>
    <row r="4257" spans="1:4" x14ac:dyDescent="0.15">
      <c r="A4257" s="67" t="s">
        <v>245</v>
      </c>
      <c r="B4257" s="6" t="s">
        <v>1414</v>
      </c>
      <c r="C4257" s="6">
        <v>432</v>
      </c>
      <c r="D4257" s="6" t="str">
        <f>HYPERLINK("https://rmda.kulib.kyoto-u.ac.jp/item/rb00008739#?c=0&amp;m=0&amp;s=0&amp;cv=431")</f>
        <v>https://rmda.kulib.kyoto-u.ac.jp/item/rb00008739#?c=0&amp;m=0&amp;s=0&amp;cv=431</v>
      </c>
    </row>
    <row r="4258" spans="1:4" x14ac:dyDescent="0.15">
      <c r="A4258" s="67" t="s">
        <v>245</v>
      </c>
      <c r="B4258" s="6" t="s">
        <v>5684</v>
      </c>
      <c r="C4258" s="6">
        <v>432</v>
      </c>
      <c r="D4258" s="6" t="str">
        <f>HYPERLINK("https://rmda.kulib.kyoto-u.ac.jp/item/rb00008739#?c=0&amp;m=0&amp;s=0&amp;cv=431")</f>
        <v>https://rmda.kulib.kyoto-u.ac.jp/item/rb00008739#?c=0&amp;m=0&amp;s=0&amp;cv=431</v>
      </c>
    </row>
    <row r="4259" spans="1:4" x14ac:dyDescent="0.15">
      <c r="A4259" s="67" t="s">
        <v>245</v>
      </c>
      <c r="B4259" s="6" t="s">
        <v>2889</v>
      </c>
      <c r="C4259" s="6">
        <v>432</v>
      </c>
      <c r="D4259" s="6" t="str">
        <f>HYPERLINK("https://rmda.kulib.kyoto-u.ac.jp/item/rb00008739#?c=0&amp;m=0&amp;s=0&amp;cv=431")</f>
        <v>https://rmda.kulib.kyoto-u.ac.jp/item/rb00008739#?c=0&amp;m=0&amp;s=0&amp;cv=431</v>
      </c>
    </row>
    <row r="4260" spans="1:4" x14ac:dyDescent="0.15">
      <c r="A4260" s="67" t="s">
        <v>245</v>
      </c>
      <c r="B4260" s="6" t="s">
        <v>1502</v>
      </c>
      <c r="C4260" s="6">
        <v>433</v>
      </c>
      <c r="D4260" s="6" t="str">
        <f>HYPERLINK("https://rmda.kulib.kyoto-u.ac.jp/item/rb00008739#?c=0&amp;m=0&amp;s=0&amp;cv=432")</f>
        <v>https://rmda.kulib.kyoto-u.ac.jp/item/rb00008739#?c=0&amp;m=0&amp;s=0&amp;cv=432</v>
      </c>
    </row>
    <row r="4261" spans="1:4" x14ac:dyDescent="0.15">
      <c r="A4261" s="67" t="s">
        <v>245</v>
      </c>
      <c r="B4261" s="6" t="s">
        <v>2890</v>
      </c>
      <c r="C4261" s="6">
        <v>433</v>
      </c>
      <c r="D4261" s="6" t="str">
        <f>HYPERLINK("https://rmda.kulib.kyoto-u.ac.jp/item/rb00008739#?c=0&amp;m=0&amp;s=0&amp;cv=432")</f>
        <v>https://rmda.kulib.kyoto-u.ac.jp/item/rb00008739#?c=0&amp;m=0&amp;s=0&amp;cv=432</v>
      </c>
    </row>
    <row r="4262" spans="1:4" x14ac:dyDescent="0.15">
      <c r="A4262" s="67" t="s">
        <v>245</v>
      </c>
      <c r="B4262" s="6" t="s">
        <v>2892</v>
      </c>
      <c r="C4262" s="6">
        <v>433</v>
      </c>
      <c r="D4262" s="6" t="str">
        <f>HYPERLINK("https://rmda.kulib.kyoto-u.ac.jp/item/rb00008739#?c=0&amp;m=0&amp;s=0&amp;cv=432")</f>
        <v>https://rmda.kulib.kyoto-u.ac.jp/item/rb00008739#?c=0&amp;m=0&amp;s=0&amp;cv=432</v>
      </c>
    </row>
    <row r="4263" spans="1:4" x14ac:dyDescent="0.15">
      <c r="A4263" s="67" t="s">
        <v>245</v>
      </c>
      <c r="B4263" s="6" t="s">
        <v>2893</v>
      </c>
      <c r="C4263" s="6">
        <v>434</v>
      </c>
      <c r="D4263" s="6" t="str">
        <f>HYPERLINK("https://rmda.kulib.kyoto-u.ac.jp/item/rb00008739#?c=0&amp;m=0&amp;s=0&amp;cv=433")</f>
        <v>https://rmda.kulib.kyoto-u.ac.jp/item/rb00008739#?c=0&amp;m=0&amp;s=0&amp;cv=433</v>
      </c>
    </row>
    <row r="4264" spans="1:4" x14ac:dyDescent="0.15">
      <c r="A4264" s="67" t="s">
        <v>245</v>
      </c>
      <c r="B4264" s="6" t="s">
        <v>2894</v>
      </c>
      <c r="C4264" s="6">
        <v>434</v>
      </c>
      <c r="D4264" s="6" t="str">
        <f>HYPERLINK("https://rmda.kulib.kyoto-u.ac.jp/item/rb00008739#?c=0&amp;m=0&amp;s=0&amp;cv=433")</f>
        <v>https://rmda.kulib.kyoto-u.ac.jp/item/rb00008739#?c=0&amp;m=0&amp;s=0&amp;cv=433</v>
      </c>
    </row>
    <row r="4265" spans="1:4" x14ac:dyDescent="0.15">
      <c r="A4265" s="67" t="s">
        <v>245</v>
      </c>
      <c r="B4265" s="6" t="s">
        <v>2895</v>
      </c>
      <c r="C4265" s="6">
        <v>434</v>
      </c>
      <c r="D4265" s="6" t="str">
        <f>HYPERLINK("https://rmda.kulib.kyoto-u.ac.jp/item/rb00008739#?c=0&amp;m=0&amp;s=0&amp;cv=433")</f>
        <v>https://rmda.kulib.kyoto-u.ac.jp/item/rb00008739#?c=0&amp;m=0&amp;s=0&amp;cv=433</v>
      </c>
    </row>
    <row r="4266" spans="1:4" x14ac:dyDescent="0.15">
      <c r="A4266" s="67" t="s">
        <v>245</v>
      </c>
      <c r="B4266" s="6" t="s">
        <v>2569</v>
      </c>
      <c r="C4266" s="6">
        <v>435</v>
      </c>
      <c r="D4266" s="6" t="str">
        <f>HYPERLINK("https://rmda.kulib.kyoto-u.ac.jp/item/rb00008739#?c=0&amp;m=0&amp;s=0&amp;cv=434")</f>
        <v>https://rmda.kulib.kyoto-u.ac.jp/item/rb00008739#?c=0&amp;m=0&amp;s=0&amp;cv=434</v>
      </c>
    </row>
    <row r="4267" spans="1:4" x14ac:dyDescent="0.15">
      <c r="A4267" s="67" t="s">
        <v>245</v>
      </c>
      <c r="B4267" s="6" t="s">
        <v>2896</v>
      </c>
      <c r="C4267" s="6">
        <v>435</v>
      </c>
      <c r="D4267" s="6" t="str">
        <f>HYPERLINK("https://rmda.kulib.kyoto-u.ac.jp/item/rb00008739#?c=0&amp;m=0&amp;s=0&amp;cv=434")</f>
        <v>https://rmda.kulib.kyoto-u.ac.jp/item/rb00008739#?c=0&amp;m=0&amp;s=0&amp;cv=434</v>
      </c>
    </row>
    <row r="4268" spans="1:4" x14ac:dyDescent="0.15">
      <c r="A4268" s="67" t="s">
        <v>245</v>
      </c>
      <c r="B4268" s="80" t="s">
        <v>5682</v>
      </c>
      <c r="C4268" s="6">
        <v>436</v>
      </c>
      <c r="D4268" s="6" t="str">
        <f>HYPERLINK("https://rmda.kulib.kyoto-u.ac.jp/item/rb00008739#?c=0&amp;m=0&amp;s=0&amp;cv=435")</f>
        <v>https://rmda.kulib.kyoto-u.ac.jp/item/rb00008739#?c=0&amp;m=0&amp;s=0&amp;cv=435</v>
      </c>
    </row>
    <row r="4269" spans="1:4" x14ac:dyDescent="0.15">
      <c r="A4269" s="67" t="s">
        <v>245</v>
      </c>
      <c r="B4269" s="80" t="s">
        <v>5679</v>
      </c>
      <c r="C4269" s="6">
        <v>467</v>
      </c>
      <c r="D4269" s="6" t="str">
        <f>HYPERLINK("https://rmda.kulib.kyoto-u.ac.jp/item/rb00008739#?c=0&amp;m=0&amp;s=0&amp;cv=466")</f>
        <v>https://rmda.kulib.kyoto-u.ac.jp/item/rb00008739#?c=0&amp;m=0&amp;s=0&amp;cv=466</v>
      </c>
    </row>
    <row r="4270" spans="1:4" x14ac:dyDescent="0.15">
      <c r="A4270" s="67" t="s">
        <v>245</v>
      </c>
      <c r="B4270" s="6" t="s">
        <v>5680</v>
      </c>
      <c r="C4270" s="6">
        <v>467</v>
      </c>
      <c r="D4270" s="6" t="str">
        <f>HYPERLINK("https://rmda.kulib.kyoto-u.ac.jp/item/rb00008739#?c=0&amp;m=0&amp;s=0&amp;cv=466")</f>
        <v>https://rmda.kulib.kyoto-u.ac.jp/item/rb00008739#?c=0&amp;m=0&amp;s=0&amp;cv=466</v>
      </c>
    </row>
    <row r="4271" spans="1:4" x14ac:dyDescent="0.15">
      <c r="A4271" s="67" t="s">
        <v>245</v>
      </c>
      <c r="B4271" s="6" t="s">
        <v>5681</v>
      </c>
      <c r="C4271" s="6">
        <v>469</v>
      </c>
      <c r="D4271" s="6" t="str">
        <f>HYPERLINK("https://rmda.kulib.kyoto-u.ac.jp/item/rb00008739#?c=0&amp;m=0&amp;s=0&amp;cv=468")</f>
        <v>https://rmda.kulib.kyoto-u.ac.jp/item/rb00008739#?c=0&amp;m=0&amp;s=0&amp;cv=468</v>
      </c>
    </row>
    <row r="4272" spans="1:4" x14ac:dyDescent="0.15">
      <c r="A4272" s="67" t="s">
        <v>245</v>
      </c>
      <c r="B4272" s="72" t="s">
        <v>5970</v>
      </c>
      <c r="C4272" s="6">
        <v>473</v>
      </c>
      <c r="D4272" s="6" t="str">
        <f>HYPERLINK("https://rmda.kulib.kyoto-u.ac.jp/item/rb00008739#?c=0&amp;m=0&amp;s=0&amp;cv=472")</f>
        <v>https://rmda.kulib.kyoto-u.ac.jp/item/rb00008739#?c=0&amp;m=0&amp;s=0&amp;cv=472</v>
      </c>
    </row>
    <row r="4273" spans="1:4" x14ac:dyDescent="0.15">
      <c r="A4273" s="67" t="s">
        <v>245</v>
      </c>
      <c r="B4273" s="6" t="s">
        <v>2898</v>
      </c>
      <c r="C4273" s="6">
        <v>473</v>
      </c>
      <c r="D4273" s="6" t="str">
        <f>HYPERLINK("https://rmda.kulib.kyoto-u.ac.jp/item/rb00008739#?c=0&amp;m=0&amp;s=0&amp;cv=472")</f>
        <v>https://rmda.kulib.kyoto-u.ac.jp/item/rb00008739#?c=0&amp;m=0&amp;s=0&amp;cv=472</v>
      </c>
    </row>
    <row r="4274" spans="1:4" x14ac:dyDescent="0.15">
      <c r="A4274" s="67" t="s">
        <v>245</v>
      </c>
      <c r="B4274" s="6" t="s">
        <v>5686</v>
      </c>
      <c r="C4274" s="6">
        <v>480</v>
      </c>
      <c r="D4274" s="6" t="str">
        <f>HYPERLINK("https://rmda.kulib.kyoto-u.ac.jp/item/rb00008739#?c=0&amp;m=0&amp;s=0&amp;cv=479")</f>
        <v>https://rmda.kulib.kyoto-u.ac.jp/item/rb00008739#?c=0&amp;m=0&amp;s=0&amp;cv=479</v>
      </c>
    </row>
    <row r="4275" spans="1:4" x14ac:dyDescent="0.15">
      <c r="A4275" s="67" t="s">
        <v>245</v>
      </c>
      <c r="B4275" s="6" t="s">
        <v>2899</v>
      </c>
      <c r="C4275" s="6">
        <v>483</v>
      </c>
      <c r="D4275" s="6" t="str">
        <f>HYPERLINK("https://rmda.kulib.kyoto-u.ac.jp/item/rb00008739#?c=0&amp;m=0&amp;s=0&amp;cv=482")</f>
        <v>https://rmda.kulib.kyoto-u.ac.jp/item/rb00008739#?c=0&amp;m=0&amp;s=0&amp;cv=482</v>
      </c>
    </row>
    <row r="4276" spans="1:4" x14ac:dyDescent="0.15">
      <c r="A4276" s="67" t="s">
        <v>245</v>
      </c>
      <c r="B4276" s="80" t="s">
        <v>5687</v>
      </c>
      <c r="C4276" s="6">
        <v>487</v>
      </c>
      <c r="D4276" s="6" t="str">
        <f>HYPERLINK("https://rmda.kulib.kyoto-u.ac.jp/item/rb00008739#?c=0&amp;m=0&amp;s=0&amp;cv=486")</f>
        <v>https://rmda.kulib.kyoto-u.ac.jp/item/rb00008739#?c=0&amp;m=0&amp;s=0&amp;cv=486</v>
      </c>
    </row>
    <row r="4277" spans="1:4" x14ac:dyDescent="0.15">
      <c r="A4277" s="67" t="s">
        <v>245</v>
      </c>
      <c r="B4277" s="6" t="s">
        <v>2900</v>
      </c>
      <c r="C4277" s="6">
        <v>489</v>
      </c>
      <c r="D4277" s="6" t="str">
        <f>HYPERLINK("https://rmda.kulib.kyoto-u.ac.jp/item/rb00008739#?c=0&amp;m=0&amp;s=0&amp;cv=488")</f>
        <v>https://rmda.kulib.kyoto-u.ac.jp/item/rb00008739#?c=0&amp;m=0&amp;s=0&amp;cv=488</v>
      </c>
    </row>
    <row r="4278" spans="1:4" x14ac:dyDescent="0.15">
      <c r="A4278" s="67" t="s">
        <v>245</v>
      </c>
      <c r="B4278" s="6" t="s">
        <v>5971</v>
      </c>
      <c r="C4278" s="6">
        <v>495</v>
      </c>
      <c r="D4278" s="6" t="str">
        <f>HYPERLINK("https://rmda.kulib.kyoto-u.ac.jp/item/rb00008739#?c=0&amp;m=0&amp;s=0&amp;cv=494")</f>
        <v>https://rmda.kulib.kyoto-u.ac.jp/item/rb00008739#?c=0&amp;m=0&amp;s=0&amp;cv=494</v>
      </c>
    </row>
    <row r="4279" spans="1:4" x14ac:dyDescent="0.15">
      <c r="A4279" s="67" t="s">
        <v>245</v>
      </c>
      <c r="B4279" s="6" t="s">
        <v>2902</v>
      </c>
      <c r="C4279" s="6">
        <v>497</v>
      </c>
      <c r="D4279" s="6" t="str">
        <f>HYPERLINK("https://rmda.kulib.kyoto-u.ac.jp/item/rb00008739#?c=0&amp;m=0&amp;s=0&amp;cv=496")</f>
        <v>https://rmda.kulib.kyoto-u.ac.jp/item/rb00008739#?c=0&amp;m=0&amp;s=0&amp;cv=496</v>
      </c>
    </row>
    <row r="4280" spans="1:4" x14ac:dyDescent="0.15">
      <c r="A4280" s="67" t="s">
        <v>245</v>
      </c>
      <c r="B4280" s="6" t="s">
        <v>2903</v>
      </c>
      <c r="C4280" s="6">
        <v>498</v>
      </c>
      <c r="D4280" s="6" t="str">
        <f>HYPERLINK("https://rmda.kulib.kyoto-u.ac.jp/item/rb00008739#?c=0&amp;m=0&amp;s=0&amp;cv=497")</f>
        <v>https://rmda.kulib.kyoto-u.ac.jp/item/rb00008739#?c=0&amp;m=0&amp;s=0&amp;cv=497</v>
      </c>
    </row>
    <row r="4281" spans="1:4" x14ac:dyDescent="0.15">
      <c r="A4281" s="67" t="s">
        <v>245</v>
      </c>
      <c r="B4281" s="6" t="s">
        <v>5972</v>
      </c>
      <c r="C4281" s="6">
        <v>499</v>
      </c>
      <c r="D4281" s="6" t="str">
        <f>HYPERLINK("https://rmda.kulib.kyoto-u.ac.jp/item/rb00008739#?c=0&amp;m=0&amp;s=0&amp;cv=498")</f>
        <v>https://rmda.kulib.kyoto-u.ac.jp/item/rb00008739#?c=0&amp;m=0&amp;s=0&amp;cv=498</v>
      </c>
    </row>
    <row r="4282" spans="1:4" x14ac:dyDescent="0.15">
      <c r="A4282" s="67" t="s">
        <v>245</v>
      </c>
      <c r="B4282" s="6" t="s">
        <v>2904</v>
      </c>
      <c r="C4282" s="6">
        <v>500</v>
      </c>
      <c r="D4282" s="6" t="str">
        <f>HYPERLINK("https://rmda.kulib.kyoto-u.ac.jp/item/rb00008739#?c=0&amp;m=0&amp;s=0&amp;cv=499")</f>
        <v>https://rmda.kulib.kyoto-u.ac.jp/item/rb00008739#?c=0&amp;m=0&amp;s=0&amp;cv=499</v>
      </c>
    </row>
    <row r="4283" spans="1:4" x14ac:dyDescent="0.15">
      <c r="A4283" s="67" t="s">
        <v>245</v>
      </c>
      <c r="B4283" s="6" t="s">
        <v>2905</v>
      </c>
      <c r="C4283" s="6">
        <v>500</v>
      </c>
      <c r="D4283" s="6" t="str">
        <f>HYPERLINK("https://rmda.kulib.kyoto-u.ac.jp/item/rb00008739#?c=0&amp;m=0&amp;s=0&amp;cv=499")</f>
        <v>https://rmda.kulib.kyoto-u.ac.jp/item/rb00008739#?c=0&amp;m=0&amp;s=0&amp;cv=499</v>
      </c>
    </row>
    <row r="4284" spans="1:4" x14ac:dyDescent="0.15">
      <c r="A4284" s="67" t="s">
        <v>245</v>
      </c>
      <c r="B4284" s="6" t="s">
        <v>2906</v>
      </c>
      <c r="C4284" s="6">
        <v>502</v>
      </c>
      <c r="D4284" s="6" t="str">
        <f>HYPERLINK("https://rmda.kulib.kyoto-u.ac.jp/item/rb00008739#?c=0&amp;m=0&amp;s=0&amp;cv=501")</f>
        <v>https://rmda.kulib.kyoto-u.ac.jp/item/rb00008739#?c=0&amp;m=0&amp;s=0&amp;cv=501</v>
      </c>
    </row>
    <row r="4285" spans="1:4" x14ac:dyDescent="0.15">
      <c r="A4285" s="67" t="s">
        <v>245</v>
      </c>
      <c r="B4285" s="6" t="s">
        <v>2907</v>
      </c>
      <c r="C4285" s="6">
        <v>504</v>
      </c>
      <c r="D4285" s="6" t="str">
        <f>HYPERLINK("https://rmda.kulib.kyoto-u.ac.jp/item/rb00008739#?c=0&amp;m=0&amp;s=0&amp;cv=503")</f>
        <v>https://rmda.kulib.kyoto-u.ac.jp/item/rb00008739#?c=0&amp;m=0&amp;s=0&amp;cv=503</v>
      </c>
    </row>
    <row r="4286" spans="1:4" x14ac:dyDescent="0.15">
      <c r="A4286" s="67" t="s">
        <v>245</v>
      </c>
      <c r="B4286" s="6" t="s">
        <v>2908</v>
      </c>
      <c r="C4286" s="6">
        <v>509</v>
      </c>
      <c r="D4286" s="6" t="str">
        <f>HYPERLINK("https://rmda.kulib.kyoto-u.ac.jp/item/rb00008739#?c=0&amp;m=0&amp;s=0&amp;cv=508")</f>
        <v>https://rmda.kulib.kyoto-u.ac.jp/item/rb00008739#?c=0&amp;m=0&amp;s=0&amp;cv=508</v>
      </c>
    </row>
    <row r="4287" spans="1:4" x14ac:dyDescent="0.15">
      <c r="A4287" s="67" t="s">
        <v>245</v>
      </c>
      <c r="B4287" s="6" t="s">
        <v>2909</v>
      </c>
      <c r="C4287" s="6">
        <v>510</v>
      </c>
      <c r="D4287" s="6" t="str">
        <f>HYPERLINK("https://rmda.kulib.kyoto-u.ac.jp/item/rb00008739#?c=0&amp;m=0&amp;s=0&amp;cv=509")</f>
        <v>https://rmda.kulib.kyoto-u.ac.jp/item/rb00008739#?c=0&amp;m=0&amp;s=0&amp;cv=509</v>
      </c>
    </row>
    <row r="4288" spans="1:4" x14ac:dyDescent="0.15">
      <c r="A4288" s="67" t="s">
        <v>245</v>
      </c>
      <c r="B4288" s="6" t="s">
        <v>2910</v>
      </c>
      <c r="C4288" s="6">
        <v>512</v>
      </c>
      <c r="D4288" s="6" t="str">
        <f>HYPERLINK("https://rmda.kulib.kyoto-u.ac.jp/item/rb00008739#?c=0&amp;m=0&amp;s=0&amp;cv=511")</f>
        <v>https://rmda.kulib.kyoto-u.ac.jp/item/rb00008739#?c=0&amp;m=0&amp;s=0&amp;cv=511</v>
      </c>
    </row>
    <row r="4289" spans="1:4" x14ac:dyDescent="0.15">
      <c r="A4289" s="67" t="s">
        <v>245</v>
      </c>
      <c r="B4289" s="6" t="s">
        <v>5688</v>
      </c>
      <c r="C4289" s="6">
        <v>513</v>
      </c>
      <c r="D4289" s="6" t="str">
        <f>HYPERLINK("https://rmda.kulib.kyoto-u.ac.jp/item/rb00008739#?c=0&amp;m=0&amp;s=0&amp;cv=512")</f>
        <v>https://rmda.kulib.kyoto-u.ac.jp/item/rb00008739#?c=0&amp;m=0&amp;s=0&amp;cv=512</v>
      </c>
    </row>
    <row r="4290" spans="1:4" x14ac:dyDescent="0.15">
      <c r="A4290" s="67" t="s">
        <v>245</v>
      </c>
      <c r="B4290" s="6" t="s">
        <v>2911</v>
      </c>
      <c r="C4290" s="6">
        <v>515</v>
      </c>
      <c r="D4290" s="6" t="str">
        <f>HYPERLINK("https://rmda.kulib.kyoto-u.ac.jp/item/rb00008739#?c=0&amp;m=0&amp;s=0&amp;cv=514")</f>
        <v>https://rmda.kulib.kyoto-u.ac.jp/item/rb00008739#?c=0&amp;m=0&amp;s=0&amp;cv=514</v>
      </c>
    </row>
    <row r="4291" spans="1:4" x14ac:dyDescent="0.15">
      <c r="A4291" s="67" t="s">
        <v>245</v>
      </c>
      <c r="B4291" s="6" t="s">
        <v>5973</v>
      </c>
      <c r="C4291" s="6">
        <v>516</v>
      </c>
      <c r="D4291" s="6" t="str">
        <f>HYPERLINK("https://rmda.kulib.kyoto-u.ac.jp/item/rb00008739#?c=0&amp;m=0&amp;s=0&amp;cv=515")</f>
        <v>https://rmda.kulib.kyoto-u.ac.jp/item/rb00008739#?c=0&amp;m=0&amp;s=0&amp;cv=515</v>
      </c>
    </row>
    <row r="4292" spans="1:4" x14ac:dyDescent="0.15">
      <c r="A4292" s="67" t="s">
        <v>245</v>
      </c>
      <c r="B4292" s="6" t="s">
        <v>2912</v>
      </c>
      <c r="C4292" s="6">
        <v>517</v>
      </c>
      <c r="D4292" s="6" t="str">
        <f>HYPERLINK("https://rmda.kulib.kyoto-u.ac.jp/item/rb00008739#?c=0&amp;m=0&amp;s=0&amp;cv=516")</f>
        <v>https://rmda.kulib.kyoto-u.ac.jp/item/rb00008739#?c=0&amp;m=0&amp;s=0&amp;cv=516</v>
      </c>
    </row>
    <row r="4293" spans="1:4" x14ac:dyDescent="0.15">
      <c r="A4293" s="67" t="s">
        <v>245</v>
      </c>
      <c r="B4293" s="6" t="s">
        <v>2913</v>
      </c>
      <c r="C4293" s="6">
        <v>519</v>
      </c>
      <c r="D4293" s="6" t="str">
        <f>HYPERLINK("https://rmda.kulib.kyoto-u.ac.jp/item/rb00008739#?c=0&amp;m=0&amp;s=0&amp;cv=518")</f>
        <v>https://rmda.kulib.kyoto-u.ac.jp/item/rb00008739#?c=0&amp;m=0&amp;s=0&amp;cv=518</v>
      </c>
    </row>
    <row r="4294" spans="1:4" x14ac:dyDescent="0.15">
      <c r="A4294" s="67" t="s">
        <v>245</v>
      </c>
      <c r="B4294" s="63" t="s">
        <v>5689</v>
      </c>
      <c r="C4294" s="6">
        <v>520</v>
      </c>
      <c r="D4294" s="6" t="str">
        <f>HYPERLINK("https://rmda.kulib.kyoto-u.ac.jp/item/rb00008739#?c=0&amp;m=0&amp;s=0&amp;cv=519")</f>
        <v>https://rmda.kulib.kyoto-u.ac.jp/item/rb00008739#?c=0&amp;m=0&amp;s=0&amp;cv=519</v>
      </c>
    </row>
    <row r="4295" spans="1:4" x14ac:dyDescent="0.15">
      <c r="A4295" s="67" t="s">
        <v>245</v>
      </c>
      <c r="B4295" s="6" t="s">
        <v>2914</v>
      </c>
      <c r="C4295" s="6">
        <v>522</v>
      </c>
      <c r="D4295" s="6" t="str">
        <f>HYPERLINK("https://rmda.kulib.kyoto-u.ac.jp/item/rb00008739#?c=0&amp;m=0&amp;s=0&amp;cv=521")</f>
        <v>https://rmda.kulib.kyoto-u.ac.jp/item/rb00008739#?c=0&amp;m=0&amp;s=0&amp;cv=521</v>
      </c>
    </row>
    <row r="4296" spans="1:4" x14ac:dyDescent="0.15">
      <c r="A4296" s="67" t="s">
        <v>245</v>
      </c>
      <c r="B4296" s="6" t="s">
        <v>5690</v>
      </c>
      <c r="C4296" s="6">
        <v>532</v>
      </c>
      <c r="D4296" s="6" t="str">
        <f>HYPERLINK("https://rmda.kulib.kyoto-u.ac.jp/item/rb00008739#?c=0&amp;m=0&amp;s=0&amp;cv=531")</f>
        <v>https://rmda.kulib.kyoto-u.ac.jp/item/rb00008739#?c=0&amp;m=0&amp;s=0&amp;cv=531</v>
      </c>
    </row>
    <row r="4297" spans="1:4" x14ac:dyDescent="0.15">
      <c r="A4297" s="67" t="s">
        <v>245</v>
      </c>
      <c r="B4297" s="6" t="s">
        <v>2915</v>
      </c>
      <c r="C4297" s="6">
        <v>533</v>
      </c>
      <c r="D4297" s="6" t="str">
        <f>HYPERLINK("https://rmda.kulib.kyoto-u.ac.jp/item/rb00008739#?c=0&amp;m=0&amp;s=0&amp;cv=532")</f>
        <v>https://rmda.kulib.kyoto-u.ac.jp/item/rb00008739#?c=0&amp;m=0&amp;s=0&amp;cv=532</v>
      </c>
    </row>
    <row r="4298" spans="1:4" x14ac:dyDescent="0.15">
      <c r="A4298" s="67" t="s">
        <v>245</v>
      </c>
      <c r="B4298" s="6" t="s">
        <v>2916</v>
      </c>
      <c r="C4298" s="6">
        <v>534</v>
      </c>
      <c r="D4298" s="6" t="str">
        <f>HYPERLINK("https://rmda.kulib.kyoto-u.ac.jp/item/rb00008739#?c=0&amp;m=0&amp;s=0&amp;cv=533")</f>
        <v>https://rmda.kulib.kyoto-u.ac.jp/item/rb00008739#?c=0&amp;m=0&amp;s=0&amp;cv=533</v>
      </c>
    </row>
    <row r="4299" spans="1:4" x14ac:dyDescent="0.15">
      <c r="A4299" s="11" t="s">
        <v>6282</v>
      </c>
      <c r="B4299" s="11" t="s">
        <v>249</v>
      </c>
      <c r="C4299" s="67"/>
      <c r="D4299" s="67"/>
    </row>
    <row r="4300" spans="1:4" x14ac:dyDescent="0.15">
      <c r="A4300" s="84" t="s">
        <v>6321</v>
      </c>
      <c r="B4300" s="92"/>
      <c r="C4300" s="92"/>
      <c r="D4300" s="67"/>
    </row>
    <row r="4301" spans="1:4" x14ac:dyDescent="0.15">
      <c r="A4301" s="98" t="s">
        <v>6322</v>
      </c>
      <c r="B4301" s="69" t="s">
        <v>252</v>
      </c>
      <c r="C4301" s="69" t="s">
        <v>242</v>
      </c>
      <c r="D4301" s="67"/>
    </row>
    <row r="4302" spans="1:4" x14ac:dyDescent="0.15">
      <c r="A4302" s="117" t="s">
        <v>3670</v>
      </c>
      <c r="B4302" s="67"/>
      <c r="C4302" s="67"/>
      <c r="D4302" s="67"/>
    </row>
    <row r="4303" spans="1:4" x14ac:dyDescent="0.15">
      <c r="A4303" s="67" t="s">
        <v>2814</v>
      </c>
      <c r="B4303" s="67" t="s">
        <v>2917</v>
      </c>
      <c r="C4303" s="67"/>
      <c r="D4303" s="67"/>
    </row>
    <row r="4304" spans="1:4" x14ac:dyDescent="0.15">
      <c r="A4304" s="67" t="s">
        <v>2814</v>
      </c>
      <c r="B4304" s="67" t="s">
        <v>2918</v>
      </c>
      <c r="C4304" s="67"/>
      <c r="D4304" s="67"/>
    </row>
    <row r="4305" spans="1:2" x14ac:dyDescent="0.15">
      <c r="A4305" s="67" t="s">
        <v>2919</v>
      </c>
      <c r="B4305" s="67" t="s">
        <v>2920</v>
      </c>
    </row>
    <row r="4306" spans="1:2" x14ac:dyDescent="0.15">
      <c r="A4306" s="67" t="s">
        <v>2919</v>
      </c>
      <c r="B4306" s="67" t="s">
        <v>2921</v>
      </c>
    </row>
    <row r="4307" spans="1:2" x14ac:dyDescent="0.15">
      <c r="A4307" s="67" t="s">
        <v>2919</v>
      </c>
      <c r="B4307" s="67" t="s">
        <v>2922</v>
      </c>
    </row>
    <row r="4308" spans="1:2" x14ac:dyDescent="0.15">
      <c r="A4308" s="67" t="s">
        <v>2919</v>
      </c>
      <c r="B4308" s="67" t="s">
        <v>2923</v>
      </c>
    </row>
    <row r="4309" spans="1:2" x14ac:dyDescent="0.15">
      <c r="A4309" s="67" t="s">
        <v>2919</v>
      </c>
      <c r="B4309" s="67" t="s">
        <v>2924</v>
      </c>
    </row>
    <row r="4310" spans="1:2" x14ac:dyDescent="0.15">
      <c r="A4310" s="67" t="s">
        <v>2919</v>
      </c>
      <c r="B4310" s="67" t="s">
        <v>2925</v>
      </c>
    </row>
    <row r="4311" spans="1:2" x14ac:dyDescent="0.15">
      <c r="A4311" s="67" t="s">
        <v>2919</v>
      </c>
      <c r="B4311" s="67" t="s">
        <v>2926</v>
      </c>
    </row>
    <row r="4312" spans="1:2" x14ac:dyDescent="0.15">
      <c r="A4312" s="67" t="s">
        <v>2919</v>
      </c>
      <c r="B4312" s="67" t="s">
        <v>2927</v>
      </c>
    </row>
    <row r="4313" spans="1:2" x14ac:dyDescent="0.15">
      <c r="A4313" s="67" t="s">
        <v>2919</v>
      </c>
      <c r="B4313" s="67" t="s">
        <v>2928</v>
      </c>
    </row>
    <row r="4314" spans="1:2" x14ac:dyDescent="0.15">
      <c r="A4314" s="67" t="s">
        <v>2919</v>
      </c>
      <c r="B4314" s="67" t="s">
        <v>2929</v>
      </c>
    </row>
    <row r="4315" spans="1:2" x14ac:dyDescent="0.15">
      <c r="A4315" s="67" t="s">
        <v>2919</v>
      </c>
      <c r="B4315" s="67" t="s">
        <v>2930</v>
      </c>
    </row>
    <row r="4316" spans="1:2" x14ac:dyDescent="0.15">
      <c r="A4316" s="67" t="s">
        <v>2814</v>
      </c>
      <c r="B4316" s="67" t="s">
        <v>2931</v>
      </c>
    </row>
    <row r="4317" spans="1:2" x14ac:dyDescent="0.15">
      <c r="A4317" s="67" t="s">
        <v>2814</v>
      </c>
      <c r="B4317" s="67" t="s">
        <v>2932</v>
      </c>
    </row>
    <row r="4318" spans="1:2" x14ac:dyDescent="0.15">
      <c r="A4318" s="67" t="s">
        <v>2814</v>
      </c>
      <c r="B4318" s="67" t="s">
        <v>2779</v>
      </c>
    </row>
    <row r="4319" spans="1:2" x14ac:dyDescent="0.15">
      <c r="A4319" s="67" t="s">
        <v>2814</v>
      </c>
      <c r="B4319" s="67" t="s">
        <v>2780</v>
      </c>
    </row>
    <row r="4320" spans="1:2" x14ac:dyDescent="0.15">
      <c r="A4320" s="67" t="s">
        <v>2814</v>
      </c>
      <c r="B4320" s="67" t="s">
        <v>2933</v>
      </c>
    </row>
    <row r="4321" spans="1:2" x14ac:dyDescent="0.15">
      <c r="A4321" s="67" t="s">
        <v>2814</v>
      </c>
      <c r="B4321" s="67" t="s">
        <v>2934</v>
      </c>
    </row>
    <row r="4322" spans="1:2" x14ac:dyDescent="0.15">
      <c r="A4322" s="67" t="s">
        <v>2814</v>
      </c>
      <c r="B4322" s="67" t="s">
        <v>2821</v>
      </c>
    </row>
    <row r="4323" spans="1:2" x14ac:dyDescent="0.15">
      <c r="A4323" s="67" t="s">
        <v>2814</v>
      </c>
      <c r="B4323" s="67" t="s">
        <v>2822</v>
      </c>
    </row>
    <row r="4324" spans="1:2" x14ac:dyDescent="0.15">
      <c r="A4324" s="67" t="s">
        <v>2814</v>
      </c>
      <c r="B4324" s="67" t="s">
        <v>2823</v>
      </c>
    </row>
    <row r="4325" spans="1:2" x14ac:dyDescent="0.15">
      <c r="A4325" s="67" t="s">
        <v>2814</v>
      </c>
      <c r="B4325" s="67" t="s">
        <v>2935</v>
      </c>
    </row>
    <row r="4326" spans="1:2" x14ac:dyDescent="0.15">
      <c r="A4326" s="67" t="s">
        <v>2814</v>
      </c>
      <c r="B4326" s="67" t="s">
        <v>2936</v>
      </c>
    </row>
    <row r="4327" spans="1:2" x14ac:dyDescent="0.15">
      <c r="A4327" s="67" t="s">
        <v>2814</v>
      </c>
      <c r="B4327" s="67" t="s">
        <v>2937</v>
      </c>
    </row>
    <row r="4328" spans="1:2" x14ac:dyDescent="0.15">
      <c r="A4328" s="67" t="s">
        <v>2814</v>
      </c>
      <c r="B4328" s="67" t="s">
        <v>2938</v>
      </c>
    </row>
    <row r="4329" spans="1:2" x14ac:dyDescent="0.15">
      <c r="A4329" s="67" t="s">
        <v>2814</v>
      </c>
      <c r="B4329" s="67" t="s">
        <v>2939</v>
      </c>
    </row>
    <row r="4330" spans="1:2" x14ac:dyDescent="0.15">
      <c r="A4330" s="67" t="s">
        <v>2814</v>
      </c>
      <c r="B4330" s="67" t="s">
        <v>2940</v>
      </c>
    </row>
    <row r="4331" spans="1:2" x14ac:dyDescent="0.15">
      <c r="A4331" s="67" t="s">
        <v>2814</v>
      </c>
      <c r="B4331" s="67" t="s">
        <v>2941</v>
      </c>
    </row>
    <row r="4332" spans="1:2" x14ac:dyDescent="0.15">
      <c r="A4332" s="67" t="s">
        <v>2814</v>
      </c>
      <c r="B4332" s="67" t="s">
        <v>2942</v>
      </c>
    </row>
    <row r="4333" spans="1:2" x14ac:dyDescent="0.15">
      <c r="A4333" s="67" t="s">
        <v>2814</v>
      </c>
      <c r="B4333" s="67" t="s">
        <v>2943</v>
      </c>
    </row>
    <row r="4334" spans="1:2" x14ac:dyDescent="0.15">
      <c r="A4334" s="67" t="s">
        <v>2814</v>
      </c>
      <c r="B4334" s="67" t="s">
        <v>2944</v>
      </c>
    </row>
    <row r="4335" spans="1:2" x14ac:dyDescent="0.15">
      <c r="A4335" s="67" t="s">
        <v>2814</v>
      </c>
      <c r="B4335" s="67" t="s">
        <v>2945</v>
      </c>
    </row>
    <row r="4336" spans="1:2" x14ac:dyDescent="0.15">
      <c r="A4336" s="67" t="s">
        <v>2814</v>
      </c>
      <c r="B4336" s="67" t="s">
        <v>2824</v>
      </c>
    </row>
    <row r="4337" spans="1:2" x14ac:dyDescent="0.15">
      <c r="A4337" s="67" t="s">
        <v>2946</v>
      </c>
      <c r="B4337" s="67" t="s">
        <v>2947</v>
      </c>
    </row>
    <row r="4338" spans="1:2" x14ac:dyDescent="0.15">
      <c r="A4338" s="67" t="s">
        <v>2946</v>
      </c>
      <c r="B4338" s="67" t="s">
        <v>2948</v>
      </c>
    </row>
    <row r="4339" spans="1:2" x14ac:dyDescent="0.15">
      <c r="A4339" s="67" t="s">
        <v>2946</v>
      </c>
      <c r="B4339" s="67" t="s">
        <v>2949</v>
      </c>
    </row>
    <row r="4340" spans="1:2" x14ac:dyDescent="0.15">
      <c r="A4340" s="67" t="s">
        <v>2946</v>
      </c>
      <c r="B4340" s="67" t="s">
        <v>2950</v>
      </c>
    </row>
    <row r="4341" spans="1:2" x14ac:dyDescent="0.15">
      <c r="A4341" s="67" t="s">
        <v>2946</v>
      </c>
      <c r="B4341" s="67" t="s">
        <v>2951</v>
      </c>
    </row>
    <row r="4342" spans="1:2" x14ac:dyDescent="0.15">
      <c r="A4342" s="67" t="s">
        <v>2946</v>
      </c>
      <c r="B4342" s="67" t="s">
        <v>2952</v>
      </c>
    </row>
    <row r="4343" spans="1:2" x14ac:dyDescent="0.15">
      <c r="A4343" s="67" t="s">
        <v>2814</v>
      </c>
      <c r="B4343" s="67" t="s">
        <v>2953</v>
      </c>
    </row>
    <row r="4344" spans="1:2" x14ac:dyDescent="0.15">
      <c r="A4344" s="67" t="s">
        <v>2814</v>
      </c>
      <c r="B4344" s="67" t="s">
        <v>2954</v>
      </c>
    </row>
    <row r="4345" spans="1:2" x14ac:dyDescent="0.15">
      <c r="A4345" s="67" t="s">
        <v>2955</v>
      </c>
      <c r="B4345" s="67" t="s">
        <v>2956</v>
      </c>
    </row>
    <row r="4346" spans="1:2" x14ac:dyDescent="0.15">
      <c r="A4346" s="67" t="s">
        <v>2955</v>
      </c>
      <c r="B4346" s="67" t="s">
        <v>2957</v>
      </c>
    </row>
    <row r="4347" spans="1:2" x14ac:dyDescent="0.15">
      <c r="A4347" s="67" t="s">
        <v>2955</v>
      </c>
      <c r="B4347" s="67" t="s">
        <v>2958</v>
      </c>
    </row>
    <row r="4348" spans="1:2" x14ac:dyDescent="0.15">
      <c r="A4348" s="67" t="s">
        <v>2815</v>
      </c>
      <c r="B4348" s="67" t="s">
        <v>2685</v>
      </c>
    </row>
    <row r="4349" spans="1:2" x14ac:dyDescent="0.15">
      <c r="A4349" s="67" t="s">
        <v>2959</v>
      </c>
      <c r="B4349" s="67" t="s">
        <v>2960</v>
      </c>
    </row>
    <row r="4350" spans="1:2" x14ac:dyDescent="0.15">
      <c r="A4350" s="67" t="s">
        <v>2815</v>
      </c>
      <c r="B4350" s="67" t="s">
        <v>2961</v>
      </c>
    </row>
    <row r="4351" spans="1:2" x14ac:dyDescent="0.15">
      <c r="A4351" s="67" t="s">
        <v>2815</v>
      </c>
      <c r="B4351" s="67" t="s">
        <v>2597</v>
      </c>
    </row>
    <row r="4352" spans="1:2" x14ac:dyDescent="0.15">
      <c r="A4352" s="67" t="s">
        <v>2962</v>
      </c>
      <c r="B4352" s="67" t="s">
        <v>2963</v>
      </c>
    </row>
    <row r="4353" spans="1:2" x14ac:dyDescent="0.15">
      <c r="A4353" s="67" t="s">
        <v>2962</v>
      </c>
      <c r="B4353" s="67" t="s">
        <v>2526</v>
      </c>
    </row>
    <row r="4354" spans="1:2" x14ac:dyDescent="0.15">
      <c r="A4354" s="67" t="s">
        <v>2962</v>
      </c>
      <c r="B4354" s="67" t="s">
        <v>2964</v>
      </c>
    </row>
    <row r="4355" spans="1:2" x14ac:dyDescent="0.15">
      <c r="A4355" s="67" t="s">
        <v>2962</v>
      </c>
      <c r="B4355" s="67" t="s">
        <v>2965</v>
      </c>
    </row>
    <row r="4356" spans="1:2" x14ac:dyDescent="0.15">
      <c r="A4356" s="67" t="s">
        <v>2962</v>
      </c>
      <c r="B4356" s="67" t="s">
        <v>2966</v>
      </c>
    </row>
    <row r="4357" spans="1:2" x14ac:dyDescent="0.15">
      <c r="A4357" s="67" t="s">
        <v>2815</v>
      </c>
      <c r="B4357" s="67" t="s">
        <v>2967</v>
      </c>
    </row>
    <row r="4358" spans="1:2" x14ac:dyDescent="0.15">
      <c r="A4358" s="67" t="s">
        <v>2815</v>
      </c>
      <c r="B4358" s="67" t="s">
        <v>2687</v>
      </c>
    </row>
    <row r="4359" spans="1:2" x14ac:dyDescent="0.15">
      <c r="A4359" s="67" t="s">
        <v>2815</v>
      </c>
      <c r="B4359" s="67" t="s">
        <v>2968</v>
      </c>
    </row>
    <row r="4360" spans="1:2" x14ac:dyDescent="0.15">
      <c r="A4360" s="67" t="s">
        <v>2815</v>
      </c>
      <c r="B4360" s="67" t="s">
        <v>2969</v>
      </c>
    </row>
    <row r="4361" spans="1:2" x14ac:dyDescent="0.15">
      <c r="A4361" s="67" t="s">
        <v>2815</v>
      </c>
      <c r="B4361" s="67" t="s">
        <v>2688</v>
      </c>
    </row>
    <row r="4362" spans="1:2" x14ac:dyDescent="0.15">
      <c r="A4362" s="67" t="s">
        <v>2815</v>
      </c>
      <c r="B4362" s="67" t="s">
        <v>2689</v>
      </c>
    </row>
    <row r="4363" spans="1:2" x14ac:dyDescent="0.15">
      <c r="A4363" s="67" t="s">
        <v>2815</v>
      </c>
      <c r="B4363" s="67" t="s">
        <v>2970</v>
      </c>
    </row>
    <row r="4364" spans="1:2" x14ac:dyDescent="0.15">
      <c r="A4364" s="67" t="s">
        <v>2815</v>
      </c>
      <c r="B4364" s="67" t="s">
        <v>2032</v>
      </c>
    </row>
    <row r="4365" spans="1:2" x14ac:dyDescent="0.15">
      <c r="A4365" s="67" t="s">
        <v>2971</v>
      </c>
      <c r="B4365" s="67" t="s">
        <v>2798</v>
      </c>
    </row>
    <row r="4366" spans="1:2" x14ac:dyDescent="0.15">
      <c r="A4366" s="67" t="s">
        <v>2815</v>
      </c>
      <c r="B4366" s="67" t="s">
        <v>2972</v>
      </c>
    </row>
    <row r="4367" spans="1:2" x14ac:dyDescent="0.15">
      <c r="A4367" s="67" t="s">
        <v>2973</v>
      </c>
      <c r="B4367" s="67" t="s">
        <v>2974</v>
      </c>
    </row>
    <row r="4368" spans="1:2" x14ac:dyDescent="0.15">
      <c r="A4368" s="67" t="s">
        <v>2815</v>
      </c>
      <c r="B4368" s="67" t="s">
        <v>2975</v>
      </c>
    </row>
    <row r="4369" spans="1:2" x14ac:dyDescent="0.15">
      <c r="A4369" s="67" t="s">
        <v>2816</v>
      </c>
      <c r="B4369" s="67" t="s">
        <v>2826</v>
      </c>
    </row>
    <row r="4370" spans="1:2" x14ac:dyDescent="0.15">
      <c r="A4370" s="67" t="s">
        <v>2816</v>
      </c>
      <c r="B4370" s="67" t="s">
        <v>1495</v>
      </c>
    </row>
    <row r="4371" spans="1:2" x14ac:dyDescent="0.15">
      <c r="A4371" s="67" t="s">
        <v>2816</v>
      </c>
      <c r="B4371" s="67" t="s">
        <v>2828</v>
      </c>
    </row>
    <row r="4372" spans="1:2" x14ac:dyDescent="0.15">
      <c r="A4372" s="67" t="s">
        <v>2816</v>
      </c>
      <c r="B4372" s="67" t="s">
        <v>2827</v>
      </c>
    </row>
    <row r="4373" spans="1:2" x14ac:dyDescent="0.15">
      <c r="A4373" s="67" t="s">
        <v>2816</v>
      </c>
      <c r="B4373" s="67" t="s">
        <v>2829</v>
      </c>
    </row>
    <row r="4374" spans="1:2" x14ac:dyDescent="0.15">
      <c r="A4374" s="67" t="s">
        <v>2816</v>
      </c>
      <c r="B4374" s="67" t="s">
        <v>2830</v>
      </c>
    </row>
    <row r="4375" spans="1:2" x14ac:dyDescent="0.15">
      <c r="A4375" s="67" t="s">
        <v>2976</v>
      </c>
      <c r="B4375" s="67" t="s">
        <v>2977</v>
      </c>
    </row>
    <row r="4376" spans="1:2" x14ac:dyDescent="0.15">
      <c r="A4376" s="67" t="s">
        <v>2816</v>
      </c>
      <c r="B4376" s="67" t="s">
        <v>2831</v>
      </c>
    </row>
    <row r="4377" spans="1:2" x14ac:dyDescent="0.15">
      <c r="A4377" s="67" t="s">
        <v>2978</v>
      </c>
      <c r="B4377" s="67" t="s">
        <v>2979</v>
      </c>
    </row>
    <row r="4378" spans="1:2" x14ac:dyDescent="0.15">
      <c r="A4378" s="67" t="s">
        <v>2816</v>
      </c>
      <c r="B4378" s="67" t="s">
        <v>1451</v>
      </c>
    </row>
    <row r="4379" spans="1:2" x14ac:dyDescent="0.15">
      <c r="A4379" s="67" t="s">
        <v>2816</v>
      </c>
      <c r="B4379" s="67" t="s">
        <v>1433</v>
      </c>
    </row>
    <row r="4380" spans="1:2" x14ac:dyDescent="0.15">
      <c r="A4380" s="67" t="s">
        <v>2816</v>
      </c>
      <c r="B4380" s="67" t="s">
        <v>2725</v>
      </c>
    </row>
    <row r="4381" spans="1:2" x14ac:dyDescent="0.15">
      <c r="A4381" s="67" t="s">
        <v>2816</v>
      </c>
      <c r="B4381" s="67" t="s">
        <v>2980</v>
      </c>
    </row>
    <row r="4382" spans="1:2" x14ac:dyDescent="0.15">
      <c r="A4382" s="67" t="s">
        <v>2816</v>
      </c>
      <c r="B4382" s="67" t="s">
        <v>2981</v>
      </c>
    </row>
    <row r="4383" spans="1:2" x14ac:dyDescent="0.15">
      <c r="A4383" s="67" t="s">
        <v>2816</v>
      </c>
      <c r="B4383" s="67" t="s">
        <v>2832</v>
      </c>
    </row>
    <row r="4384" spans="1:2" x14ac:dyDescent="0.15">
      <c r="A4384" s="67" t="s">
        <v>2816</v>
      </c>
      <c r="B4384" s="67" t="s">
        <v>2834</v>
      </c>
    </row>
    <row r="4385" spans="1:2" x14ac:dyDescent="0.15">
      <c r="A4385" s="67" t="s">
        <v>2816</v>
      </c>
      <c r="B4385" s="67" t="s">
        <v>2835</v>
      </c>
    </row>
    <row r="4386" spans="1:2" x14ac:dyDescent="0.15">
      <c r="A4386" s="67" t="s">
        <v>2816</v>
      </c>
      <c r="B4386" s="67" t="s">
        <v>2837</v>
      </c>
    </row>
    <row r="4387" spans="1:2" x14ac:dyDescent="0.15">
      <c r="A4387" s="67" t="s">
        <v>2816</v>
      </c>
      <c r="B4387" s="67" t="s">
        <v>2982</v>
      </c>
    </row>
    <row r="4388" spans="1:2" x14ac:dyDescent="0.15">
      <c r="A4388" s="67" t="s">
        <v>2816</v>
      </c>
      <c r="B4388" s="67" t="s">
        <v>2839</v>
      </c>
    </row>
    <row r="4389" spans="1:2" x14ac:dyDescent="0.15">
      <c r="A4389" s="67" t="s">
        <v>2983</v>
      </c>
      <c r="B4389" s="67" t="s">
        <v>2979</v>
      </c>
    </row>
    <row r="4390" spans="1:2" x14ac:dyDescent="0.15">
      <c r="A4390" s="67" t="s">
        <v>2816</v>
      </c>
      <c r="B4390" s="67" t="s">
        <v>2699</v>
      </c>
    </row>
    <row r="4391" spans="1:2" x14ac:dyDescent="0.15">
      <c r="A4391" s="67" t="s">
        <v>2816</v>
      </c>
      <c r="B4391" s="67" t="s">
        <v>2840</v>
      </c>
    </row>
    <row r="4392" spans="1:2" x14ac:dyDescent="0.15">
      <c r="A4392" s="67" t="s">
        <v>2817</v>
      </c>
      <c r="B4392" s="67" t="s">
        <v>2842</v>
      </c>
    </row>
    <row r="4393" spans="1:2" x14ac:dyDescent="0.15">
      <c r="A4393" s="67" t="s">
        <v>2984</v>
      </c>
      <c r="B4393" s="67" t="s">
        <v>2985</v>
      </c>
    </row>
    <row r="4394" spans="1:2" x14ac:dyDescent="0.15">
      <c r="A4394" s="67" t="s">
        <v>2817</v>
      </c>
      <c r="B4394" s="67" t="s">
        <v>2986</v>
      </c>
    </row>
    <row r="4395" spans="1:2" x14ac:dyDescent="0.15">
      <c r="A4395" s="67" t="s">
        <v>2987</v>
      </c>
      <c r="B4395" s="67" t="s">
        <v>2988</v>
      </c>
    </row>
    <row r="4396" spans="1:2" x14ac:dyDescent="0.15">
      <c r="A4396" s="67" t="s">
        <v>2817</v>
      </c>
      <c r="B4396" s="67" t="s">
        <v>2843</v>
      </c>
    </row>
    <row r="4397" spans="1:2" x14ac:dyDescent="0.15">
      <c r="A4397" s="67" t="s">
        <v>2817</v>
      </c>
      <c r="B4397" s="67" t="s">
        <v>2989</v>
      </c>
    </row>
    <row r="4398" spans="1:2" x14ac:dyDescent="0.15">
      <c r="A4398" s="67" t="s">
        <v>2817</v>
      </c>
      <c r="B4398" s="67" t="s">
        <v>1408</v>
      </c>
    </row>
    <row r="4399" spans="1:2" x14ac:dyDescent="0.15">
      <c r="A4399" s="67" t="s">
        <v>2817</v>
      </c>
      <c r="B4399" s="67" t="s">
        <v>2990</v>
      </c>
    </row>
    <row r="4400" spans="1:2" x14ac:dyDescent="0.15">
      <c r="A4400" s="67" t="s">
        <v>2991</v>
      </c>
      <c r="B4400" s="67" t="s">
        <v>2992</v>
      </c>
    </row>
    <row r="4401" spans="1:2" x14ac:dyDescent="0.15">
      <c r="A4401" s="67" t="s">
        <v>2991</v>
      </c>
      <c r="B4401" s="67" t="s">
        <v>2979</v>
      </c>
    </row>
    <row r="4402" spans="1:2" x14ac:dyDescent="0.15">
      <c r="A4402" s="67" t="s">
        <v>2817</v>
      </c>
      <c r="B4402" s="67" t="s">
        <v>2567</v>
      </c>
    </row>
    <row r="4403" spans="1:2" x14ac:dyDescent="0.15">
      <c r="A4403" s="67" t="s">
        <v>2993</v>
      </c>
      <c r="B4403" s="67" t="s">
        <v>2979</v>
      </c>
    </row>
    <row r="4404" spans="1:2" x14ac:dyDescent="0.15">
      <c r="A4404" s="67" t="s">
        <v>2817</v>
      </c>
      <c r="B4404" s="67" t="s">
        <v>1429</v>
      </c>
    </row>
    <row r="4405" spans="1:2" x14ac:dyDescent="0.15">
      <c r="A4405" s="67" t="s">
        <v>2817</v>
      </c>
      <c r="B4405" s="67" t="s">
        <v>2994</v>
      </c>
    </row>
    <row r="4406" spans="1:2" x14ac:dyDescent="0.15">
      <c r="A4406" s="67" t="s">
        <v>2817</v>
      </c>
      <c r="B4406" s="67" t="s">
        <v>2708</v>
      </c>
    </row>
    <row r="4407" spans="1:2" x14ac:dyDescent="0.15">
      <c r="A4407" s="67" t="s">
        <v>2817</v>
      </c>
      <c r="B4407" s="67" t="s">
        <v>2995</v>
      </c>
    </row>
    <row r="4408" spans="1:2" x14ac:dyDescent="0.15">
      <c r="A4408" s="67" t="s">
        <v>2817</v>
      </c>
      <c r="B4408" s="67" t="s">
        <v>2996</v>
      </c>
    </row>
    <row r="4409" spans="1:2" x14ac:dyDescent="0.15">
      <c r="A4409" s="67" t="s">
        <v>2817</v>
      </c>
      <c r="B4409" s="67" t="s">
        <v>2997</v>
      </c>
    </row>
    <row r="4410" spans="1:2" x14ac:dyDescent="0.15">
      <c r="A4410" s="67" t="s">
        <v>2817</v>
      </c>
      <c r="B4410" s="67" t="s">
        <v>2998</v>
      </c>
    </row>
    <row r="4411" spans="1:2" x14ac:dyDescent="0.15">
      <c r="A4411" s="67" t="s">
        <v>2817</v>
      </c>
      <c r="B4411" s="67" t="s">
        <v>2999</v>
      </c>
    </row>
    <row r="4412" spans="1:2" x14ac:dyDescent="0.15">
      <c r="A4412" s="67" t="s">
        <v>2817</v>
      </c>
      <c r="B4412" s="67" t="s">
        <v>1409</v>
      </c>
    </row>
    <row r="4413" spans="1:2" x14ac:dyDescent="0.15">
      <c r="A4413" s="67" t="s">
        <v>2817</v>
      </c>
      <c r="B4413" s="67" t="s">
        <v>3000</v>
      </c>
    </row>
    <row r="4414" spans="1:2" x14ac:dyDescent="0.15">
      <c r="A4414" s="67" t="s">
        <v>2818</v>
      </c>
      <c r="B4414" s="67" t="s">
        <v>2746</v>
      </c>
    </row>
    <row r="4415" spans="1:2" x14ac:dyDescent="0.15">
      <c r="A4415" s="67" t="s">
        <v>2818</v>
      </c>
      <c r="B4415" s="67" t="s">
        <v>2846</v>
      </c>
    </row>
    <row r="4416" spans="1:2" x14ac:dyDescent="0.15">
      <c r="A4416" s="67" t="s">
        <v>2818</v>
      </c>
      <c r="B4416" s="67" t="s">
        <v>2749</v>
      </c>
    </row>
    <row r="4417" spans="1:2" x14ac:dyDescent="0.15">
      <c r="A4417" s="67" t="s">
        <v>2818</v>
      </c>
      <c r="B4417" s="67" t="s">
        <v>3001</v>
      </c>
    </row>
    <row r="4418" spans="1:2" x14ac:dyDescent="0.15">
      <c r="A4418" s="67" t="s">
        <v>2818</v>
      </c>
      <c r="B4418" s="67" t="s">
        <v>2848</v>
      </c>
    </row>
    <row r="4419" spans="1:2" x14ac:dyDescent="0.15">
      <c r="A4419" s="67" t="s">
        <v>2818</v>
      </c>
      <c r="B4419" s="67" t="s">
        <v>3002</v>
      </c>
    </row>
    <row r="4420" spans="1:2" x14ac:dyDescent="0.15">
      <c r="A4420" s="67" t="s">
        <v>2818</v>
      </c>
      <c r="B4420" s="67" t="s">
        <v>2748</v>
      </c>
    </row>
    <row r="4421" spans="1:2" x14ac:dyDescent="0.15">
      <c r="A4421" s="67" t="s">
        <v>2818</v>
      </c>
      <c r="B4421" s="67" t="s">
        <v>1426</v>
      </c>
    </row>
    <row r="4422" spans="1:2" x14ac:dyDescent="0.15">
      <c r="A4422" s="67" t="s">
        <v>2818</v>
      </c>
      <c r="B4422" s="67" t="s">
        <v>2750</v>
      </c>
    </row>
    <row r="4423" spans="1:2" x14ac:dyDescent="0.15">
      <c r="A4423" s="67" t="s">
        <v>2818</v>
      </c>
      <c r="B4423" s="67" t="s">
        <v>3003</v>
      </c>
    </row>
    <row r="4424" spans="1:2" x14ac:dyDescent="0.15">
      <c r="A4424" s="67" t="s">
        <v>2818</v>
      </c>
      <c r="B4424" s="67" t="s">
        <v>3004</v>
      </c>
    </row>
    <row r="4425" spans="1:2" x14ac:dyDescent="0.15">
      <c r="A4425" s="67" t="s">
        <v>2818</v>
      </c>
      <c r="B4425" s="67" t="s">
        <v>2555</v>
      </c>
    </row>
    <row r="4426" spans="1:2" x14ac:dyDescent="0.15">
      <c r="A4426" s="67" t="s">
        <v>2818</v>
      </c>
      <c r="B4426" s="67" t="s">
        <v>2721</v>
      </c>
    </row>
    <row r="4427" spans="1:2" x14ac:dyDescent="0.15">
      <c r="A4427" s="67" t="s">
        <v>3005</v>
      </c>
      <c r="B4427" s="67" t="s">
        <v>2979</v>
      </c>
    </row>
    <row r="4428" spans="1:2" x14ac:dyDescent="0.15">
      <c r="A4428" s="67" t="s">
        <v>2818</v>
      </c>
      <c r="B4428" s="67" t="s">
        <v>2720</v>
      </c>
    </row>
    <row r="4429" spans="1:2" x14ac:dyDescent="0.15">
      <c r="A4429" s="67" t="s">
        <v>2818</v>
      </c>
      <c r="B4429" s="67" t="s">
        <v>2716</v>
      </c>
    </row>
    <row r="4430" spans="1:2" x14ac:dyDescent="0.15">
      <c r="A4430" s="67" t="s">
        <v>2818</v>
      </c>
      <c r="B4430" s="67" t="s">
        <v>2718</v>
      </c>
    </row>
    <row r="4431" spans="1:2" x14ac:dyDescent="0.15">
      <c r="A4431" s="67" t="s">
        <v>2818</v>
      </c>
      <c r="B4431" s="67" t="s">
        <v>3006</v>
      </c>
    </row>
    <row r="4432" spans="1:2" x14ac:dyDescent="0.15">
      <c r="A4432" s="67" t="s">
        <v>2818</v>
      </c>
      <c r="B4432" s="67" t="s">
        <v>2870</v>
      </c>
    </row>
    <row r="4433" spans="1:2" x14ac:dyDescent="0.15">
      <c r="A4433" s="67" t="s">
        <v>2818</v>
      </c>
      <c r="B4433" s="67" t="s">
        <v>2869</v>
      </c>
    </row>
    <row r="4434" spans="1:2" x14ac:dyDescent="0.15">
      <c r="A4434" s="67" t="s">
        <v>2818</v>
      </c>
      <c r="B4434" s="67" t="s">
        <v>2871</v>
      </c>
    </row>
    <row r="4435" spans="1:2" x14ac:dyDescent="0.15">
      <c r="A4435" s="67" t="s">
        <v>2818</v>
      </c>
      <c r="B4435" s="67" t="s">
        <v>2873</v>
      </c>
    </row>
    <row r="4436" spans="1:2" x14ac:dyDescent="0.15">
      <c r="A4436" s="67" t="s">
        <v>2818</v>
      </c>
      <c r="B4436" s="67" t="s">
        <v>3007</v>
      </c>
    </row>
    <row r="4437" spans="1:2" x14ac:dyDescent="0.15">
      <c r="A4437" s="67" t="s">
        <v>3008</v>
      </c>
      <c r="B4437" s="67" t="s">
        <v>3009</v>
      </c>
    </row>
    <row r="4438" spans="1:2" x14ac:dyDescent="0.15">
      <c r="A4438" s="67" t="s">
        <v>2818</v>
      </c>
      <c r="B4438" s="67" t="s">
        <v>3010</v>
      </c>
    </row>
    <row r="4439" spans="1:2" x14ac:dyDescent="0.15">
      <c r="A4439" s="67" t="s">
        <v>3011</v>
      </c>
      <c r="B4439" s="67" t="s">
        <v>2979</v>
      </c>
    </row>
    <row r="4440" spans="1:2" x14ac:dyDescent="0.15">
      <c r="A4440" s="67" t="s">
        <v>2818</v>
      </c>
      <c r="B4440" s="67" t="s">
        <v>2737</v>
      </c>
    </row>
    <row r="4441" spans="1:2" x14ac:dyDescent="0.15">
      <c r="A4441" s="67" t="s">
        <v>2818</v>
      </c>
      <c r="B4441" s="67" t="s">
        <v>3012</v>
      </c>
    </row>
    <row r="4442" spans="1:2" x14ac:dyDescent="0.15">
      <c r="A4442" s="67" t="s">
        <v>3013</v>
      </c>
      <c r="B4442" s="67" t="s">
        <v>2979</v>
      </c>
    </row>
    <row r="4443" spans="1:2" x14ac:dyDescent="0.15">
      <c r="A4443" s="67" t="s">
        <v>2818</v>
      </c>
      <c r="B4443" s="67" t="s">
        <v>2851</v>
      </c>
    </row>
    <row r="4444" spans="1:2" x14ac:dyDescent="0.15">
      <c r="A4444" s="67" t="s">
        <v>2818</v>
      </c>
      <c r="B4444" s="67" t="s">
        <v>3014</v>
      </c>
    </row>
    <row r="4445" spans="1:2" x14ac:dyDescent="0.15">
      <c r="A4445" s="67" t="s">
        <v>2818</v>
      </c>
      <c r="B4445" s="67" t="s">
        <v>3015</v>
      </c>
    </row>
    <row r="4446" spans="1:2" x14ac:dyDescent="0.15">
      <c r="A4446" s="67" t="s">
        <v>2818</v>
      </c>
      <c r="B4446" s="67" t="s">
        <v>3016</v>
      </c>
    </row>
    <row r="4447" spans="1:2" x14ac:dyDescent="0.15">
      <c r="A4447" s="67" t="s">
        <v>2818</v>
      </c>
      <c r="B4447" s="67" t="s">
        <v>3017</v>
      </c>
    </row>
    <row r="4448" spans="1:2" x14ac:dyDescent="0.15">
      <c r="A4448" s="67" t="s">
        <v>2818</v>
      </c>
      <c r="B4448" s="67" t="s">
        <v>2853</v>
      </c>
    </row>
    <row r="4449" spans="1:2" x14ac:dyDescent="0.15">
      <c r="A4449" s="67" t="s">
        <v>3018</v>
      </c>
      <c r="B4449" s="67" t="s">
        <v>2979</v>
      </c>
    </row>
    <row r="4450" spans="1:2" x14ac:dyDescent="0.15">
      <c r="A4450" s="67" t="s">
        <v>2818</v>
      </c>
      <c r="B4450" s="67" t="s">
        <v>3019</v>
      </c>
    </row>
    <row r="4451" spans="1:2" x14ac:dyDescent="0.15">
      <c r="A4451" s="67" t="s">
        <v>2818</v>
      </c>
      <c r="B4451" s="67" t="s">
        <v>2855</v>
      </c>
    </row>
    <row r="4452" spans="1:2" x14ac:dyDescent="0.15">
      <c r="A4452" s="67" t="s">
        <v>2818</v>
      </c>
      <c r="B4452" s="67" t="s">
        <v>2857</v>
      </c>
    </row>
    <row r="4453" spans="1:2" x14ac:dyDescent="0.15">
      <c r="A4453" s="67" t="s">
        <v>3020</v>
      </c>
      <c r="B4453" s="67" t="s">
        <v>3021</v>
      </c>
    </row>
    <row r="4454" spans="1:2" x14ac:dyDescent="0.15">
      <c r="A4454" s="67" t="s">
        <v>2819</v>
      </c>
      <c r="B4454" s="67" t="s">
        <v>1418</v>
      </c>
    </row>
    <row r="4455" spans="1:2" x14ac:dyDescent="0.15">
      <c r="A4455" s="67" t="s">
        <v>2819</v>
      </c>
      <c r="B4455" s="67" t="s">
        <v>2858</v>
      </c>
    </row>
    <row r="4456" spans="1:2" x14ac:dyDescent="0.15">
      <c r="A4456" s="67" t="s">
        <v>2819</v>
      </c>
      <c r="B4456" s="67" t="s">
        <v>2859</v>
      </c>
    </row>
    <row r="4457" spans="1:2" x14ac:dyDescent="0.15">
      <c r="A4457" s="67" t="s">
        <v>2819</v>
      </c>
      <c r="B4457" s="67" t="s">
        <v>2860</v>
      </c>
    </row>
    <row r="4458" spans="1:2" x14ac:dyDescent="0.15">
      <c r="A4458" s="67" t="s">
        <v>2819</v>
      </c>
      <c r="B4458" s="67" t="s">
        <v>2861</v>
      </c>
    </row>
    <row r="4459" spans="1:2" x14ac:dyDescent="0.15">
      <c r="A4459" s="67" t="s">
        <v>2819</v>
      </c>
      <c r="B4459" s="67" t="s">
        <v>2756</v>
      </c>
    </row>
    <row r="4460" spans="1:2" x14ac:dyDescent="0.15">
      <c r="A4460" s="67" t="s">
        <v>2819</v>
      </c>
      <c r="B4460" s="67" t="s">
        <v>3022</v>
      </c>
    </row>
    <row r="4461" spans="1:2" x14ac:dyDescent="0.15">
      <c r="A4461" s="67" t="s">
        <v>2819</v>
      </c>
      <c r="B4461" s="67" t="s">
        <v>2862</v>
      </c>
    </row>
    <row r="4462" spans="1:2" x14ac:dyDescent="0.15">
      <c r="A4462" s="67" t="s">
        <v>2819</v>
      </c>
      <c r="B4462" s="67" t="s">
        <v>2863</v>
      </c>
    </row>
    <row r="4463" spans="1:2" x14ac:dyDescent="0.15">
      <c r="A4463" s="67" t="s">
        <v>2819</v>
      </c>
      <c r="B4463" s="67" t="s">
        <v>3023</v>
      </c>
    </row>
    <row r="4464" spans="1:2" x14ac:dyDescent="0.15">
      <c r="A4464" s="67" t="s">
        <v>3024</v>
      </c>
      <c r="B4464" s="67" t="s">
        <v>2979</v>
      </c>
    </row>
    <row r="4465" spans="1:2" x14ac:dyDescent="0.15">
      <c r="A4465" s="67" t="s">
        <v>2819</v>
      </c>
      <c r="B4465" s="67" t="s">
        <v>2865</v>
      </c>
    </row>
    <row r="4466" spans="1:2" x14ac:dyDescent="0.15">
      <c r="A4466" s="67" t="s">
        <v>3025</v>
      </c>
      <c r="B4466" s="67" t="s">
        <v>2979</v>
      </c>
    </row>
    <row r="4467" spans="1:2" x14ac:dyDescent="0.15">
      <c r="A4467" s="67" t="s">
        <v>2819</v>
      </c>
      <c r="B4467" s="67" t="s">
        <v>2867</v>
      </c>
    </row>
    <row r="4468" spans="1:2" x14ac:dyDescent="0.15">
      <c r="A4468" s="67" t="s">
        <v>2819</v>
      </c>
      <c r="B4468" s="67" t="s">
        <v>3026</v>
      </c>
    </row>
    <row r="4469" spans="1:2" x14ac:dyDescent="0.15">
      <c r="A4469" s="67" t="s">
        <v>2819</v>
      </c>
      <c r="B4469" s="67" t="s">
        <v>3027</v>
      </c>
    </row>
    <row r="4470" spans="1:2" x14ac:dyDescent="0.15">
      <c r="A4470" s="67" t="s">
        <v>2819</v>
      </c>
      <c r="B4470" s="67" t="s">
        <v>3028</v>
      </c>
    </row>
    <row r="4471" spans="1:2" x14ac:dyDescent="0.15">
      <c r="A4471" s="67" t="s">
        <v>3029</v>
      </c>
      <c r="B4471" s="67" t="s">
        <v>3030</v>
      </c>
    </row>
    <row r="4472" spans="1:2" x14ac:dyDescent="0.15">
      <c r="A4472" s="67" t="s">
        <v>3029</v>
      </c>
      <c r="B4472" s="67" t="s">
        <v>3031</v>
      </c>
    </row>
    <row r="4473" spans="1:2" x14ac:dyDescent="0.15">
      <c r="A4473" s="67" t="s">
        <v>3029</v>
      </c>
      <c r="B4473" s="67" t="s">
        <v>3032</v>
      </c>
    </row>
    <row r="4474" spans="1:2" x14ac:dyDescent="0.15">
      <c r="A4474" s="67" t="s">
        <v>3029</v>
      </c>
      <c r="B4474" s="67" t="s">
        <v>2875</v>
      </c>
    </row>
    <row r="4475" spans="1:2" x14ac:dyDescent="0.15">
      <c r="A4475" s="67" t="s">
        <v>3029</v>
      </c>
      <c r="B4475" s="67" t="s">
        <v>2803</v>
      </c>
    </row>
    <row r="4476" spans="1:2" x14ac:dyDescent="0.15">
      <c r="A4476" s="67" t="s">
        <v>3029</v>
      </c>
      <c r="B4476" s="67" t="s">
        <v>2804</v>
      </c>
    </row>
    <row r="4477" spans="1:2" x14ac:dyDescent="0.15">
      <c r="A4477" s="67" t="s">
        <v>3029</v>
      </c>
      <c r="B4477" s="67" t="s">
        <v>2844</v>
      </c>
    </row>
    <row r="4478" spans="1:2" x14ac:dyDescent="0.15">
      <c r="A4478" s="67" t="s">
        <v>3029</v>
      </c>
      <c r="B4478" s="67" t="s">
        <v>3033</v>
      </c>
    </row>
    <row r="4479" spans="1:2" x14ac:dyDescent="0.15">
      <c r="A4479" s="67" t="s">
        <v>3029</v>
      </c>
      <c r="B4479" s="67" t="s">
        <v>2876</v>
      </c>
    </row>
    <row r="4480" spans="1:2" x14ac:dyDescent="0.15">
      <c r="A4480" s="67" t="s">
        <v>3034</v>
      </c>
      <c r="B4480" s="67" t="s">
        <v>3035</v>
      </c>
    </row>
    <row r="4481" spans="1:2" x14ac:dyDescent="0.15">
      <c r="A4481" s="67" t="s">
        <v>3029</v>
      </c>
      <c r="B4481" s="67" t="s">
        <v>2877</v>
      </c>
    </row>
    <row r="4482" spans="1:2" x14ac:dyDescent="0.15">
      <c r="A4482" s="67" t="s">
        <v>3029</v>
      </c>
      <c r="B4482" s="67" t="s">
        <v>2805</v>
      </c>
    </row>
    <row r="4483" spans="1:2" x14ac:dyDescent="0.15">
      <c r="A4483" s="67" t="s">
        <v>3029</v>
      </c>
      <c r="B4483" s="67" t="s">
        <v>3036</v>
      </c>
    </row>
    <row r="4484" spans="1:2" x14ac:dyDescent="0.15">
      <c r="A4484" s="67" t="s">
        <v>3029</v>
      </c>
      <c r="B4484" s="67" t="s">
        <v>2878</v>
      </c>
    </row>
    <row r="4485" spans="1:2" x14ac:dyDescent="0.15">
      <c r="A4485" s="67" t="s">
        <v>3037</v>
      </c>
      <c r="B4485" s="67" t="s">
        <v>2979</v>
      </c>
    </row>
    <row r="4486" spans="1:2" x14ac:dyDescent="0.15">
      <c r="A4486" s="67" t="s">
        <v>3029</v>
      </c>
      <c r="B4486" s="67" t="s">
        <v>3038</v>
      </c>
    </row>
    <row r="4487" spans="1:2" x14ac:dyDescent="0.15">
      <c r="A4487" s="67" t="s">
        <v>3029</v>
      </c>
      <c r="B4487" s="67" t="s">
        <v>3039</v>
      </c>
    </row>
    <row r="4488" spans="1:2" x14ac:dyDescent="0.15">
      <c r="A4488" s="67" t="s">
        <v>3029</v>
      </c>
      <c r="B4488" s="67" t="s">
        <v>3040</v>
      </c>
    </row>
    <row r="4489" spans="1:2" x14ac:dyDescent="0.15">
      <c r="A4489" s="67" t="s">
        <v>3029</v>
      </c>
      <c r="B4489" s="67" t="s">
        <v>3041</v>
      </c>
    </row>
    <row r="4490" spans="1:2" x14ac:dyDescent="0.15">
      <c r="A4490" s="67" t="s">
        <v>3029</v>
      </c>
      <c r="B4490" s="67" t="s">
        <v>3042</v>
      </c>
    </row>
    <row r="4491" spans="1:2" x14ac:dyDescent="0.15">
      <c r="A4491" s="67" t="s">
        <v>3029</v>
      </c>
      <c r="B4491" s="67" t="s">
        <v>3043</v>
      </c>
    </row>
    <row r="4492" spans="1:2" x14ac:dyDescent="0.15">
      <c r="A4492" s="67" t="s">
        <v>3044</v>
      </c>
      <c r="B4492" s="67" t="s">
        <v>3045</v>
      </c>
    </row>
    <row r="4493" spans="1:2" x14ac:dyDescent="0.15">
      <c r="A4493" s="67" t="s">
        <v>3044</v>
      </c>
      <c r="B4493" s="67" t="s">
        <v>2879</v>
      </c>
    </row>
    <row r="4494" spans="1:2" x14ac:dyDescent="0.15">
      <c r="A4494" s="67" t="s">
        <v>3044</v>
      </c>
      <c r="B4494" s="67" t="s">
        <v>3046</v>
      </c>
    </row>
    <row r="4495" spans="1:2" x14ac:dyDescent="0.15">
      <c r="A4495" s="67" t="s">
        <v>3044</v>
      </c>
      <c r="B4495" s="67" t="s">
        <v>3047</v>
      </c>
    </row>
    <row r="4496" spans="1:2" x14ac:dyDescent="0.15">
      <c r="A4496" s="67" t="s">
        <v>3044</v>
      </c>
      <c r="B4496" s="67" t="s">
        <v>3048</v>
      </c>
    </row>
    <row r="4497" spans="1:2" x14ac:dyDescent="0.15">
      <c r="A4497" s="67" t="s">
        <v>3044</v>
      </c>
      <c r="B4497" s="67" t="s">
        <v>2880</v>
      </c>
    </row>
    <row r="4498" spans="1:2" x14ac:dyDescent="0.15">
      <c r="A4498" s="67" t="s">
        <v>3044</v>
      </c>
      <c r="B4498" s="67" t="s">
        <v>3049</v>
      </c>
    </row>
    <row r="4499" spans="1:2" x14ac:dyDescent="0.15">
      <c r="A4499" s="67" t="s">
        <v>3044</v>
      </c>
      <c r="B4499" s="67" t="s">
        <v>3050</v>
      </c>
    </row>
    <row r="4500" spans="1:2" x14ac:dyDescent="0.15">
      <c r="A4500" s="67" t="s">
        <v>3044</v>
      </c>
      <c r="B4500" s="67" t="s">
        <v>3051</v>
      </c>
    </row>
    <row r="4501" spans="1:2" x14ac:dyDescent="0.15">
      <c r="A4501" s="67" t="s">
        <v>3044</v>
      </c>
      <c r="B4501" s="67" t="s">
        <v>3052</v>
      </c>
    </row>
    <row r="4502" spans="1:2" x14ac:dyDescent="0.15">
      <c r="A4502" s="67" t="s">
        <v>3044</v>
      </c>
      <c r="B4502" s="67" t="s">
        <v>3053</v>
      </c>
    </row>
    <row r="4503" spans="1:2" x14ac:dyDescent="0.15">
      <c r="A4503" s="67" t="s">
        <v>3044</v>
      </c>
      <c r="B4503" s="67" t="s">
        <v>3054</v>
      </c>
    </row>
    <row r="4504" spans="1:2" x14ac:dyDescent="0.15">
      <c r="A4504" s="67" t="s">
        <v>3044</v>
      </c>
      <c r="B4504" s="67" t="s">
        <v>3055</v>
      </c>
    </row>
    <row r="4505" spans="1:2" x14ac:dyDescent="0.15">
      <c r="A4505" s="67" t="s">
        <v>3044</v>
      </c>
      <c r="B4505" s="67" t="s">
        <v>3056</v>
      </c>
    </row>
    <row r="4506" spans="1:2" x14ac:dyDescent="0.15">
      <c r="A4506" s="67" t="s">
        <v>3057</v>
      </c>
      <c r="B4506" s="67" t="s">
        <v>1489</v>
      </c>
    </row>
    <row r="4507" spans="1:2" x14ac:dyDescent="0.15">
      <c r="A4507" s="67" t="s">
        <v>3057</v>
      </c>
      <c r="B4507" s="67" t="s">
        <v>1490</v>
      </c>
    </row>
    <row r="4508" spans="1:2" x14ac:dyDescent="0.15">
      <c r="A4508" s="67" t="s">
        <v>3057</v>
      </c>
      <c r="B4508" s="67" t="s">
        <v>3058</v>
      </c>
    </row>
    <row r="4509" spans="1:2" x14ac:dyDescent="0.15">
      <c r="A4509" s="67" t="s">
        <v>3057</v>
      </c>
      <c r="B4509" s="67" t="s">
        <v>1496</v>
      </c>
    </row>
    <row r="4510" spans="1:2" x14ac:dyDescent="0.15">
      <c r="A4510" s="67" t="s">
        <v>3057</v>
      </c>
      <c r="B4510" s="67" t="s">
        <v>3059</v>
      </c>
    </row>
    <row r="4511" spans="1:2" x14ac:dyDescent="0.15">
      <c r="A4511" s="67" t="s">
        <v>3057</v>
      </c>
      <c r="B4511" s="67" t="s">
        <v>3060</v>
      </c>
    </row>
    <row r="4512" spans="1:2" x14ac:dyDescent="0.15">
      <c r="A4512" s="67" t="s">
        <v>3057</v>
      </c>
      <c r="B4512" s="67" t="s">
        <v>2884</v>
      </c>
    </row>
    <row r="4513" spans="1:2" x14ac:dyDescent="0.15">
      <c r="A4513" s="67" t="s">
        <v>3061</v>
      </c>
      <c r="B4513" s="67" t="s">
        <v>3062</v>
      </c>
    </row>
    <row r="4514" spans="1:2" x14ac:dyDescent="0.15">
      <c r="A4514" s="67" t="s">
        <v>3057</v>
      </c>
      <c r="B4514" s="67" t="s">
        <v>3063</v>
      </c>
    </row>
    <row r="4515" spans="1:2" x14ac:dyDescent="0.15">
      <c r="A4515" s="67" t="s">
        <v>3057</v>
      </c>
      <c r="B4515" s="67" t="s">
        <v>2640</v>
      </c>
    </row>
    <row r="4516" spans="1:2" x14ac:dyDescent="0.15">
      <c r="A4516" s="67" t="s">
        <v>3057</v>
      </c>
      <c r="B4516" s="67" t="s">
        <v>2885</v>
      </c>
    </row>
    <row r="4517" spans="1:2" x14ac:dyDescent="0.15">
      <c r="A4517" s="67" t="s">
        <v>3064</v>
      </c>
      <c r="B4517" s="67" t="s">
        <v>3065</v>
      </c>
    </row>
    <row r="4518" spans="1:2" x14ac:dyDescent="0.15">
      <c r="A4518" s="67" t="s">
        <v>3057</v>
      </c>
      <c r="B4518" s="67" t="s">
        <v>2830</v>
      </c>
    </row>
    <row r="4519" spans="1:2" x14ac:dyDescent="0.15">
      <c r="A4519" s="67" t="s">
        <v>3066</v>
      </c>
      <c r="B4519" s="67" t="s">
        <v>3067</v>
      </c>
    </row>
    <row r="4520" spans="1:2" x14ac:dyDescent="0.15">
      <c r="A4520" s="67" t="s">
        <v>3057</v>
      </c>
      <c r="B4520" s="67" t="s">
        <v>2829</v>
      </c>
    </row>
    <row r="4521" spans="1:2" x14ac:dyDescent="0.15">
      <c r="A4521" s="67" t="s">
        <v>3057</v>
      </c>
      <c r="B4521" s="67" t="s">
        <v>3068</v>
      </c>
    </row>
    <row r="4522" spans="1:2" x14ac:dyDescent="0.15">
      <c r="A4522" s="67" t="s">
        <v>3057</v>
      </c>
      <c r="B4522" s="67" t="s">
        <v>1495</v>
      </c>
    </row>
    <row r="4523" spans="1:2" x14ac:dyDescent="0.15">
      <c r="A4523" s="67" t="s">
        <v>3057</v>
      </c>
      <c r="B4523" s="67" t="s">
        <v>3069</v>
      </c>
    </row>
    <row r="4524" spans="1:2" x14ac:dyDescent="0.15">
      <c r="A4524" s="67" t="s">
        <v>3057</v>
      </c>
      <c r="B4524" s="67" t="s">
        <v>2914</v>
      </c>
    </row>
    <row r="4525" spans="1:2" x14ac:dyDescent="0.15">
      <c r="A4525" s="67" t="s">
        <v>3070</v>
      </c>
      <c r="B4525" s="67" t="s">
        <v>3071</v>
      </c>
    </row>
    <row r="4526" spans="1:2" x14ac:dyDescent="0.15">
      <c r="A4526" s="67" t="s">
        <v>3070</v>
      </c>
      <c r="B4526" s="67" t="s">
        <v>3072</v>
      </c>
    </row>
    <row r="4527" spans="1:2" x14ac:dyDescent="0.15">
      <c r="A4527" s="67" t="s">
        <v>3070</v>
      </c>
      <c r="B4527" s="67" t="s">
        <v>3073</v>
      </c>
    </row>
    <row r="4528" spans="1:2" x14ac:dyDescent="0.15">
      <c r="A4528" s="67" t="s">
        <v>3057</v>
      </c>
      <c r="B4528" s="67" t="s">
        <v>3074</v>
      </c>
    </row>
    <row r="4529" spans="1:2" x14ac:dyDescent="0.15">
      <c r="A4529" s="67" t="s">
        <v>3057</v>
      </c>
      <c r="B4529" s="67" t="s">
        <v>3075</v>
      </c>
    </row>
    <row r="4530" spans="1:2" x14ac:dyDescent="0.15">
      <c r="A4530" s="67" t="s">
        <v>3076</v>
      </c>
      <c r="B4530" s="67" t="s">
        <v>1508</v>
      </c>
    </row>
    <row r="4531" spans="1:2" x14ac:dyDescent="0.15">
      <c r="A4531" s="67" t="s">
        <v>3076</v>
      </c>
      <c r="B4531" s="67" t="s">
        <v>3077</v>
      </c>
    </row>
    <row r="4532" spans="1:2" x14ac:dyDescent="0.15">
      <c r="A4532" s="67" t="s">
        <v>3076</v>
      </c>
      <c r="B4532" s="67" t="s">
        <v>1506</v>
      </c>
    </row>
    <row r="4533" spans="1:2" x14ac:dyDescent="0.15">
      <c r="A4533" s="67" t="s">
        <v>3076</v>
      </c>
      <c r="B4533" s="67" t="s">
        <v>1507</v>
      </c>
    </row>
    <row r="4534" spans="1:2" x14ac:dyDescent="0.15">
      <c r="A4534" s="67" t="s">
        <v>3076</v>
      </c>
      <c r="B4534" s="67" t="s">
        <v>3078</v>
      </c>
    </row>
    <row r="4535" spans="1:2" x14ac:dyDescent="0.15">
      <c r="A4535" s="67" t="s">
        <v>3076</v>
      </c>
      <c r="B4535" s="67" t="s">
        <v>3079</v>
      </c>
    </row>
    <row r="4536" spans="1:2" x14ac:dyDescent="0.15">
      <c r="A4536" s="67" t="s">
        <v>3076</v>
      </c>
      <c r="B4536" s="67" t="s">
        <v>3080</v>
      </c>
    </row>
    <row r="4537" spans="1:2" x14ac:dyDescent="0.15">
      <c r="A4537" s="67" t="s">
        <v>3076</v>
      </c>
      <c r="B4537" s="67" t="s">
        <v>3081</v>
      </c>
    </row>
    <row r="4538" spans="1:2" x14ac:dyDescent="0.15">
      <c r="A4538" s="67" t="s">
        <v>3076</v>
      </c>
      <c r="B4538" s="67" t="s">
        <v>3082</v>
      </c>
    </row>
    <row r="4539" spans="1:2" x14ac:dyDescent="0.15">
      <c r="A4539" s="67" t="s">
        <v>3076</v>
      </c>
      <c r="B4539" s="67" t="s">
        <v>3083</v>
      </c>
    </row>
    <row r="4540" spans="1:2" x14ac:dyDescent="0.15">
      <c r="A4540" s="67" t="s">
        <v>3076</v>
      </c>
      <c r="B4540" s="67" t="s">
        <v>2889</v>
      </c>
    </row>
    <row r="4541" spans="1:2" x14ac:dyDescent="0.15">
      <c r="A4541" s="67" t="s">
        <v>3076</v>
      </c>
      <c r="B4541" s="67" t="s">
        <v>3084</v>
      </c>
    </row>
    <row r="4542" spans="1:2" x14ac:dyDescent="0.15">
      <c r="A4542" s="67" t="s">
        <v>3076</v>
      </c>
      <c r="B4542" s="67" t="s">
        <v>3085</v>
      </c>
    </row>
    <row r="4543" spans="1:2" x14ac:dyDescent="0.15">
      <c r="A4543" s="67" t="s">
        <v>3076</v>
      </c>
      <c r="B4543" s="67" t="s">
        <v>1502</v>
      </c>
    </row>
    <row r="4544" spans="1:2" x14ac:dyDescent="0.15">
      <c r="A4544" s="67" t="s">
        <v>3076</v>
      </c>
      <c r="B4544" s="67" t="s">
        <v>2690</v>
      </c>
    </row>
    <row r="4545" spans="1:2" x14ac:dyDescent="0.15">
      <c r="A4545" s="67" t="s">
        <v>3076</v>
      </c>
      <c r="B4545" s="67" t="s">
        <v>3086</v>
      </c>
    </row>
    <row r="4546" spans="1:2" x14ac:dyDescent="0.15">
      <c r="A4546" s="67" t="s">
        <v>3076</v>
      </c>
      <c r="B4546" s="67" t="s">
        <v>3087</v>
      </c>
    </row>
    <row r="4547" spans="1:2" x14ac:dyDescent="0.15">
      <c r="A4547" s="67" t="s">
        <v>3076</v>
      </c>
      <c r="B4547" s="67" t="s">
        <v>3088</v>
      </c>
    </row>
    <row r="4548" spans="1:2" x14ac:dyDescent="0.15">
      <c r="A4548" s="67" t="s">
        <v>3076</v>
      </c>
      <c r="B4548" s="67" t="s">
        <v>3089</v>
      </c>
    </row>
    <row r="4549" spans="1:2" x14ac:dyDescent="0.15">
      <c r="A4549" s="67" t="s">
        <v>3076</v>
      </c>
      <c r="B4549" s="67" t="s">
        <v>3090</v>
      </c>
    </row>
    <row r="4550" spans="1:2" x14ac:dyDescent="0.15">
      <c r="A4550" s="67" t="s">
        <v>3076</v>
      </c>
      <c r="B4550" s="67" t="s">
        <v>1503</v>
      </c>
    </row>
    <row r="4551" spans="1:2" x14ac:dyDescent="0.15">
      <c r="A4551" s="67" t="s">
        <v>3076</v>
      </c>
      <c r="B4551" s="67" t="s">
        <v>2893</v>
      </c>
    </row>
    <row r="4552" spans="1:2" x14ac:dyDescent="0.15">
      <c r="A4552" s="67" t="s">
        <v>3076</v>
      </c>
      <c r="B4552" s="67" t="s">
        <v>3091</v>
      </c>
    </row>
    <row r="4553" spans="1:2" x14ac:dyDescent="0.15">
      <c r="A4553" s="67" t="s">
        <v>3076</v>
      </c>
      <c r="B4553" s="67" t="s">
        <v>3092</v>
      </c>
    </row>
    <row r="4554" spans="1:2" x14ac:dyDescent="0.15">
      <c r="A4554" s="67" t="s">
        <v>3076</v>
      </c>
      <c r="B4554" s="67" t="s">
        <v>3093</v>
      </c>
    </row>
    <row r="4555" spans="1:2" x14ac:dyDescent="0.15">
      <c r="A4555" s="67" t="s">
        <v>3076</v>
      </c>
      <c r="B4555" s="67" t="s">
        <v>3094</v>
      </c>
    </row>
    <row r="4556" spans="1:2" x14ac:dyDescent="0.15">
      <c r="A4556" s="67" t="s">
        <v>3076</v>
      </c>
      <c r="B4556" s="67" t="s">
        <v>3095</v>
      </c>
    </row>
    <row r="4557" spans="1:2" x14ac:dyDescent="0.15">
      <c r="A4557" s="67" t="s">
        <v>3076</v>
      </c>
      <c r="B4557" s="67" t="s">
        <v>3096</v>
      </c>
    </row>
    <row r="4558" spans="1:2" x14ac:dyDescent="0.15">
      <c r="A4558" s="67" t="s">
        <v>3076</v>
      </c>
      <c r="B4558" s="67" t="s">
        <v>2895</v>
      </c>
    </row>
    <row r="4559" spans="1:2" x14ac:dyDescent="0.15">
      <c r="A4559" s="67" t="s">
        <v>3076</v>
      </c>
      <c r="B4559" s="67" t="s">
        <v>3097</v>
      </c>
    </row>
    <row r="4560" spans="1:2" x14ac:dyDescent="0.15">
      <c r="A4560" s="67" t="s">
        <v>3076</v>
      </c>
      <c r="B4560" s="67" t="s">
        <v>1498</v>
      </c>
    </row>
    <row r="4561" spans="1:2" x14ac:dyDescent="0.15">
      <c r="A4561" s="67" t="s">
        <v>3076</v>
      </c>
      <c r="B4561" s="67" t="s">
        <v>3098</v>
      </c>
    </row>
    <row r="4562" spans="1:2" x14ac:dyDescent="0.15">
      <c r="A4562" s="67" t="s">
        <v>3076</v>
      </c>
      <c r="B4562" s="67" t="s">
        <v>3099</v>
      </c>
    </row>
    <row r="4563" spans="1:2" x14ac:dyDescent="0.15">
      <c r="A4563" s="67" t="s">
        <v>3076</v>
      </c>
      <c r="B4563" s="67" t="s">
        <v>3100</v>
      </c>
    </row>
    <row r="4564" spans="1:2" x14ac:dyDescent="0.15">
      <c r="A4564" s="67" t="s">
        <v>3076</v>
      </c>
      <c r="B4564" s="67" t="s">
        <v>2855</v>
      </c>
    </row>
    <row r="4565" spans="1:2" x14ac:dyDescent="0.15">
      <c r="A4565" s="67" t="s">
        <v>3076</v>
      </c>
      <c r="B4565" s="67" t="s">
        <v>3101</v>
      </c>
    </row>
    <row r="4566" spans="1:2" x14ac:dyDescent="0.15">
      <c r="A4566" s="67" t="s">
        <v>3076</v>
      </c>
      <c r="B4566" s="67" t="s">
        <v>3102</v>
      </c>
    </row>
    <row r="4567" spans="1:2" x14ac:dyDescent="0.15">
      <c r="A4567" s="67" t="s">
        <v>3076</v>
      </c>
      <c r="B4567" s="67" t="s">
        <v>2997</v>
      </c>
    </row>
    <row r="4568" spans="1:2" x14ac:dyDescent="0.15">
      <c r="A4568" s="67" t="s">
        <v>3076</v>
      </c>
      <c r="B4568" s="67" t="s">
        <v>3103</v>
      </c>
    </row>
    <row r="4569" spans="1:2" x14ac:dyDescent="0.15">
      <c r="A4569" s="67" t="s">
        <v>3076</v>
      </c>
      <c r="B4569" s="67" t="s">
        <v>3104</v>
      </c>
    </row>
    <row r="4570" spans="1:2" x14ac:dyDescent="0.15">
      <c r="A4570" s="67" t="s">
        <v>3076</v>
      </c>
      <c r="B4570" s="67" t="s">
        <v>3105</v>
      </c>
    </row>
    <row r="4571" spans="1:2" x14ac:dyDescent="0.15">
      <c r="A4571" s="67" t="s">
        <v>3076</v>
      </c>
      <c r="B4571" s="67" t="s">
        <v>2839</v>
      </c>
    </row>
    <row r="4572" spans="1:2" x14ac:dyDescent="0.15">
      <c r="A4572" s="67" t="s">
        <v>3076</v>
      </c>
      <c r="B4572" s="67" t="s">
        <v>3106</v>
      </c>
    </row>
    <row r="4573" spans="1:2" x14ac:dyDescent="0.15">
      <c r="A4573" s="67" t="s">
        <v>3076</v>
      </c>
      <c r="B4573" s="67" t="s">
        <v>3000</v>
      </c>
    </row>
    <row r="4574" spans="1:2" x14ac:dyDescent="0.15">
      <c r="A4574" s="67" t="s">
        <v>3076</v>
      </c>
      <c r="B4574" s="67" t="s">
        <v>1505</v>
      </c>
    </row>
    <row r="4575" spans="1:2" x14ac:dyDescent="0.15">
      <c r="A4575" s="67" t="s">
        <v>3076</v>
      </c>
      <c r="B4575" s="67" t="s">
        <v>3107</v>
      </c>
    </row>
    <row r="4576" spans="1:2" x14ac:dyDescent="0.15">
      <c r="A4576" s="67" t="s">
        <v>3076</v>
      </c>
      <c r="B4576" s="67" t="s">
        <v>3108</v>
      </c>
    </row>
    <row r="4577" spans="1:2" x14ac:dyDescent="0.15">
      <c r="A4577" s="67" t="s">
        <v>3076</v>
      </c>
      <c r="B4577" s="67" t="s">
        <v>3109</v>
      </c>
    </row>
    <row r="4578" spans="1:2" x14ac:dyDescent="0.15">
      <c r="A4578" s="67" t="s">
        <v>3076</v>
      </c>
      <c r="B4578" s="67" t="s">
        <v>3110</v>
      </c>
    </row>
    <row r="4579" spans="1:2" x14ac:dyDescent="0.15">
      <c r="A4579" s="67" t="s">
        <v>3076</v>
      </c>
      <c r="B4579" s="67" t="s">
        <v>3111</v>
      </c>
    </row>
    <row r="4580" spans="1:2" x14ac:dyDescent="0.15">
      <c r="A4580" s="67" t="s">
        <v>3076</v>
      </c>
      <c r="B4580" s="67" t="s">
        <v>3112</v>
      </c>
    </row>
    <row r="4581" spans="1:2" x14ac:dyDescent="0.15">
      <c r="A4581" s="67" t="s">
        <v>3076</v>
      </c>
      <c r="B4581" s="67" t="s">
        <v>3113</v>
      </c>
    </row>
    <row r="4582" spans="1:2" x14ac:dyDescent="0.15">
      <c r="A4582" s="67" t="s">
        <v>3076</v>
      </c>
      <c r="B4582" s="67" t="s">
        <v>3114</v>
      </c>
    </row>
    <row r="4583" spans="1:2" x14ac:dyDescent="0.15">
      <c r="A4583" s="67" t="s">
        <v>3076</v>
      </c>
      <c r="B4583" s="67" t="s">
        <v>3115</v>
      </c>
    </row>
    <row r="4584" spans="1:2" x14ac:dyDescent="0.15">
      <c r="A4584" s="67" t="s">
        <v>3076</v>
      </c>
      <c r="B4584" s="67" t="s">
        <v>3116</v>
      </c>
    </row>
    <row r="4585" spans="1:2" x14ac:dyDescent="0.15">
      <c r="A4585" s="67" t="s">
        <v>3076</v>
      </c>
      <c r="B4585" s="67" t="s">
        <v>3117</v>
      </c>
    </row>
    <row r="4586" spans="1:2" x14ac:dyDescent="0.15">
      <c r="A4586" s="67" t="s">
        <v>3076</v>
      </c>
      <c r="B4586" s="67" t="s">
        <v>3118</v>
      </c>
    </row>
    <row r="4587" spans="1:2" x14ac:dyDescent="0.15">
      <c r="A4587" s="67" t="s">
        <v>3057</v>
      </c>
      <c r="B4587" s="67" t="s">
        <v>3119</v>
      </c>
    </row>
    <row r="4588" spans="1:2" x14ac:dyDescent="0.15">
      <c r="A4588" s="67" t="s">
        <v>3120</v>
      </c>
      <c r="B4588" s="67" t="s">
        <v>3121</v>
      </c>
    </row>
    <row r="4589" spans="1:2" x14ac:dyDescent="0.15">
      <c r="A4589" s="67" t="s">
        <v>3120</v>
      </c>
      <c r="B4589" s="67" t="s">
        <v>3122</v>
      </c>
    </row>
    <row r="4590" spans="1:2" x14ac:dyDescent="0.15">
      <c r="A4590" s="67" t="s">
        <v>3120</v>
      </c>
      <c r="B4590" s="67" t="s">
        <v>3123</v>
      </c>
    </row>
    <row r="4591" spans="1:2" x14ac:dyDescent="0.15">
      <c r="A4591" s="67" t="s">
        <v>3120</v>
      </c>
      <c r="B4591" s="67" t="s">
        <v>3124</v>
      </c>
    </row>
    <row r="4592" spans="1:2" x14ac:dyDescent="0.15">
      <c r="A4592" s="67" t="s">
        <v>3120</v>
      </c>
      <c r="B4592" s="67" t="s">
        <v>3125</v>
      </c>
    </row>
    <row r="4593" spans="1:2" x14ac:dyDescent="0.15">
      <c r="A4593" s="67" t="s">
        <v>3120</v>
      </c>
      <c r="B4593" s="67" t="s">
        <v>3126</v>
      </c>
    </row>
    <row r="4594" spans="1:2" x14ac:dyDescent="0.15">
      <c r="A4594" s="67" t="s">
        <v>3120</v>
      </c>
      <c r="B4594" s="67" t="s">
        <v>3127</v>
      </c>
    </row>
    <row r="4595" spans="1:2" x14ac:dyDescent="0.15">
      <c r="A4595" s="67" t="s">
        <v>3120</v>
      </c>
      <c r="B4595" s="67" t="s">
        <v>3128</v>
      </c>
    </row>
    <row r="4596" spans="1:2" x14ac:dyDescent="0.15">
      <c r="A4596" s="67" t="s">
        <v>3120</v>
      </c>
      <c r="B4596" s="67" t="s">
        <v>3129</v>
      </c>
    </row>
    <row r="4597" spans="1:2" x14ac:dyDescent="0.15">
      <c r="A4597" s="67" t="s">
        <v>3120</v>
      </c>
      <c r="B4597" s="67" t="s">
        <v>3130</v>
      </c>
    </row>
    <row r="4598" spans="1:2" x14ac:dyDescent="0.15">
      <c r="A4598" s="67" t="s">
        <v>3120</v>
      </c>
      <c r="B4598" s="67" t="s">
        <v>3131</v>
      </c>
    </row>
    <row r="4599" spans="1:2" x14ac:dyDescent="0.15">
      <c r="A4599" s="67" t="s">
        <v>3120</v>
      </c>
      <c r="B4599" s="67" t="s">
        <v>3132</v>
      </c>
    </row>
    <row r="4600" spans="1:2" x14ac:dyDescent="0.15">
      <c r="A4600" s="67" t="s">
        <v>3120</v>
      </c>
      <c r="B4600" s="67" t="s">
        <v>3133</v>
      </c>
    </row>
    <row r="4601" spans="1:2" x14ac:dyDescent="0.15">
      <c r="A4601" s="67" t="s">
        <v>3120</v>
      </c>
      <c r="B4601" s="67" t="s">
        <v>3134</v>
      </c>
    </row>
    <row r="4602" spans="1:2" x14ac:dyDescent="0.15">
      <c r="A4602" s="67" t="s">
        <v>3120</v>
      </c>
      <c r="B4602" s="67" t="s">
        <v>3135</v>
      </c>
    </row>
    <row r="4603" spans="1:2" x14ac:dyDescent="0.15">
      <c r="A4603" s="67" t="s">
        <v>3120</v>
      </c>
      <c r="B4603" s="67" t="s">
        <v>2979</v>
      </c>
    </row>
    <row r="4604" spans="1:2" x14ac:dyDescent="0.15">
      <c r="A4604" s="67" t="s">
        <v>3057</v>
      </c>
      <c r="B4604" s="67" t="s">
        <v>3136</v>
      </c>
    </row>
    <row r="4605" spans="1:2" x14ac:dyDescent="0.15">
      <c r="A4605" s="67" t="s">
        <v>3137</v>
      </c>
      <c r="B4605" s="67" t="s">
        <v>2979</v>
      </c>
    </row>
    <row r="4606" spans="1:2" x14ac:dyDescent="0.15">
      <c r="A4606" s="67" t="s">
        <v>3138</v>
      </c>
      <c r="B4606" s="67" t="s">
        <v>3139</v>
      </c>
    </row>
    <row r="4607" spans="1:2" x14ac:dyDescent="0.15">
      <c r="A4607" s="67" t="s">
        <v>3140</v>
      </c>
      <c r="B4607" s="67" t="s">
        <v>3141</v>
      </c>
    </row>
    <row r="4608" spans="1:2" x14ac:dyDescent="0.15">
      <c r="A4608" s="67" t="s">
        <v>3140</v>
      </c>
      <c r="B4608" s="67" t="s">
        <v>3142</v>
      </c>
    </row>
    <row r="4609" spans="1:2" x14ac:dyDescent="0.15">
      <c r="A4609" s="67" t="s">
        <v>3140</v>
      </c>
      <c r="B4609" s="67" t="s">
        <v>3143</v>
      </c>
    </row>
    <row r="4610" spans="1:2" x14ac:dyDescent="0.15">
      <c r="A4610" s="67" t="s">
        <v>3138</v>
      </c>
      <c r="B4610" s="67" t="s">
        <v>3144</v>
      </c>
    </row>
    <row r="4611" spans="1:2" x14ac:dyDescent="0.15">
      <c r="A4611" s="67" t="s">
        <v>3138</v>
      </c>
      <c r="B4611" s="67" t="s">
        <v>3145</v>
      </c>
    </row>
    <row r="4612" spans="1:2" x14ac:dyDescent="0.15">
      <c r="A4612" s="67" t="s">
        <v>3138</v>
      </c>
      <c r="B4612" s="67" t="s">
        <v>3146</v>
      </c>
    </row>
    <row r="4613" spans="1:2" x14ac:dyDescent="0.15">
      <c r="A4613" s="67" t="s">
        <v>3138</v>
      </c>
      <c r="B4613" s="67" t="s">
        <v>3147</v>
      </c>
    </row>
    <row r="4614" spans="1:2" x14ac:dyDescent="0.15">
      <c r="A4614" s="67" t="s">
        <v>3138</v>
      </c>
      <c r="B4614" s="67" t="s">
        <v>2854</v>
      </c>
    </row>
    <row r="4615" spans="1:2" x14ac:dyDescent="0.15">
      <c r="A4615" s="67" t="s">
        <v>3138</v>
      </c>
      <c r="B4615" s="67" t="s">
        <v>2764</v>
      </c>
    </row>
    <row r="4616" spans="1:2" x14ac:dyDescent="0.15">
      <c r="A4616" s="67" t="s">
        <v>3138</v>
      </c>
      <c r="B4616" s="67" t="s">
        <v>2899</v>
      </c>
    </row>
    <row r="4617" spans="1:2" x14ac:dyDescent="0.15">
      <c r="A4617" s="67" t="s">
        <v>3138</v>
      </c>
      <c r="B4617" s="67" t="s">
        <v>3148</v>
      </c>
    </row>
    <row r="4618" spans="1:2" x14ac:dyDescent="0.15">
      <c r="A4618" s="67" t="s">
        <v>3138</v>
      </c>
      <c r="B4618" s="67" t="s">
        <v>3149</v>
      </c>
    </row>
    <row r="4619" spans="1:2" x14ac:dyDescent="0.15">
      <c r="A4619" s="67" t="s">
        <v>3138</v>
      </c>
      <c r="B4619" s="67" t="s">
        <v>2900</v>
      </c>
    </row>
    <row r="4620" spans="1:2" x14ac:dyDescent="0.15">
      <c r="A4620" s="67" t="s">
        <v>3138</v>
      </c>
      <c r="B4620" s="67" t="s">
        <v>2902</v>
      </c>
    </row>
    <row r="4621" spans="1:2" x14ac:dyDescent="0.15">
      <c r="A4621" s="67" t="s">
        <v>3138</v>
      </c>
      <c r="B4621" s="67" t="s">
        <v>2903</v>
      </c>
    </row>
    <row r="4622" spans="1:2" x14ac:dyDescent="0.15">
      <c r="A4622" s="67" t="s">
        <v>3138</v>
      </c>
      <c r="B4622" s="67" t="s">
        <v>3150</v>
      </c>
    </row>
    <row r="4623" spans="1:2" x14ac:dyDescent="0.15">
      <c r="A4623" s="67" t="s">
        <v>3138</v>
      </c>
      <c r="B4623" s="67" t="s">
        <v>2904</v>
      </c>
    </row>
    <row r="4624" spans="1:2" x14ac:dyDescent="0.15">
      <c r="A4624" s="67" t="s">
        <v>3138</v>
      </c>
      <c r="B4624" s="67" t="s">
        <v>3151</v>
      </c>
    </row>
    <row r="4625" spans="1:2" x14ac:dyDescent="0.15">
      <c r="A4625" s="67" t="s">
        <v>3138</v>
      </c>
      <c r="B4625" s="67" t="s">
        <v>2901</v>
      </c>
    </row>
    <row r="4626" spans="1:2" x14ac:dyDescent="0.15">
      <c r="A4626" s="67" t="s">
        <v>3138</v>
      </c>
      <c r="B4626" s="67" t="s">
        <v>2905</v>
      </c>
    </row>
    <row r="4627" spans="1:2" x14ac:dyDescent="0.15">
      <c r="A4627" s="67" t="s">
        <v>3138</v>
      </c>
      <c r="B4627" s="67" t="s">
        <v>2913</v>
      </c>
    </row>
    <row r="4628" spans="1:2" x14ac:dyDescent="0.15">
      <c r="A4628" s="67" t="s">
        <v>3152</v>
      </c>
      <c r="B4628" s="67" t="s">
        <v>3153</v>
      </c>
    </row>
    <row r="4629" spans="1:2" x14ac:dyDescent="0.15">
      <c r="A4629" s="67" t="s">
        <v>3138</v>
      </c>
      <c r="B4629" s="67" t="s">
        <v>2906</v>
      </c>
    </row>
    <row r="4630" spans="1:2" x14ac:dyDescent="0.15">
      <c r="A4630" s="67" t="s">
        <v>3138</v>
      </c>
      <c r="B4630" s="67" t="s">
        <v>2907</v>
      </c>
    </row>
    <row r="4631" spans="1:2" x14ac:dyDescent="0.15">
      <c r="A4631" s="67" t="s">
        <v>3138</v>
      </c>
      <c r="B4631" s="67" t="s">
        <v>2909</v>
      </c>
    </row>
    <row r="4632" spans="1:2" x14ac:dyDescent="0.15">
      <c r="A4632" s="67" t="s">
        <v>3138</v>
      </c>
      <c r="B4632" s="67" t="s">
        <v>3154</v>
      </c>
    </row>
    <row r="4633" spans="1:2" x14ac:dyDescent="0.15">
      <c r="A4633" s="67" t="s">
        <v>3138</v>
      </c>
      <c r="B4633" s="67" t="s">
        <v>3155</v>
      </c>
    </row>
    <row r="4634" spans="1:2" x14ac:dyDescent="0.15">
      <c r="A4634" s="67" t="s">
        <v>3156</v>
      </c>
      <c r="B4634" s="67" t="s">
        <v>3157</v>
      </c>
    </row>
    <row r="4635" spans="1:2" x14ac:dyDescent="0.15">
      <c r="A4635" s="67" t="s">
        <v>3156</v>
      </c>
      <c r="B4635" s="67" t="s">
        <v>3158</v>
      </c>
    </row>
    <row r="4636" spans="1:2" x14ac:dyDescent="0.15">
      <c r="A4636" s="67" t="s">
        <v>3156</v>
      </c>
      <c r="B4636" s="67" t="s">
        <v>3159</v>
      </c>
    </row>
    <row r="4637" spans="1:2" x14ac:dyDescent="0.15">
      <c r="A4637" s="67" t="s">
        <v>3156</v>
      </c>
      <c r="B4637" s="67" t="s">
        <v>4470</v>
      </c>
    </row>
    <row r="4638" spans="1:2" x14ac:dyDescent="0.15">
      <c r="A4638" s="67" t="s">
        <v>3156</v>
      </c>
      <c r="B4638" s="67" t="s">
        <v>3160</v>
      </c>
    </row>
    <row r="4639" spans="1:2" x14ac:dyDescent="0.15">
      <c r="A4639" s="67" t="s">
        <v>3156</v>
      </c>
      <c r="B4639" s="67" t="s">
        <v>3161</v>
      </c>
    </row>
    <row r="4640" spans="1:2" x14ac:dyDescent="0.15">
      <c r="A4640" s="67" t="s">
        <v>3156</v>
      </c>
      <c r="B4640" s="67" t="s">
        <v>3162</v>
      </c>
    </row>
    <row r="4641" spans="1:2" x14ac:dyDescent="0.15">
      <c r="A4641" s="67" t="s">
        <v>3156</v>
      </c>
      <c r="B4641" s="67" t="s">
        <v>3163</v>
      </c>
    </row>
    <row r="4642" spans="1:2" x14ac:dyDescent="0.15">
      <c r="A4642" s="67" t="s">
        <v>3164</v>
      </c>
      <c r="B4642" s="67" t="s">
        <v>2495</v>
      </c>
    </row>
    <row r="4643" spans="1:2" x14ac:dyDescent="0.15">
      <c r="A4643" s="67" t="s">
        <v>3165</v>
      </c>
      <c r="B4643" s="67" t="s">
        <v>3166</v>
      </c>
    </row>
    <row r="4644" spans="1:2" x14ac:dyDescent="0.15">
      <c r="A4644" s="67" t="s">
        <v>3164</v>
      </c>
      <c r="B4644" s="67" t="s">
        <v>2914</v>
      </c>
    </row>
    <row r="4645" spans="1:2" x14ac:dyDescent="0.15">
      <c r="A4645" s="67" t="s">
        <v>3164</v>
      </c>
      <c r="B4645" s="67" t="s">
        <v>2908</v>
      </c>
    </row>
    <row r="4646" spans="1:2" x14ac:dyDescent="0.15">
      <c r="A4646" s="67" t="s">
        <v>3164</v>
      </c>
      <c r="B4646" s="67" t="s">
        <v>3167</v>
      </c>
    </row>
    <row r="4647" spans="1:2" x14ac:dyDescent="0.15">
      <c r="A4647" s="67" t="s">
        <v>3164</v>
      </c>
      <c r="B4647" s="67" t="s">
        <v>2911</v>
      </c>
    </row>
    <row r="4648" spans="1:2" x14ac:dyDescent="0.15">
      <c r="A4648" s="67" t="s">
        <v>3168</v>
      </c>
      <c r="B4648" s="67" t="s">
        <v>2979</v>
      </c>
    </row>
    <row r="4649" spans="1:2" x14ac:dyDescent="0.15">
      <c r="A4649" s="67" t="s">
        <v>3164</v>
      </c>
      <c r="B4649" s="67" t="s">
        <v>3169</v>
      </c>
    </row>
    <row r="4650" spans="1:2" x14ac:dyDescent="0.15">
      <c r="A4650" s="67" t="s">
        <v>3164</v>
      </c>
      <c r="B4650" s="67" t="s">
        <v>3170</v>
      </c>
    </row>
    <row r="4651" spans="1:2" x14ac:dyDescent="0.15">
      <c r="A4651" s="67" t="s">
        <v>3171</v>
      </c>
      <c r="B4651" s="67" t="s">
        <v>3172</v>
      </c>
    </row>
    <row r="4652" spans="1:2" x14ac:dyDescent="0.15">
      <c r="A4652" s="67" t="s">
        <v>3171</v>
      </c>
      <c r="B4652" s="67" t="s">
        <v>3173</v>
      </c>
    </row>
    <row r="4653" spans="1:2" x14ac:dyDescent="0.15">
      <c r="A4653" s="67" t="s">
        <v>3171</v>
      </c>
      <c r="B4653" s="67" t="s">
        <v>2979</v>
      </c>
    </row>
    <row r="4654" spans="1:2" x14ac:dyDescent="0.15">
      <c r="A4654" s="67" t="s">
        <v>3164</v>
      </c>
      <c r="B4654" s="67" t="s">
        <v>3174</v>
      </c>
    </row>
    <row r="4655" spans="1:2" x14ac:dyDescent="0.15">
      <c r="A4655" s="67" t="s">
        <v>3164</v>
      </c>
      <c r="B4655" s="67" t="s">
        <v>3175</v>
      </c>
    </row>
    <row r="4656" spans="1:2" x14ac:dyDescent="0.15">
      <c r="A4656" s="67" t="s">
        <v>3164</v>
      </c>
      <c r="B4656" s="67" t="s">
        <v>3176</v>
      </c>
    </row>
    <row r="4657" spans="1:2" x14ac:dyDescent="0.15">
      <c r="A4657" s="67" t="s">
        <v>3164</v>
      </c>
      <c r="B4657" s="67" t="s">
        <v>3177</v>
      </c>
    </row>
    <row r="4658" spans="1:2" x14ac:dyDescent="0.15">
      <c r="A4658" s="67" t="s">
        <v>3178</v>
      </c>
      <c r="B4658" s="67" t="s">
        <v>3179</v>
      </c>
    </row>
    <row r="4659" spans="1:2" x14ac:dyDescent="0.15">
      <c r="A4659" s="67" t="s">
        <v>3178</v>
      </c>
      <c r="B4659" s="67" t="s">
        <v>3180</v>
      </c>
    </row>
    <row r="4660" spans="1:2" x14ac:dyDescent="0.15">
      <c r="A4660" s="67" t="s">
        <v>3178</v>
      </c>
      <c r="B4660" s="67" t="s">
        <v>3181</v>
      </c>
    </row>
    <row r="4661" spans="1:2" x14ac:dyDescent="0.15">
      <c r="A4661" s="67" t="s">
        <v>3178</v>
      </c>
      <c r="B4661" s="67" t="s">
        <v>3182</v>
      </c>
    </row>
    <row r="4662" spans="1:2" x14ac:dyDescent="0.15">
      <c r="A4662" s="11" t="s">
        <v>6286</v>
      </c>
      <c r="B4662" s="11" t="s">
        <v>249</v>
      </c>
    </row>
    <row r="4663" spans="1:2" x14ac:dyDescent="0.15">
      <c r="A4663" s="84" t="s">
        <v>6323</v>
      </c>
      <c r="B4663" s="67"/>
    </row>
    <row r="4664" spans="1:2" x14ac:dyDescent="0.15">
      <c r="A4664" s="8" t="s">
        <v>6284</v>
      </c>
      <c r="B4664" s="8" t="s">
        <v>242</v>
      </c>
    </row>
    <row r="4665" spans="1:2" x14ac:dyDescent="0.15">
      <c r="A4665" s="84" t="s">
        <v>6324</v>
      </c>
      <c r="B4665" s="67"/>
    </row>
    <row r="4666" spans="1:2" x14ac:dyDescent="0.15">
      <c r="A4666" s="8" t="s">
        <v>6285</v>
      </c>
      <c r="B4666" s="8" t="s">
        <v>242</v>
      </c>
    </row>
    <row r="4667" spans="1:2" x14ac:dyDescent="0.15">
      <c r="A4667" s="84" t="s">
        <v>6325</v>
      </c>
      <c r="B4667" s="67"/>
    </row>
    <row r="4668" spans="1:2" x14ac:dyDescent="0.15">
      <c r="A4668" s="11" t="s">
        <v>6283</v>
      </c>
      <c r="B4668" s="11" t="s">
        <v>263</v>
      </c>
    </row>
    <row r="4669" spans="1:2" x14ac:dyDescent="0.15">
      <c r="A4669" s="84" t="s">
        <v>6326</v>
      </c>
      <c r="B4669" s="67"/>
    </row>
    <row r="4670" spans="1:2" x14ac:dyDescent="0.15">
      <c r="A4670" s="67"/>
      <c r="B4670" s="67" t="s">
        <v>1371</v>
      </c>
    </row>
    <row r="4671" spans="1:2" x14ac:dyDescent="0.15">
      <c r="A4671" s="67"/>
      <c r="B4671" s="67" t="s">
        <v>3183</v>
      </c>
    </row>
    <row r="4672" spans="1:2" x14ac:dyDescent="0.15">
      <c r="A4672" s="67"/>
      <c r="B4672" s="67" t="s">
        <v>3184</v>
      </c>
    </row>
    <row r="4673" spans="1:2" x14ac:dyDescent="0.15">
      <c r="A4673" s="67"/>
      <c r="B4673" s="67" t="s">
        <v>3185</v>
      </c>
    </row>
    <row r="4674" spans="1:2" x14ac:dyDescent="0.15">
      <c r="A4674" s="67"/>
      <c r="B4674" s="67" t="s">
        <v>3186</v>
      </c>
    </row>
    <row r="4675" spans="1:2" x14ac:dyDescent="0.15">
      <c r="A4675" s="67" t="s">
        <v>2201</v>
      </c>
      <c r="B4675" s="67" t="s">
        <v>3187</v>
      </c>
    </row>
    <row r="4676" spans="1:2" x14ac:dyDescent="0.15">
      <c r="A4676" s="67" t="s">
        <v>2231</v>
      </c>
      <c r="B4676" s="67" t="s">
        <v>3188</v>
      </c>
    </row>
    <row r="4677" spans="1:2" x14ac:dyDescent="0.15">
      <c r="A4677" s="67" t="s">
        <v>2125</v>
      </c>
      <c r="B4677" s="67" t="s">
        <v>3189</v>
      </c>
    </row>
    <row r="4678" spans="1:2" x14ac:dyDescent="0.15">
      <c r="A4678" s="67" t="s">
        <v>2301</v>
      </c>
      <c r="B4678" s="67" t="s">
        <v>3190</v>
      </c>
    </row>
    <row r="4679" spans="1:2" x14ac:dyDescent="0.15">
      <c r="A4679" s="67" t="s">
        <v>2301</v>
      </c>
      <c r="B4679" s="67" t="s">
        <v>3191</v>
      </c>
    </row>
    <row r="4680" spans="1:2" x14ac:dyDescent="0.15">
      <c r="A4680" s="67" t="s">
        <v>2313</v>
      </c>
      <c r="B4680" s="67" t="s">
        <v>3192</v>
      </c>
    </row>
    <row r="4681" spans="1:2" x14ac:dyDescent="0.15">
      <c r="A4681" s="67" t="s">
        <v>2313</v>
      </c>
      <c r="B4681" s="67" t="s">
        <v>3193</v>
      </c>
    </row>
    <row r="4682" spans="1:2" x14ac:dyDescent="0.15">
      <c r="A4682" s="67" t="s">
        <v>2313</v>
      </c>
      <c r="B4682" s="67" t="s">
        <v>3194</v>
      </c>
    </row>
    <row r="4683" spans="1:2" x14ac:dyDescent="0.15">
      <c r="A4683" s="67" t="s">
        <v>2350</v>
      </c>
      <c r="B4683" s="67" t="s">
        <v>3195</v>
      </c>
    </row>
    <row r="4684" spans="1:2" x14ac:dyDescent="0.15">
      <c r="A4684" s="67" t="s">
        <v>2350</v>
      </c>
      <c r="B4684" s="67" t="s">
        <v>3196</v>
      </c>
    </row>
    <row r="4685" spans="1:2" x14ac:dyDescent="0.15">
      <c r="A4685" s="67" t="s">
        <v>2350</v>
      </c>
      <c r="B4685" s="67" t="s">
        <v>3197</v>
      </c>
    </row>
    <row r="4686" spans="1:2" x14ac:dyDescent="0.15">
      <c r="A4686" s="67" t="s">
        <v>2841</v>
      </c>
      <c r="B4686" s="67" t="s">
        <v>3198</v>
      </c>
    </row>
    <row r="4687" spans="1:2" x14ac:dyDescent="0.15">
      <c r="A4687" s="67" t="s">
        <v>2841</v>
      </c>
      <c r="B4687" s="67" t="s">
        <v>3199</v>
      </c>
    </row>
    <row r="4688" spans="1:2" x14ac:dyDescent="0.15">
      <c r="A4688" s="67" t="s">
        <v>2841</v>
      </c>
      <c r="B4688" s="67" t="s">
        <v>3200</v>
      </c>
    </row>
    <row r="4689" spans="1:2" x14ac:dyDescent="0.15">
      <c r="A4689" s="67" t="s">
        <v>2847</v>
      </c>
      <c r="B4689" s="67" t="s">
        <v>3201</v>
      </c>
    </row>
    <row r="4690" spans="1:2" x14ac:dyDescent="0.15">
      <c r="A4690" s="67" t="s">
        <v>2847</v>
      </c>
      <c r="B4690" s="67" t="s">
        <v>3202</v>
      </c>
    </row>
    <row r="4691" spans="1:2" x14ac:dyDescent="0.15">
      <c r="A4691" s="67" t="s">
        <v>2847</v>
      </c>
      <c r="B4691" s="67" t="s">
        <v>3203</v>
      </c>
    </row>
    <row r="4692" spans="1:2" x14ac:dyDescent="0.15">
      <c r="A4692" s="67" t="s">
        <v>2847</v>
      </c>
      <c r="B4692" s="67" t="s">
        <v>3204</v>
      </c>
    </row>
    <row r="4693" spans="1:2" x14ac:dyDescent="0.15">
      <c r="A4693" s="67" t="s">
        <v>2847</v>
      </c>
      <c r="B4693" s="67" t="s">
        <v>3205</v>
      </c>
    </row>
    <row r="4694" spans="1:2" x14ac:dyDescent="0.15">
      <c r="A4694" s="67" t="s">
        <v>2847</v>
      </c>
      <c r="B4694" s="67" t="s">
        <v>3206</v>
      </c>
    </row>
    <row r="4695" spans="1:2" x14ac:dyDescent="0.15">
      <c r="A4695" s="67" t="s">
        <v>2847</v>
      </c>
      <c r="B4695" s="67" t="s">
        <v>3207</v>
      </c>
    </row>
    <row r="4696" spans="1:2" x14ac:dyDescent="0.15">
      <c r="A4696" s="67" t="s">
        <v>2847</v>
      </c>
      <c r="B4696" s="67" t="s">
        <v>3208</v>
      </c>
    </row>
    <row r="4697" spans="1:2" x14ac:dyDescent="0.15">
      <c r="A4697" s="67" t="s">
        <v>2847</v>
      </c>
      <c r="B4697" s="67" t="s">
        <v>3209</v>
      </c>
    </row>
    <row r="4698" spans="1:2" x14ac:dyDescent="0.15">
      <c r="A4698" s="67" t="s">
        <v>2847</v>
      </c>
      <c r="B4698" s="67" t="s">
        <v>3210</v>
      </c>
    </row>
    <row r="4699" spans="1:2" x14ac:dyDescent="0.15">
      <c r="A4699" s="67" t="s">
        <v>2847</v>
      </c>
      <c r="B4699" s="67" t="s">
        <v>3211</v>
      </c>
    </row>
    <row r="4700" spans="1:2" x14ac:dyDescent="0.15">
      <c r="A4700" s="67"/>
      <c r="B4700" s="67" t="s">
        <v>3212</v>
      </c>
    </row>
    <row r="4701" spans="1:2" x14ac:dyDescent="0.15">
      <c r="A4701" s="67"/>
      <c r="B4701" s="67" t="s">
        <v>3213</v>
      </c>
    </row>
    <row r="4702" spans="1:2" x14ac:dyDescent="0.15">
      <c r="A4702" s="67"/>
      <c r="B4702" s="67" t="s">
        <v>3214</v>
      </c>
    </row>
    <row r="4703" spans="1:2" x14ac:dyDescent="0.15">
      <c r="A4703" s="67"/>
      <c r="B4703" s="67" t="s">
        <v>3215</v>
      </c>
    </row>
    <row r="4704" spans="1:2" x14ac:dyDescent="0.15">
      <c r="A4704" s="67"/>
      <c r="B4704" s="67" t="s">
        <v>3216</v>
      </c>
    </row>
    <row r="4705" spans="1:6" x14ac:dyDescent="0.15">
      <c r="A4705" s="67"/>
      <c r="B4705" s="67" t="s">
        <v>3217</v>
      </c>
      <c r="C4705" s="67"/>
      <c r="D4705" s="67"/>
    </row>
    <row r="4706" spans="1:6" x14ac:dyDescent="0.15">
      <c r="A4706" s="67"/>
      <c r="B4706" s="67" t="s">
        <v>3218</v>
      </c>
      <c r="C4706" s="67"/>
      <c r="D4706" s="67"/>
    </row>
    <row r="4707" spans="1:6" x14ac:dyDescent="0.15">
      <c r="A4707" s="67"/>
      <c r="B4707" s="67" t="s">
        <v>3219</v>
      </c>
      <c r="C4707" s="67"/>
      <c r="D4707" s="67"/>
    </row>
    <row r="4708" spans="1:6" x14ac:dyDescent="0.15">
      <c r="A4708" s="67"/>
      <c r="B4708" s="67" t="s">
        <v>3220</v>
      </c>
      <c r="C4708" s="67"/>
      <c r="D4708" s="67"/>
    </row>
    <row r="4709" spans="1:6" x14ac:dyDescent="0.15">
      <c r="A4709" s="8" t="s">
        <v>6513</v>
      </c>
      <c r="B4709" s="8" t="s">
        <v>268</v>
      </c>
      <c r="C4709" s="67"/>
      <c r="D4709" s="67"/>
    </row>
    <row r="4710" spans="1:6" x14ac:dyDescent="0.15">
      <c r="A4710" s="84" t="s">
        <v>5608</v>
      </c>
      <c r="B4710" s="118" t="s">
        <v>3671</v>
      </c>
      <c r="C4710" s="67"/>
      <c r="D4710" s="9" t="s">
        <v>1183</v>
      </c>
      <c r="F4710" s="9" t="s">
        <v>269</v>
      </c>
    </row>
    <row r="4711" spans="1:6" x14ac:dyDescent="0.15">
      <c r="A4711" s="105" t="s">
        <v>267</v>
      </c>
      <c r="B4711" s="74" t="s">
        <v>5609</v>
      </c>
    </row>
    <row r="4712" spans="1:6" x14ac:dyDescent="0.15">
      <c r="A4712" s="105" t="s">
        <v>267</v>
      </c>
      <c r="B4712" s="74" t="s">
        <v>5610</v>
      </c>
    </row>
    <row r="4713" spans="1:6" x14ac:dyDescent="0.15">
      <c r="A4713" s="105" t="s">
        <v>267</v>
      </c>
      <c r="B4713" s="74" t="s">
        <v>5611</v>
      </c>
    </row>
    <row r="4714" spans="1:6" x14ac:dyDescent="0.15">
      <c r="A4714" s="105" t="s">
        <v>267</v>
      </c>
      <c r="B4714" s="74" t="s">
        <v>6342</v>
      </c>
    </row>
    <row r="4715" spans="1:6" x14ac:dyDescent="0.15">
      <c r="A4715" s="105" t="s">
        <v>267</v>
      </c>
      <c r="B4715" s="74" t="s">
        <v>5612</v>
      </c>
    </row>
    <row r="4716" spans="1:6" x14ac:dyDescent="0.15">
      <c r="A4716" s="105" t="s">
        <v>267</v>
      </c>
      <c r="B4716" s="74" t="s">
        <v>5613</v>
      </c>
    </row>
    <row r="4717" spans="1:6" x14ac:dyDescent="0.15">
      <c r="A4717" s="105" t="s">
        <v>267</v>
      </c>
      <c r="B4717" s="74" t="s">
        <v>5522</v>
      </c>
    </row>
    <row r="4718" spans="1:6" x14ac:dyDescent="0.15">
      <c r="A4718" s="105" t="s">
        <v>267</v>
      </c>
      <c r="B4718" s="122" t="s">
        <v>6341</v>
      </c>
      <c r="C4718">
        <v>2</v>
      </c>
      <c r="D4718" t="str">
        <f>HYPERLINK("https://rmda.kulib.kyoto-u.ac.jp/item/rb00000562#?c=0&amp;m=0&amp;s=0&amp;cv=1")</f>
        <v>https://rmda.kulib.kyoto-u.ac.jp/item/rb00000562#?c=0&amp;m=0&amp;s=0&amp;cv=1</v>
      </c>
    </row>
    <row r="4719" spans="1:6" x14ac:dyDescent="0.15">
      <c r="A4719" s="105" t="s">
        <v>267</v>
      </c>
      <c r="B4719" s="67" t="s">
        <v>6340</v>
      </c>
      <c r="C4719">
        <v>5</v>
      </c>
      <c r="D4719" t="str">
        <f>HYPERLINK("https://rmda.kulib.kyoto-u.ac.jp/item/rb00000562#?c=0&amp;m=0&amp;s=0&amp;cv=4")</f>
        <v>https://rmda.kulib.kyoto-u.ac.jp/item/rb00000562#?c=0&amp;m=0&amp;s=0&amp;cv=4</v>
      </c>
    </row>
    <row r="4720" spans="1:6" x14ac:dyDescent="0.15">
      <c r="A4720" s="105" t="s">
        <v>267</v>
      </c>
      <c r="B4720" s="122" t="s">
        <v>6340</v>
      </c>
      <c r="C4720">
        <v>9</v>
      </c>
      <c r="D4720" t="str">
        <f>HYPERLINK("https://rmda.kulib.kyoto-u.ac.jp/item/rb00000562#?c=0&amp;m=0&amp;s=0&amp;cv=8")</f>
        <v>https://rmda.kulib.kyoto-u.ac.jp/item/rb00000562#?c=0&amp;m=0&amp;s=0&amp;cv=8</v>
      </c>
    </row>
    <row r="4721" spans="1:4" x14ac:dyDescent="0.15">
      <c r="A4721" s="105" t="s">
        <v>267</v>
      </c>
      <c r="B4721" s="122" t="s">
        <v>6340</v>
      </c>
      <c r="C4721">
        <v>12</v>
      </c>
      <c r="D4721" t="str">
        <f>HYPERLINK("https://rmda.kulib.kyoto-u.ac.jp/item/rb00000562#?c=0&amp;m=0&amp;s=0&amp;cv=11")</f>
        <v>https://rmda.kulib.kyoto-u.ac.jp/item/rb00000562#?c=0&amp;m=0&amp;s=0&amp;cv=11</v>
      </c>
    </row>
    <row r="4722" spans="1:4" x14ac:dyDescent="0.15">
      <c r="A4722" s="105" t="s">
        <v>267</v>
      </c>
      <c r="B4722" s="122" t="s">
        <v>6343</v>
      </c>
      <c r="C4722">
        <v>18</v>
      </c>
      <c r="D4722" t="str">
        <f>HYPERLINK("https://rmda.kulib.kyoto-u.ac.jp/item/rb00000562#?c=0&amp;m=0&amp;s=0&amp;cv=17")</f>
        <v>https://rmda.kulib.kyoto-u.ac.jp/item/rb00000562#?c=0&amp;m=0&amp;s=0&amp;cv=17</v>
      </c>
    </row>
    <row r="4723" spans="1:4" x14ac:dyDescent="0.15">
      <c r="A4723" s="105" t="s">
        <v>267</v>
      </c>
      <c r="B4723" s="122" t="s">
        <v>6344</v>
      </c>
      <c r="C4723">
        <v>21</v>
      </c>
      <c r="D4723" t="str">
        <f>HYPERLINK("https://rmda.kulib.kyoto-u.ac.jp/item/rb00000562#?c=0&amp;m=0&amp;s=0&amp;cv=20")</f>
        <v>https://rmda.kulib.kyoto-u.ac.jp/item/rb00000562#?c=0&amp;m=0&amp;s=0&amp;cv=20</v>
      </c>
    </row>
    <row r="4724" spans="1:4" x14ac:dyDescent="0.15">
      <c r="A4724" s="105" t="s">
        <v>267</v>
      </c>
      <c r="B4724" s="67" t="s">
        <v>6499</v>
      </c>
      <c r="C4724">
        <v>26</v>
      </c>
      <c r="D4724" t="str">
        <f>HYPERLINK("https://rmda.kulib.kyoto-u.ac.jp/item/rb00000562#?c=0&amp;m=0&amp;s=0&amp;cv=25")</f>
        <v>https://rmda.kulib.kyoto-u.ac.jp/item/rb00000562#?c=0&amp;m=0&amp;s=0&amp;cv=25</v>
      </c>
    </row>
    <row r="4725" spans="1:4" x14ac:dyDescent="0.15">
      <c r="A4725" s="105" t="s">
        <v>267</v>
      </c>
      <c r="B4725" s="67" t="s">
        <v>6500</v>
      </c>
      <c r="C4725">
        <v>31</v>
      </c>
      <c r="D4725" t="str">
        <f>HYPERLINK("https://rmda.kulib.kyoto-u.ac.jp/item/rb00000562#?c=0&amp;m=0&amp;s=0&amp;cv=30")</f>
        <v>https://rmda.kulib.kyoto-u.ac.jp/item/rb00000562#?c=0&amp;m=0&amp;s=0&amp;cv=30</v>
      </c>
    </row>
    <row r="4726" spans="1:4" x14ac:dyDescent="0.15">
      <c r="A4726" s="105" t="s">
        <v>267</v>
      </c>
      <c r="B4726" s="67" t="s">
        <v>6501</v>
      </c>
      <c r="C4726">
        <v>40</v>
      </c>
      <c r="D4726" t="str">
        <f>HYPERLINK("https://rmda.kulib.kyoto-u.ac.jp/item/rb00000562#?c=0&amp;m=0&amp;s=0&amp;cv=39")</f>
        <v>https://rmda.kulib.kyoto-u.ac.jp/item/rb00000562#?c=0&amp;m=0&amp;s=0&amp;cv=39</v>
      </c>
    </row>
    <row r="4727" spans="1:4" x14ac:dyDescent="0.15">
      <c r="A4727" s="105" t="s">
        <v>267</v>
      </c>
      <c r="B4727" s="67" t="s">
        <v>6502</v>
      </c>
      <c r="C4727">
        <v>40</v>
      </c>
      <c r="D4727" t="str">
        <f>HYPERLINK("https://rmda.kulib.kyoto-u.ac.jp/item/rb00000562#?c=0&amp;m=0&amp;s=0&amp;cv=39")</f>
        <v>https://rmda.kulib.kyoto-u.ac.jp/item/rb00000562#?c=0&amp;m=0&amp;s=0&amp;cv=39</v>
      </c>
    </row>
    <row r="4728" spans="1:4" x14ac:dyDescent="0.15">
      <c r="A4728" s="105" t="s">
        <v>267</v>
      </c>
      <c r="B4728" s="67" t="s">
        <v>6503</v>
      </c>
      <c r="C4728">
        <v>41</v>
      </c>
      <c r="D4728" t="str">
        <f>HYPERLINK("https://rmda.kulib.kyoto-u.ac.jp/item/rb00000562#?c=0&amp;m=0&amp;s=0&amp;cv=40")</f>
        <v>https://rmda.kulib.kyoto-u.ac.jp/item/rb00000562#?c=0&amp;m=0&amp;s=0&amp;cv=40</v>
      </c>
    </row>
    <row r="4729" spans="1:4" x14ac:dyDescent="0.15">
      <c r="A4729" s="105" t="s">
        <v>267</v>
      </c>
      <c r="B4729" s="67" t="s">
        <v>6504</v>
      </c>
      <c r="C4729">
        <v>41</v>
      </c>
      <c r="D4729" t="str">
        <f>HYPERLINK("https://rmda.kulib.kyoto-u.ac.jp/item/rb00000562#?c=0&amp;m=0&amp;s=0&amp;cv=40")</f>
        <v>https://rmda.kulib.kyoto-u.ac.jp/item/rb00000562#?c=0&amp;m=0&amp;s=0&amp;cv=40</v>
      </c>
    </row>
    <row r="4730" spans="1:4" x14ac:dyDescent="0.15">
      <c r="A4730" s="105" t="s">
        <v>267</v>
      </c>
      <c r="B4730" s="67" t="s">
        <v>6505</v>
      </c>
      <c r="C4730">
        <v>41</v>
      </c>
      <c r="D4730" t="str">
        <f>HYPERLINK("https://rmda.kulib.kyoto-u.ac.jp/item/rb00000562#?c=0&amp;m=0&amp;s=0&amp;cv=40")</f>
        <v>https://rmda.kulib.kyoto-u.ac.jp/item/rb00000562#?c=0&amp;m=0&amp;s=0&amp;cv=40</v>
      </c>
    </row>
    <row r="4731" spans="1:4" x14ac:dyDescent="0.15">
      <c r="A4731" s="105" t="s">
        <v>267</v>
      </c>
      <c r="B4731" s="67" t="s">
        <v>6506</v>
      </c>
      <c r="C4731">
        <v>42</v>
      </c>
      <c r="D4731" t="str">
        <f>HYPERLINK("https://rmda.kulib.kyoto-u.ac.jp/item/rb00000562#?c=0&amp;m=0&amp;s=0&amp;cv=41")</f>
        <v>https://rmda.kulib.kyoto-u.ac.jp/item/rb00000562#?c=0&amp;m=0&amp;s=0&amp;cv=41</v>
      </c>
    </row>
    <row r="4732" spans="1:4" x14ac:dyDescent="0.15">
      <c r="A4732" s="105" t="s">
        <v>267</v>
      </c>
      <c r="B4732" s="67" t="s">
        <v>6507</v>
      </c>
      <c r="C4732">
        <v>45</v>
      </c>
      <c r="D4732" t="str">
        <f>HYPERLINK("https://rmda.kulib.kyoto-u.ac.jp/item/rb00000562#?c=0&amp;m=0&amp;s=0&amp;cv=44")</f>
        <v>https://rmda.kulib.kyoto-u.ac.jp/item/rb00000562#?c=0&amp;m=0&amp;s=0&amp;cv=44</v>
      </c>
    </row>
    <row r="4733" spans="1:4" x14ac:dyDescent="0.15">
      <c r="A4733" s="105" t="s">
        <v>267</v>
      </c>
      <c r="B4733" s="67" t="s">
        <v>6508</v>
      </c>
      <c r="C4733">
        <v>46</v>
      </c>
      <c r="D4733" t="str">
        <f>HYPERLINK("https://rmda.kulib.kyoto-u.ac.jp/item/rb00000562#?c=0&amp;m=0&amp;s=0&amp;cv=45")</f>
        <v>https://rmda.kulib.kyoto-u.ac.jp/item/rb00000562#?c=0&amp;m=0&amp;s=0&amp;cv=45</v>
      </c>
    </row>
    <row r="4734" spans="1:4" x14ac:dyDescent="0.15">
      <c r="A4734" s="105" t="s">
        <v>267</v>
      </c>
      <c r="B4734" s="67" t="s">
        <v>6509</v>
      </c>
      <c r="C4734">
        <v>47</v>
      </c>
      <c r="D4734" t="str">
        <f>HYPERLINK("https://rmda.kulib.kyoto-u.ac.jp/item/rb00000562#?c=0&amp;m=0&amp;s=0&amp;cv=46")</f>
        <v>https://rmda.kulib.kyoto-u.ac.jp/item/rb00000562#?c=0&amp;m=0&amp;s=0&amp;cv=46</v>
      </c>
    </row>
    <row r="4735" spans="1:4" x14ac:dyDescent="0.15">
      <c r="A4735" s="105" t="s">
        <v>267</v>
      </c>
      <c r="B4735" s="67" t="s">
        <v>6510</v>
      </c>
      <c r="C4735">
        <v>48</v>
      </c>
      <c r="D4735" t="str">
        <f>HYPERLINK("https://rmda.kulib.kyoto-u.ac.jp/item/rb00000562#?c=0&amp;m=0&amp;s=0&amp;cv=47")</f>
        <v>https://rmda.kulib.kyoto-u.ac.jp/item/rb00000562#?c=0&amp;m=0&amp;s=0&amp;cv=47</v>
      </c>
    </row>
    <row r="4736" spans="1:4" x14ac:dyDescent="0.15">
      <c r="A4736" s="105" t="s">
        <v>267</v>
      </c>
      <c r="B4736" s="67" t="s">
        <v>6511</v>
      </c>
      <c r="C4736">
        <v>49</v>
      </c>
      <c r="D4736" t="str">
        <f>HYPERLINK("https://rmda.kulib.kyoto-u.ac.jp/item/rb00000562#?c=0&amp;m=0&amp;s=0&amp;cv=48")</f>
        <v>https://rmda.kulib.kyoto-u.ac.jp/item/rb00000562#?c=0&amp;m=0&amp;s=0&amp;cv=48</v>
      </c>
    </row>
    <row r="4737" spans="1:6" x14ac:dyDescent="0.15">
      <c r="A4737" s="105" t="s">
        <v>267</v>
      </c>
      <c r="B4737" s="67" t="s">
        <v>6512</v>
      </c>
      <c r="C4737">
        <v>50</v>
      </c>
      <c r="D4737" t="str">
        <f>HYPERLINK("https://rmda.kulib.kyoto-u.ac.jp/item/rb00000562#?c=0&amp;m=0&amp;s=0&amp;cv=49")</f>
        <v>https://rmda.kulib.kyoto-u.ac.jp/item/rb00000562#?c=0&amp;m=0&amp;s=0&amp;cv=49</v>
      </c>
    </row>
    <row r="4738" spans="1:6" x14ac:dyDescent="0.15">
      <c r="A4738" s="105" t="s">
        <v>267</v>
      </c>
      <c r="B4738" t="s">
        <v>6483</v>
      </c>
      <c r="C4738">
        <v>51</v>
      </c>
      <c r="D4738" t="str">
        <f>HYPERLINK("https://rmda.kulib.kyoto-u.ac.jp/item/rb00000562#?c=0&amp;m=0&amp;s=0&amp;cv=50")</f>
        <v>https://rmda.kulib.kyoto-u.ac.jp/item/rb00000562#?c=0&amp;m=0&amp;s=0&amp;cv=50</v>
      </c>
    </row>
    <row r="4739" spans="1:6" x14ac:dyDescent="0.15">
      <c r="A4739" s="105" t="s">
        <v>267</v>
      </c>
      <c r="B4739" t="s">
        <v>6484</v>
      </c>
      <c r="C4739">
        <v>51</v>
      </c>
      <c r="D4739" t="str">
        <f>HYPERLINK("https://rmda.kulib.kyoto-u.ac.jp/item/rb00000562#?c=0&amp;m=0&amp;s=0&amp;cv=50")</f>
        <v>https://rmda.kulib.kyoto-u.ac.jp/item/rb00000562#?c=0&amp;m=0&amp;s=0&amp;cv=50</v>
      </c>
    </row>
    <row r="4740" spans="1:6" x14ac:dyDescent="0.15">
      <c r="A4740" s="105" t="s">
        <v>267</v>
      </c>
      <c r="B4740" t="s">
        <v>6485</v>
      </c>
      <c r="C4740">
        <v>52</v>
      </c>
      <c r="D4740" t="str">
        <f>HYPERLINK("https://rmda.kulib.kyoto-u.ac.jp/item/rb00000562#?c=0&amp;m=0&amp;s=0&amp;cv=51")</f>
        <v>https://rmda.kulib.kyoto-u.ac.jp/item/rb00000562#?c=0&amp;m=0&amp;s=0&amp;cv=51</v>
      </c>
    </row>
    <row r="4741" spans="1:6" x14ac:dyDescent="0.15">
      <c r="A4741" s="105" t="s">
        <v>267</v>
      </c>
      <c r="B4741" t="s">
        <v>6486</v>
      </c>
      <c r="C4741">
        <v>60</v>
      </c>
      <c r="D4741" t="str">
        <f>HYPERLINK("https://rmda.kulib.kyoto-u.ac.jp/item/rb00000562#?c=0&amp;m=0&amp;s=0&amp;cv=59")</f>
        <v>https://rmda.kulib.kyoto-u.ac.jp/item/rb00000562#?c=0&amp;m=0&amp;s=0&amp;cv=59</v>
      </c>
    </row>
    <row r="4742" spans="1:6" x14ac:dyDescent="0.15">
      <c r="A4742" s="105" t="s">
        <v>267</v>
      </c>
      <c r="B4742" t="s">
        <v>6487</v>
      </c>
      <c r="C4742">
        <v>81</v>
      </c>
      <c r="D4742" t="str">
        <f>HYPERLINK("https://rmda.kulib.kyoto-u.ac.jp/item/rb00000562#?c=0&amp;m=0&amp;s=0&amp;cv=80")</f>
        <v>https://rmda.kulib.kyoto-u.ac.jp/item/rb00000562#?c=0&amp;m=0&amp;s=0&amp;cv=80</v>
      </c>
    </row>
    <row r="4743" spans="1:6" x14ac:dyDescent="0.15">
      <c r="A4743" s="105" t="s">
        <v>267</v>
      </c>
      <c r="B4743" t="s">
        <v>6488</v>
      </c>
      <c r="C4743">
        <v>82</v>
      </c>
      <c r="D4743" t="str">
        <f>HYPERLINK("https://rmda.kulib.kyoto-u.ac.jp/item/rb00000562#?c=0&amp;m=0&amp;s=0&amp;cv=81")</f>
        <v>https://rmda.kulib.kyoto-u.ac.jp/item/rb00000562#?c=0&amp;m=0&amp;s=0&amp;cv=81</v>
      </c>
    </row>
    <row r="4744" spans="1:6" x14ac:dyDescent="0.15">
      <c r="A4744" s="105" t="s">
        <v>267</v>
      </c>
      <c r="B4744" s="89" t="s">
        <v>6489</v>
      </c>
      <c r="C4744">
        <v>94</v>
      </c>
      <c r="D4744" t="str">
        <f>HYPERLINK("https://rmda.kulib.kyoto-u.ac.jp/item/rb00000562#?c=0&amp;m=0&amp;s=0&amp;cv=93")</f>
        <v>https://rmda.kulib.kyoto-u.ac.jp/item/rb00000562#?c=0&amp;m=0&amp;s=0&amp;cv=93</v>
      </c>
      <c r="F4744" s="102"/>
    </row>
    <row r="4745" spans="1:6" x14ac:dyDescent="0.15">
      <c r="A4745" s="105" t="s">
        <v>267</v>
      </c>
      <c r="B4745" t="s">
        <v>6490</v>
      </c>
      <c r="C4745">
        <v>112</v>
      </c>
      <c r="D4745" t="str">
        <f>HYPERLINK("https://rmda.kulib.kyoto-u.ac.jp/item/rb00000562#?c=0&amp;m=0&amp;s=0&amp;cv=111")</f>
        <v>https://rmda.kulib.kyoto-u.ac.jp/item/rb00000562#?c=0&amp;m=0&amp;s=0&amp;cv=111</v>
      </c>
    </row>
    <row r="4746" spans="1:6" x14ac:dyDescent="0.15">
      <c r="A4746" s="105" t="s">
        <v>267</v>
      </c>
      <c r="B4746" s="59" t="s">
        <v>2231</v>
      </c>
      <c r="C4746">
        <v>119</v>
      </c>
      <c r="D4746" t="str">
        <f>HYPERLINK("https://rmda.kulib.kyoto-u.ac.jp/item/rb00000562#?c=0&amp;m=0&amp;s=0&amp;cv=118")</f>
        <v>https://rmda.kulib.kyoto-u.ac.jp/item/rb00000562#?c=0&amp;m=0&amp;s=0&amp;cv=118</v>
      </c>
    </row>
    <row r="4747" spans="1:6" x14ac:dyDescent="0.15">
      <c r="A4747" s="105" t="s">
        <v>267</v>
      </c>
      <c r="B4747" s="67" t="s">
        <v>6491</v>
      </c>
      <c r="C4747">
        <v>119</v>
      </c>
      <c r="D4747" t="str">
        <f>HYPERLINK("https://rmda.kulib.kyoto-u.ac.jp/item/rb00000562#?c=0&amp;m=0&amp;s=0&amp;cv=118")</f>
        <v>https://rmda.kulib.kyoto-u.ac.jp/item/rb00000562#?c=0&amp;m=0&amp;s=0&amp;cv=118</v>
      </c>
      <c r="F4747" s="67"/>
    </row>
    <row r="4748" spans="1:6" x14ac:dyDescent="0.15">
      <c r="A4748" s="105" t="s">
        <v>267</v>
      </c>
      <c r="B4748" s="121" t="s">
        <v>6492</v>
      </c>
      <c r="C4748">
        <v>133</v>
      </c>
      <c r="D4748" t="str">
        <f>HYPERLINK("https://rmda.kulib.kyoto-u.ac.jp/item/rb00000562#?c=0&amp;m=0&amp;s=0&amp;cv=132")</f>
        <v>https://rmda.kulib.kyoto-u.ac.jp/item/rb00000562#?c=0&amp;m=0&amp;s=0&amp;cv=132</v>
      </c>
      <c r="F4748" s="121"/>
    </row>
    <row r="4749" spans="1:6" x14ac:dyDescent="0.15">
      <c r="A4749" s="105" t="s">
        <v>267</v>
      </c>
      <c r="B4749" s="121" t="s">
        <v>6493</v>
      </c>
      <c r="C4749">
        <v>134</v>
      </c>
      <c r="D4749" t="str">
        <f>HYPERLINK("https://rmda.kulib.kyoto-u.ac.jp/item/rb00000562#?c=0&amp;m=0&amp;s=0&amp;cv=133")</f>
        <v>https://rmda.kulib.kyoto-u.ac.jp/item/rb00000562#?c=0&amp;m=0&amp;s=0&amp;cv=133</v>
      </c>
      <c r="F4749" s="121"/>
    </row>
    <row r="4750" spans="1:6" x14ac:dyDescent="0.15">
      <c r="A4750" s="105" t="s">
        <v>267</v>
      </c>
      <c r="B4750" s="67" t="s">
        <v>6494</v>
      </c>
      <c r="C4750">
        <v>150</v>
      </c>
      <c r="D4750" t="str">
        <f>HYPERLINK("https://rmda.kulib.kyoto-u.ac.jp/item/rb00000562#?c=0&amp;m=0&amp;s=0&amp;cv=149")</f>
        <v>https://rmda.kulib.kyoto-u.ac.jp/item/rb00000562#?c=0&amp;m=0&amp;s=0&amp;cv=149</v>
      </c>
      <c r="F4750" s="67"/>
    </row>
    <row r="4751" spans="1:6" x14ac:dyDescent="0.15">
      <c r="A4751" s="105" t="s">
        <v>267</v>
      </c>
      <c r="B4751" s="67" t="s">
        <v>6495</v>
      </c>
      <c r="C4751">
        <v>161</v>
      </c>
      <c r="D4751" t="str">
        <f>HYPERLINK("https://rmda.kulib.kyoto-u.ac.jp/item/rb00000562#?c=0&amp;m=0&amp;s=0&amp;cv=160")</f>
        <v>https://rmda.kulib.kyoto-u.ac.jp/item/rb00000562#?c=0&amp;m=0&amp;s=0&amp;cv=160</v>
      </c>
      <c r="F4751" s="67"/>
    </row>
    <row r="4752" spans="1:6" x14ac:dyDescent="0.15">
      <c r="A4752" s="105" t="s">
        <v>267</v>
      </c>
      <c r="B4752" s="121" t="s">
        <v>6496</v>
      </c>
      <c r="C4752">
        <v>178</v>
      </c>
      <c r="D4752" t="str">
        <f>HYPERLINK("https://rmda.kulib.kyoto-u.ac.jp/item/rb00000562#?c=0&amp;m=0&amp;s=0&amp;cv=177")</f>
        <v>https://rmda.kulib.kyoto-u.ac.jp/item/rb00000562#?c=0&amp;m=0&amp;s=0&amp;cv=177</v>
      </c>
      <c r="F4752" s="121"/>
    </row>
    <row r="4753" spans="1:6" x14ac:dyDescent="0.15">
      <c r="A4753" s="105" t="s">
        <v>267</v>
      </c>
      <c r="B4753" s="67" t="s">
        <v>6497</v>
      </c>
      <c r="C4753">
        <v>180</v>
      </c>
      <c r="D4753" t="str">
        <f>HYPERLINK("https://rmda.kulib.kyoto-u.ac.jp/item/rb00000562#?c=0&amp;m=0&amp;s=0&amp;cv=179")</f>
        <v>https://rmda.kulib.kyoto-u.ac.jp/item/rb00000562#?c=0&amp;m=0&amp;s=0&amp;cv=179</v>
      </c>
      <c r="F4753" s="67"/>
    </row>
    <row r="4754" spans="1:6" x14ac:dyDescent="0.15">
      <c r="A4754" s="105" t="s">
        <v>267</v>
      </c>
      <c r="B4754" s="67" t="s">
        <v>6498</v>
      </c>
      <c r="C4754">
        <v>187</v>
      </c>
      <c r="D4754" t="str">
        <f>HYPERLINK("https://rmda.kulib.kyoto-u.ac.jp/item/rb00000562#?c=0&amp;m=0&amp;s=0&amp;cv=186")</f>
        <v>https://rmda.kulib.kyoto-u.ac.jp/item/rb00000562#?c=0&amp;m=0&amp;s=0&amp;cv=186</v>
      </c>
      <c r="F4754" s="67"/>
    </row>
    <row r="4755" spans="1:6" x14ac:dyDescent="0.15">
      <c r="A4755" s="105" t="s">
        <v>267</v>
      </c>
      <c r="B4755" t="s">
        <v>6345</v>
      </c>
      <c r="C4755">
        <v>197</v>
      </c>
      <c r="D4755" t="str">
        <f>HYPERLINK("https://rmda.kulib.kyoto-u.ac.jp/item/rb00000562#?c=0&amp;m=0&amp;s=0&amp;cv=196")</f>
        <v>https://rmda.kulib.kyoto-u.ac.jp/item/rb00000562#?c=0&amp;m=0&amp;s=0&amp;cv=196</v>
      </c>
    </row>
    <row r="4756" spans="1:6" x14ac:dyDescent="0.15">
      <c r="A4756" s="105" t="s">
        <v>267</v>
      </c>
      <c r="B4756" t="s">
        <v>6346</v>
      </c>
      <c r="C4756">
        <v>204</v>
      </c>
      <c r="D4756" t="str">
        <f>HYPERLINK("https://rmda.kulib.kyoto-u.ac.jp/item/rb00000562#?c=0&amp;m=0&amp;s=0&amp;cv=203")</f>
        <v>https://rmda.kulib.kyoto-u.ac.jp/item/rb00000562#?c=0&amp;m=0&amp;s=0&amp;cv=203</v>
      </c>
    </row>
    <row r="4757" spans="1:6" x14ac:dyDescent="0.15">
      <c r="A4757" s="105" t="s">
        <v>267</v>
      </c>
      <c r="B4757" t="s">
        <v>6347</v>
      </c>
      <c r="C4757">
        <v>214</v>
      </c>
      <c r="D4757" t="str">
        <f>HYPERLINK("https://rmda.kulib.kyoto-u.ac.jp/item/rb00000562#?c=0&amp;m=0&amp;s=0&amp;cv=213")</f>
        <v>https://rmda.kulib.kyoto-u.ac.jp/item/rb00000562#?c=0&amp;m=0&amp;s=0&amp;cv=213</v>
      </c>
    </row>
    <row r="4758" spans="1:6" x14ac:dyDescent="0.15">
      <c r="A4758" s="105" t="s">
        <v>267</v>
      </c>
      <c r="B4758" s="59" t="s">
        <v>4952</v>
      </c>
      <c r="C4758">
        <v>229</v>
      </c>
      <c r="D4758" t="str">
        <f>HYPERLINK("https://rmda.kulib.kyoto-u.ac.jp/item/rb00000562#?c=0&amp;m=0&amp;s=0&amp;cv=228")</f>
        <v>https://rmda.kulib.kyoto-u.ac.jp/item/rb00000562#?c=0&amp;m=0&amp;s=0&amp;cv=228</v>
      </c>
    </row>
    <row r="4759" spans="1:6" x14ac:dyDescent="0.15">
      <c r="A4759" s="105" t="s">
        <v>267</v>
      </c>
      <c r="B4759" t="s">
        <v>6348</v>
      </c>
      <c r="C4759">
        <v>229</v>
      </c>
      <c r="D4759" t="str">
        <f>HYPERLINK("https://rmda.kulib.kyoto-u.ac.jp/item/rb00000562#?c=0&amp;m=0&amp;s=0&amp;cv=228")</f>
        <v>https://rmda.kulib.kyoto-u.ac.jp/item/rb00000562#?c=0&amp;m=0&amp;s=0&amp;cv=228</v>
      </c>
    </row>
    <row r="4760" spans="1:6" x14ac:dyDescent="0.15">
      <c r="A4760" s="105" t="s">
        <v>267</v>
      </c>
      <c r="B4760" t="s">
        <v>6468</v>
      </c>
      <c r="C4760">
        <v>239</v>
      </c>
      <c r="D4760" t="str">
        <f>HYPERLINK("https://rmda.kulib.kyoto-u.ac.jp/item/rb00000562#?c=0&amp;m=0&amp;s=0&amp;cv=238")</f>
        <v>https://rmda.kulib.kyoto-u.ac.jp/item/rb00000562#?c=0&amp;m=0&amp;s=0&amp;cv=238</v>
      </c>
    </row>
    <row r="4761" spans="1:6" x14ac:dyDescent="0.15">
      <c r="A4761" s="105" t="s">
        <v>267</v>
      </c>
      <c r="B4761" t="s">
        <v>5662</v>
      </c>
      <c r="C4761">
        <v>245</v>
      </c>
      <c r="D4761" t="str">
        <f>HYPERLINK("https://rmda.kulib.kyoto-u.ac.jp/item/rb00000562#?c=0&amp;m=0&amp;s=0&amp;cv=244")</f>
        <v>https://rmda.kulib.kyoto-u.ac.jp/item/rb00000562#?c=0&amp;m=0&amp;s=0&amp;cv=244</v>
      </c>
    </row>
    <row r="4762" spans="1:6" x14ac:dyDescent="0.15">
      <c r="A4762" s="105" t="s">
        <v>267</v>
      </c>
      <c r="B4762" t="s">
        <v>6469</v>
      </c>
      <c r="C4762">
        <v>247</v>
      </c>
      <c r="D4762" t="str">
        <f>HYPERLINK("https://rmda.kulib.kyoto-u.ac.jp/item/rb00000562#?c=0&amp;m=0&amp;s=0&amp;cv=246")</f>
        <v>https://rmda.kulib.kyoto-u.ac.jp/item/rb00000562#?c=0&amp;m=0&amp;s=0&amp;cv=246</v>
      </c>
    </row>
    <row r="4763" spans="1:6" x14ac:dyDescent="0.15">
      <c r="A4763" s="105" t="s">
        <v>267</v>
      </c>
      <c r="B4763" t="s">
        <v>6349</v>
      </c>
      <c r="C4763">
        <v>262</v>
      </c>
      <c r="D4763" t="str">
        <f>HYPERLINK("https://rmda.kulib.kyoto-u.ac.jp/item/rb00000562#?c=0&amp;m=0&amp;s=0&amp;cv=261")</f>
        <v>https://rmda.kulib.kyoto-u.ac.jp/item/rb00000562#?c=0&amp;m=0&amp;s=0&amp;cv=261</v>
      </c>
    </row>
    <row r="4764" spans="1:6" x14ac:dyDescent="0.15">
      <c r="A4764" s="105" t="s">
        <v>267</v>
      </c>
      <c r="B4764" t="s">
        <v>6350</v>
      </c>
      <c r="C4764">
        <v>268</v>
      </c>
      <c r="D4764" t="str">
        <f>HYPERLINK("https://rmda.kulib.kyoto-u.ac.jp/item/rb00000562#?c=0&amp;m=0&amp;s=0&amp;cv=267")</f>
        <v>https://rmda.kulib.kyoto-u.ac.jp/item/rb00000562#?c=0&amp;m=0&amp;s=0&amp;cv=267</v>
      </c>
    </row>
    <row r="4765" spans="1:6" x14ac:dyDescent="0.15">
      <c r="A4765" s="105" t="s">
        <v>267</v>
      </c>
      <c r="B4765" t="s">
        <v>6351</v>
      </c>
      <c r="C4765">
        <v>274</v>
      </c>
      <c r="D4765" t="str">
        <f>HYPERLINK("https://rmda.kulib.kyoto-u.ac.jp/item/rb00000562#?c=0&amp;m=0&amp;s=0&amp;cv=273")</f>
        <v>https://rmda.kulib.kyoto-u.ac.jp/item/rb00000562#?c=0&amp;m=0&amp;s=0&amp;cv=273</v>
      </c>
    </row>
    <row r="4766" spans="1:6" x14ac:dyDescent="0.15">
      <c r="A4766" s="105" t="s">
        <v>267</v>
      </c>
      <c r="B4766" t="s">
        <v>6352</v>
      </c>
      <c r="C4766">
        <v>387</v>
      </c>
      <c r="D4766" t="str">
        <f>HYPERLINK("https://rmda.kulib.kyoto-u.ac.jp/item/rb00000562#?c=0&amp;m=0&amp;s=0&amp;cv=386")</f>
        <v>https://rmda.kulib.kyoto-u.ac.jp/item/rb00000562#?c=0&amp;m=0&amp;s=0&amp;cv=386</v>
      </c>
    </row>
    <row r="4767" spans="1:6" x14ac:dyDescent="0.15">
      <c r="A4767" s="105" t="s">
        <v>267</v>
      </c>
      <c r="B4767" t="s">
        <v>6353</v>
      </c>
      <c r="C4767">
        <v>294</v>
      </c>
      <c r="D4767" t="str">
        <f>HYPERLINK("https://rmda.kulib.kyoto-u.ac.jp/item/rb00000562#?c=0&amp;m=0&amp;s=0&amp;cv=293")</f>
        <v>https://rmda.kulib.kyoto-u.ac.jp/item/rb00000562#?c=0&amp;m=0&amp;s=0&amp;cv=293</v>
      </c>
    </row>
    <row r="4768" spans="1:6" x14ac:dyDescent="0.15">
      <c r="A4768" s="105" t="s">
        <v>267</v>
      </c>
      <c r="B4768" t="s">
        <v>6354</v>
      </c>
      <c r="C4768">
        <v>299</v>
      </c>
      <c r="D4768" t="str">
        <f>HYPERLINK("https://rmda.kulib.kyoto-u.ac.jp/item/rb00000562#?c=0&amp;m=0&amp;s=0&amp;cv=298")</f>
        <v>https://rmda.kulib.kyoto-u.ac.jp/item/rb00000562#?c=0&amp;m=0&amp;s=0&amp;cv=298</v>
      </c>
    </row>
    <row r="4769" spans="1:4" x14ac:dyDescent="0.15">
      <c r="A4769" s="105" t="s">
        <v>267</v>
      </c>
      <c r="B4769" t="s">
        <v>5662</v>
      </c>
      <c r="C4769">
        <v>303</v>
      </c>
      <c r="D4769" t="str">
        <f>HYPERLINK("https://rmda.kulib.kyoto-u.ac.jp/item/rb00000562#?c=0&amp;m=0&amp;s=0&amp;cv=302")</f>
        <v>https://rmda.kulib.kyoto-u.ac.jp/item/rb00000562#?c=0&amp;m=0&amp;s=0&amp;cv=302</v>
      </c>
    </row>
    <row r="4770" spans="1:4" x14ac:dyDescent="0.15">
      <c r="A4770" s="105" t="s">
        <v>267</v>
      </c>
      <c r="B4770" t="s">
        <v>6355</v>
      </c>
      <c r="C4770">
        <v>305</v>
      </c>
      <c r="D4770" t="str">
        <f>HYPERLINK("https://rmda.kulib.kyoto-u.ac.jp/item/rb00000562#?c=0&amp;m=0&amp;s=0&amp;cv=304")</f>
        <v>https://rmda.kulib.kyoto-u.ac.jp/item/rb00000562#?c=0&amp;m=0&amp;s=0&amp;cv=304</v>
      </c>
    </row>
    <row r="4771" spans="1:4" x14ac:dyDescent="0.15">
      <c r="A4771" s="105" t="s">
        <v>267</v>
      </c>
      <c r="B4771" t="s">
        <v>6356</v>
      </c>
      <c r="C4771">
        <v>309</v>
      </c>
      <c r="D4771" t="str">
        <f>HYPERLINK("https://rmda.kulib.kyoto-u.ac.jp/item/rb00000562#?c=0&amp;m=0&amp;s=0&amp;cv=308")</f>
        <v>https://rmda.kulib.kyoto-u.ac.jp/item/rb00000562#?c=0&amp;m=0&amp;s=0&amp;cv=308</v>
      </c>
    </row>
    <row r="4772" spans="1:4" x14ac:dyDescent="0.15">
      <c r="A4772" s="105" t="s">
        <v>267</v>
      </c>
      <c r="B4772" t="s">
        <v>6357</v>
      </c>
      <c r="C4772">
        <v>313</v>
      </c>
      <c r="D4772" t="str">
        <f>HYPERLINK("https://rmda.kulib.kyoto-u.ac.jp/item/rb00000562#?c=0&amp;m=0&amp;s=0&amp;cv=312")</f>
        <v>https://rmda.kulib.kyoto-u.ac.jp/item/rb00000562#?c=0&amp;m=0&amp;s=0&amp;cv=312</v>
      </c>
    </row>
    <row r="4773" spans="1:4" x14ac:dyDescent="0.15">
      <c r="A4773" s="105" t="s">
        <v>267</v>
      </c>
      <c r="B4773" t="s">
        <v>6358</v>
      </c>
      <c r="C4773">
        <v>321</v>
      </c>
      <c r="D4773" t="str">
        <f>HYPERLINK("https://rmda.kulib.kyoto-u.ac.jp/item/rb00000562#?c=0&amp;m=0&amp;s=0&amp;cv=320")</f>
        <v>https://rmda.kulib.kyoto-u.ac.jp/item/rb00000562#?c=0&amp;m=0&amp;s=0&amp;cv=320</v>
      </c>
    </row>
    <row r="4774" spans="1:4" x14ac:dyDescent="0.15">
      <c r="A4774" s="105" t="s">
        <v>267</v>
      </c>
      <c r="B4774" t="s">
        <v>6359</v>
      </c>
      <c r="C4774">
        <v>329</v>
      </c>
      <c r="D4774" t="str">
        <f>HYPERLINK("https://rmda.kulib.kyoto-u.ac.jp/item/rb00000562#?c=0&amp;m=0&amp;s=0&amp;cv=328")</f>
        <v>https://rmda.kulib.kyoto-u.ac.jp/item/rb00000562#?c=0&amp;m=0&amp;s=0&amp;cv=328</v>
      </c>
    </row>
    <row r="4775" spans="1:4" x14ac:dyDescent="0.15">
      <c r="A4775" s="105" t="s">
        <v>267</v>
      </c>
      <c r="B4775" s="59" t="s">
        <v>6470</v>
      </c>
      <c r="C4775">
        <v>336</v>
      </c>
      <c r="D4775" t="str">
        <f>HYPERLINK("https://rmda.kulib.kyoto-u.ac.jp/item/rb00000562#?c=0&amp;m=0&amp;s=0&amp;cv=335")</f>
        <v>https://rmda.kulib.kyoto-u.ac.jp/item/rb00000562#?c=0&amp;m=0&amp;s=0&amp;cv=335</v>
      </c>
    </row>
    <row r="4776" spans="1:4" x14ac:dyDescent="0.15">
      <c r="A4776" s="105" t="s">
        <v>267</v>
      </c>
      <c r="B4776" t="s">
        <v>6360</v>
      </c>
      <c r="C4776">
        <v>336</v>
      </c>
      <c r="D4776" t="str">
        <f>HYPERLINK("https://rmda.kulib.kyoto-u.ac.jp/item/rb00000562#?c=0&amp;m=0&amp;s=0&amp;cv=335")</f>
        <v>https://rmda.kulib.kyoto-u.ac.jp/item/rb00000562#?c=0&amp;m=0&amp;s=0&amp;cv=335</v>
      </c>
    </row>
    <row r="4777" spans="1:4" x14ac:dyDescent="0.15">
      <c r="A4777" s="105" t="s">
        <v>267</v>
      </c>
      <c r="B4777" t="s">
        <v>6361</v>
      </c>
      <c r="C4777">
        <v>342</v>
      </c>
      <c r="D4777" t="str">
        <f>HYPERLINK("https://rmda.kulib.kyoto-u.ac.jp/item/rb00000562#?c=0&amp;m=0&amp;s=0&amp;cv=341")</f>
        <v>https://rmda.kulib.kyoto-u.ac.jp/item/rb00000562#?c=0&amp;m=0&amp;s=0&amp;cv=341</v>
      </c>
    </row>
    <row r="4778" spans="1:4" x14ac:dyDescent="0.15">
      <c r="A4778" s="105" t="s">
        <v>267</v>
      </c>
      <c r="B4778" t="s">
        <v>6362</v>
      </c>
      <c r="C4778">
        <v>343</v>
      </c>
      <c r="D4778" t="str">
        <f>HYPERLINK("https://rmda.kulib.kyoto-u.ac.jp/item/rb00000562#?c=0&amp;m=0&amp;s=0&amp;cv=342")</f>
        <v>https://rmda.kulib.kyoto-u.ac.jp/item/rb00000562#?c=0&amp;m=0&amp;s=0&amp;cv=342</v>
      </c>
    </row>
    <row r="4779" spans="1:4" x14ac:dyDescent="0.15">
      <c r="A4779" s="105" t="s">
        <v>267</v>
      </c>
      <c r="B4779" t="s">
        <v>6363</v>
      </c>
      <c r="C4779">
        <v>344</v>
      </c>
      <c r="D4779" t="str">
        <f>HYPERLINK("https://rmda.kulib.kyoto-u.ac.jp/item/rb00000562#?c=0&amp;m=0&amp;s=0&amp;cv=343")</f>
        <v>https://rmda.kulib.kyoto-u.ac.jp/item/rb00000562#?c=0&amp;m=0&amp;s=0&amp;cv=343</v>
      </c>
    </row>
    <row r="4780" spans="1:4" x14ac:dyDescent="0.15">
      <c r="A4780" s="105" t="s">
        <v>267</v>
      </c>
      <c r="B4780" t="s">
        <v>6364</v>
      </c>
      <c r="C4780">
        <v>344</v>
      </c>
      <c r="D4780" t="str">
        <f>HYPERLINK("https://rmda.kulib.kyoto-u.ac.jp/item/rb00000562#?c=0&amp;m=0&amp;s=0&amp;cv=343")</f>
        <v>https://rmda.kulib.kyoto-u.ac.jp/item/rb00000562#?c=0&amp;m=0&amp;s=0&amp;cv=343</v>
      </c>
    </row>
    <row r="4781" spans="1:4" x14ac:dyDescent="0.15">
      <c r="A4781" s="105" t="s">
        <v>267</v>
      </c>
      <c r="B4781" t="s">
        <v>6365</v>
      </c>
      <c r="C4781">
        <v>345</v>
      </c>
      <c r="D4781" t="str">
        <f>HYPERLINK("https://rmda.kulib.kyoto-u.ac.jp/item/rb00000562#?c=0&amp;m=0&amp;s=0&amp;cv=344")</f>
        <v>https://rmda.kulib.kyoto-u.ac.jp/item/rb00000562#?c=0&amp;m=0&amp;s=0&amp;cv=344</v>
      </c>
    </row>
    <row r="4782" spans="1:4" x14ac:dyDescent="0.15">
      <c r="A4782" s="105" t="s">
        <v>267</v>
      </c>
      <c r="B4782" t="s">
        <v>6366</v>
      </c>
      <c r="C4782">
        <v>346</v>
      </c>
      <c r="D4782" t="str">
        <f>HYPERLINK("https://rmda.kulib.kyoto-u.ac.jp/item/rb00000562#?c=0&amp;m=0&amp;s=0&amp;cv=345")</f>
        <v>https://rmda.kulib.kyoto-u.ac.jp/item/rb00000562#?c=0&amp;m=0&amp;s=0&amp;cv=345</v>
      </c>
    </row>
    <row r="4783" spans="1:4" x14ac:dyDescent="0.15">
      <c r="A4783" s="105" t="s">
        <v>267</v>
      </c>
      <c r="B4783" t="s">
        <v>6367</v>
      </c>
      <c r="C4783">
        <v>347</v>
      </c>
      <c r="D4783" t="str">
        <f>HYPERLINK("https://rmda.kulib.kyoto-u.ac.jp/item/rb00000562#?c=0&amp;m=0&amp;s=0&amp;cv=346")</f>
        <v>https://rmda.kulib.kyoto-u.ac.jp/item/rb00000562#?c=0&amp;m=0&amp;s=0&amp;cv=346</v>
      </c>
    </row>
    <row r="4784" spans="1:4" x14ac:dyDescent="0.15">
      <c r="A4784" s="105" t="s">
        <v>267</v>
      </c>
      <c r="B4784" t="s">
        <v>6368</v>
      </c>
      <c r="C4784">
        <v>348</v>
      </c>
      <c r="D4784" t="str">
        <f>HYPERLINK("https://rmda.kulib.kyoto-u.ac.jp/item/rb00000562#?c=0&amp;m=0&amp;s=0&amp;cv=347")</f>
        <v>https://rmda.kulib.kyoto-u.ac.jp/item/rb00000562#?c=0&amp;m=0&amp;s=0&amp;cv=347</v>
      </c>
    </row>
    <row r="4785" spans="1:4" x14ac:dyDescent="0.15">
      <c r="A4785" s="105" t="s">
        <v>267</v>
      </c>
      <c r="B4785" t="s">
        <v>6369</v>
      </c>
      <c r="C4785">
        <v>349</v>
      </c>
      <c r="D4785" t="str">
        <f>HYPERLINK("https://rmda.kulib.kyoto-u.ac.jp/item/rb00000562#?c=0&amp;m=0&amp;s=0&amp;cv=348")</f>
        <v>https://rmda.kulib.kyoto-u.ac.jp/item/rb00000562#?c=0&amp;m=0&amp;s=0&amp;cv=348</v>
      </c>
    </row>
    <row r="4786" spans="1:4" x14ac:dyDescent="0.15">
      <c r="A4786" s="105" t="s">
        <v>267</v>
      </c>
      <c r="B4786" t="s">
        <v>6370</v>
      </c>
      <c r="C4786">
        <v>352</v>
      </c>
      <c r="D4786" t="str">
        <f>HYPERLINK("https://rmda.kulib.kyoto-u.ac.jp/item/rb00000562#?c=0&amp;m=0&amp;s=0&amp;cv=351")</f>
        <v>https://rmda.kulib.kyoto-u.ac.jp/item/rb00000562#?c=0&amp;m=0&amp;s=0&amp;cv=351</v>
      </c>
    </row>
    <row r="4787" spans="1:4" x14ac:dyDescent="0.15">
      <c r="A4787" s="105" t="s">
        <v>267</v>
      </c>
      <c r="B4787" t="s">
        <v>6371</v>
      </c>
      <c r="C4787">
        <v>353</v>
      </c>
      <c r="D4787" t="str">
        <f>HYPERLINK("https://rmda.kulib.kyoto-u.ac.jp/item/rb00000562#?c=0&amp;m=0&amp;s=0&amp;cv=352")</f>
        <v>https://rmda.kulib.kyoto-u.ac.jp/item/rb00000562#?c=0&amp;m=0&amp;s=0&amp;cv=352</v>
      </c>
    </row>
    <row r="4788" spans="1:4" x14ac:dyDescent="0.15">
      <c r="A4788" s="105" t="s">
        <v>267</v>
      </c>
      <c r="B4788" t="s">
        <v>6372</v>
      </c>
      <c r="C4788">
        <v>353</v>
      </c>
      <c r="D4788" t="str">
        <f>HYPERLINK("https://rmda.kulib.kyoto-u.ac.jp/item/rb00000562#?c=0&amp;m=0&amp;s=0&amp;cv=352")</f>
        <v>https://rmda.kulib.kyoto-u.ac.jp/item/rb00000562#?c=0&amp;m=0&amp;s=0&amp;cv=352</v>
      </c>
    </row>
    <row r="4789" spans="1:4" x14ac:dyDescent="0.15">
      <c r="A4789" s="105" t="s">
        <v>267</v>
      </c>
      <c r="B4789" t="s">
        <v>6373</v>
      </c>
      <c r="C4789">
        <v>353</v>
      </c>
      <c r="D4789" t="str">
        <f>HYPERLINK("https://rmda.kulib.kyoto-u.ac.jp/item/rb00000562#?c=0&amp;m=0&amp;s=0&amp;cv=352")</f>
        <v>https://rmda.kulib.kyoto-u.ac.jp/item/rb00000562#?c=0&amp;m=0&amp;s=0&amp;cv=352</v>
      </c>
    </row>
    <row r="4790" spans="1:4" x14ac:dyDescent="0.15">
      <c r="A4790" s="105" t="s">
        <v>267</v>
      </c>
      <c r="B4790" t="s">
        <v>6374</v>
      </c>
      <c r="C4790">
        <v>355</v>
      </c>
      <c r="D4790" t="str">
        <f>HYPERLINK("https://rmda.kulib.kyoto-u.ac.jp/item/rb00000562#?c=0&amp;m=0&amp;s=0&amp;cv=354")</f>
        <v>https://rmda.kulib.kyoto-u.ac.jp/item/rb00000562#?c=0&amp;m=0&amp;s=0&amp;cv=354</v>
      </c>
    </row>
    <row r="4791" spans="1:4" x14ac:dyDescent="0.15">
      <c r="A4791" s="105" t="s">
        <v>267</v>
      </c>
      <c r="B4791" t="s">
        <v>6471</v>
      </c>
      <c r="C4791">
        <v>356</v>
      </c>
      <c r="D4791" t="str">
        <f>HYPERLINK("https://rmda.kulib.kyoto-u.ac.jp/item/rb00000562#?c=0&amp;m=0&amp;s=0&amp;cv=355")</f>
        <v>https://rmda.kulib.kyoto-u.ac.jp/item/rb00000562#?c=0&amp;m=0&amp;s=0&amp;cv=355</v>
      </c>
    </row>
    <row r="4792" spans="1:4" x14ac:dyDescent="0.15">
      <c r="A4792" s="105" t="s">
        <v>267</v>
      </c>
      <c r="B4792" t="s">
        <v>6375</v>
      </c>
      <c r="C4792">
        <v>358</v>
      </c>
      <c r="D4792" t="str">
        <f>HYPERLINK("https://rmda.kulib.kyoto-u.ac.jp/item/rb00000562#?c=0&amp;m=0&amp;s=0&amp;cv=357")</f>
        <v>https://rmda.kulib.kyoto-u.ac.jp/item/rb00000562#?c=0&amp;m=0&amp;s=0&amp;cv=357</v>
      </c>
    </row>
    <row r="4793" spans="1:4" x14ac:dyDescent="0.15">
      <c r="A4793" s="105" t="s">
        <v>267</v>
      </c>
      <c r="B4793" t="s">
        <v>6376</v>
      </c>
      <c r="C4793">
        <v>360</v>
      </c>
      <c r="D4793" t="str">
        <f>HYPERLINK("https://rmda.kulib.kyoto-u.ac.jp/item/rb00000562#?c=0&amp;m=0&amp;s=0&amp;cv=359")</f>
        <v>https://rmda.kulib.kyoto-u.ac.jp/item/rb00000562#?c=0&amp;m=0&amp;s=0&amp;cv=359</v>
      </c>
    </row>
    <row r="4794" spans="1:4" x14ac:dyDescent="0.15">
      <c r="A4794" s="105" t="s">
        <v>267</v>
      </c>
      <c r="B4794" t="s">
        <v>6377</v>
      </c>
      <c r="C4794">
        <v>361</v>
      </c>
      <c r="D4794" t="str">
        <f>HYPERLINK("https://rmda.kulib.kyoto-u.ac.jp/item/rb00000562#?c=0&amp;m=0&amp;s=0&amp;cv=360")</f>
        <v>https://rmda.kulib.kyoto-u.ac.jp/item/rb00000562#?c=0&amp;m=0&amp;s=0&amp;cv=360</v>
      </c>
    </row>
    <row r="4795" spans="1:4" x14ac:dyDescent="0.15">
      <c r="A4795" s="105" t="s">
        <v>267</v>
      </c>
      <c r="B4795" t="s">
        <v>6378</v>
      </c>
      <c r="C4795">
        <v>362</v>
      </c>
      <c r="D4795" t="str">
        <f>HYPERLINK("https://rmda.kulib.kyoto-u.ac.jp/item/rb00000562#?c=0&amp;m=0&amp;s=0&amp;cv=361")</f>
        <v>https://rmda.kulib.kyoto-u.ac.jp/item/rb00000562#?c=0&amp;m=0&amp;s=0&amp;cv=361</v>
      </c>
    </row>
    <row r="4796" spans="1:4" x14ac:dyDescent="0.15">
      <c r="A4796" s="105" t="s">
        <v>267</v>
      </c>
      <c r="B4796" t="s">
        <v>6379</v>
      </c>
      <c r="C4796">
        <v>365</v>
      </c>
      <c r="D4796" t="str">
        <f>HYPERLINK("https://rmda.kulib.kyoto-u.ac.jp/item/rb00000562#?c=0&amp;m=0&amp;s=0&amp;cv=364")</f>
        <v>https://rmda.kulib.kyoto-u.ac.jp/item/rb00000562#?c=0&amp;m=0&amp;s=0&amp;cv=364</v>
      </c>
    </row>
    <row r="4797" spans="1:4" x14ac:dyDescent="0.15">
      <c r="A4797" s="105" t="s">
        <v>267</v>
      </c>
      <c r="B4797" t="s">
        <v>6380</v>
      </c>
      <c r="C4797">
        <v>366</v>
      </c>
      <c r="D4797" t="str">
        <f>HYPERLINK("https://rmda.kulib.kyoto-u.ac.jp/item/rb00000562#?c=0&amp;m=0&amp;s=0&amp;cv=365")</f>
        <v>https://rmda.kulib.kyoto-u.ac.jp/item/rb00000562#?c=0&amp;m=0&amp;s=0&amp;cv=365</v>
      </c>
    </row>
    <row r="4798" spans="1:4" x14ac:dyDescent="0.15">
      <c r="A4798" s="105" t="s">
        <v>267</v>
      </c>
      <c r="B4798" t="s">
        <v>6381</v>
      </c>
      <c r="C4798">
        <v>359</v>
      </c>
      <c r="D4798" t="str">
        <f>HYPERLINK("https://rmda.kulib.kyoto-u.ac.jp/item/rb00000562#?c=0&amp;m=0&amp;s=0&amp;cv=358")</f>
        <v>https://rmda.kulib.kyoto-u.ac.jp/item/rb00000562#?c=0&amp;m=0&amp;s=0&amp;cv=358</v>
      </c>
    </row>
    <row r="4799" spans="1:4" x14ac:dyDescent="0.15">
      <c r="A4799" s="105" t="s">
        <v>267</v>
      </c>
      <c r="B4799" t="s">
        <v>6382</v>
      </c>
      <c r="C4799">
        <v>369</v>
      </c>
      <c r="D4799" t="str">
        <f>HYPERLINK("https://rmda.kulib.kyoto-u.ac.jp/item/rb00000562#?c=0&amp;m=0&amp;s=0&amp;cv=368")</f>
        <v>https://rmda.kulib.kyoto-u.ac.jp/item/rb00000562#?c=0&amp;m=0&amp;s=0&amp;cv=368</v>
      </c>
    </row>
    <row r="4800" spans="1:4" x14ac:dyDescent="0.15">
      <c r="A4800" s="105" t="s">
        <v>267</v>
      </c>
      <c r="B4800" t="s">
        <v>6383</v>
      </c>
      <c r="C4800">
        <v>369</v>
      </c>
      <c r="D4800" t="str">
        <f>HYPERLINK("https://rmda.kulib.kyoto-u.ac.jp/item/rb00000562#?c=0&amp;m=0&amp;s=0&amp;cv=368")</f>
        <v>https://rmda.kulib.kyoto-u.ac.jp/item/rb00000562#?c=0&amp;m=0&amp;s=0&amp;cv=368</v>
      </c>
    </row>
    <row r="4801" spans="1:4" x14ac:dyDescent="0.15">
      <c r="A4801" s="105" t="s">
        <v>267</v>
      </c>
      <c r="B4801" t="s">
        <v>6384</v>
      </c>
      <c r="C4801">
        <v>370</v>
      </c>
      <c r="D4801" t="str">
        <f>HYPERLINK("https://rmda.kulib.kyoto-u.ac.jp/item/rb00000562#?c=0&amp;m=0&amp;s=0&amp;cv=369")</f>
        <v>https://rmda.kulib.kyoto-u.ac.jp/item/rb00000562#?c=0&amp;m=0&amp;s=0&amp;cv=369</v>
      </c>
    </row>
    <row r="4802" spans="1:4" x14ac:dyDescent="0.15">
      <c r="A4802" s="105" t="s">
        <v>267</v>
      </c>
      <c r="B4802" t="s">
        <v>6385</v>
      </c>
      <c r="C4802">
        <v>372</v>
      </c>
      <c r="D4802" t="str">
        <f>HYPERLINK("https://rmda.kulib.kyoto-u.ac.jp/item/rb00000562#?c=0&amp;m=0&amp;s=0&amp;cv=371")</f>
        <v>https://rmda.kulib.kyoto-u.ac.jp/item/rb00000562#?c=0&amp;m=0&amp;s=0&amp;cv=371</v>
      </c>
    </row>
    <row r="4803" spans="1:4" x14ac:dyDescent="0.15">
      <c r="A4803" s="105" t="s">
        <v>267</v>
      </c>
      <c r="B4803" t="s">
        <v>6386</v>
      </c>
      <c r="C4803">
        <v>373</v>
      </c>
      <c r="D4803" t="str">
        <f>HYPERLINK("https://rmda.kulib.kyoto-u.ac.jp/item/rb00000562#?c=0&amp;m=0&amp;s=0&amp;cv=372")</f>
        <v>https://rmda.kulib.kyoto-u.ac.jp/item/rb00000562#?c=0&amp;m=0&amp;s=0&amp;cv=372</v>
      </c>
    </row>
    <row r="4804" spans="1:4" x14ac:dyDescent="0.15">
      <c r="A4804" s="105" t="s">
        <v>267</v>
      </c>
      <c r="B4804" t="s">
        <v>6387</v>
      </c>
      <c r="C4804">
        <v>374</v>
      </c>
      <c r="D4804" t="str">
        <f>HYPERLINK("https://rmda.kulib.kyoto-u.ac.jp/item/rb00000562#?c=0&amp;m=0&amp;s=0&amp;cv=373")</f>
        <v>https://rmda.kulib.kyoto-u.ac.jp/item/rb00000562#?c=0&amp;m=0&amp;s=0&amp;cv=373</v>
      </c>
    </row>
    <row r="4805" spans="1:4" x14ac:dyDescent="0.15">
      <c r="A4805" s="105" t="s">
        <v>267</v>
      </c>
      <c r="B4805" t="s">
        <v>6388</v>
      </c>
      <c r="C4805">
        <v>374</v>
      </c>
      <c r="D4805" t="str">
        <f>HYPERLINK("https://rmda.kulib.kyoto-u.ac.jp/item/rb00000562#?c=0&amp;m=0&amp;s=0&amp;cv=373")</f>
        <v>https://rmda.kulib.kyoto-u.ac.jp/item/rb00000562#?c=0&amp;m=0&amp;s=0&amp;cv=373</v>
      </c>
    </row>
    <row r="4806" spans="1:4" x14ac:dyDescent="0.15">
      <c r="A4806" s="105" t="s">
        <v>267</v>
      </c>
      <c r="B4806" t="s">
        <v>6389</v>
      </c>
      <c r="C4806">
        <v>375</v>
      </c>
      <c r="D4806" t="str">
        <f>HYPERLINK("https://rmda.kulib.kyoto-u.ac.jp/item/rb00000562#?c=0&amp;m=0&amp;s=0&amp;cv=374")</f>
        <v>https://rmda.kulib.kyoto-u.ac.jp/item/rb00000562#?c=0&amp;m=0&amp;s=0&amp;cv=374</v>
      </c>
    </row>
    <row r="4807" spans="1:4" x14ac:dyDescent="0.15">
      <c r="A4807" s="105" t="s">
        <v>267</v>
      </c>
      <c r="B4807" t="s">
        <v>6390</v>
      </c>
      <c r="C4807">
        <v>376</v>
      </c>
      <c r="D4807" t="str">
        <f>HYPERLINK("https://rmda.kulib.kyoto-u.ac.jp/item/rb00000562#?c=0&amp;m=0&amp;s=0&amp;cv=375")</f>
        <v>https://rmda.kulib.kyoto-u.ac.jp/item/rb00000562#?c=0&amp;m=0&amp;s=0&amp;cv=375</v>
      </c>
    </row>
    <row r="4808" spans="1:4" x14ac:dyDescent="0.15">
      <c r="A4808" s="105" t="s">
        <v>267</v>
      </c>
      <c r="B4808" t="s">
        <v>6391</v>
      </c>
      <c r="C4808">
        <v>376</v>
      </c>
      <c r="D4808" t="str">
        <f>HYPERLINK("https://rmda.kulib.kyoto-u.ac.jp/item/rb00000562#?c=0&amp;m=0&amp;s=0&amp;cv=375")</f>
        <v>https://rmda.kulib.kyoto-u.ac.jp/item/rb00000562#?c=0&amp;m=0&amp;s=0&amp;cv=375</v>
      </c>
    </row>
    <row r="4809" spans="1:4" x14ac:dyDescent="0.15">
      <c r="A4809" s="105" t="s">
        <v>267</v>
      </c>
      <c r="B4809" t="s">
        <v>6392</v>
      </c>
      <c r="C4809">
        <v>377</v>
      </c>
      <c r="D4809" t="str">
        <f>HYPERLINK("https://rmda.kulib.kyoto-u.ac.jp/item/rb00000562#?c=0&amp;m=0&amp;s=0&amp;cv=376")</f>
        <v>https://rmda.kulib.kyoto-u.ac.jp/item/rb00000562#?c=0&amp;m=0&amp;s=0&amp;cv=376</v>
      </c>
    </row>
    <row r="4810" spans="1:4" x14ac:dyDescent="0.15">
      <c r="A4810" s="105" t="s">
        <v>267</v>
      </c>
      <c r="B4810" t="s">
        <v>6393</v>
      </c>
      <c r="C4810">
        <v>378</v>
      </c>
      <c r="D4810" t="str">
        <f>HYPERLINK("https://rmda.kulib.kyoto-u.ac.jp/item/rb00000562#?c=0&amp;m=0&amp;s=0&amp;cv=377")</f>
        <v>https://rmda.kulib.kyoto-u.ac.jp/item/rb00000562#?c=0&amp;m=0&amp;s=0&amp;cv=377</v>
      </c>
    </row>
    <row r="4811" spans="1:4" x14ac:dyDescent="0.15">
      <c r="A4811" s="105" t="s">
        <v>267</v>
      </c>
      <c r="B4811" s="55" t="s">
        <v>6472</v>
      </c>
      <c r="C4811">
        <v>381</v>
      </c>
      <c r="D4811" t="str">
        <f>HYPERLINK("https://rmda.kulib.kyoto-u.ac.jp/item/rb00000562#?c=0&amp;m=0&amp;s=0&amp;cv=380")</f>
        <v>https://rmda.kulib.kyoto-u.ac.jp/item/rb00000562#?c=0&amp;m=0&amp;s=0&amp;cv=380</v>
      </c>
    </row>
    <row r="4812" spans="1:4" x14ac:dyDescent="0.15">
      <c r="A4812" s="105" t="s">
        <v>267</v>
      </c>
      <c r="B4812" t="s">
        <v>6394</v>
      </c>
      <c r="C4812">
        <v>383</v>
      </c>
      <c r="D4812" t="str">
        <f>HYPERLINK("https://rmda.kulib.kyoto-u.ac.jp/item/rb00000562#?c=0&amp;m=0&amp;s=0&amp;cv=382")</f>
        <v>https://rmda.kulib.kyoto-u.ac.jp/item/rb00000562#?c=0&amp;m=0&amp;s=0&amp;cv=382</v>
      </c>
    </row>
    <row r="4813" spans="1:4" x14ac:dyDescent="0.15">
      <c r="A4813" s="105" t="s">
        <v>267</v>
      </c>
      <c r="B4813" t="s">
        <v>6395</v>
      </c>
      <c r="C4813">
        <v>384</v>
      </c>
      <c r="D4813" t="str">
        <f>HYPERLINK("https://rmda.kulib.kyoto-u.ac.jp/item/rb00000562#?c=0&amp;m=0&amp;s=0&amp;cv=383")</f>
        <v>https://rmda.kulib.kyoto-u.ac.jp/item/rb00000562#?c=0&amp;m=0&amp;s=0&amp;cv=383</v>
      </c>
    </row>
    <row r="4814" spans="1:4" x14ac:dyDescent="0.15">
      <c r="A4814" s="105" t="s">
        <v>267</v>
      </c>
      <c r="B4814" t="s">
        <v>6396</v>
      </c>
      <c r="C4814">
        <v>386</v>
      </c>
      <c r="D4814" t="str">
        <f>HYPERLINK("https://rmda.kulib.kyoto-u.ac.jp/item/rb00000562#?c=0&amp;m=0&amp;s=0&amp;cv=385")</f>
        <v>https://rmda.kulib.kyoto-u.ac.jp/item/rb00000562#?c=0&amp;m=0&amp;s=0&amp;cv=385</v>
      </c>
    </row>
    <row r="4815" spans="1:4" x14ac:dyDescent="0.15">
      <c r="A4815" s="105" t="s">
        <v>267</v>
      </c>
      <c r="B4815" t="s">
        <v>6397</v>
      </c>
      <c r="C4815">
        <v>386</v>
      </c>
      <c r="D4815" t="str">
        <f>HYPERLINK("https://rmda.kulib.kyoto-u.ac.jp/item/rb00000562#?c=0&amp;m=0&amp;s=0&amp;cv=385")</f>
        <v>https://rmda.kulib.kyoto-u.ac.jp/item/rb00000562#?c=0&amp;m=0&amp;s=0&amp;cv=385</v>
      </c>
    </row>
    <row r="4816" spans="1:4" x14ac:dyDescent="0.15">
      <c r="A4816" s="105" t="s">
        <v>267</v>
      </c>
      <c r="B4816" t="s">
        <v>6398</v>
      </c>
      <c r="C4816">
        <v>387</v>
      </c>
      <c r="D4816" t="str">
        <f>HYPERLINK("https://rmda.kulib.kyoto-u.ac.jp/item/rb00000562#?c=0&amp;m=0&amp;s=0&amp;cv=386")</f>
        <v>https://rmda.kulib.kyoto-u.ac.jp/item/rb00000562#?c=0&amp;m=0&amp;s=0&amp;cv=386</v>
      </c>
    </row>
    <row r="4817" spans="1:4" x14ac:dyDescent="0.15">
      <c r="A4817" s="105" t="s">
        <v>267</v>
      </c>
      <c r="B4817" t="s">
        <v>6399</v>
      </c>
      <c r="C4817">
        <v>389</v>
      </c>
      <c r="D4817" t="str">
        <f>HYPERLINK("https://rmda.kulib.kyoto-u.ac.jp/item/rb00000562#?c=0&amp;m=0&amp;s=0&amp;cv=388")</f>
        <v>https://rmda.kulib.kyoto-u.ac.jp/item/rb00000562#?c=0&amp;m=0&amp;s=0&amp;cv=388</v>
      </c>
    </row>
    <row r="4818" spans="1:4" x14ac:dyDescent="0.15">
      <c r="A4818" s="105" t="s">
        <v>267</v>
      </c>
      <c r="B4818" t="s">
        <v>6473</v>
      </c>
      <c r="C4818">
        <v>390</v>
      </c>
      <c r="D4818" t="str">
        <f>HYPERLINK("https://rmda.kulib.kyoto-u.ac.jp/item/rb00000562#?c=0&amp;m=0&amp;s=0&amp;cv=389")</f>
        <v>https://rmda.kulib.kyoto-u.ac.jp/item/rb00000562#?c=0&amp;m=0&amp;s=0&amp;cv=389</v>
      </c>
    </row>
    <row r="4819" spans="1:4" x14ac:dyDescent="0.15">
      <c r="A4819" s="105" t="s">
        <v>267</v>
      </c>
      <c r="B4819" t="s">
        <v>6400</v>
      </c>
      <c r="C4819">
        <v>391</v>
      </c>
      <c r="D4819" t="str">
        <f>HYPERLINK("https://rmda.kulib.kyoto-u.ac.jp/item/rb00000562#?c=0&amp;m=0&amp;s=0&amp;cv=390")</f>
        <v>https://rmda.kulib.kyoto-u.ac.jp/item/rb00000562#?c=0&amp;m=0&amp;s=0&amp;cv=390</v>
      </c>
    </row>
    <row r="4820" spans="1:4" x14ac:dyDescent="0.15">
      <c r="A4820" s="105" t="s">
        <v>267</v>
      </c>
      <c r="B4820" t="s">
        <v>6401</v>
      </c>
      <c r="C4820">
        <v>392</v>
      </c>
      <c r="D4820" t="str">
        <f>HYPERLINK("https://rmda.kulib.kyoto-u.ac.jp/item/rb00000562#?c=0&amp;m=0&amp;s=0&amp;cv=391")</f>
        <v>https://rmda.kulib.kyoto-u.ac.jp/item/rb00000562#?c=0&amp;m=0&amp;s=0&amp;cv=391</v>
      </c>
    </row>
    <row r="4821" spans="1:4" x14ac:dyDescent="0.15">
      <c r="A4821" s="105" t="s">
        <v>267</v>
      </c>
      <c r="B4821" t="s">
        <v>6402</v>
      </c>
      <c r="C4821">
        <v>393</v>
      </c>
      <c r="D4821" t="str">
        <f>HYPERLINK("https://rmda.kulib.kyoto-u.ac.jp/item/rb00000562#?c=0&amp;m=0&amp;s=0&amp;cv=392")</f>
        <v>https://rmda.kulib.kyoto-u.ac.jp/item/rb00000562#?c=0&amp;m=0&amp;s=0&amp;cv=392</v>
      </c>
    </row>
    <row r="4822" spans="1:4" x14ac:dyDescent="0.15">
      <c r="A4822" s="105" t="s">
        <v>267</v>
      </c>
      <c r="B4822" t="s">
        <v>6403</v>
      </c>
      <c r="C4822">
        <v>394</v>
      </c>
      <c r="D4822" t="str">
        <f>HYPERLINK("https://rmda.kulib.kyoto-u.ac.jp/item/rb00000562#?c=0&amp;m=0&amp;s=0&amp;cv=393")</f>
        <v>https://rmda.kulib.kyoto-u.ac.jp/item/rb00000562#?c=0&amp;m=0&amp;s=0&amp;cv=393</v>
      </c>
    </row>
    <row r="4823" spans="1:4" x14ac:dyDescent="0.15">
      <c r="A4823" s="105" t="s">
        <v>267</v>
      </c>
      <c r="B4823" t="s">
        <v>6404</v>
      </c>
      <c r="C4823">
        <v>395</v>
      </c>
      <c r="D4823" t="str">
        <f>HYPERLINK("https://rmda.kulib.kyoto-u.ac.jp/item/rb00000562#?c=0&amp;m=0&amp;s=0&amp;cv=394")</f>
        <v>https://rmda.kulib.kyoto-u.ac.jp/item/rb00000562#?c=0&amp;m=0&amp;s=0&amp;cv=394</v>
      </c>
    </row>
    <row r="4824" spans="1:4" x14ac:dyDescent="0.15">
      <c r="A4824" s="105" t="s">
        <v>267</v>
      </c>
      <c r="B4824" t="s">
        <v>6405</v>
      </c>
      <c r="C4824">
        <v>396</v>
      </c>
      <c r="D4824" t="str">
        <f>HYPERLINK("https://rmda.kulib.kyoto-u.ac.jp/item/rb00000562#?c=0&amp;m=0&amp;s=0&amp;cv=395")</f>
        <v>https://rmda.kulib.kyoto-u.ac.jp/item/rb00000562#?c=0&amp;m=0&amp;s=0&amp;cv=395</v>
      </c>
    </row>
    <row r="4825" spans="1:4" x14ac:dyDescent="0.15">
      <c r="A4825" s="105" t="s">
        <v>267</v>
      </c>
      <c r="B4825" t="s">
        <v>6406</v>
      </c>
      <c r="C4825">
        <v>396</v>
      </c>
      <c r="D4825" t="str">
        <f>HYPERLINK("https://rmda.kulib.kyoto-u.ac.jp/item/rb00000562#?c=0&amp;m=0&amp;s=0&amp;cv=395")</f>
        <v>https://rmda.kulib.kyoto-u.ac.jp/item/rb00000562#?c=0&amp;m=0&amp;s=0&amp;cv=395</v>
      </c>
    </row>
    <row r="4826" spans="1:4" x14ac:dyDescent="0.15">
      <c r="A4826" s="105" t="s">
        <v>267</v>
      </c>
      <c r="B4826" s="123" t="s">
        <v>6474</v>
      </c>
      <c r="C4826">
        <v>397</v>
      </c>
      <c r="D4826" t="str">
        <f>HYPERLINK("https://rmda.kulib.kyoto-u.ac.jp/item/rb00000562#?c=0&amp;m=0&amp;s=0&amp;cv=396")</f>
        <v>https://rmda.kulib.kyoto-u.ac.jp/item/rb00000562#?c=0&amp;m=0&amp;s=0&amp;cv=396</v>
      </c>
    </row>
    <row r="4827" spans="1:4" x14ac:dyDescent="0.15">
      <c r="A4827" s="105" t="s">
        <v>267</v>
      </c>
      <c r="B4827" t="s">
        <v>6407</v>
      </c>
      <c r="C4827">
        <v>397</v>
      </c>
      <c r="D4827" t="str">
        <f>HYPERLINK("https://rmda.kulib.kyoto-u.ac.jp/item/rb00000562#?c=0&amp;m=0&amp;s=0&amp;cv=396")</f>
        <v>https://rmda.kulib.kyoto-u.ac.jp/item/rb00000562#?c=0&amp;m=0&amp;s=0&amp;cv=396</v>
      </c>
    </row>
    <row r="4828" spans="1:4" x14ac:dyDescent="0.15">
      <c r="A4828" s="105" t="s">
        <v>267</v>
      </c>
      <c r="B4828" t="s">
        <v>6408</v>
      </c>
      <c r="C4828">
        <v>398</v>
      </c>
      <c r="D4828" t="str">
        <f>HYPERLINK("https://rmda.kulib.kyoto-u.ac.jp/item/rb00000562#?c=0&amp;m=0&amp;s=0&amp;cv=397")</f>
        <v>https://rmda.kulib.kyoto-u.ac.jp/item/rb00000562#?c=0&amp;m=0&amp;s=0&amp;cv=397</v>
      </c>
    </row>
    <row r="4829" spans="1:4" x14ac:dyDescent="0.15">
      <c r="A4829" s="105" t="s">
        <v>267</v>
      </c>
      <c r="B4829" s="123" t="s">
        <v>6475</v>
      </c>
      <c r="C4829">
        <v>399</v>
      </c>
      <c r="D4829" t="str">
        <f>HYPERLINK("https://rmda.kulib.kyoto-u.ac.jp/item/rb00000562#?c=0&amp;m=0&amp;s=0&amp;cv=398")</f>
        <v>https://rmda.kulib.kyoto-u.ac.jp/item/rb00000562#?c=0&amp;m=0&amp;s=0&amp;cv=398</v>
      </c>
    </row>
    <row r="4830" spans="1:4" x14ac:dyDescent="0.15">
      <c r="A4830" s="105" t="s">
        <v>267</v>
      </c>
      <c r="B4830" t="s">
        <v>6409</v>
      </c>
      <c r="C4830">
        <v>400</v>
      </c>
      <c r="D4830" t="str">
        <f>HYPERLINK("https://rmda.kulib.kyoto-u.ac.jp/item/rb00000562#?c=0&amp;m=0&amp;s=0&amp;cv=399")</f>
        <v>https://rmda.kulib.kyoto-u.ac.jp/item/rb00000562#?c=0&amp;m=0&amp;s=0&amp;cv=399</v>
      </c>
    </row>
    <row r="4831" spans="1:4" x14ac:dyDescent="0.15">
      <c r="A4831" s="105" t="s">
        <v>267</v>
      </c>
      <c r="B4831" t="s">
        <v>6476</v>
      </c>
      <c r="C4831">
        <v>401</v>
      </c>
      <c r="D4831" t="str">
        <f>HYPERLINK("https://rmda.kulib.kyoto-u.ac.jp/item/rb00000562#?c=0&amp;m=0&amp;s=0&amp;cv=400")</f>
        <v>https://rmda.kulib.kyoto-u.ac.jp/item/rb00000562#?c=0&amp;m=0&amp;s=0&amp;cv=400</v>
      </c>
    </row>
    <row r="4832" spans="1:4" x14ac:dyDescent="0.15">
      <c r="A4832" s="105" t="s">
        <v>267</v>
      </c>
      <c r="B4832" t="s">
        <v>6410</v>
      </c>
      <c r="C4832">
        <v>402</v>
      </c>
      <c r="D4832" t="str">
        <f>HYPERLINK("https://rmda.kulib.kyoto-u.ac.jp/item/rb00000562#?c=0&amp;m=0&amp;s=0&amp;cv=401")</f>
        <v>https://rmda.kulib.kyoto-u.ac.jp/item/rb00000562#?c=0&amp;m=0&amp;s=0&amp;cv=401</v>
      </c>
    </row>
    <row r="4833" spans="1:8" x14ac:dyDescent="0.15">
      <c r="A4833" s="105" t="s">
        <v>267</v>
      </c>
      <c r="B4833" t="s">
        <v>6477</v>
      </c>
      <c r="C4833">
        <v>403</v>
      </c>
      <c r="D4833" t="str">
        <f>HYPERLINK("https://rmda.kulib.kyoto-u.ac.jp/item/rb00000562#?c=0&amp;m=0&amp;s=0&amp;cv=402")</f>
        <v>https://rmda.kulib.kyoto-u.ac.jp/item/rb00000562#?c=0&amp;m=0&amp;s=0&amp;cv=402</v>
      </c>
      <c r="H4833" s="18" t="s">
        <v>1183</v>
      </c>
    </row>
    <row r="4834" spans="1:8" x14ac:dyDescent="0.15">
      <c r="A4834" s="105" t="s">
        <v>267</v>
      </c>
      <c r="B4834" t="s">
        <v>6411</v>
      </c>
      <c r="C4834">
        <v>403</v>
      </c>
      <c r="D4834" t="str">
        <f>HYPERLINK("https://rmda.kulib.kyoto-u.ac.jp/item/rb00000562#?c=0&amp;m=0&amp;s=0&amp;cv=402")</f>
        <v>https://rmda.kulib.kyoto-u.ac.jp/item/rb00000562#?c=0&amp;m=0&amp;s=0&amp;cv=402</v>
      </c>
    </row>
    <row r="4835" spans="1:8" x14ac:dyDescent="0.15">
      <c r="A4835" s="105" t="s">
        <v>267</v>
      </c>
      <c r="B4835" t="s">
        <v>6478</v>
      </c>
      <c r="C4835">
        <v>403</v>
      </c>
      <c r="D4835" t="str">
        <f>HYPERLINK("https://rmda.kulib.kyoto-u.ac.jp/item/rb00000562#?c=0&amp;m=0&amp;s=0&amp;cv=402")</f>
        <v>https://rmda.kulib.kyoto-u.ac.jp/item/rb00000562#?c=0&amp;m=0&amp;s=0&amp;cv=402</v>
      </c>
    </row>
    <row r="4836" spans="1:8" x14ac:dyDescent="0.15">
      <c r="A4836" s="105" t="s">
        <v>267</v>
      </c>
      <c r="B4836" t="s">
        <v>6412</v>
      </c>
      <c r="C4836">
        <v>404</v>
      </c>
      <c r="D4836" t="str">
        <f>HYPERLINK("https://rmda.kulib.kyoto-u.ac.jp/item/rb00000562#?c=0&amp;m=0&amp;s=0&amp;cv=403")</f>
        <v>https://rmda.kulib.kyoto-u.ac.jp/item/rb00000562#?c=0&amp;m=0&amp;s=0&amp;cv=403</v>
      </c>
    </row>
    <row r="4837" spans="1:8" x14ac:dyDescent="0.15">
      <c r="A4837" s="105" t="s">
        <v>267</v>
      </c>
      <c r="B4837" t="s">
        <v>6413</v>
      </c>
      <c r="C4837">
        <v>404</v>
      </c>
      <c r="D4837" t="str">
        <f>HYPERLINK("https://rmda.kulib.kyoto-u.ac.jp/item/rb00000562#?c=0&amp;m=0&amp;s=0&amp;cv=403")</f>
        <v>https://rmda.kulib.kyoto-u.ac.jp/item/rb00000562#?c=0&amp;m=0&amp;s=0&amp;cv=403</v>
      </c>
    </row>
    <row r="4838" spans="1:8" x14ac:dyDescent="0.15">
      <c r="A4838" s="105" t="s">
        <v>267</v>
      </c>
      <c r="B4838" t="s">
        <v>6414</v>
      </c>
      <c r="C4838">
        <v>405</v>
      </c>
      <c r="D4838" t="str">
        <f>HYPERLINK("https://rmda.kulib.kyoto-u.ac.jp/item/rb00000562#?c=0&amp;m=0&amp;s=0&amp;cv=404")</f>
        <v>https://rmda.kulib.kyoto-u.ac.jp/item/rb00000562#?c=0&amp;m=0&amp;s=0&amp;cv=404</v>
      </c>
    </row>
    <row r="4839" spans="1:8" x14ac:dyDescent="0.15">
      <c r="A4839" s="105" t="s">
        <v>267</v>
      </c>
      <c r="B4839" t="s">
        <v>6415</v>
      </c>
      <c r="C4839">
        <v>405</v>
      </c>
      <c r="D4839" t="str">
        <f>HYPERLINK("https://rmda.kulib.kyoto-u.ac.jp/item/rb00000562#?c=0&amp;m=0&amp;s=0&amp;cv=404")</f>
        <v>https://rmda.kulib.kyoto-u.ac.jp/item/rb00000562#?c=0&amp;m=0&amp;s=0&amp;cv=404</v>
      </c>
    </row>
    <row r="4840" spans="1:8" x14ac:dyDescent="0.15">
      <c r="A4840" s="105" t="s">
        <v>267</v>
      </c>
      <c r="B4840" t="s">
        <v>6416</v>
      </c>
      <c r="C4840">
        <v>406</v>
      </c>
      <c r="D4840" t="str">
        <f>HYPERLINK("https://rmda.kulib.kyoto-u.ac.jp/item/rb00000562#?c=0&amp;m=0&amp;s=0&amp;cv=405")</f>
        <v>https://rmda.kulib.kyoto-u.ac.jp/item/rb00000562#?c=0&amp;m=0&amp;s=0&amp;cv=405</v>
      </c>
    </row>
    <row r="4841" spans="1:8" x14ac:dyDescent="0.15">
      <c r="A4841" s="105" t="s">
        <v>267</v>
      </c>
      <c r="B4841" t="s">
        <v>6417</v>
      </c>
      <c r="C4841">
        <v>407</v>
      </c>
      <c r="D4841" t="str">
        <f>HYPERLINK("https://rmda.kulib.kyoto-u.ac.jp/item/rb00000562#?c=0&amp;m=0&amp;s=0&amp;cv=406")</f>
        <v>https://rmda.kulib.kyoto-u.ac.jp/item/rb00000562#?c=0&amp;m=0&amp;s=0&amp;cv=406</v>
      </c>
    </row>
    <row r="4842" spans="1:8" x14ac:dyDescent="0.15">
      <c r="A4842" s="105" t="s">
        <v>267</v>
      </c>
      <c r="B4842" t="s">
        <v>6418</v>
      </c>
      <c r="C4842">
        <v>408</v>
      </c>
      <c r="D4842" t="str">
        <f>HYPERLINK("https://rmda.kulib.kyoto-u.ac.jp/item/rb00000562#?c=0&amp;m=0&amp;s=0&amp;cv=407")</f>
        <v>https://rmda.kulib.kyoto-u.ac.jp/item/rb00000562#?c=0&amp;m=0&amp;s=0&amp;cv=407</v>
      </c>
    </row>
    <row r="4843" spans="1:8" x14ac:dyDescent="0.15">
      <c r="A4843" s="105" t="s">
        <v>267</v>
      </c>
      <c r="B4843" s="123" t="s">
        <v>6479</v>
      </c>
      <c r="C4843">
        <v>408</v>
      </c>
      <c r="D4843" t="str">
        <f>HYPERLINK("https://rmda.kulib.kyoto-u.ac.jp/item/rb00000562#?c=0&amp;m=0&amp;s=0&amp;cv=407")</f>
        <v>https://rmda.kulib.kyoto-u.ac.jp/item/rb00000562#?c=0&amp;m=0&amp;s=0&amp;cv=407</v>
      </c>
    </row>
    <row r="4844" spans="1:8" x14ac:dyDescent="0.15">
      <c r="A4844" s="105" t="s">
        <v>267</v>
      </c>
      <c r="B4844" t="s">
        <v>6419</v>
      </c>
      <c r="C4844">
        <v>409</v>
      </c>
      <c r="D4844" t="str">
        <f>HYPERLINK("https://rmda.kulib.kyoto-u.ac.jp/item/rb00000562#?c=0&amp;m=0&amp;s=0&amp;cv=408")</f>
        <v>https://rmda.kulib.kyoto-u.ac.jp/item/rb00000562#?c=0&amp;m=0&amp;s=0&amp;cv=408</v>
      </c>
    </row>
    <row r="4845" spans="1:8" x14ac:dyDescent="0.15">
      <c r="A4845" s="105" t="s">
        <v>267</v>
      </c>
      <c r="B4845" t="s">
        <v>6420</v>
      </c>
      <c r="C4845">
        <v>410</v>
      </c>
      <c r="D4845" t="str">
        <f>HYPERLINK("https://rmda.kulib.kyoto-u.ac.jp/item/rb00000562#?c=0&amp;m=0&amp;s=0&amp;cv=409")</f>
        <v>https://rmda.kulib.kyoto-u.ac.jp/item/rb00000562#?c=0&amp;m=0&amp;s=0&amp;cv=409</v>
      </c>
    </row>
    <row r="4846" spans="1:8" x14ac:dyDescent="0.15">
      <c r="A4846" s="105" t="s">
        <v>267</v>
      </c>
      <c r="B4846" t="s">
        <v>6421</v>
      </c>
      <c r="C4846">
        <v>411</v>
      </c>
      <c r="D4846" t="str">
        <f>HYPERLINK("https://rmda.kulib.kyoto-u.ac.jp/item/rb00000562#?c=0&amp;m=0&amp;s=0&amp;cv=410")</f>
        <v>https://rmda.kulib.kyoto-u.ac.jp/item/rb00000562#?c=0&amp;m=0&amp;s=0&amp;cv=410</v>
      </c>
    </row>
    <row r="4847" spans="1:8" x14ac:dyDescent="0.15">
      <c r="A4847" s="105" t="s">
        <v>267</v>
      </c>
      <c r="B4847" t="s">
        <v>6480</v>
      </c>
      <c r="C4847">
        <v>411</v>
      </c>
      <c r="D4847" t="str">
        <f>HYPERLINK("https://rmda.kulib.kyoto-u.ac.jp/item/rb00000562#?c=0&amp;m=0&amp;s=0&amp;cv=410")</f>
        <v>https://rmda.kulib.kyoto-u.ac.jp/item/rb00000562#?c=0&amp;m=0&amp;s=0&amp;cv=410</v>
      </c>
    </row>
    <row r="4848" spans="1:8" x14ac:dyDescent="0.15">
      <c r="A4848" s="105" t="s">
        <v>267</v>
      </c>
      <c r="B4848" t="s">
        <v>6481</v>
      </c>
      <c r="C4848">
        <v>414</v>
      </c>
      <c r="D4848" t="str">
        <f>HYPERLINK("https://rmda.kulib.kyoto-u.ac.jp/item/rb00000562#?c=0&amp;m=0&amp;s=0&amp;cv=413")</f>
        <v>https://rmda.kulib.kyoto-u.ac.jp/item/rb00000562#?c=0&amp;m=0&amp;s=0&amp;cv=413</v>
      </c>
    </row>
    <row r="4849" spans="1:4" x14ac:dyDescent="0.15">
      <c r="A4849" s="105" t="s">
        <v>267</v>
      </c>
      <c r="B4849" t="s">
        <v>6422</v>
      </c>
      <c r="C4849">
        <v>414</v>
      </c>
      <c r="D4849" t="str">
        <f>HYPERLINK("https://rmda.kulib.kyoto-u.ac.jp/item/rb00000562#?c=0&amp;m=0&amp;s=0&amp;cv=413")</f>
        <v>https://rmda.kulib.kyoto-u.ac.jp/item/rb00000562#?c=0&amp;m=0&amp;s=0&amp;cv=413</v>
      </c>
    </row>
    <row r="4850" spans="1:4" x14ac:dyDescent="0.15">
      <c r="A4850" s="105" t="s">
        <v>267</v>
      </c>
      <c r="B4850" t="s">
        <v>6423</v>
      </c>
      <c r="C4850">
        <v>416</v>
      </c>
      <c r="D4850" t="str">
        <f>HYPERLINK("https://rmda.kulib.kyoto-u.ac.jp/item/rb00000562#?c=0&amp;m=0&amp;s=0&amp;cv=415")</f>
        <v>https://rmda.kulib.kyoto-u.ac.jp/item/rb00000562#?c=0&amp;m=0&amp;s=0&amp;cv=415</v>
      </c>
    </row>
    <row r="4851" spans="1:4" x14ac:dyDescent="0.15">
      <c r="A4851" s="105" t="s">
        <v>267</v>
      </c>
      <c r="B4851" t="s">
        <v>6424</v>
      </c>
      <c r="C4851">
        <v>417</v>
      </c>
      <c r="D4851" t="str">
        <f>HYPERLINK("https://rmda.kulib.kyoto-u.ac.jp/item/rb00000562#?c=0&amp;m=0&amp;s=0&amp;cv=416")</f>
        <v>https://rmda.kulib.kyoto-u.ac.jp/item/rb00000562#?c=0&amp;m=0&amp;s=0&amp;cv=416</v>
      </c>
    </row>
    <row r="4852" spans="1:4" x14ac:dyDescent="0.15">
      <c r="A4852" s="105" t="s">
        <v>267</v>
      </c>
      <c r="B4852" t="s">
        <v>6425</v>
      </c>
      <c r="C4852">
        <v>418</v>
      </c>
      <c r="D4852" t="str">
        <f>HYPERLINK("https://rmda.kulib.kyoto-u.ac.jp/item/rb00000562#?c=0&amp;m=0&amp;s=0&amp;cv=417")</f>
        <v>https://rmda.kulib.kyoto-u.ac.jp/item/rb00000562#?c=0&amp;m=0&amp;s=0&amp;cv=417</v>
      </c>
    </row>
    <row r="4853" spans="1:4" x14ac:dyDescent="0.15">
      <c r="A4853" s="105" t="s">
        <v>267</v>
      </c>
      <c r="B4853" t="s">
        <v>6426</v>
      </c>
      <c r="C4853">
        <v>418</v>
      </c>
      <c r="D4853" t="str">
        <f>HYPERLINK("https://rmda.kulib.kyoto-u.ac.jp/item/rb00000562#?c=0&amp;m=0&amp;s=0&amp;cv=417")</f>
        <v>https://rmda.kulib.kyoto-u.ac.jp/item/rb00000562#?c=0&amp;m=0&amp;s=0&amp;cv=417</v>
      </c>
    </row>
    <row r="4854" spans="1:4" x14ac:dyDescent="0.15">
      <c r="A4854" s="105" t="s">
        <v>267</v>
      </c>
      <c r="B4854" t="s">
        <v>6427</v>
      </c>
      <c r="C4854">
        <v>419</v>
      </c>
      <c r="D4854" t="str">
        <f>HYPERLINK("https://rmda.kulib.kyoto-u.ac.jp/item/rb00000562#?c=0&amp;m=0&amp;s=0&amp;cv=418")</f>
        <v>https://rmda.kulib.kyoto-u.ac.jp/item/rb00000562#?c=0&amp;m=0&amp;s=0&amp;cv=418</v>
      </c>
    </row>
    <row r="4855" spans="1:4" x14ac:dyDescent="0.15">
      <c r="A4855" s="105" t="s">
        <v>267</v>
      </c>
      <c r="B4855" t="s">
        <v>6428</v>
      </c>
      <c r="C4855">
        <v>420</v>
      </c>
      <c r="D4855" t="str">
        <f>HYPERLINK("https://rmda.kulib.kyoto-u.ac.jp/item/rb00000562#?c=0&amp;m=0&amp;s=0&amp;cv=419")</f>
        <v>https://rmda.kulib.kyoto-u.ac.jp/item/rb00000562#?c=0&amp;m=0&amp;s=0&amp;cv=419</v>
      </c>
    </row>
    <row r="4856" spans="1:4" x14ac:dyDescent="0.15">
      <c r="A4856" s="105" t="s">
        <v>267</v>
      </c>
      <c r="B4856" t="s">
        <v>6429</v>
      </c>
      <c r="C4856">
        <v>420</v>
      </c>
      <c r="D4856" t="str">
        <f>HYPERLINK("https://rmda.kulib.kyoto-u.ac.jp/item/rb00000562#?c=0&amp;m=0&amp;s=0&amp;cv=419")</f>
        <v>https://rmda.kulib.kyoto-u.ac.jp/item/rb00000562#?c=0&amp;m=0&amp;s=0&amp;cv=419</v>
      </c>
    </row>
    <row r="4857" spans="1:4" x14ac:dyDescent="0.15">
      <c r="A4857" s="105" t="s">
        <v>267</v>
      </c>
      <c r="B4857" t="s">
        <v>6430</v>
      </c>
      <c r="C4857">
        <v>421</v>
      </c>
      <c r="D4857" t="str">
        <f>HYPERLINK("https://rmda.kulib.kyoto-u.ac.jp/item/rb00000562#?c=0&amp;m=0&amp;s=0&amp;cv=420")</f>
        <v>https://rmda.kulib.kyoto-u.ac.jp/item/rb00000562#?c=0&amp;m=0&amp;s=0&amp;cv=420</v>
      </c>
    </row>
    <row r="4858" spans="1:4" x14ac:dyDescent="0.15">
      <c r="A4858" s="105" t="s">
        <v>267</v>
      </c>
      <c r="B4858" t="s">
        <v>6431</v>
      </c>
      <c r="C4858">
        <v>422</v>
      </c>
      <c r="D4858" t="str">
        <f>HYPERLINK("https://rmda.kulib.kyoto-u.ac.jp/item/rb00000562#?c=0&amp;m=0&amp;s=0&amp;cv=421")</f>
        <v>https://rmda.kulib.kyoto-u.ac.jp/item/rb00000562#?c=0&amp;m=0&amp;s=0&amp;cv=421</v>
      </c>
    </row>
    <row r="4859" spans="1:4" x14ac:dyDescent="0.15">
      <c r="A4859" s="105" t="s">
        <v>267</v>
      </c>
      <c r="B4859" t="s">
        <v>6432</v>
      </c>
      <c r="C4859">
        <v>422</v>
      </c>
      <c r="D4859" t="str">
        <f>HYPERLINK("https://rmda.kulib.kyoto-u.ac.jp/item/rb00000562#?c=0&amp;m=0&amp;s=0&amp;cv=421")</f>
        <v>https://rmda.kulib.kyoto-u.ac.jp/item/rb00000562#?c=0&amp;m=0&amp;s=0&amp;cv=421</v>
      </c>
    </row>
    <row r="4860" spans="1:4" x14ac:dyDescent="0.15">
      <c r="A4860" s="105" t="s">
        <v>267</v>
      </c>
      <c r="B4860" t="s">
        <v>6433</v>
      </c>
      <c r="C4860">
        <v>423</v>
      </c>
      <c r="D4860" t="str">
        <f>HYPERLINK("https://rmda.kulib.kyoto-u.ac.jp/item/rb00000562#?c=0&amp;m=0&amp;s=0&amp;cv=422")</f>
        <v>https://rmda.kulib.kyoto-u.ac.jp/item/rb00000562#?c=0&amp;m=0&amp;s=0&amp;cv=422</v>
      </c>
    </row>
    <row r="4861" spans="1:4" x14ac:dyDescent="0.15">
      <c r="A4861" s="105" t="s">
        <v>267</v>
      </c>
      <c r="B4861" s="123" t="s">
        <v>6482</v>
      </c>
      <c r="C4861">
        <v>423</v>
      </c>
      <c r="D4861" t="str">
        <f>HYPERLINK("https://rmda.kulib.kyoto-u.ac.jp/item/rb00000562#?c=0&amp;m=0&amp;s=0&amp;cv=422")</f>
        <v>https://rmda.kulib.kyoto-u.ac.jp/item/rb00000562#?c=0&amp;m=0&amp;s=0&amp;cv=422</v>
      </c>
    </row>
    <row r="4862" spans="1:4" x14ac:dyDescent="0.15">
      <c r="A4862" s="105" t="s">
        <v>267</v>
      </c>
      <c r="B4862" t="s">
        <v>6434</v>
      </c>
      <c r="C4862">
        <v>423</v>
      </c>
      <c r="D4862" t="str">
        <f>HYPERLINK("https://rmda.kulib.kyoto-u.ac.jp/item/rb00000562#?c=0&amp;m=0&amp;s=0&amp;cv=422")</f>
        <v>https://rmda.kulib.kyoto-u.ac.jp/item/rb00000562#?c=0&amp;m=0&amp;s=0&amp;cv=422</v>
      </c>
    </row>
    <row r="4863" spans="1:4" x14ac:dyDescent="0.15">
      <c r="A4863" s="105" t="s">
        <v>267</v>
      </c>
      <c r="B4863" t="s">
        <v>6435</v>
      </c>
      <c r="C4863">
        <v>424</v>
      </c>
      <c r="D4863" t="str">
        <f>HYPERLINK("https://rmda.kulib.kyoto-u.ac.jp/item/rb00000562#?c=0&amp;m=0&amp;s=0&amp;cv=423")</f>
        <v>https://rmda.kulib.kyoto-u.ac.jp/item/rb00000562#?c=0&amp;m=0&amp;s=0&amp;cv=423</v>
      </c>
    </row>
    <row r="4864" spans="1:4" x14ac:dyDescent="0.15">
      <c r="A4864" s="105" t="s">
        <v>267</v>
      </c>
      <c r="B4864" t="s">
        <v>6436</v>
      </c>
      <c r="C4864">
        <v>425</v>
      </c>
      <c r="D4864" t="str">
        <f>HYPERLINK("https://rmda.kulib.kyoto-u.ac.jp/item/rb00000562#?c=0&amp;m=0&amp;s=0&amp;cv=424")</f>
        <v>https://rmda.kulib.kyoto-u.ac.jp/item/rb00000562#?c=0&amp;m=0&amp;s=0&amp;cv=424</v>
      </c>
    </row>
    <row r="4865" spans="1:4" x14ac:dyDescent="0.15">
      <c r="A4865" s="105" t="s">
        <v>267</v>
      </c>
      <c r="B4865" t="s">
        <v>6437</v>
      </c>
      <c r="C4865">
        <v>425</v>
      </c>
      <c r="D4865" t="str">
        <f>HYPERLINK("https://rmda.kulib.kyoto-u.ac.jp/item/rb00000562#?c=0&amp;m=0&amp;s=0&amp;cv=424")</f>
        <v>https://rmda.kulib.kyoto-u.ac.jp/item/rb00000562#?c=0&amp;m=0&amp;s=0&amp;cv=424</v>
      </c>
    </row>
    <row r="4866" spans="1:4" x14ac:dyDescent="0.15">
      <c r="A4866" s="105" t="s">
        <v>267</v>
      </c>
      <c r="B4866" t="s">
        <v>6438</v>
      </c>
      <c r="C4866">
        <v>427</v>
      </c>
      <c r="D4866" t="str">
        <f>HYPERLINK("https://rmda.kulib.kyoto-u.ac.jp/item/rb00000562#?c=0&amp;m=0&amp;s=0&amp;cv=426")</f>
        <v>https://rmda.kulib.kyoto-u.ac.jp/item/rb00000562#?c=0&amp;m=0&amp;s=0&amp;cv=426</v>
      </c>
    </row>
    <row r="4867" spans="1:4" x14ac:dyDescent="0.15">
      <c r="A4867" s="105" t="s">
        <v>267</v>
      </c>
      <c r="B4867" t="s">
        <v>6439</v>
      </c>
      <c r="C4867">
        <v>427</v>
      </c>
      <c r="D4867" t="str">
        <f>HYPERLINK("https://rmda.kulib.kyoto-u.ac.jp/item/rb00000562#?c=0&amp;m=0&amp;s=0&amp;cv=426")</f>
        <v>https://rmda.kulib.kyoto-u.ac.jp/item/rb00000562#?c=0&amp;m=0&amp;s=0&amp;cv=426</v>
      </c>
    </row>
    <row r="4868" spans="1:4" x14ac:dyDescent="0.15">
      <c r="A4868" s="105" t="s">
        <v>267</v>
      </c>
      <c r="B4868" t="s">
        <v>6440</v>
      </c>
      <c r="C4868">
        <v>428</v>
      </c>
      <c r="D4868" t="str">
        <f>HYPERLINK("https://rmda.kulib.kyoto-u.ac.jp/item/rb00000562#?c=0&amp;m=0&amp;s=0&amp;cv=427")</f>
        <v>https://rmda.kulib.kyoto-u.ac.jp/item/rb00000562#?c=0&amp;m=0&amp;s=0&amp;cv=427</v>
      </c>
    </row>
    <row r="4869" spans="1:4" x14ac:dyDescent="0.15">
      <c r="A4869" s="105" t="s">
        <v>267</v>
      </c>
      <c r="B4869" t="s">
        <v>6441</v>
      </c>
      <c r="C4869">
        <v>429</v>
      </c>
      <c r="D4869" t="str">
        <f>HYPERLINK("https://rmda.kulib.kyoto-u.ac.jp/item/rb00000562#?c=0&amp;m=0&amp;s=0&amp;cv=428")</f>
        <v>https://rmda.kulib.kyoto-u.ac.jp/item/rb00000562#?c=0&amp;m=0&amp;s=0&amp;cv=428</v>
      </c>
    </row>
    <row r="4870" spans="1:4" x14ac:dyDescent="0.15">
      <c r="A4870" s="105" t="s">
        <v>267</v>
      </c>
      <c r="B4870" t="s">
        <v>6442</v>
      </c>
      <c r="C4870">
        <v>429</v>
      </c>
      <c r="D4870" t="str">
        <f>HYPERLINK("https://rmda.kulib.kyoto-u.ac.jp/item/rb00000562#?c=0&amp;m=0&amp;s=0&amp;cv=428")</f>
        <v>https://rmda.kulib.kyoto-u.ac.jp/item/rb00000562#?c=0&amp;m=0&amp;s=0&amp;cv=428</v>
      </c>
    </row>
    <row r="4871" spans="1:4" x14ac:dyDescent="0.15">
      <c r="A4871" s="105" t="s">
        <v>267</v>
      </c>
      <c r="B4871" t="s">
        <v>6443</v>
      </c>
      <c r="C4871">
        <v>430</v>
      </c>
      <c r="D4871" t="str">
        <f>HYPERLINK("https://rmda.kulib.kyoto-u.ac.jp/item/rb00000562#?c=0&amp;m=0&amp;s=0&amp;cv=429")</f>
        <v>https://rmda.kulib.kyoto-u.ac.jp/item/rb00000562#?c=0&amp;m=0&amp;s=0&amp;cv=429</v>
      </c>
    </row>
    <row r="4872" spans="1:4" x14ac:dyDescent="0.15">
      <c r="A4872" s="105" t="s">
        <v>267</v>
      </c>
      <c r="B4872" t="s">
        <v>6444</v>
      </c>
      <c r="C4872">
        <v>431</v>
      </c>
      <c r="D4872" t="str">
        <f>HYPERLINK("https://rmda.kulib.kyoto-u.ac.jp/item/rb00000562#?c=0&amp;m=0&amp;s=0&amp;cv=430")</f>
        <v>https://rmda.kulib.kyoto-u.ac.jp/item/rb00000562#?c=0&amp;m=0&amp;s=0&amp;cv=430</v>
      </c>
    </row>
    <row r="4873" spans="1:4" x14ac:dyDescent="0.15">
      <c r="A4873" s="105" t="s">
        <v>267</v>
      </c>
      <c r="B4873" t="s">
        <v>6445</v>
      </c>
      <c r="C4873">
        <v>433</v>
      </c>
      <c r="D4873" t="str">
        <f>HYPERLINK("https://rmda.kulib.kyoto-u.ac.jp/item/rb00000562#?c=0&amp;m=0&amp;s=0&amp;cv=432")</f>
        <v>https://rmda.kulib.kyoto-u.ac.jp/item/rb00000562#?c=0&amp;m=0&amp;s=0&amp;cv=432</v>
      </c>
    </row>
    <row r="4874" spans="1:4" x14ac:dyDescent="0.15">
      <c r="A4874" s="105" t="s">
        <v>267</v>
      </c>
      <c r="B4874" s="123" t="s">
        <v>6446</v>
      </c>
      <c r="C4874">
        <v>434</v>
      </c>
      <c r="D4874" t="str">
        <f>HYPERLINK("https://rmda.kulib.kyoto-u.ac.jp/item/rb00000562#?c=0&amp;m=0&amp;s=0&amp;cv=433")</f>
        <v>https://rmda.kulib.kyoto-u.ac.jp/item/rb00000562#?c=0&amp;m=0&amp;s=0&amp;cv=433</v>
      </c>
    </row>
    <row r="4875" spans="1:4" x14ac:dyDescent="0.15">
      <c r="A4875" s="105" t="s">
        <v>267</v>
      </c>
      <c r="B4875" t="s">
        <v>6447</v>
      </c>
      <c r="C4875">
        <v>436</v>
      </c>
      <c r="D4875" t="str">
        <f>HYPERLINK("https://rmda.kulib.kyoto-u.ac.jp/item/rb00000562#?c=0&amp;m=0&amp;s=0&amp;cv=435")</f>
        <v>https://rmda.kulib.kyoto-u.ac.jp/item/rb00000562#?c=0&amp;m=0&amp;s=0&amp;cv=435</v>
      </c>
    </row>
    <row r="4876" spans="1:4" x14ac:dyDescent="0.15">
      <c r="A4876" s="105" t="s">
        <v>267</v>
      </c>
      <c r="B4876" t="s">
        <v>6448</v>
      </c>
      <c r="C4876">
        <v>436</v>
      </c>
      <c r="D4876" t="str">
        <f>HYPERLINK("https://rmda.kulib.kyoto-u.ac.jp/item/rb00000562#?c=0&amp;m=0&amp;s=0&amp;cv=435")</f>
        <v>https://rmda.kulib.kyoto-u.ac.jp/item/rb00000562#?c=0&amp;m=0&amp;s=0&amp;cv=435</v>
      </c>
    </row>
    <row r="4877" spans="1:4" x14ac:dyDescent="0.15">
      <c r="A4877" s="105" t="s">
        <v>267</v>
      </c>
      <c r="B4877" t="s">
        <v>6449</v>
      </c>
      <c r="C4877">
        <v>438</v>
      </c>
      <c r="D4877" t="str">
        <f>HYPERLINK("https://rmda.kulib.kyoto-u.ac.jp/item/rb00000562#?c=0&amp;m=0&amp;s=0&amp;cv=437")</f>
        <v>https://rmda.kulib.kyoto-u.ac.jp/item/rb00000562#?c=0&amp;m=0&amp;s=0&amp;cv=437</v>
      </c>
    </row>
    <row r="4878" spans="1:4" x14ac:dyDescent="0.15">
      <c r="A4878" s="105" t="s">
        <v>267</v>
      </c>
      <c r="B4878" t="s">
        <v>6450</v>
      </c>
      <c r="C4878">
        <v>438</v>
      </c>
      <c r="D4878" t="str">
        <f>HYPERLINK("https://rmda.kulib.kyoto-u.ac.jp/item/rb00000562#?c=0&amp;m=0&amp;s=0&amp;cv=437")</f>
        <v>https://rmda.kulib.kyoto-u.ac.jp/item/rb00000562#?c=0&amp;m=0&amp;s=0&amp;cv=437</v>
      </c>
    </row>
    <row r="4879" spans="1:4" x14ac:dyDescent="0.15">
      <c r="A4879" s="105" t="s">
        <v>267</v>
      </c>
      <c r="B4879" t="s">
        <v>6451</v>
      </c>
      <c r="C4879">
        <v>439</v>
      </c>
      <c r="D4879" t="str">
        <f>HYPERLINK("https://rmda.kulib.kyoto-u.ac.jp/item/rb00000562#?c=0&amp;m=0&amp;s=0&amp;cv=438")</f>
        <v>https://rmda.kulib.kyoto-u.ac.jp/item/rb00000562#?c=0&amp;m=0&amp;s=0&amp;cv=438</v>
      </c>
    </row>
    <row r="4880" spans="1:4" x14ac:dyDescent="0.15">
      <c r="A4880" s="105" t="s">
        <v>267</v>
      </c>
      <c r="B4880" t="s">
        <v>6452</v>
      </c>
      <c r="C4880">
        <v>439</v>
      </c>
      <c r="D4880" t="str">
        <f>HYPERLINK("https://rmda.kulib.kyoto-u.ac.jp/item/rb00000562#?c=0&amp;m=0&amp;s=0&amp;cv=438")</f>
        <v>https://rmda.kulib.kyoto-u.ac.jp/item/rb00000562#?c=0&amp;m=0&amp;s=0&amp;cv=438</v>
      </c>
    </row>
    <row r="4881" spans="1:4" x14ac:dyDescent="0.15">
      <c r="A4881" s="105" t="s">
        <v>267</v>
      </c>
      <c r="B4881" s="123" t="s">
        <v>6453</v>
      </c>
      <c r="C4881">
        <v>441</v>
      </c>
      <c r="D4881" t="str">
        <f>HYPERLINK("https://rmda.kulib.kyoto-u.ac.jp/item/rb00000562#?c=0&amp;m=0&amp;s=0&amp;cv=440")</f>
        <v>https://rmda.kulib.kyoto-u.ac.jp/item/rb00000562#?c=0&amp;m=0&amp;s=0&amp;cv=440</v>
      </c>
    </row>
    <row r="4882" spans="1:4" x14ac:dyDescent="0.15">
      <c r="A4882" s="105" t="s">
        <v>267</v>
      </c>
      <c r="B4882" t="s">
        <v>6454</v>
      </c>
      <c r="C4882">
        <v>442</v>
      </c>
      <c r="D4882" t="str">
        <f>HYPERLINK("https://rmda.kulib.kyoto-u.ac.jp/item/rb00000562#?c=0&amp;m=0&amp;s=0&amp;cv=441")</f>
        <v>https://rmda.kulib.kyoto-u.ac.jp/item/rb00000562#?c=0&amp;m=0&amp;s=0&amp;cv=441</v>
      </c>
    </row>
    <row r="4883" spans="1:4" x14ac:dyDescent="0.15">
      <c r="A4883" s="105" t="s">
        <v>267</v>
      </c>
      <c r="B4883" t="s">
        <v>6455</v>
      </c>
      <c r="C4883">
        <v>442</v>
      </c>
      <c r="D4883" t="str">
        <f>HYPERLINK("https://rmda.kulib.kyoto-u.ac.jp/item/rb00000562#?c=0&amp;m=0&amp;s=0&amp;cv=441")</f>
        <v>https://rmda.kulib.kyoto-u.ac.jp/item/rb00000562#?c=0&amp;m=0&amp;s=0&amp;cv=441</v>
      </c>
    </row>
    <row r="4884" spans="1:4" x14ac:dyDescent="0.15">
      <c r="A4884" s="105" t="s">
        <v>267</v>
      </c>
      <c r="B4884" t="s">
        <v>6456</v>
      </c>
      <c r="C4884">
        <v>442</v>
      </c>
      <c r="D4884" t="str">
        <f>HYPERLINK("https://rmda.kulib.kyoto-u.ac.jp/item/rb00000562#?c=0&amp;m=0&amp;s=0&amp;cv=441")</f>
        <v>https://rmda.kulib.kyoto-u.ac.jp/item/rb00000562#?c=0&amp;m=0&amp;s=0&amp;cv=441</v>
      </c>
    </row>
    <row r="4885" spans="1:4" x14ac:dyDescent="0.15">
      <c r="A4885" s="105" t="s">
        <v>267</v>
      </c>
      <c r="B4885" t="s">
        <v>6457</v>
      </c>
      <c r="C4885">
        <v>442</v>
      </c>
      <c r="D4885" t="str">
        <f>HYPERLINK("https://rmda.kulib.kyoto-u.ac.jp/item/rb00000562#?c=0&amp;m=0&amp;s=0&amp;cv=441")</f>
        <v>https://rmda.kulib.kyoto-u.ac.jp/item/rb00000562#?c=0&amp;m=0&amp;s=0&amp;cv=441</v>
      </c>
    </row>
    <row r="4886" spans="1:4" x14ac:dyDescent="0.15">
      <c r="A4886" s="105" t="s">
        <v>267</v>
      </c>
      <c r="B4886" t="s">
        <v>6458</v>
      </c>
      <c r="C4886">
        <v>442</v>
      </c>
      <c r="D4886" t="str">
        <f>HYPERLINK("https://rmda.kulib.kyoto-u.ac.jp/item/rb00000562#?c=0&amp;m=0&amp;s=0&amp;cv=441")</f>
        <v>https://rmda.kulib.kyoto-u.ac.jp/item/rb00000562#?c=0&amp;m=0&amp;s=0&amp;cv=441</v>
      </c>
    </row>
    <row r="4887" spans="1:4" x14ac:dyDescent="0.15">
      <c r="A4887" s="105" t="s">
        <v>267</v>
      </c>
      <c r="B4887" t="s">
        <v>6459</v>
      </c>
      <c r="C4887">
        <v>443</v>
      </c>
      <c r="D4887" t="str">
        <f>HYPERLINK("https://rmda.kulib.kyoto-u.ac.jp/item/rb00000562#?c=0&amp;m=0&amp;s=0&amp;cv=442")</f>
        <v>https://rmda.kulib.kyoto-u.ac.jp/item/rb00000562#?c=0&amp;m=0&amp;s=0&amp;cv=442</v>
      </c>
    </row>
    <row r="4888" spans="1:4" x14ac:dyDescent="0.15">
      <c r="A4888" s="105" t="s">
        <v>267</v>
      </c>
      <c r="B4888" s="123" t="s">
        <v>6460</v>
      </c>
      <c r="C4888">
        <v>443</v>
      </c>
      <c r="D4888" t="str">
        <f>HYPERLINK("https://rmda.kulib.kyoto-u.ac.jp/item/rb00000562#?c=0&amp;m=0&amp;s=0&amp;cv=442")</f>
        <v>https://rmda.kulib.kyoto-u.ac.jp/item/rb00000562#?c=0&amp;m=0&amp;s=0&amp;cv=442</v>
      </c>
    </row>
    <row r="4889" spans="1:4" x14ac:dyDescent="0.15">
      <c r="A4889" s="105" t="s">
        <v>267</v>
      </c>
      <c r="B4889" s="123" t="s">
        <v>6461</v>
      </c>
      <c r="C4889">
        <v>444</v>
      </c>
      <c r="D4889" t="str">
        <f>HYPERLINK("https://rmda.kulib.kyoto-u.ac.jp/item/rb00000562#?c=0&amp;m=0&amp;s=0&amp;cv=443")</f>
        <v>https://rmda.kulib.kyoto-u.ac.jp/item/rb00000562#?c=0&amp;m=0&amp;s=0&amp;cv=443</v>
      </c>
    </row>
    <row r="4890" spans="1:4" x14ac:dyDescent="0.15">
      <c r="A4890" s="105" t="s">
        <v>267</v>
      </c>
      <c r="B4890" s="123" t="s">
        <v>6462</v>
      </c>
      <c r="C4890">
        <v>444</v>
      </c>
      <c r="D4890" t="str">
        <f>HYPERLINK("https://rmda.kulib.kyoto-u.ac.jp/item/rb00000562#?c=0&amp;m=0&amp;s=0&amp;cv=443")</f>
        <v>https://rmda.kulib.kyoto-u.ac.jp/item/rb00000562#?c=0&amp;m=0&amp;s=0&amp;cv=443</v>
      </c>
    </row>
    <row r="4891" spans="1:4" x14ac:dyDescent="0.15">
      <c r="A4891" s="105" t="s">
        <v>267</v>
      </c>
      <c r="B4891" s="123" t="s">
        <v>6463</v>
      </c>
      <c r="C4891">
        <v>445</v>
      </c>
      <c r="D4891" t="str">
        <f>HYPERLINK("https://rmda.kulib.kyoto-u.ac.jp/item/rb00000562#?c=0&amp;m=0&amp;s=0&amp;cv=444")</f>
        <v>https://rmda.kulib.kyoto-u.ac.jp/item/rb00000562#?c=0&amp;m=0&amp;s=0&amp;cv=444</v>
      </c>
    </row>
    <row r="4892" spans="1:4" x14ac:dyDescent="0.15">
      <c r="A4892" s="105" t="s">
        <v>267</v>
      </c>
      <c r="B4892" s="123" t="s">
        <v>6464</v>
      </c>
      <c r="C4892">
        <v>447</v>
      </c>
      <c r="D4892" t="str">
        <f>HYPERLINK("https://rmda.kulib.kyoto-u.ac.jp/item/rb00000562#?c=0&amp;m=0&amp;s=0&amp;cv=446")</f>
        <v>https://rmda.kulib.kyoto-u.ac.jp/item/rb00000562#?c=0&amp;m=0&amp;s=0&amp;cv=446</v>
      </c>
    </row>
    <row r="4893" spans="1:4" x14ac:dyDescent="0.15">
      <c r="A4893" s="105" t="s">
        <v>267</v>
      </c>
      <c r="B4893" s="123" t="s">
        <v>6465</v>
      </c>
      <c r="C4893">
        <v>448</v>
      </c>
      <c r="D4893" t="str">
        <f>HYPERLINK("https://rmda.kulib.kyoto-u.ac.jp/item/rb00000562#?c=0&amp;m=0&amp;s=0&amp;cv=447")</f>
        <v>https://rmda.kulib.kyoto-u.ac.jp/item/rb00000562#?c=0&amp;m=0&amp;s=0&amp;cv=447</v>
      </c>
    </row>
    <row r="4894" spans="1:4" x14ac:dyDescent="0.15">
      <c r="A4894" s="105" t="s">
        <v>267</v>
      </c>
      <c r="B4894" t="s">
        <v>6466</v>
      </c>
      <c r="C4894">
        <v>450</v>
      </c>
      <c r="D4894" t="str">
        <f>HYPERLINK("https://rmda.kulib.kyoto-u.ac.jp/item/rb00000562#?c=0&amp;m=0&amp;s=0&amp;cv=449")</f>
        <v>https://rmda.kulib.kyoto-u.ac.jp/item/rb00000562#?c=0&amp;m=0&amp;s=0&amp;cv=449</v>
      </c>
    </row>
    <row r="4895" spans="1:4" x14ac:dyDescent="0.15">
      <c r="A4895" s="105" t="s">
        <v>267</v>
      </c>
      <c r="B4895" t="s">
        <v>6467</v>
      </c>
      <c r="C4895">
        <v>450</v>
      </c>
      <c r="D4895" t="str">
        <f>HYPERLINK("https://rmda.kulib.kyoto-u.ac.jp/item/rb00000562#?c=0&amp;m=0&amp;s=0&amp;cv=449")</f>
        <v>https://rmda.kulib.kyoto-u.ac.jp/item/rb00000562#?c=0&amp;m=0&amp;s=0&amp;cv=449</v>
      </c>
    </row>
    <row r="4896" spans="1:4" x14ac:dyDescent="0.15">
      <c r="A4896" s="11" t="s">
        <v>6287</v>
      </c>
      <c r="B4896" s="11" t="s">
        <v>273</v>
      </c>
      <c r="C4896" s="67"/>
      <c r="D4896" s="67"/>
    </row>
    <row r="4897" spans="1:4" x14ac:dyDescent="0.15">
      <c r="A4897" s="84" t="s">
        <v>6327</v>
      </c>
      <c r="B4897" s="67"/>
      <c r="C4897" s="67"/>
      <c r="D4897" s="67"/>
    </row>
    <row r="4898" spans="1:4" x14ac:dyDescent="0.15">
      <c r="A4898" s="8" t="s">
        <v>5433</v>
      </c>
      <c r="B4898" s="8" t="s">
        <v>276</v>
      </c>
      <c r="C4898" s="6"/>
      <c r="D4898" s="6"/>
    </row>
    <row r="4899" spans="1:4" x14ac:dyDescent="0.15">
      <c r="A4899" s="83" t="s">
        <v>5446</v>
      </c>
      <c r="B4899" s="71" t="s">
        <v>1185</v>
      </c>
      <c r="C4899" s="6"/>
      <c r="D4899" s="9" t="s">
        <v>1184</v>
      </c>
    </row>
    <row r="4900" spans="1:4" x14ac:dyDescent="0.15">
      <c r="A4900" s="6" t="s">
        <v>275</v>
      </c>
      <c r="B4900" s="71" t="s">
        <v>5431</v>
      </c>
      <c r="C4900" s="6"/>
      <c r="D4900" s="6"/>
    </row>
    <row r="4901" spans="1:4" x14ac:dyDescent="0.15">
      <c r="A4901" s="6" t="s">
        <v>275</v>
      </c>
      <c r="B4901" s="71" t="s">
        <v>5432</v>
      </c>
      <c r="C4901" s="6"/>
      <c r="D4901" s="6"/>
    </row>
    <row r="4902" spans="1:4" x14ac:dyDescent="0.15">
      <c r="A4902" s="6" t="s">
        <v>275</v>
      </c>
      <c r="B4902" s="71" t="s">
        <v>5230</v>
      </c>
      <c r="C4902" s="6"/>
      <c r="D4902" s="6"/>
    </row>
    <row r="4903" spans="1:4" x14ac:dyDescent="0.15">
      <c r="A4903" s="6" t="s">
        <v>275</v>
      </c>
      <c r="B4903" s="6" t="s">
        <v>2098</v>
      </c>
      <c r="C4903" s="6">
        <v>4</v>
      </c>
      <c r="D4903" s="6" t="str">
        <f>HYPERLINK("https://rmda.kulib.kyoto-u.ac.jp/item/rb00002477#?c=0&amp;m=0&amp;s=0&amp;cv=3")</f>
        <v>https://rmda.kulib.kyoto-u.ac.jp/item/rb00002477#?c=0&amp;m=0&amp;s=0&amp;cv=3</v>
      </c>
    </row>
    <row r="4904" spans="1:4" x14ac:dyDescent="0.15">
      <c r="A4904" s="6" t="s">
        <v>275</v>
      </c>
      <c r="B4904" s="6" t="s">
        <v>3507</v>
      </c>
      <c r="C4904" s="6">
        <v>11</v>
      </c>
      <c r="D4904" s="6" t="str">
        <f>HYPERLINK("https://rmda.kulib.kyoto-u.ac.jp/item/rb00002477#?c=0&amp;m=0&amp;s=0&amp;cv=10")</f>
        <v>https://rmda.kulib.kyoto-u.ac.jp/item/rb00002477#?c=0&amp;m=0&amp;s=0&amp;cv=10</v>
      </c>
    </row>
    <row r="4905" spans="1:4" x14ac:dyDescent="0.15">
      <c r="A4905" s="6" t="s">
        <v>275</v>
      </c>
      <c r="B4905" s="6" t="s">
        <v>1476</v>
      </c>
      <c r="C4905" s="6">
        <v>17</v>
      </c>
      <c r="D4905" s="6" t="str">
        <f>HYPERLINK("https://rmda.kulib.kyoto-u.ac.jp/item/rb00002477#?c=0&amp;m=0&amp;s=0&amp;cv=16")</f>
        <v>https://rmda.kulib.kyoto-u.ac.jp/item/rb00002477#?c=0&amp;m=0&amp;s=0&amp;cv=16</v>
      </c>
    </row>
    <row r="4906" spans="1:4" x14ac:dyDescent="0.15">
      <c r="A4906" s="6" t="s">
        <v>275</v>
      </c>
      <c r="B4906" s="72" t="s">
        <v>3508</v>
      </c>
      <c r="C4906" s="6">
        <v>20</v>
      </c>
      <c r="D4906" s="6" t="str">
        <f>HYPERLINK("https://rmda.kulib.kyoto-u.ac.jp/item/rb00002477#?c=0&amp;m=0&amp;s=0&amp;cv=19")</f>
        <v>https://rmda.kulib.kyoto-u.ac.jp/item/rb00002477#?c=0&amp;m=0&amp;s=0&amp;cv=19</v>
      </c>
    </row>
    <row r="4907" spans="1:4" x14ac:dyDescent="0.15">
      <c r="A4907" s="6" t="s">
        <v>275</v>
      </c>
      <c r="B4907" s="6" t="s">
        <v>3525</v>
      </c>
      <c r="C4907" s="6">
        <v>20</v>
      </c>
      <c r="D4907" s="6" t="str">
        <f>HYPERLINK("https://rmda.kulib.kyoto-u.ac.jp/item/rb00002477#?c=0&amp;m=0&amp;s=0&amp;cv=19")</f>
        <v>https://rmda.kulib.kyoto-u.ac.jp/item/rb00002477#?c=0&amp;m=0&amp;s=0&amp;cv=19</v>
      </c>
    </row>
    <row r="4908" spans="1:4" x14ac:dyDescent="0.15">
      <c r="A4908" s="6" t="s">
        <v>275</v>
      </c>
      <c r="B4908" s="6" t="s">
        <v>3526</v>
      </c>
      <c r="C4908" s="6">
        <v>20</v>
      </c>
      <c r="D4908" s="6" t="str">
        <f>HYPERLINK("https://rmda.kulib.kyoto-u.ac.jp/item/rb00002477#?c=0&amp;m=0&amp;s=0&amp;cv=19")</f>
        <v>https://rmda.kulib.kyoto-u.ac.jp/item/rb00002477#?c=0&amp;m=0&amp;s=0&amp;cv=19</v>
      </c>
    </row>
    <row r="4909" spans="1:4" x14ac:dyDescent="0.15">
      <c r="A4909" s="6" t="s">
        <v>275</v>
      </c>
      <c r="B4909" s="6" t="s">
        <v>3527</v>
      </c>
      <c r="C4909" s="6">
        <v>23</v>
      </c>
      <c r="D4909" s="6" t="str">
        <f>HYPERLINK("https://rmda.kulib.kyoto-u.ac.jp/item/rb00002477#?c=0&amp;m=0&amp;s=0&amp;cv=22")</f>
        <v>https://rmda.kulib.kyoto-u.ac.jp/item/rb00002477#?c=0&amp;m=0&amp;s=0&amp;cv=22</v>
      </c>
    </row>
    <row r="4910" spans="1:4" x14ac:dyDescent="0.15">
      <c r="A4910" s="6" t="s">
        <v>275</v>
      </c>
      <c r="B4910" s="6" t="s">
        <v>3528</v>
      </c>
      <c r="C4910" s="6">
        <v>34</v>
      </c>
      <c r="D4910" s="6" t="str">
        <f>HYPERLINK("https://rmda.kulib.kyoto-u.ac.jp/item/rb00002477#?c=0&amp;m=0&amp;s=0&amp;cv=33")</f>
        <v>https://rmda.kulib.kyoto-u.ac.jp/item/rb00002477#?c=0&amp;m=0&amp;s=0&amp;cv=33</v>
      </c>
    </row>
    <row r="4911" spans="1:4" x14ac:dyDescent="0.15">
      <c r="A4911" s="6" t="s">
        <v>275</v>
      </c>
      <c r="B4911" s="6" t="s">
        <v>3529</v>
      </c>
      <c r="C4911" s="6">
        <v>44</v>
      </c>
      <c r="D4911" s="6" t="str">
        <f>HYPERLINK("https://rmda.kulib.kyoto-u.ac.jp/item/rb00002477#?c=0&amp;m=0&amp;s=0&amp;cv=43")</f>
        <v>https://rmda.kulib.kyoto-u.ac.jp/item/rb00002477#?c=0&amp;m=0&amp;s=0&amp;cv=43</v>
      </c>
    </row>
    <row r="4912" spans="1:4" x14ac:dyDescent="0.15">
      <c r="A4912" s="6" t="s">
        <v>275</v>
      </c>
      <c r="B4912" s="72" t="s">
        <v>3509</v>
      </c>
      <c r="C4912" s="6">
        <v>58</v>
      </c>
      <c r="D4912" s="6" t="str">
        <f>HYPERLINK("https://rmda.kulib.kyoto-u.ac.jp/item/rb00002477#?c=0&amp;m=0&amp;s=0&amp;cv=57")</f>
        <v>https://rmda.kulib.kyoto-u.ac.jp/item/rb00002477#?c=0&amp;m=0&amp;s=0&amp;cv=57</v>
      </c>
    </row>
    <row r="4913" spans="1:4" x14ac:dyDescent="0.15">
      <c r="A4913" s="6" t="s">
        <v>275</v>
      </c>
      <c r="B4913" s="6" t="s">
        <v>3510</v>
      </c>
      <c r="C4913" s="6">
        <v>58</v>
      </c>
      <c r="D4913" s="6" t="str">
        <f>HYPERLINK("https://rmda.kulib.kyoto-u.ac.jp/item/rb00002477#?c=0&amp;m=0&amp;s=0&amp;cv=57")</f>
        <v>https://rmda.kulib.kyoto-u.ac.jp/item/rb00002477#?c=0&amp;m=0&amp;s=0&amp;cv=57</v>
      </c>
    </row>
    <row r="4914" spans="1:4" x14ac:dyDescent="0.15">
      <c r="A4914" s="6" t="s">
        <v>275</v>
      </c>
      <c r="B4914" s="6" t="s">
        <v>3530</v>
      </c>
      <c r="C4914" s="6">
        <v>58</v>
      </c>
      <c r="D4914" s="6" t="str">
        <f>HYPERLINK("https://rmda.kulib.kyoto-u.ac.jp/item/rb00002477#?c=0&amp;m=0&amp;s=0&amp;cv=57")</f>
        <v>https://rmda.kulib.kyoto-u.ac.jp/item/rb00002477#?c=0&amp;m=0&amp;s=0&amp;cv=57</v>
      </c>
    </row>
    <row r="4915" spans="1:4" x14ac:dyDescent="0.15">
      <c r="A4915" s="6" t="s">
        <v>275</v>
      </c>
      <c r="B4915" s="6" t="s">
        <v>3531</v>
      </c>
      <c r="C4915" s="6">
        <v>78</v>
      </c>
      <c r="D4915" s="6" t="str">
        <f>HYPERLINK("https://rmda.kulib.kyoto-u.ac.jp/item/rb00002477#?c=0&amp;m=0&amp;s=0&amp;cv=77")</f>
        <v>https://rmda.kulib.kyoto-u.ac.jp/item/rb00002477#?c=0&amp;m=0&amp;s=0&amp;cv=77</v>
      </c>
    </row>
    <row r="4916" spans="1:4" x14ac:dyDescent="0.15">
      <c r="A4916" s="6" t="s">
        <v>275</v>
      </c>
      <c r="B4916" s="6" t="s">
        <v>3532</v>
      </c>
      <c r="C4916" s="6">
        <v>91</v>
      </c>
      <c r="D4916" s="6" t="str">
        <f>HYPERLINK("https://rmda.kulib.kyoto-u.ac.jp/item/rb00002477#?c=0&amp;m=0&amp;s=0&amp;cv=90")</f>
        <v>https://rmda.kulib.kyoto-u.ac.jp/item/rb00002477#?c=0&amp;m=0&amp;s=0&amp;cv=90</v>
      </c>
    </row>
    <row r="4917" spans="1:4" x14ac:dyDescent="0.15">
      <c r="A4917" s="6" t="s">
        <v>275</v>
      </c>
      <c r="B4917" s="6" t="s">
        <v>3533</v>
      </c>
      <c r="C4917" s="6">
        <v>94</v>
      </c>
      <c r="D4917" s="6" t="str">
        <f>HYPERLINK("https://rmda.kulib.kyoto-u.ac.jp/item/rb00002477#?c=0&amp;m=0&amp;s=0&amp;cv=93")</f>
        <v>https://rmda.kulib.kyoto-u.ac.jp/item/rb00002477#?c=0&amp;m=0&amp;s=0&amp;cv=93</v>
      </c>
    </row>
    <row r="4918" spans="1:4" x14ac:dyDescent="0.15">
      <c r="A4918" s="6" t="s">
        <v>275</v>
      </c>
      <c r="B4918" s="6" t="s">
        <v>3534</v>
      </c>
      <c r="C4918" s="6">
        <v>96</v>
      </c>
      <c r="D4918" s="6" t="str">
        <f>HYPERLINK("https://rmda.kulib.kyoto-u.ac.jp/item/rb00002477#?c=0&amp;m=0&amp;s=0&amp;cv=95")</f>
        <v>https://rmda.kulib.kyoto-u.ac.jp/item/rb00002477#?c=0&amp;m=0&amp;s=0&amp;cv=95</v>
      </c>
    </row>
    <row r="4919" spans="1:4" x14ac:dyDescent="0.15">
      <c r="A4919" s="6" t="s">
        <v>275</v>
      </c>
      <c r="B4919" s="72" t="s">
        <v>3511</v>
      </c>
      <c r="C4919" s="6">
        <v>106</v>
      </c>
      <c r="D4919" s="6" t="str">
        <f>HYPERLINK("https://rmda.kulib.kyoto-u.ac.jp/item/rb00002477#?c=0&amp;m=0&amp;s=0&amp;cv=105")</f>
        <v>https://rmda.kulib.kyoto-u.ac.jp/item/rb00002477#?c=0&amp;m=0&amp;s=0&amp;cv=105</v>
      </c>
    </row>
    <row r="4920" spans="1:4" x14ac:dyDescent="0.15">
      <c r="A4920" s="6" t="s">
        <v>275</v>
      </c>
      <c r="B4920" s="6" t="s">
        <v>3512</v>
      </c>
      <c r="C4920" s="6">
        <v>106</v>
      </c>
      <c r="D4920" s="6" t="str">
        <f>HYPERLINK("https://rmda.kulib.kyoto-u.ac.jp/item/rb00002477#?c=0&amp;m=0&amp;s=0&amp;cv=105")</f>
        <v>https://rmda.kulib.kyoto-u.ac.jp/item/rb00002477#?c=0&amp;m=0&amp;s=0&amp;cv=105</v>
      </c>
    </row>
    <row r="4921" spans="1:4" x14ac:dyDescent="0.15">
      <c r="A4921" s="6" t="s">
        <v>275</v>
      </c>
      <c r="B4921" s="6" t="s">
        <v>3535</v>
      </c>
      <c r="C4921" s="6">
        <v>106</v>
      </c>
      <c r="D4921" s="6" t="str">
        <f>HYPERLINK("https://rmda.kulib.kyoto-u.ac.jp/item/rb00002477#?c=0&amp;m=0&amp;s=0&amp;cv=105")</f>
        <v>https://rmda.kulib.kyoto-u.ac.jp/item/rb00002477#?c=0&amp;m=0&amp;s=0&amp;cv=105</v>
      </c>
    </row>
    <row r="4922" spans="1:4" x14ac:dyDescent="0.15">
      <c r="A4922" s="6" t="s">
        <v>275</v>
      </c>
      <c r="B4922" s="72" t="s">
        <v>3513</v>
      </c>
      <c r="C4922" s="6">
        <v>134</v>
      </c>
      <c r="D4922" s="6" t="str">
        <f>HYPERLINK("https://rmda.kulib.kyoto-u.ac.jp/item/rb00002477#?c=0&amp;m=0&amp;s=0&amp;cv=133")</f>
        <v>https://rmda.kulib.kyoto-u.ac.jp/item/rb00002477#?c=0&amp;m=0&amp;s=0&amp;cv=133</v>
      </c>
    </row>
    <row r="4923" spans="1:4" x14ac:dyDescent="0.15">
      <c r="A4923" s="6" t="s">
        <v>275</v>
      </c>
      <c r="B4923" s="6" t="s">
        <v>3514</v>
      </c>
      <c r="C4923" s="6">
        <v>134</v>
      </c>
      <c r="D4923" s="6" t="str">
        <f>HYPERLINK("https://rmda.kulib.kyoto-u.ac.jp/item/rb00002477#?c=0&amp;m=0&amp;s=0&amp;cv=133")</f>
        <v>https://rmda.kulib.kyoto-u.ac.jp/item/rb00002477#?c=0&amp;m=0&amp;s=0&amp;cv=133</v>
      </c>
    </row>
    <row r="4924" spans="1:4" x14ac:dyDescent="0.15">
      <c r="A4924" s="6" t="s">
        <v>275</v>
      </c>
      <c r="B4924" s="6" t="s">
        <v>3536</v>
      </c>
      <c r="C4924" s="6">
        <v>134</v>
      </c>
      <c r="D4924" s="6" t="str">
        <f>HYPERLINK("https://rmda.kulib.kyoto-u.ac.jp/item/rb00002477#?c=0&amp;m=0&amp;s=0&amp;cv=133")</f>
        <v>https://rmda.kulib.kyoto-u.ac.jp/item/rb00002477#?c=0&amp;m=0&amp;s=0&amp;cv=133</v>
      </c>
    </row>
    <row r="4925" spans="1:4" x14ac:dyDescent="0.15">
      <c r="A4925" s="6" t="s">
        <v>275</v>
      </c>
      <c r="B4925" s="6" t="s">
        <v>3537</v>
      </c>
      <c r="C4925" s="6">
        <v>137</v>
      </c>
      <c r="D4925" s="6" t="str">
        <f>HYPERLINK("https://rmda.kulib.kyoto-u.ac.jp/item/rb00002477#?c=0&amp;m=0&amp;s=0&amp;cv=136")</f>
        <v>https://rmda.kulib.kyoto-u.ac.jp/item/rb00002477#?c=0&amp;m=0&amp;s=0&amp;cv=136</v>
      </c>
    </row>
    <row r="4926" spans="1:4" x14ac:dyDescent="0.15">
      <c r="A4926" s="6" t="s">
        <v>275</v>
      </c>
      <c r="B4926" s="6" t="s">
        <v>3538</v>
      </c>
      <c r="C4926" s="6">
        <v>139</v>
      </c>
      <c r="D4926" s="6" t="str">
        <f>HYPERLINK("https://rmda.kulib.kyoto-u.ac.jp/item/rb00002477#?c=0&amp;m=0&amp;s=0&amp;cv=138")</f>
        <v>https://rmda.kulib.kyoto-u.ac.jp/item/rb00002477#?c=0&amp;m=0&amp;s=0&amp;cv=138</v>
      </c>
    </row>
    <row r="4927" spans="1:4" x14ac:dyDescent="0.15">
      <c r="A4927" s="6" t="s">
        <v>275</v>
      </c>
      <c r="B4927" s="6" t="s">
        <v>3539</v>
      </c>
      <c r="C4927" s="6">
        <v>141</v>
      </c>
      <c r="D4927" s="6" t="str">
        <f>HYPERLINK("https://rmda.kulib.kyoto-u.ac.jp/item/rb00002477#?c=0&amp;m=0&amp;s=0&amp;cv=140")</f>
        <v>https://rmda.kulib.kyoto-u.ac.jp/item/rb00002477#?c=0&amp;m=0&amp;s=0&amp;cv=140</v>
      </c>
    </row>
    <row r="4928" spans="1:4" x14ac:dyDescent="0.15">
      <c r="A4928" s="6" t="s">
        <v>275</v>
      </c>
      <c r="B4928" s="6" t="s">
        <v>3540</v>
      </c>
      <c r="C4928" s="6">
        <v>142</v>
      </c>
      <c r="D4928" s="6" t="str">
        <f>HYPERLINK("https://rmda.kulib.kyoto-u.ac.jp/item/rb00002477#?c=0&amp;m=0&amp;s=0&amp;cv=141")</f>
        <v>https://rmda.kulib.kyoto-u.ac.jp/item/rb00002477#?c=0&amp;m=0&amp;s=0&amp;cv=141</v>
      </c>
    </row>
    <row r="4929" spans="1:4" x14ac:dyDescent="0.15">
      <c r="A4929" s="6" t="s">
        <v>275</v>
      </c>
      <c r="B4929" s="6" t="s">
        <v>3541</v>
      </c>
      <c r="C4929" s="6">
        <v>143</v>
      </c>
      <c r="D4929" s="6" t="str">
        <f>HYPERLINK("https://rmda.kulib.kyoto-u.ac.jp/item/rb00002477#?c=0&amp;m=0&amp;s=0&amp;cv=142")</f>
        <v>https://rmda.kulib.kyoto-u.ac.jp/item/rb00002477#?c=0&amp;m=0&amp;s=0&amp;cv=142</v>
      </c>
    </row>
    <row r="4930" spans="1:4" x14ac:dyDescent="0.15">
      <c r="A4930" s="6" t="s">
        <v>275</v>
      </c>
      <c r="B4930" s="6" t="s">
        <v>3542</v>
      </c>
      <c r="C4930" s="6">
        <v>145</v>
      </c>
      <c r="D4930" s="6" t="str">
        <f>HYPERLINK("https://rmda.kulib.kyoto-u.ac.jp/item/rb00002477#?c=0&amp;m=0&amp;s=0&amp;cv=144")</f>
        <v>https://rmda.kulib.kyoto-u.ac.jp/item/rb00002477#?c=0&amp;m=0&amp;s=0&amp;cv=144</v>
      </c>
    </row>
    <row r="4931" spans="1:4" x14ac:dyDescent="0.15">
      <c r="A4931" s="6" t="s">
        <v>275</v>
      </c>
      <c r="B4931" s="6" t="s">
        <v>3543</v>
      </c>
      <c r="C4931" s="6">
        <v>147</v>
      </c>
      <c r="D4931" s="6" t="str">
        <f>HYPERLINK("https://rmda.kulib.kyoto-u.ac.jp/item/rb00002477#?c=0&amp;m=0&amp;s=0&amp;cv=146")</f>
        <v>https://rmda.kulib.kyoto-u.ac.jp/item/rb00002477#?c=0&amp;m=0&amp;s=0&amp;cv=146</v>
      </c>
    </row>
    <row r="4932" spans="1:4" x14ac:dyDescent="0.15">
      <c r="A4932" s="6" t="s">
        <v>275</v>
      </c>
      <c r="B4932" s="6" t="s">
        <v>3544</v>
      </c>
      <c r="C4932" s="6">
        <v>150</v>
      </c>
      <c r="D4932" s="6" t="str">
        <f>HYPERLINK("https://rmda.kulib.kyoto-u.ac.jp/item/rb00002477#?c=0&amp;m=0&amp;s=0&amp;cv=149")</f>
        <v>https://rmda.kulib.kyoto-u.ac.jp/item/rb00002477#?c=0&amp;m=0&amp;s=0&amp;cv=149</v>
      </c>
    </row>
    <row r="4933" spans="1:4" x14ac:dyDescent="0.15">
      <c r="A4933" s="6" t="s">
        <v>275</v>
      </c>
      <c r="B4933" s="6" t="s">
        <v>3545</v>
      </c>
      <c r="C4933" s="6">
        <v>153</v>
      </c>
      <c r="D4933" s="6" t="str">
        <f>HYPERLINK("https://rmda.kulib.kyoto-u.ac.jp/item/rb00002477#?c=0&amp;m=0&amp;s=0&amp;cv=152")</f>
        <v>https://rmda.kulib.kyoto-u.ac.jp/item/rb00002477#?c=0&amp;m=0&amp;s=0&amp;cv=152</v>
      </c>
    </row>
    <row r="4934" spans="1:4" x14ac:dyDescent="0.15">
      <c r="A4934" s="6" t="s">
        <v>275</v>
      </c>
      <c r="B4934" s="6" t="s">
        <v>3546</v>
      </c>
      <c r="C4934" s="6">
        <v>158</v>
      </c>
      <c r="D4934" s="6" t="str">
        <f>HYPERLINK("https://rmda.kulib.kyoto-u.ac.jp/item/rb00002477#?c=0&amp;m=0&amp;s=0&amp;cv=157")</f>
        <v>https://rmda.kulib.kyoto-u.ac.jp/item/rb00002477#?c=0&amp;m=0&amp;s=0&amp;cv=157</v>
      </c>
    </row>
    <row r="4935" spans="1:4" x14ac:dyDescent="0.15">
      <c r="A4935" s="6" t="s">
        <v>275</v>
      </c>
      <c r="B4935" s="6" t="s">
        <v>3547</v>
      </c>
      <c r="C4935" s="6">
        <v>160</v>
      </c>
      <c r="D4935" s="6" t="str">
        <f>HYPERLINK("https://rmda.kulib.kyoto-u.ac.jp/item/rb00002477#?c=0&amp;m=0&amp;s=0&amp;cv=159")</f>
        <v>https://rmda.kulib.kyoto-u.ac.jp/item/rb00002477#?c=0&amp;m=0&amp;s=0&amp;cv=159</v>
      </c>
    </row>
    <row r="4936" spans="1:4" x14ac:dyDescent="0.15">
      <c r="A4936" s="6" t="s">
        <v>275</v>
      </c>
      <c r="B4936" s="6" t="s">
        <v>3548</v>
      </c>
      <c r="C4936" s="6">
        <v>167</v>
      </c>
      <c r="D4936" s="6" t="str">
        <f>HYPERLINK("https://rmda.kulib.kyoto-u.ac.jp/item/rb00002477#?c=0&amp;m=0&amp;s=0&amp;cv=166")</f>
        <v>https://rmda.kulib.kyoto-u.ac.jp/item/rb00002477#?c=0&amp;m=0&amp;s=0&amp;cv=166</v>
      </c>
    </row>
    <row r="4937" spans="1:4" x14ac:dyDescent="0.15">
      <c r="A4937" s="6" t="s">
        <v>275</v>
      </c>
      <c r="B4937" s="6" t="s">
        <v>3549</v>
      </c>
      <c r="C4937" s="6">
        <v>172</v>
      </c>
      <c r="D4937" s="6" t="str">
        <f>HYPERLINK("https://rmda.kulib.kyoto-u.ac.jp/item/rb00002477#?c=0&amp;m=0&amp;s=0&amp;cv=171")</f>
        <v>https://rmda.kulib.kyoto-u.ac.jp/item/rb00002477#?c=0&amp;m=0&amp;s=0&amp;cv=171</v>
      </c>
    </row>
    <row r="4938" spans="1:4" x14ac:dyDescent="0.15">
      <c r="A4938" s="6" t="s">
        <v>275</v>
      </c>
      <c r="B4938" s="72" t="s">
        <v>3515</v>
      </c>
      <c r="C4938" s="6">
        <v>181</v>
      </c>
      <c r="D4938" s="6" t="str">
        <f>HYPERLINK("https://rmda.kulib.kyoto-u.ac.jp/item/rb00002477#?c=0&amp;m=0&amp;s=0&amp;cv=180")</f>
        <v>https://rmda.kulib.kyoto-u.ac.jp/item/rb00002477#?c=0&amp;m=0&amp;s=0&amp;cv=180</v>
      </c>
    </row>
    <row r="4939" spans="1:4" x14ac:dyDescent="0.15">
      <c r="A4939" s="6" t="s">
        <v>275</v>
      </c>
      <c r="B4939" s="6" t="s">
        <v>3516</v>
      </c>
      <c r="C4939" s="6">
        <v>181</v>
      </c>
      <c r="D4939" s="6" t="str">
        <f>HYPERLINK("https://rmda.kulib.kyoto-u.ac.jp/item/rb00002477#?c=0&amp;m=0&amp;s=0&amp;cv=180")</f>
        <v>https://rmda.kulib.kyoto-u.ac.jp/item/rb00002477#?c=0&amp;m=0&amp;s=0&amp;cv=180</v>
      </c>
    </row>
    <row r="4940" spans="1:4" x14ac:dyDescent="0.15">
      <c r="A4940" s="6" t="s">
        <v>275</v>
      </c>
      <c r="B4940" s="6" t="s">
        <v>3550</v>
      </c>
      <c r="C4940" s="6">
        <v>181</v>
      </c>
      <c r="D4940" s="6" t="str">
        <f>HYPERLINK("https://rmda.kulib.kyoto-u.ac.jp/item/rb00002477#?c=0&amp;m=0&amp;s=0&amp;cv=180")</f>
        <v>https://rmda.kulib.kyoto-u.ac.jp/item/rb00002477#?c=0&amp;m=0&amp;s=0&amp;cv=180</v>
      </c>
    </row>
    <row r="4941" spans="1:4" x14ac:dyDescent="0.15">
      <c r="A4941" s="6" t="s">
        <v>275</v>
      </c>
      <c r="B4941" s="6" t="s">
        <v>3551</v>
      </c>
      <c r="C4941" s="6">
        <v>184</v>
      </c>
      <c r="D4941" s="6" t="str">
        <f>HYPERLINK("https://rmda.kulib.kyoto-u.ac.jp/item/rb00002477#?c=0&amp;m=0&amp;s=0&amp;cv=183")</f>
        <v>https://rmda.kulib.kyoto-u.ac.jp/item/rb00002477#?c=0&amp;m=0&amp;s=0&amp;cv=183</v>
      </c>
    </row>
    <row r="4942" spans="1:4" x14ac:dyDescent="0.15">
      <c r="A4942" s="6" t="s">
        <v>275</v>
      </c>
      <c r="B4942" s="6" t="s">
        <v>3552</v>
      </c>
      <c r="C4942" s="6">
        <v>186</v>
      </c>
      <c r="D4942" s="6" t="str">
        <f>HYPERLINK("https://rmda.kulib.kyoto-u.ac.jp/item/rb00002477#?c=0&amp;m=0&amp;s=0&amp;cv=185")</f>
        <v>https://rmda.kulib.kyoto-u.ac.jp/item/rb00002477#?c=0&amp;m=0&amp;s=0&amp;cv=185</v>
      </c>
    </row>
    <row r="4943" spans="1:4" x14ac:dyDescent="0.15">
      <c r="A4943" s="6" t="s">
        <v>275</v>
      </c>
      <c r="B4943" s="6" t="s">
        <v>3553</v>
      </c>
      <c r="C4943" s="6">
        <v>190</v>
      </c>
      <c r="D4943" s="6" t="str">
        <f>HYPERLINK("https://rmda.kulib.kyoto-u.ac.jp/item/rb00002477#?c=0&amp;m=0&amp;s=0&amp;cv=189")</f>
        <v>https://rmda.kulib.kyoto-u.ac.jp/item/rb00002477#?c=0&amp;m=0&amp;s=0&amp;cv=189</v>
      </c>
    </row>
    <row r="4944" spans="1:4" x14ac:dyDescent="0.15">
      <c r="A4944" s="6" t="s">
        <v>275</v>
      </c>
      <c r="B4944" s="6" t="s">
        <v>3554</v>
      </c>
      <c r="C4944" s="6">
        <v>193</v>
      </c>
      <c r="D4944" s="6" t="str">
        <f>HYPERLINK("https://rmda.kulib.kyoto-u.ac.jp/item/rb00002477#?c=0&amp;m=0&amp;s=0&amp;cv=192")</f>
        <v>https://rmda.kulib.kyoto-u.ac.jp/item/rb00002477#?c=0&amp;m=0&amp;s=0&amp;cv=192</v>
      </c>
    </row>
    <row r="4945" spans="1:4" x14ac:dyDescent="0.15">
      <c r="A4945" s="6" t="s">
        <v>275</v>
      </c>
      <c r="B4945" s="6" t="s">
        <v>3555</v>
      </c>
      <c r="C4945" s="6">
        <v>199</v>
      </c>
      <c r="D4945" s="6" t="str">
        <f>HYPERLINK("https://rmda.kulib.kyoto-u.ac.jp/item/rb00002477#?c=0&amp;m=0&amp;s=0&amp;cv=198")</f>
        <v>https://rmda.kulib.kyoto-u.ac.jp/item/rb00002477#?c=0&amp;m=0&amp;s=0&amp;cv=198</v>
      </c>
    </row>
    <row r="4946" spans="1:4" x14ac:dyDescent="0.15">
      <c r="A4946" s="6" t="s">
        <v>275</v>
      </c>
      <c r="B4946" s="6" t="s">
        <v>3556</v>
      </c>
      <c r="C4946" s="6">
        <v>204</v>
      </c>
      <c r="D4946" s="6" t="str">
        <f>HYPERLINK("https://rmda.kulib.kyoto-u.ac.jp/item/rb00002477#?c=0&amp;m=0&amp;s=0&amp;cv=203")</f>
        <v>https://rmda.kulib.kyoto-u.ac.jp/item/rb00002477#?c=0&amp;m=0&amp;s=0&amp;cv=203</v>
      </c>
    </row>
    <row r="4947" spans="1:4" x14ac:dyDescent="0.15">
      <c r="A4947" s="6" t="s">
        <v>275</v>
      </c>
      <c r="B4947" s="6" t="s">
        <v>3557</v>
      </c>
      <c r="C4947" s="6">
        <v>210</v>
      </c>
      <c r="D4947" s="6" t="str">
        <f>HYPERLINK("https://rmda.kulib.kyoto-u.ac.jp/item/rb00002477#?c=0&amp;m=0&amp;s=0&amp;cv=209")</f>
        <v>https://rmda.kulib.kyoto-u.ac.jp/item/rb00002477#?c=0&amp;m=0&amp;s=0&amp;cv=209</v>
      </c>
    </row>
    <row r="4948" spans="1:4" x14ac:dyDescent="0.15">
      <c r="A4948" s="6" t="s">
        <v>275</v>
      </c>
      <c r="B4948" s="6" t="s">
        <v>3558</v>
      </c>
      <c r="C4948" s="6">
        <v>216</v>
      </c>
      <c r="D4948" s="6" t="str">
        <f>HYPERLINK("https://rmda.kulib.kyoto-u.ac.jp/item/rb00002477#?c=0&amp;m=0&amp;s=0&amp;cv=215")</f>
        <v>https://rmda.kulib.kyoto-u.ac.jp/item/rb00002477#?c=0&amp;m=0&amp;s=0&amp;cv=215</v>
      </c>
    </row>
    <row r="4949" spans="1:4" x14ac:dyDescent="0.15">
      <c r="A4949" s="6" t="s">
        <v>275</v>
      </c>
      <c r="B4949" s="6" t="s">
        <v>3559</v>
      </c>
      <c r="C4949" s="6">
        <v>221</v>
      </c>
      <c r="D4949" s="6" t="str">
        <f>HYPERLINK("https://rmda.kulib.kyoto-u.ac.jp/item/rb00002477#?c=0&amp;m=0&amp;s=0&amp;cv=220")</f>
        <v>https://rmda.kulib.kyoto-u.ac.jp/item/rb00002477#?c=0&amp;m=0&amp;s=0&amp;cv=220</v>
      </c>
    </row>
    <row r="4950" spans="1:4" x14ac:dyDescent="0.15">
      <c r="A4950" s="6" t="s">
        <v>275</v>
      </c>
      <c r="B4950" s="72" t="s">
        <v>3517</v>
      </c>
      <c r="C4950" s="6">
        <v>228</v>
      </c>
      <c r="D4950" s="6" t="str">
        <f>HYPERLINK("https://rmda.kulib.kyoto-u.ac.jp/item/rb00002477#?c=0&amp;m=0&amp;s=0&amp;cv=227")</f>
        <v>https://rmda.kulib.kyoto-u.ac.jp/item/rb00002477#?c=0&amp;m=0&amp;s=0&amp;cv=227</v>
      </c>
    </row>
    <row r="4951" spans="1:4" x14ac:dyDescent="0.15">
      <c r="A4951" s="6" t="s">
        <v>275</v>
      </c>
      <c r="B4951" s="6" t="s">
        <v>3518</v>
      </c>
      <c r="C4951" s="6">
        <v>228</v>
      </c>
      <c r="D4951" s="6" t="str">
        <f>HYPERLINK("https://rmda.kulib.kyoto-u.ac.jp/item/rb00002477#?c=0&amp;m=0&amp;s=0&amp;cv=227")</f>
        <v>https://rmda.kulib.kyoto-u.ac.jp/item/rb00002477#?c=0&amp;m=0&amp;s=0&amp;cv=227</v>
      </c>
    </row>
    <row r="4952" spans="1:4" x14ac:dyDescent="0.15">
      <c r="A4952" s="6" t="s">
        <v>275</v>
      </c>
      <c r="B4952" s="6" t="s">
        <v>3519</v>
      </c>
      <c r="C4952" s="6">
        <v>228</v>
      </c>
      <c r="D4952" s="6" t="str">
        <f>HYPERLINK("https://rmda.kulib.kyoto-u.ac.jp/item/rb00002477#?c=0&amp;m=0&amp;s=0&amp;cv=227")</f>
        <v>https://rmda.kulib.kyoto-u.ac.jp/item/rb00002477#?c=0&amp;m=0&amp;s=0&amp;cv=227</v>
      </c>
    </row>
    <row r="4953" spans="1:4" x14ac:dyDescent="0.15">
      <c r="A4953" s="6" t="s">
        <v>275</v>
      </c>
      <c r="B4953" s="6" t="s">
        <v>3520</v>
      </c>
      <c r="C4953" s="6">
        <v>241</v>
      </c>
      <c r="D4953" s="6" t="str">
        <f>HYPERLINK("https://rmda.kulib.kyoto-u.ac.jp/item/rb00002477#?c=0&amp;m=0&amp;s=0&amp;cv=240")</f>
        <v>https://rmda.kulib.kyoto-u.ac.jp/item/rb00002477#?c=0&amp;m=0&amp;s=0&amp;cv=240</v>
      </c>
    </row>
    <row r="4954" spans="1:4" x14ac:dyDescent="0.15">
      <c r="A4954" s="6" t="s">
        <v>275</v>
      </c>
      <c r="B4954" s="6" t="s">
        <v>3521</v>
      </c>
      <c r="C4954" s="6">
        <v>249</v>
      </c>
      <c r="D4954" s="6" t="str">
        <f>HYPERLINK("https://rmda.kulib.kyoto-u.ac.jp/item/rb00002477#?c=0&amp;m=0&amp;s=0&amp;cv=248")</f>
        <v>https://rmda.kulib.kyoto-u.ac.jp/item/rb00002477#?c=0&amp;m=0&amp;s=0&amp;cv=248</v>
      </c>
    </row>
    <row r="4955" spans="1:4" x14ac:dyDescent="0.15">
      <c r="A4955" s="6" t="s">
        <v>275</v>
      </c>
      <c r="B4955" s="6" t="s">
        <v>3522</v>
      </c>
      <c r="C4955" s="6">
        <v>256</v>
      </c>
      <c r="D4955" s="6" t="str">
        <f>HYPERLINK("https://rmda.kulib.kyoto-u.ac.jp/item/rb00002477#?c=0&amp;m=0&amp;s=0&amp;cv=255")</f>
        <v>https://rmda.kulib.kyoto-u.ac.jp/item/rb00002477#?c=0&amp;m=0&amp;s=0&amp;cv=255</v>
      </c>
    </row>
    <row r="4956" spans="1:4" x14ac:dyDescent="0.15">
      <c r="A4956" s="6" t="s">
        <v>275</v>
      </c>
      <c r="B4956" s="6" t="s">
        <v>3523</v>
      </c>
      <c r="C4956" s="6">
        <v>260</v>
      </c>
      <c r="D4956" s="6" t="str">
        <f>HYPERLINK("https://rmda.kulib.kyoto-u.ac.jp/item/rb00002477#?c=0&amp;m=0&amp;s=0&amp;cv=259")</f>
        <v>https://rmda.kulib.kyoto-u.ac.jp/item/rb00002477#?c=0&amp;m=0&amp;s=0&amp;cv=259</v>
      </c>
    </row>
    <row r="4957" spans="1:4" x14ac:dyDescent="0.15">
      <c r="A4957" s="6" t="s">
        <v>275</v>
      </c>
      <c r="B4957" s="6" t="s">
        <v>3524</v>
      </c>
      <c r="C4957" s="6">
        <v>269</v>
      </c>
      <c r="D4957" s="6" t="str">
        <f>HYPERLINK("https://rmda.kulib.kyoto-u.ac.jp/item/rb00002477#?c=0&amp;m=0&amp;s=0&amp;cv=268")</f>
        <v>https://rmda.kulib.kyoto-u.ac.jp/item/rb00002477#?c=0&amp;m=0&amp;s=0&amp;cv=268</v>
      </c>
    </row>
    <row r="4958" spans="1:4" x14ac:dyDescent="0.15">
      <c r="A4958" s="11" t="s">
        <v>6288</v>
      </c>
      <c r="B4958" s="11" t="s">
        <v>281</v>
      </c>
      <c r="C4958" s="67"/>
      <c r="D4958" s="6"/>
    </row>
    <row r="4959" spans="1:4" x14ac:dyDescent="0.15">
      <c r="A4959" s="84" t="s">
        <v>6328</v>
      </c>
      <c r="B4959" s="67"/>
      <c r="C4959" s="67"/>
      <c r="D4959" s="6"/>
    </row>
    <row r="4960" spans="1:4" x14ac:dyDescent="0.15">
      <c r="A4960" s="11" t="s">
        <v>6329</v>
      </c>
      <c r="B4960" s="11" t="s">
        <v>285</v>
      </c>
      <c r="C4960" s="67"/>
      <c r="D4960" s="6"/>
    </row>
    <row r="4961" spans="1:4" x14ac:dyDescent="0.15">
      <c r="A4961" s="84" t="s">
        <v>6330</v>
      </c>
      <c r="B4961" s="67"/>
      <c r="C4961" s="67"/>
      <c r="D4961" s="6"/>
    </row>
    <row r="4962" spans="1:4" x14ac:dyDescent="0.15">
      <c r="A4962" s="11" t="s">
        <v>6289</v>
      </c>
      <c r="B4962" s="11" t="s">
        <v>285</v>
      </c>
      <c r="C4962" s="67"/>
      <c r="D4962" s="6"/>
    </row>
    <row r="4963" spans="1:4" x14ac:dyDescent="0.15">
      <c r="A4963" s="84" t="s">
        <v>6331</v>
      </c>
      <c r="B4963" s="6"/>
      <c r="C4963" s="6"/>
      <c r="D4963" s="6"/>
    </row>
    <row r="4964" spans="1:4" x14ac:dyDescent="0.15">
      <c r="A4964" s="11" t="s">
        <v>6290</v>
      </c>
      <c r="B4964" s="11" t="s">
        <v>290</v>
      </c>
      <c r="C4964" s="67"/>
      <c r="D4964" s="6"/>
    </row>
    <row r="4965" spans="1:4" x14ac:dyDescent="0.15">
      <c r="A4965" s="98" t="s">
        <v>6332</v>
      </c>
      <c r="B4965" s="6"/>
      <c r="C4965" s="6"/>
      <c r="D4965" s="6"/>
    </row>
    <row r="4966" spans="1:4" x14ac:dyDescent="0.15">
      <c r="A4966" s="11" t="s">
        <v>6291</v>
      </c>
      <c r="B4966" s="11" t="s">
        <v>285</v>
      </c>
      <c r="C4966" s="67"/>
      <c r="D4966" s="6"/>
    </row>
    <row r="4967" spans="1:4" x14ac:dyDescent="0.15">
      <c r="A4967" s="98" t="s">
        <v>6333</v>
      </c>
      <c r="B4967" s="6"/>
      <c r="C4967" s="6"/>
      <c r="D4967" s="6"/>
    </row>
    <row r="4968" spans="1:4" x14ac:dyDescent="0.15">
      <c r="A4968" s="11" t="s">
        <v>5460</v>
      </c>
      <c r="B4968" s="11" t="s">
        <v>281</v>
      </c>
      <c r="C4968" s="6"/>
      <c r="D4968" s="9" t="s">
        <v>1189</v>
      </c>
    </row>
    <row r="4969" spans="1:4" x14ac:dyDescent="0.15">
      <c r="A4969" s="63" t="s">
        <v>5461</v>
      </c>
      <c r="B4969" s="6" t="s">
        <v>3651</v>
      </c>
      <c r="C4969" s="6">
        <v>4</v>
      </c>
      <c r="D4969" s="6" t="str">
        <f>HYPERLINK("https://rmda.kulib.kyoto-u.ac.jp/item/rb00001187#?c=0&amp;m=0&amp;s=0&amp;cv=3")</f>
        <v>https://rmda.kulib.kyoto-u.ac.jp/item/rb00001187#?c=0&amp;m=0&amp;s=0&amp;cv=3</v>
      </c>
    </row>
    <row r="4970" spans="1:4" x14ac:dyDescent="0.15">
      <c r="A4970" s="6" t="s">
        <v>294</v>
      </c>
      <c r="B4970" s="6" t="s">
        <v>3221</v>
      </c>
      <c r="C4970" s="6">
        <v>8</v>
      </c>
      <c r="D4970" s="6" t="str">
        <f>HYPERLINK("https://rmda.kulib.kyoto-u.ac.jp/item/rb00001187#?c=0&amp;m=0&amp;s=0&amp;cv=7")</f>
        <v>https://rmda.kulib.kyoto-u.ac.jp/item/rb00001187#?c=0&amp;m=0&amp;s=0&amp;cv=7</v>
      </c>
    </row>
    <row r="4971" spans="1:4" x14ac:dyDescent="0.15">
      <c r="A4971" s="6" t="s">
        <v>294</v>
      </c>
      <c r="B4971" s="6" t="s">
        <v>2098</v>
      </c>
      <c r="C4971" s="6">
        <v>13</v>
      </c>
      <c r="D4971" s="6" t="str">
        <f>HYPERLINK("https://rmda.kulib.kyoto-u.ac.jp/item/rb00001187#?c=0&amp;m=0&amp;s=0&amp;cv=12")</f>
        <v>https://rmda.kulib.kyoto-u.ac.jp/item/rb00001187#?c=0&amp;m=0&amp;s=0&amp;cv=12</v>
      </c>
    </row>
    <row r="4972" spans="1:4" x14ac:dyDescent="0.15">
      <c r="A4972" s="6" t="s">
        <v>294</v>
      </c>
      <c r="B4972" s="6" t="s">
        <v>3649</v>
      </c>
      <c r="C4972" s="6">
        <v>16</v>
      </c>
      <c r="D4972" s="6" t="str">
        <f>HYPERLINK("https://rmda.kulib.kyoto-u.ac.jp/item/rb00001187#?c=0&amp;m=0&amp;s=0&amp;cv=15")</f>
        <v>https://rmda.kulib.kyoto-u.ac.jp/item/rb00001187#?c=0&amp;m=0&amp;s=0&amp;cv=15</v>
      </c>
    </row>
    <row r="4973" spans="1:4" x14ac:dyDescent="0.15">
      <c r="A4973" s="6" t="s">
        <v>294</v>
      </c>
      <c r="B4973" s="72" t="s">
        <v>5462</v>
      </c>
      <c r="C4973" s="6"/>
      <c r="D4973" s="6"/>
    </row>
    <row r="4974" spans="1:4" x14ac:dyDescent="0.15">
      <c r="A4974" s="6" t="s">
        <v>294</v>
      </c>
      <c r="B4974" s="6" t="s">
        <v>5463</v>
      </c>
      <c r="C4974" s="6">
        <v>52</v>
      </c>
      <c r="D4974" s="6" t="str">
        <f>HYPERLINK("https://rmda.kulib.kyoto-u.ac.jp/item/rb00001187#?c=0&amp;m=0&amp;s=0&amp;cv=51")</f>
        <v>https://rmda.kulib.kyoto-u.ac.jp/item/rb00001187#?c=0&amp;m=0&amp;s=0&amp;cv=51</v>
      </c>
    </row>
    <row r="4975" spans="1:4" x14ac:dyDescent="0.15">
      <c r="A4975" s="6" t="s">
        <v>294</v>
      </c>
      <c r="B4975" s="6" t="s">
        <v>5464</v>
      </c>
      <c r="C4975" s="6">
        <v>56</v>
      </c>
      <c r="D4975" s="6" t="str">
        <f>HYPERLINK("https://rmda.kulib.kyoto-u.ac.jp/item/rb00001187#?c=0&amp;m=0&amp;s=0&amp;cv=55")</f>
        <v>https://rmda.kulib.kyoto-u.ac.jp/item/rb00001187#?c=0&amp;m=0&amp;s=0&amp;cv=55</v>
      </c>
    </row>
    <row r="4976" spans="1:4" x14ac:dyDescent="0.15">
      <c r="A4976" s="6" t="s">
        <v>294</v>
      </c>
      <c r="B4976" s="6" t="s">
        <v>5465</v>
      </c>
      <c r="C4976" s="6">
        <v>58</v>
      </c>
      <c r="D4976" s="6" t="str">
        <f>HYPERLINK("https://rmda.kulib.kyoto-u.ac.jp/item/rb00001187#?c=0&amp;m=0&amp;s=0&amp;cv=57")</f>
        <v>https://rmda.kulib.kyoto-u.ac.jp/item/rb00001187#?c=0&amp;m=0&amp;s=0&amp;cv=57</v>
      </c>
    </row>
    <row r="4977" spans="1:4" x14ac:dyDescent="0.15">
      <c r="A4977" s="6" t="s">
        <v>294</v>
      </c>
      <c r="B4977" s="6" t="s">
        <v>5466</v>
      </c>
      <c r="C4977" s="6">
        <v>61</v>
      </c>
      <c r="D4977" s="6" t="str">
        <f>HYPERLINK("https://rmda.kulib.kyoto-u.ac.jp/item/rb00001187#?c=0&amp;m=0&amp;s=0&amp;cv=60")</f>
        <v>https://rmda.kulib.kyoto-u.ac.jp/item/rb00001187#?c=0&amp;m=0&amp;s=0&amp;cv=60</v>
      </c>
    </row>
    <row r="4978" spans="1:4" x14ac:dyDescent="0.15">
      <c r="A4978" s="6" t="s">
        <v>294</v>
      </c>
      <c r="B4978" s="6" t="s">
        <v>5467</v>
      </c>
      <c r="C4978" s="6">
        <v>64</v>
      </c>
      <c r="D4978" s="6" t="str">
        <f>HYPERLINK("https://rmda.kulib.kyoto-u.ac.jp/item/rb00001187#?c=0&amp;m=0&amp;s=0&amp;cv=63")</f>
        <v>https://rmda.kulib.kyoto-u.ac.jp/item/rb00001187#?c=0&amp;m=0&amp;s=0&amp;cv=63</v>
      </c>
    </row>
    <row r="4979" spans="1:4" x14ac:dyDescent="0.15">
      <c r="A4979" s="6" t="s">
        <v>294</v>
      </c>
      <c r="B4979" s="6" t="s">
        <v>5468</v>
      </c>
      <c r="C4979" s="6">
        <v>66</v>
      </c>
      <c r="D4979" s="6" t="str">
        <f>HYPERLINK("https://rmda.kulib.kyoto-u.ac.jp/item/rb00001187#?c=0&amp;m=0&amp;s=0&amp;cv=65")</f>
        <v>https://rmda.kulib.kyoto-u.ac.jp/item/rb00001187#?c=0&amp;m=0&amp;s=0&amp;cv=65</v>
      </c>
    </row>
    <row r="4980" spans="1:4" x14ac:dyDescent="0.15">
      <c r="A4980" s="6" t="s">
        <v>294</v>
      </c>
      <c r="B4980" s="6" t="s">
        <v>5469</v>
      </c>
      <c r="C4980" s="6">
        <v>70</v>
      </c>
      <c r="D4980" s="6" t="str">
        <f>HYPERLINK("https://rmda.kulib.kyoto-u.ac.jp/item/rb00001187#?c=0&amp;m=0&amp;s=0&amp;cv=69")</f>
        <v>https://rmda.kulib.kyoto-u.ac.jp/item/rb00001187#?c=0&amp;m=0&amp;s=0&amp;cv=69</v>
      </c>
    </row>
    <row r="4981" spans="1:4" x14ac:dyDescent="0.15">
      <c r="A4981" s="6" t="s">
        <v>294</v>
      </c>
      <c r="B4981" s="6" t="s">
        <v>5470</v>
      </c>
      <c r="C4981" s="6">
        <v>72</v>
      </c>
      <c r="D4981" s="6" t="str">
        <f>HYPERLINK("https://rmda.kulib.kyoto-u.ac.jp/item/rb00001187#?c=0&amp;m=0&amp;s=0&amp;cv=71")</f>
        <v>https://rmda.kulib.kyoto-u.ac.jp/item/rb00001187#?c=0&amp;m=0&amp;s=0&amp;cv=71</v>
      </c>
    </row>
    <row r="4982" spans="1:4" x14ac:dyDescent="0.15">
      <c r="A4982" s="6" t="s">
        <v>294</v>
      </c>
      <c r="B4982" s="6" t="s">
        <v>5471</v>
      </c>
      <c r="C4982" s="6">
        <v>77</v>
      </c>
      <c r="D4982" s="6" t="str">
        <f>HYPERLINK("https://rmda.kulib.kyoto-u.ac.jp/item/rb00001187#?c=0&amp;m=0&amp;s=0&amp;cv=76")</f>
        <v>https://rmda.kulib.kyoto-u.ac.jp/item/rb00001187#?c=0&amp;m=0&amp;s=0&amp;cv=76</v>
      </c>
    </row>
    <row r="4983" spans="1:4" x14ac:dyDescent="0.15">
      <c r="A4983" s="6" t="s">
        <v>294</v>
      </c>
      <c r="B4983" s="6" t="s">
        <v>3226</v>
      </c>
      <c r="C4983" s="6">
        <v>92</v>
      </c>
      <c r="D4983" s="6" t="str">
        <f>HYPERLINK("https://rmda.kulib.kyoto-u.ac.jp/item/rb00001187#?c=0&amp;m=0&amp;s=0&amp;cv=91")</f>
        <v>https://rmda.kulib.kyoto-u.ac.jp/item/rb00001187#?c=0&amp;m=0&amp;s=0&amp;cv=91</v>
      </c>
    </row>
    <row r="4984" spans="1:4" x14ac:dyDescent="0.15">
      <c r="A4984" s="6" t="s">
        <v>294</v>
      </c>
      <c r="B4984" s="63" t="s">
        <v>3227</v>
      </c>
      <c r="C4984" s="6">
        <v>114</v>
      </c>
      <c r="D4984" s="6" t="str">
        <f>HYPERLINK("https://rmda.kulib.kyoto-u.ac.jp/item/rb00001187#?c=0&amp;m=0&amp;s=0&amp;cv=113")</f>
        <v>https://rmda.kulib.kyoto-u.ac.jp/item/rb00001187#?c=0&amp;m=0&amp;s=0&amp;cv=113</v>
      </c>
    </row>
    <row r="4985" spans="1:4" x14ac:dyDescent="0.15">
      <c r="A4985" s="6" t="s">
        <v>294</v>
      </c>
      <c r="B4985" s="65" t="s">
        <v>3228</v>
      </c>
      <c r="C4985" s="6">
        <v>129</v>
      </c>
      <c r="D4985" s="6" t="str">
        <f>HYPERLINK("https://rmda.kulib.kyoto-u.ac.jp/item/rb00001187#?c=0&amp;m=0&amp;s=0&amp;cv=128")</f>
        <v>https://rmda.kulib.kyoto-u.ac.jp/item/rb00001187#?c=0&amp;m=0&amp;s=0&amp;cv=128</v>
      </c>
    </row>
    <row r="4986" spans="1:4" x14ac:dyDescent="0.15">
      <c r="A4986" s="6" t="s">
        <v>294</v>
      </c>
      <c r="B4986" s="72" t="s">
        <v>2815</v>
      </c>
      <c r="C4986" s="6"/>
      <c r="D4986" s="6"/>
    </row>
    <row r="4987" spans="1:4" x14ac:dyDescent="0.15">
      <c r="A4987" s="6" t="s">
        <v>294</v>
      </c>
      <c r="B4987" s="63" t="s">
        <v>3229</v>
      </c>
      <c r="C4987" s="6">
        <v>176</v>
      </c>
      <c r="D4987" s="6" t="str">
        <f>HYPERLINK("https://rmda.kulib.kyoto-u.ac.jp/item/rb00001187#?c=0&amp;m=0&amp;s=0&amp;cv=175")</f>
        <v>https://rmda.kulib.kyoto-u.ac.jp/item/rb00001187#?c=0&amp;m=0&amp;s=0&amp;cv=175</v>
      </c>
    </row>
    <row r="4988" spans="1:4" x14ac:dyDescent="0.15">
      <c r="A4988" s="6" t="s">
        <v>294</v>
      </c>
      <c r="B4988" s="6" t="s">
        <v>3230</v>
      </c>
      <c r="C4988" s="6">
        <v>178</v>
      </c>
      <c r="D4988" s="6" t="str">
        <f>HYPERLINK("https://rmda.kulib.kyoto-u.ac.jp/item/rb00001187#?c=0&amp;m=0&amp;s=0&amp;cv=177")</f>
        <v>https://rmda.kulib.kyoto-u.ac.jp/item/rb00001187#?c=0&amp;m=0&amp;s=0&amp;cv=177</v>
      </c>
    </row>
    <row r="4989" spans="1:4" x14ac:dyDescent="0.15">
      <c r="A4989" s="6" t="s">
        <v>294</v>
      </c>
      <c r="B4989" s="6" t="s">
        <v>3231</v>
      </c>
      <c r="C4989" s="6">
        <v>189</v>
      </c>
      <c r="D4989" s="6" t="str">
        <f>HYPERLINK("https://rmda.kulib.kyoto-u.ac.jp/item/rb00001187#?c=0&amp;m=0&amp;s=0&amp;cv=188")</f>
        <v>https://rmda.kulib.kyoto-u.ac.jp/item/rb00001187#?c=0&amp;m=0&amp;s=0&amp;cv=188</v>
      </c>
    </row>
    <row r="4990" spans="1:4" x14ac:dyDescent="0.15">
      <c r="A4990" s="6" t="s">
        <v>294</v>
      </c>
      <c r="B4990" s="6" t="s">
        <v>3232</v>
      </c>
      <c r="C4990" s="6">
        <v>201</v>
      </c>
      <c r="D4990" s="6" t="str">
        <f>HYPERLINK("https://rmda.kulib.kyoto-u.ac.jp/item/rb00001187#?c=0&amp;m=0&amp;s=0&amp;cv=200")</f>
        <v>https://rmda.kulib.kyoto-u.ac.jp/item/rb00001187#?c=0&amp;m=0&amp;s=0&amp;cv=200</v>
      </c>
    </row>
    <row r="4991" spans="1:4" x14ac:dyDescent="0.15">
      <c r="A4991" s="6" t="s">
        <v>294</v>
      </c>
      <c r="B4991" s="6" t="s">
        <v>3233</v>
      </c>
      <c r="C4991" s="6">
        <v>209</v>
      </c>
      <c r="D4991" s="6" t="str">
        <f>HYPERLINK("https://rmda.kulib.kyoto-u.ac.jp/item/rb00001187#?c=0&amp;m=0&amp;s=0&amp;cv=208")</f>
        <v>https://rmda.kulib.kyoto-u.ac.jp/item/rb00001187#?c=0&amp;m=0&amp;s=0&amp;cv=208</v>
      </c>
    </row>
    <row r="4992" spans="1:4" x14ac:dyDescent="0.15">
      <c r="A4992" s="6" t="s">
        <v>294</v>
      </c>
      <c r="B4992" s="6" t="s">
        <v>3234</v>
      </c>
      <c r="C4992" s="6">
        <v>213</v>
      </c>
      <c r="D4992" s="6" t="str">
        <f>HYPERLINK("https://rmda.kulib.kyoto-u.ac.jp/item/rb00001187#?c=0&amp;m=0&amp;s=0&amp;cv=212")</f>
        <v>https://rmda.kulib.kyoto-u.ac.jp/item/rb00001187#?c=0&amp;m=0&amp;s=0&amp;cv=212</v>
      </c>
    </row>
    <row r="4993" spans="1:4" x14ac:dyDescent="0.15">
      <c r="A4993" s="6" t="s">
        <v>294</v>
      </c>
      <c r="B4993" s="6" t="s">
        <v>3235</v>
      </c>
      <c r="C4993" s="6">
        <v>215</v>
      </c>
      <c r="D4993" s="6" t="str">
        <f>HYPERLINK("https://rmda.kulib.kyoto-u.ac.jp/item/rb00001187#?c=0&amp;m=0&amp;s=0&amp;cv=214")</f>
        <v>https://rmda.kulib.kyoto-u.ac.jp/item/rb00001187#?c=0&amp;m=0&amp;s=0&amp;cv=214</v>
      </c>
    </row>
    <row r="4994" spans="1:4" x14ac:dyDescent="0.15">
      <c r="A4994" s="6" t="s">
        <v>294</v>
      </c>
      <c r="B4994" s="6" t="s">
        <v>3236</v>
      </c>
      <c r="C4994" s="6">
        <v>222</v>
      </c>
      <c r="D4994" s="6" t="str">
        <f>HYPERLINK("https://rmda.kulib.kyoto-u.ac.jp/item/rb00001187#?c=0&amp;m=0&amp;s=0&amp;cv=221")</f>
        <v>https://rmda.kulib.kyoto-u.ac.jp/item/rb00001187#?c=0&amp;m=0&amp;s=0&amp;cv=221</v>
      </c>
    </row>
    <row r="4995" spans="1:4" x14ac:dyDescent="0.15">
      <c r="A4995" s="6" t="s">
        <v>294</v>
      </c>
      <c r="B4995" s="6" t="s">
        <v>3237</v>
      </c>
      <c r="C4995" s="6">
        <v>229</v>
      </c>
      <c r="D4995" s="6" t="str">
        <f>HYPERLINK("https://rmda.kulib.kyoto-u.ac.jp/item/rb00001187#?c=0&amp;m=0&amp;s=0&amp;cv=228")</f>
        <v>https://rmda.kulib.kyoto-u.ac.jp/item/rb00001187#?c=0&amp;m=0&amp;s=0&amp;cv=228</v>
      </c>
    </row>
    <row r="4996" spans="1:4" x14ac:dyDescent="0.15">
      <c r="A4996" s="6" t="s">
        <v>294</v>
      </c>
      <c r="B4996" s="72" t="s">
        <v>2816</v>
      </c>
      <c r="C4996" s="6"/>
      <c r="D4996" s="6"/>
    </row>
    <row r="4997" spans="1:4" x14ac:dyDescent="0.15">
      <c r="A4997" s="6" t="s">
        <v>294</v>
      </c>
      <c r="B4997" s="63" t="s">
        <v>3238</v>
      </c>
      <c r="C4997" s="6">
        <v>258</v>
      </c>
      <c r="D4997" s="6" t="str">
        <f>HYPERLINK("https://rmda.kulib.kyoto-u.ac.jp/item/rb00001187#?c=0&amp;m=0&amp;s=0&amp;cv=257")</f>
        <v>https://rmda.kulib.kyoto-u.ac.jp/item/rb00001187#?c=0&amp;m=0&amp;s=0&amp;cv=257</v>
      </c>
    </row>
    <row r="4998" spans="1:4" x14ac:dyDescent="0.15">
      <c r="A4998" s="6" t="s">
        <v>294</v>
      </c>
      <c r="B4998" s="6" t="s">
        <v>3222</v>
      </c>
      <c r="C4998" s="6">
        <v>258</v>
      </c>
      <c r="D4998" s="6" t="str">
        <f>HYPERLINK("https://rmda.kulib.kyoto-u.ac.jp/item/rb00001187#?c=0&amp;m=0&amp;s=0&amp;cv=257")</f>
        <v>https://rmda.kulib.kyoto-u.ac.jp/item/rb00001187#?c=0&amp;m=0&amp;s=0&amp;cv=257</v>
      </c>
    </row>
    <row r="4999" spans="1:4" x14ac:dyDescent="0.15">
      <c r="A4999" s="6" t="s">
        <v>294</v>
      </c>
      <c r="B4999" s="6" t="s">
        <v>3239</v>
      </c>
      <c r="C4999" s="6">
        <v>283</v>
      </c>
      <c r="D4999" s="6" t="str">
        <f>HYPERLINK("https://rmda.kulib.kyoto-u.ac.jp/item/rb00001187#?c=0&amp;m=0&amp;s=0&amp;cv=282")</f>
        <v>https://rmda.kulib.kyoto-u.ac.jp/item/rb00001187#?c=0&amp;m=0&amp;s=0&amp;cv=282</v>
      </c>
    </row>
    <row r="5000" spans="1:4" x14ac:dyDescent="0.15">
      <c r="A5000" s="6" t="s">
        <v>294</v>
      </c>
      <c r="B5000" s="6" t="s">
        <v>3240</v>
      </c>
      <c r="C5000" s="6"/>
      <c r="D5000" s="6"/>
    </row>
    <row r="5001" spans="1:4" x14ac:dyDescent="0.15">
      <c r="A5001" s="6" t="s">
        <v>294</v>
      </c>
      <c r="B5001" s="6" t="s">
        <v>3241</v>
      </c>
      <c r="C5001" s="6">
        <v>332</v>
      </c>
      <c r="D5001" s="6" t="str">
        <f>HYPERLINK("https://rmda.kulib.kyoto-u.ac.jp/item/rb00001187#?c=0&amp;m=0&amp;s=0&amp;cv=331")</f>
        <v>https://rmda.kulib.kyoto-u.ac.jp/item/rb00001187#?c=0&amp;m=0&amp;s=0&amp;cv=331</v>
      </c>
    </row>
    <row r="5002" spans="1:4" x14ac:dyDescent="0.15">
      <c r="A5002" s="6" t="s">
        <v>294</v>
      </c>
      <c r="B5002" s="6" t="s">
        <v>3242</v>
      </c>
      <c r="C5002" s="6">
        <v>347</v>
      </c>
      <c r="D5002" s="6" t="str">
        <f>HYPERLINK("https://rmda.kulib.kyoto-u.ac.jp/item/rb00001187#?c=0&amp;m=0&amp;s=0&amp;cv=346")</f>
        <v>https://rmda.kulib.kyoto-u.ac.jp/item/rb00001187#?c=0&amp;m=0&amp;s=0&amp;cv=346</v>
      </c>
    </row>
    <row r="5003" spans="1:4" x14ac:dyDescent="0.15">
      <c r="A5003" s="6" t="s">
        <v>294</v>
      </c>
      <c r="B5003" s="72" t="s">
        <v>2817</v>
      </c>
      <c r="C5003" s="6"/>
      <c r="D5003" s="6"/>
    </row>
    <row r="5004" spans="1:4" x14ac:dyDescent="0.15">
      <c r="A5004" s="6" t="s">
        <v>294</v>
      </c>
      <c r="B5004" s="63" t="s">
        <v>3243</v>
      </c>
      <c r="C5004" s="6">
        <v>354</v>
      </c>
      <c r="D5004" s="6" t="str">
        <f>HYPERLINK("https://rmda.kulib.kyoto-u.ac.jp/item/rb00001187#?c=0&amp;m=0&amp;s=0&amp;cv=353")</f>
        <v>https://rmda.kulib.kyoto-u.ac.jp/item/rb00001187#?c=0&amp;m=0&amp;s=0&amp;cv=353</v>
      </c>
    </row>
    <row r="5005" spans="1:4" x14ac:dyDescent="0.15">
      <c r="A5005" s="6" t="s">
        <v>294</v>
      </c>
      <c r="B5005" s="6" t="s">
        <v>3244</v>
      </c>
      <c r="C5005" s="6"/>
      <c r="D5005" s="6"/>
    </row>
    <row r="5006" spans="1:4" x14ac:dyDescent="0.15">
      <c r="A5006" s="6" t="s">
        <v>294</v>
      </c>
      <c r="B5006" s="6" t="s">
        <v>3245</v>
      </c>
      <c r="C5006" s="6"/>
      <c r="D5006" s="6"/>
    </row>
    <row r="5007" spans="1:4" x14ac:dyDescent="0.15">
      <c r="A5007" s="6" t="s">
        <v>294</v>
      </c>
      <c r="B5007" s="6" t="s">
        <v>3246</v>
      </c>
      <c r="C5007" s="6"/>
      <c r="D5007" s="6"/>
    </row>
    <row r="5008" spans="1:4" x14ac:dyDescent="0.15">
      <c r="A5008" s="6" t="s">
        <v>294</v>
      </c>
      <c r="B5008" s="6" t="s">
        <v>3247</v>
      </c>
      <c r="C5008" s="6"/>
      <c r="D5008" s="6"/>
    </row>
    <row r="5009" spans="1:4" x14ac:dyDescent="0.15">
      <c r="A5009" s="6" t="s">
        <v>294</v>
      </c>
      <c r="B5009" s="63" t="s">
        <v>3248</v>
      </c>
      <c r="C5009" s="6">
        <v>440</v>
      </c>
      <c r="D5009" s="6" t="str">
        <f>HYPERLINK("https://rmda.kulib.kyoto-u.ac.jp/item/rb00001187#?c=0&amp;m=0&amp;s=0&amp;cv=439")</f>
        <v>https://rmda.kulib.kyoto-u.ac.jp/item/rb00001187#?c=0&amp;m=0&amp;s=0&amp;cv=439</v>
      </c>
    </row>
    <row r="5010" spans="1:4" x14ac:dyDescent="0.15">
      <c r="A5010" s="6" t="s">
        <v>294</v>
      </c>
      <c r="B5010" s="6" t="s">
        <v>3249</v>
      </c>
      <c r="C5010" s="6">
        <v>440</v>
      </c>
      <c r="D5010" s="6" t="str">
        <f>HYPERLINK("https://rmda.kulib.kyoto-u.ac.jp/item/rb00001187#?c=0&amp;m=0&amp;s=0&amp;cv=439")</f>
        <v>https://rmda.kulib.kyoto-u.ac.jp/item/rb00001187#?c=0&amp;m=0&amp;s=0&amp;cv=439</v>
      </c>
    </row>
    <row r="5011" spans="1:4" x14ac:dyDescent="0.15">
      <c r="A5011" s="6" t="s">
        <v>294</v>
      </c>
      <c r="B5011" s="6" t="s">
        <v>3250</v>
      </c>
      <c r="C5011" s="6"/>
      <c r="D5011" s="6"/>
    </row>
    <row r="5012" spans="1:4" x14ac:dyDescent="0.15">
      <c r="A5012" s="6" t="s">
        <v>294</v>
      </c>
      <c r="B5012" s="72" t="s">
        <v>2818</v>
      </c>
      <c r="C5012" s="6"/>
      <c r="D5012" s="6"/>
    </row>
    <row r="5013" spans="1:4" x14ac:dyDescent="0.15">
      <c r="A5013" s="6" t="s">
        <v>294</v>
      </c>
      <c r="B5013" s="63" t="s">
        <v>3251</v>
      </c>
      <c r="C5013" s="6">
        <v>460</v>
      </c>
      <c r="D5013" s="6" t="str">
        <f>HYPERLINK("https://rmda.kulib.kyoto-u.ac.jp/item/rb00001187#?c=0&amp;m=0&amp;s=0&amp;cv=459")</f>
        <v>https://rmda.kulib.kyoto-u.ac.jp/item/rb00001187#?c=0&amp;m=0&amp;s=0&amp;cv=459</v>
      </c>
    </row>
    <row r="5014" spans="1:4" x14ac:dyDescent="0.15">
      <c r="A5014" s="6" t="s">
        <v>294</v>
      </c>
      <c r="B5014" s="6" t="s">
        <v>3252</v>
      </c>
      <c r="C5014" s="6">
        <v>460</v>
      </c>
      <c r="D5014" s="6" t="str">
        <f>HYPERLINK("https://rmda.kulib.kyoto-u.ac.jp/item/rb00001187#?c=0&amp;m=0&amp;s=0&amp;cv=459")</f>
        <v>https://rmda.kulib.kyoto-u.ac.jp/item/rb00001187#?c=0&amp;m=0&amp;s=0&amp;cv=459</v>
      </c>
    </row>
    <row r="5015" spans="1:4" x14ac:dyDescent="0.15">
      <c r="A5015" s="6" t="s">
        <v>294</v>
      </c>
      <c r="B5015" s="6" t="s">
        <v>3253</v>
      </c>
      <c r="C5015" s="6"/>
      <c r="D5015" s="6"/>
    </row>
    <row r="5016" spans="1:4" x14ac:dyDescent="0.15">
      <c r="A5016" s="6" t="s">
        <v>294</v>
      </c>
      <c r="B5016" s="6" t="s">
        <v>3652</v>
      </c>
      <c r="C5016" s="6">
        <v>482</v>
      </c>
      <c r="D5016" s="6" t="str">
        <f>HYPERLINK("https://rmda.kulib.kyoto-u.ac.jp/item/rb00001187#?c=0&amp;m=0&amp;s=0&amp;cv=481")</f>
        <v>https://rmda.kulib.kyoto-u.ac.jp/item/rb00001187#?c=0&amp;m=0&amp;s=0&amp;cv=481</v>
      </c>
    </row>
    <row r="5017" spans="1:4" x14ac:dyDescent="0.15">
      <c r="A5017" s="6" t="s">
        <v>294</v>
      </c>
      <c r="B5017" s="6" t="s">
        <v>3225</v>
      </c>
      <c r="C5017" s="6">
        <v>482</v>
      </c>
      <c r="D5017" s="6" t="str">
        <f>HYPERLINK("https://rmda.kulib.kyoto-u.ac.jp/item/rb00001187#?c=0&amp;m=0&amp;s=0&amp;cv=481")</f>
        <v>https://rmda.kulib.kyoto-u.ac.jp/item/rb00001187#?c=0&amp;m=0&amp;s=0&amp;cv=481</v>
      </c>
    </row>
    <row r="5018" spans="1:4" x14ac:dyDescent="0.15">
      <c r="A5018" s="6" t="s">
        <v>294</v>
      </c>
      <c r="B5018" s="6" t="s">
        <v>3254</v>
      </c>
      <c r="C5018" s="6"/>
      <c r="D5018" s="6"/>
    </row>
    <row r="5019" spans="1:4" x14ac:dyDescent="0.15">
      <c r="A5019" s="6" t="s">
        <v>294</v>
      </c>
      <c r="B5019" s="63" t="s">
        <v>3255</v>
      </c>
      <c r="C5019" s="6">
        <v>501</v>
      </c>
      <c r="D5019" s="6" t="str">
        <f>HYPERLINK("https://rmda.kulib.kyoto-u.ac.jp/item/rb00001187#?c=0&amp;m=0&amp;s=0&amp;cv=500")</f>
        <v>https://rmda.kulib.kyoto-u.ac.jp/item/rb00001187#?c=0&amp;m=0&amp;s=0&amp;cv=500</v>
      </c>
    </row>
    <row r="5020" spans="1:4" x14ac:dyDescent="0.15">
      <c r="A5020" s="6" t="s">
        <v>294</v>
      </c>
      <c r="B5020" s="6" t="s">
        <v>3256</v>
      </c>
      <c r="C5020" s="6">
        <v>501</v>
      </c>
      <c r="D5020" s="6" t="str">
        <f>HYPERLINK("https://rmda.kulib.kyoto-u.ac.jp/item/rb00001187#?c=0&amp;m=0&amp;s=0&amp;cv=500")</f>
        <v>https://rmda.kulib.kyoto-u.ac.jp/item/rb00001187#?c=0&amp;m=0&amp;s=0&amp;cv=500</v>
      </c>
    </row>
    <row r="5021" spans="1:4" x14ac:dyDescent="0.15">
      <c r="A5021" s="6" t="s">
        <v>294</v>
      </c>
      <c r="B5021" s="6" t="s">
        <v>3257</v>
      </c>
      <c r="C5021" s="6">
        <v>506</v>
      </c>
      <c r="D5021" s="6" t="str">
        <f>HYPERLINK("https://rmda.kulib.kyoto-u.ac.jp/item/rb00001187#?c=0&amp;m=0&amp;s=0&amp;cv=505")</f>
        <v>https://rmda.kulib.kyoto-u.ac.jp/item/rb00001187#?c=0&amp;m=0&amp;s=0&amp;cv=505</v>
      </c>
    </row>
    <row r="5022" spans="1:4" x14ac:dyDescent="0.15">
      <c r="A5022" s="6" t="s">
        <v>294</v>
      </c>
      <c r="B5022" s="6" t="s">
        <v>3258</v>
      </c>
      <c r="C5022" s="6">
        <v>508</v>
      </c>
      <c r="D5022" s="6" t="str">
        <f>HYPERLINK("https://rmda.kulib.kyoto-u.ac.jp/item/rb00001187#?c=0&amp;m=0&amp;s=0&amp;cv=507")</f>
        <v>https://rmda.kulib.kyoto-u.ac.jp/item/rb00001187#?c=0&amp;m=0&amp;s=0&amp;cv=507</v>
      </c>
    </row>
    <row r="5023" spans="1:4" x14ac:dyDescent="0.15">
      <c r="A5023" s="6" t="s">
        <v>294</v>
      </c>
      <c r="B5023" s="6" t="s">
        <v>3259</v>
      </c>
      <c r="C5023" s="6"/>
      <c r="D5023" s="6"/>
    </row>
    <row r="5024" spans="1:4" x14ac:dyDescent="0.15">
      <c r="A5024" s="6" t="s">
        <v>294</v>
      </c>
      <c r="B5024" s="63" t="s">
        <v>3260</v>
      </c>
      <c r="C5024" s="6">
        <v>532</v>
      </c>
      <c r="D5024" s="6" t="str">
        <f>HYPERLINK("https://rmda.kulib.kyoto-u.ac.jp/item/rb00001187#?c=0&amp;m=0&amp;s=0&amp;cv=531")</f>
        <v>https://rmda.kulib.kyoto-u.ac.jp/item/rb00001187#?c=0&amp;m=0&amp;s=0&amp;cv=531</v>
      </c>
    </row>
    <row r="5025" spans="1:4" x14ac:dyDescent="0.15">
      <c r="A5025" s="6" t="s">
        <v>294</v>
      </c>
      <c r="B5025" s="6" t="s">
        <v>3223</v>
      </c>
      <c r="C5025" s="6">
        <v>532</v>
      </c>
      <c r="D5025" s="6" t="str">
        <f>HYPERLINK("https://rmda.kulib.kyoto-u.ac.jp/item/rb00001187#?c=0&amp;m=0&amp;s=0&amp;cv=531")</f>
        <v>https://rmda.kulib.kyoto-u.ac.jp/item/rb00001187#?c=0&amp;m=0&amp;s=0&amp;cv=531</v>
      </c>
    </row>
    <row r="5026" spans="1:4" x14ac:dyDescent="0.15">
      <c r="A5026" s="6" t="s">
        <v>294</v>
      </c>
      <c r="B5026" s="6" t="s">
        <v>3261</v>
      </c>
      <c r="C5026" s="6">
        <v>535</v>
      </c>
      <c r="D5026" s="6" t="str">
        <f>HYPERLINK("https://rmda.kulib.kyoto-u.ac.jp/item/rb00001187#?c=0&amp;m=0&amp;s=0&amp;cv=534")</f>
        <v>https://rmda.kulib.kyoto-u.ac.jp/item/rb00001187#?c=0&amp;m=0&amp;s=0&amp;cv=534</v>
      </c>
    </row>
    <row r="5027" spans="1:4" x14ac:dyDescent="0.15">
      <c r="A5027" s="6" t="s">
        <v>294</v>
      </c>
      <c r="B5027" s="6" t="s">
        <v>3262</v>
      </c>
      <c r="C5027" s="6"/>
      <c r="D5027" s="6"/>
    </row>
    <row r="5028" spans="1:4" x14ac:dyDescent="0.15">
      <c r="A5028" s="6" t="s">
        <v>294</v>
      </c>
      <c r="B5028" s="63" t="s">
        <v>3263</v>
      </c>
      <c r="C5028" s="6">
        <v>556</v>
      </c>
      <c r="D5028" s="6" t="str">
        <f>HYPERLINK("https://rmda.kulib.kyoto-u.ac.jp/item/rb00001187#?c=0&amp;m=0&amp;s=0&amp;cv=555")</f>
        <v>https://rmda.kulib.kyoto-u.ac.jp/item/rb00001187#?c=0&amp;m=0&amp;s=0&amp;cv=555</v>
      </c>
    </row>
    <row r="5029" spans="1:4" x14ac:dyDescent="0.15">
      <c r="A5029" s="6" t="s">
        <v>294</v>
      </c>
      <c r="B5029" s="6" t="s">
        <v>3264</v>
      </c>
      <c r="C5029" s="6">
        <v>556</v>
      </c>
      <c r="D5029" s="6" t="str">
        <f>HYPERLINK("https://rmda.kulib.kyoto-u.ac.jp/item/rb00001187#?c=0&amp;m=0&amp;s=0&amp;cv=555")</f>
        <v>https://rmda.kulib.kyoto-u.ac.jp/item/rb00001187#?c=0&amp;m=0&amp;s=0&amp;cv=555</v>
      </c>
    </row>
    <row r="5030" spans="1:4" x14ac:dyDescent="0.15">
      <c r="A5030" s="6" t="s">
        <v>294</v>
      </c>
      <c r="B5030" s="6" t="s">
        <v>3265</v>
      </c>
      <c r="C5030" s="6">
        <v>562</v>
      </c>
      <c r="D5030" s="6" t="str">
        <f>HYPERLINK("https://rmda.kulib.kyoto-u.ac.jp/item/rb00001187#?c=0&amp;m=0&amp;s=0&amp;cv=561")</f>
        <v>https://rmda.kulib.kyoto-u.ac.jp/item/rb00001187#?c=0&amp;m=0&amp;s=0&amp;cv=561</v>
      </c>
    </row>
    <row r="5031" spans="1:4" x14ac:dyDescent="0.15">
      <c r="A5031" s="6" t="s">
        <v>294</v>
      </c>
      <c r="B5031" s="6" t="s">
        <v>3266</v>
      </c>
      <c r="C5031" s="6"/>
      <c r="D5031" s="6"/>
    </row>
    <row r="5032" spans="1:4" x14ac:dyDescent="0.15">
      <c r="A5032" s="6" t="s">
        <v>294</v>
      </c>
      <c r="B5032" s="72" t="s">
        <v>2819</v>
      </c>
      <c r="C5032" s="6"/>
      <c r="D5032" s="6"/>
    </row>
    <row r="5033" spans="1:4" x14ac:dyDescent="0.15">
      <c r="A5033" s="6" t="s">
        <v>294</v>
      </c>
      <c r="B5033" s="63" t="s">
        <v>2504</v>
      </c>
      <c r="C5033" s="6">
        <v>573</v>
      </c>
      <c r="D5033" s="6" t="str">
        <f>HYPERLINK("https://rmda.kulib.kyoto-u.ac.jp/item/rb00001187#?c=0&amp;m=0&amp;s=0&amp;cv=572")</f>
        <v>https://rmda.kulib.kyoto-u.ac.jp/item/rb00001187#?c=0&amp;m=0&amp;s=0&amp;cv=572</v>
      </c>
    </row>
    <row r="5034" spans="1:4" x14ac:dyDescent="0.15">
      <c r="A5034" s="6" t="s">
        <v>294</v>
      </c>
      <c r="B5034" s="6" t="s">
        <v>3224</v>
      </c>
      <c r="C5034" s="6">
        <v>573</v>
      </c>
      <c r="D5034" s="6" t="str">
        <f>HYPERLINK("https://rmda.kulib.kyoto-u.ac.jp/item/rb00001187#?c=0&amp;m=0&amp;s=0&amp;cv=572")</f>
        <v>https://rmda.kulib.kyoto-u.ac.jp/item/rb00001187#?c=0&amp;m=0&amp;s=0&amp;cv=572</v>
      </c>
    </row>
    <row r="5035" spans="1:4" x14ac:dyDescent="0.15">
      <c r="A5035" s="6" t="s">
        <v>294</v>
      </c>
      <c r="B5035" s="6" t="s">
        <v>3267</v>
      </c>
      <c r="C5035" s="6">
        <v>576</v>
      </c>
      <c r="D5035" s="6" t="str">
        <f>HYPERLINK("https://rmda.kulib.kyoto-u.ac.jp/item/rb00001187#?c=0&amp;m=0&amp;s=0&amp;cv=575")</f>
        <v>https://rmda.kulib.kyoto-u.ac.jp/item/rb00001187#?c=0&amp;m=0&amp;s=0&amp;cv=575</v>
      </c>
    </row>
    <row r="5036" spans="1:4" x14ac:dyDescent="0.15">
      <c r="A5036" s="6" t="s">
        <v>294</v>
      </c>
      <c r="B5036" s="6" t="s">
        <v>3268</v>
      </c>
      <c r="C5036" s="6">
        <v>585</v>
      </c>
      <c r="D5036" s="6" t="str">
        <f>HYPERLINK("https://rmda.kulib.kyoto-u.ac.jp/item/rb00001187#?c=0&amp;m=0&amp;s=0&amp;cv=584")</f>
        <v>https://rmda.kulib.kyoto-u.ac.jp/item/rb00001187#?c=0&amp;m=0&amp;s=0&amp;cv=584</v>
      </c>
    </row>
    <row r="5037" spans="1:4" x14ac:dyDescent="0.15">
      <c r="A5037" s="6" t="s">
        <v>294</v>
      </c>
      <c r="B5037" s="63" t="s">
        <v>3269</v>
      </c>
      <c r="C5037" s="6">
        <v>603</v>
      </c>
      <c r="D5037" s="6" t="str">
        <f>HYPERLINK("https://rmda.kulib.kyoto-u.ac.jp/item/rb00001187#?c=0&amp;m=0&amp;s=0&amp;cv=602")</f>
        <v>https://rmda.kulib.kyoto-u.ac.jp/item/rb00001187#?c=0&amp;m=0&amp;s=0&amp;cv=602</v>
      </c>
    </row>
    <row r="5038" spans="1:4" x14ac:dyDescent="0.15">
      <c r="A5038" s="6" t="s">
        <v>294</v>
      </c>
      <c r="B5038" s="6" t="s">
        <v>3270</v>
      </c>
      <c r="C5038" s="6">
        <v>603</v>
      </c>
      <c r="D5038" s="6" t="str">
        <f>HYPERLINK("https://rmda.kulib.kyoto-u.ac.jp/item/rb00001187#?c=0&amp;m=0&amp;s=0&amp;cv=602")</f>
        <v>https://rmda.kulib.kyoto-u.ac.jp/item/rb00001187#?c=0&amp;m=0&amp;s=0&amp;cv=602</v>
      </c>
    </row>
    <row r="5039" spans="1:4" x14ac:dyDescent="0.15">
      <c r="A5039" s="6" t="s">
        <v>294</v>
      </c>
      <c r="B5039" s="6" t="s">
        <v>3271</v>
      </c>
      <c r="C5039" s="6">
        <v>607</v>
      </c>
      <c r="D5039" s="6" t="str">
        <f>HYPERLINK("https://rmda.kulib.kyoto-u.ac.jp/item/rb00001187#?c=0&amp;m=0&amp;s=0&amp;cv=606")</f>
        <v>https://rmda.kulib.kyoto-u.ac.jp/item/rb00001187#?c=0&amp;m=0&amp;s=0&amp;cv=606</v>
      </c>
    </row>
    <row r="5040" spans="1:4" x14ac:dyDescent="0.15">
      <c r="A5040" s="6" t="s">
        <v>294</v>
      </c>
      <c r="B5040" s="6" t="s">
        <v>3272</v>
      </c>
      <c r="C5040" s="6">
        <v>632</v>
      </c>
      <c r="D5040" s="6" t="str">
        <f>HYPERLINK("https://rmda.kulib.kyoto-u.ac.jp/item/rb00001187#?c=0&amp;m=0&amp;s=0&amp;cv=631")</f>
        <v>https://rmda.kulib.kyoto-u.ac.jp/item/rb00001187#?c=0&amp;m=0&amp;s=0&amp;cv=631</v>
      </c>
    </row>
    <row r="5041" spans="1:4" x14ac:dyDescent="0.15">
      <c r="A5041" s="6" t="s">
        <v>294</v>
      </c>
      <c r="B5041" s="63" t="s">
        <v>3273</v>
      </c>
      <c r="C5041" s="6">
        <v>650</v>
      </c>
      <c r="D5041" s="6" t="str">
        <f>HYPERLINK("https://rmda.kulib.kyoto-u.ac.jp/item/rb00001187#?c=0&amp;m=0&amp;s=0&amp;cv=649")</f>
        <v>https://rmda.kulib.kyoto-u.ac.jp/item/rb00001187#?c=0&amp;m=0&amp;s=0&amp;cv=649</v>
      </c>
    </row>
    <row r="5042" spans="1:4" x14ac:dyDescent="0.15">
      <c r="A5042" s="6" t="s">
        <v>294</v>
      </c>
      <c r="B5042" s="6" t="s">
        <v>3274</v>
      </c>
      <c r="C5042" s="6">
        <v>650</v>
      </c>
      <c r="D5042" s="6" t="str">
        <f>HYPERLINK("https://rmda.kulib.kyoto-u.ac.jp/item/rb00001187#?c=0&amp;m=0&amp;s=0&amp;cv=649")</f>
        <v>https://rmda.kulib.kyoto-u.ac.jp/item/rb00001187#?c=0&amp;m=0&amp;s=0&amp;cv=649</v>
      </c>
    </row>
    <row r="5043" spans="1:4" x14ac:dyDescent="0.15">
      <c r="A5043" s="6" t="s">
        <v>294</v>
      </c>
      <c r="B5043" s="6" t="s">
        <v>3275</v>
      </c>
      <c r="C5043" s="6">
        <v>653</v>
      </c>
      <c r="D5043" s="6" t="str">
        <f>HYPERLINK("https://rmda.kulib.kyoto-u.ac.jp/item/rb00001187#?c=0&amp;m=0&amp;s=0&amp;cv=652")</f>
        <v>https://rmda.kulib.kyoto-u.ac.jp/item/rb00001187#?c=0&amp;m=0&amp;s=0&amp;cv=652</v>
      </c>
    </row>
    <row r="5044" spans="1:4" x14ac:dyDescent="0.15">
      <c r="A5044" s="6" t="s">
        <v>294</v>
      </c>
      <c r="B5044" s="6" t="s">
        <v>3276</v>
      </c>
      <c r="C5044" s="6">
        <v>669</v>
      </c>
      <c r="D5044" s="6" t="str">
        <f>HYPERLINK("https://rmda.kulib.kyoto-u.ac.jp/item/rb00001187#?c=0&amp;m=0&amp;s=0&amp;cv=668")</f>
        <v>https://rmda.kulib.kyoto-u.ac.jp/item/rb00001187#?c=0&amp;m=0&amp;s=0&amp;cv=668</v>
      </c>
    </row>
    <row r="5045" spans="1:4" x14ac:dyDescent="0.15">
      <c r="A5045" s="6" t="s">
        <v>294</v>
      </c>
      <c r="B5045" s="6" t="s">
        <v>3277</v>
      </c>
      <c r="C5045" s="6">
        <v>664</v>
      </c>
      <c r="D5045" s="6" t="str">
        <f>HYPERLINK("https://rmda.kulib.kyoto-u.ac.jp/item/rb00001187#?c=0&amp;m=0&amp;s=0&amp;cv=663")</f>
        <v>https://rmda.kulib.kyoto-u.ac.jp/item/rb00001187#?c=0&amp;m=0&amp;s=0&amp;cv=663</v>
      </c>
    </row>
    <row r="5046" spans="1:4" x14ac:dyDescent="0.15">
      <c r="A5046" s="6" t="s">
        <v>294</v>
      </c>
      <c r="B5046" s="6" t="s">
        <v>3278</v>
      </c>
      <c r="C5046" s="6"/>
      <c r="D5046" s="6"/>
    </row>
    <row r="5047" spans="1:4" x14ac:dyDescent="0.15">
      <c r="A5047" s="6" t="s">
        <v>294</v>
      </c>
      <c r="B5047" s="63" t="s">
        <v>3279</v>
      </c>
      <c r="C5047" s="6">
        <v>687</v>
      </c>
      <c r="D5047" s="6" t="str">
        <f>HYPERLINK("https://rmda.kulib.kyoto-u.ac.jp/item/rb00001187#?c=0&amp;m=0&amp;s=0&amp;cv=686")</f>
        <v>https://rmda.kulib.kyoto-u.ac.jp/item/rb00001187#?c=0&amp;m=0&amp;s=0&amp;cv=686</v>
      </c>
    </row>
    <row r="5048" spans="1:4" x14ac:dyDescent="0.15">
      <c r="A5048" s="6" t="s">
        <v>294</v>
      </c>
      <c r="B5048" s="6" t="s">
        <v>3280</v>
      </c>
      <c r="C5048" s="6">
        <v>703</v>
      </c>
      <c r="D5048" s="6" t="str">
        <f>HYPERLINK("https://rmda.kulib.kyoto-u.ac.jp/item/rb00001187#?c=0&amp;m=0&amp;s=0&amp;cv=702")</f>
        <v>https://rmda.kulib.kyoto-u.ac.jp/item/rb00001187#?c=0&amp;m=0&amp;s=0&amp;cv=702</v>
      </c>
    </row>
    <row r="5049" spans="1:4" x14ac:dyDescent="0.15">
      <c r="A5049" s="6" t="s">
        <v>294</v>
      </c>
      <c r="B5049" s="6" t="s">
        <v>3281</v>
      </c>
      <c r="C5049" s="6">
        <v>716</v>
      </c>
      <c r="D5049" s="6" t="str">
        <f>HYPERLINK("https://rmda.kulib.kyoto-u.ac.jp/item/rb00001187#?c=0&amp;m=0&amp;s=0&amp;cv=715")</f>
        <v>https://rmda.kulib.kyoto-u.ac.jp/item/rb00001187#?c=0&amp;m=0&amp;s=0&amp;cv=715</v>
      </c>
    </row>
    <row r="5050" spans="1:4" x14ac:dyDescent="0.15">
      <c r="A5050" s="6" t="s">
        <v>294</v>
      </c>
      <c r="B5050" s="6" t="s">
        <v>3282</v>
      </c>
      <c r="C5050" s="6"/>
      <c r="D5050" s="6"/>
    </row>
    <row r="5051" spans="1:4" x14ac:dyDescent="0.15">
      <c r="A5051" s="6" t="s">
        <v>294</v>
      </c>
      <c r="B5051" s="6" t="s">
        <v>3653</v>
      </c>
      <c r="C5051" s="6">
        <v>739</v>
      </c>
      <c r="D5051" s="6" t="str">
        <f>HYPERLINK("https://rmda.kulib.kyoto-u.ac.jp/item/rb00001187#?c=0&amp;m=0&amp;s=0&amp;cv=738")</f>
        <v>https://rmda.kulib.kyoto-u.ac.jp/item/rb00001187#?c=0&amp;m=0&amp;s=0&amp;cv=738</v>
      </c>
    </row>
    <row r="5052" spans="1:4" x14ac:dyDescent="0.15">
      <c r="A5052" s="8" t="s">
        <v>5454</v>
      </c>
      <c r="B5052" s="8" t="s">
        <v>299</v>
      </c>
      <c r="C5052" s="6"/>
      <c r="D5052" s="6"/>
    </row>
    <row r="5053" spans="1:4" x14ac:dyDescent="0.15">
      <c r="A5053" s="63" t="s">
        <v>5455</v>
      </c>
      <c r="B5053" s="71" t="s">
        <v>5456</v>
      </c>
      <c r="C5053" s="6"/>
      <c r="D5053" s="88" t="s">
        <v>3498</v>
      </c>
    </row>
    <row r="5054" spans="1:4" x14ac:dyDescent="0.15">
      <c r="A5054" s="6"/>
      <c r="B5054" s="71" t="s">
        <v>5457</v>
      </c>
      <c r="C5054" s="6"/>
      <c r="D5054" s="9"/>
    </row>
    <row r="5055" spans="1:4" x14ac:dyDescent="0.15">
      <c r="A5055" s="6" t="s">
        <v>298</v>
      </c>
      <c r="B5055" s="6" t="s">
        <v>2098</v>
      </c>
      <c r="C5055" s="6">
        <v>4</v>
      </c>
      <c r="D5055" s="79" t="str">
        <f>HYPERLINK("https://rmda.kulib.kyoto-u.ac.jp/item/rb00013381#?c=0&amp;m=0&amp;s=0&amp;cv=3")</f>
        <v>https://rmda.kulib.kyoto-u.ac.jp/item/rb00013381#?c=0&amp;m=0&amp;s=0&amp;cv=3</v>
      </c>
    </row>
    <row r="5056" spans="1:4" x14ac:dyDescent="0.15">
      <c r="A5056" s="6" t="s">
        <v>298</v>
      </c>
      <c r="B5056" s="6" t="s">
        <v>5211</v>
      </c>
      <c r="C5056" s="6">
        <v>5</v>
      </c>
      <c r="D5056" s="79" t="str">
        <f>HYPERLINK("https://rmda.kulib.kyoto-u.ac.jp/item/rb00013381#?c=0&amp;m=0&amp;s=0&amp;cv=4")</f>
        <v>https://rmda.kulib.kyoto-u.ac.jp/item/rb00013381#?c=0&amp;m=0&amp;s=0&amp;cv=4</v>
      </c>
    </row>
    <row r="5057" spans="1:4" x14ac:dyDescent="0.15">
      <c r="A5057" s="6" t="s">
        <v>298</v>
      </c>
      <c r="B5057" s="6" t="s">
        <v>5212</v>
      </c>
      <c r="C5057" s="6">
        <v>9</v>
      </c>
      <c r="D5057" s="79" t="str">
        <f>HYPERLINK("https://rmda.kulib.kyoto-u.ac.jp/item/rb00013381#?c=0&amp;m=0&amp;s=0&amp;cv=8")</f>
        <v>https://rmda.kulib.kyoto-u.ac.jp/item/rb00013381#?c=0&amp;m=0&amp;s=0&amp;cv=8</v>
      </c>
    </row>
    <row r="5058" spans="1:4" x14ac:dyDescent="0.15">
      <c r="A5058" s="6" t="s">
        <v>298</v>
      </c>
      <c r="B5058" s="72" t="s">
        <v>3489</v>
      </c>
      <c r="C5058" s="6">
        <v>12</v>
      </c>
      <c r="D5058" s="6" t="str">
        <f>HYPERLINK("https://rmda.kulib.kyoto-u.ac.jp/item/rb00013381#?c=0&amp;m=0&amp;s=0&amp;cv=11")</f>
        <v>https://rmda.kulib.kyoto-u.ac.jp/item/rb00013381#?c=0&amp;m=0&amp;s=0&amp;cv=11</v>
      </c>
    </row>
    <row r="5059" spans="1:4" x14ac:dyDescent="0.15">
      <c r="A5059" s="6" t="s">
        <v>298</v>
      </c>
      <c r="B5059" s="6" t="s">
        <v>3283</v>
      </c>
      <c r="C5059" s="6">
        <v>15</v>
      </c>
      <c r="D5059" s="6" t="str">
        <f>HYPERLINK("https://rmda.kulib.kyoto-u.ac.jp/item/rb00013381#?c=0&amp;m=0&amp;s=0&amp;cv=14")</f>
        <v>https://rmda.kulib.kyoto-u.ac.jp/item/rb00013381#?c=0&amp;m=0&amp;s=0&amp;cv=14</v>
      </c>
    </row>
    <row r="5060" spans="1:4" x14ac:dyDescent="0.15">
      <c r="A5060" s="6" t="s">
        <v>298</v>
      </c>
      <c r="B5060" s="6" t="s">
        <v>3284</v>
      </c>
      <c r="C5060" s="6">
        <v>20</v>
      </c>
      <c r="D5060" s="6" t="str">
        <f>HYPERLINK("https://rmda.kulib.kyoto-u.ac.jp/item/rb00013381#?c=0&amp;m=0&amp;s=0&amp;cv=19")</f>
        <v>https://rmda.kulib.kyoto-u.ac.jp/item/rb00013381#?c=0&amp;m=0&amp;s=0&amp;cv=19</v>
      </c>
    </row>
    <row r="5061" spans="1:4" x14ac:dyDescent="0.15">
      <c r="A5061" s="6" t="s">
        <v>298</v>
      </c>
      <c r="B5061" s="6" t="s">
        <v>3285</v>
      </c>
      <c r="C5061" s="6">
        <v>23</v>
      </c>
      <c r="D5061" s="6" t="str">
        <f>HYPERLINK("https://rmda.kulib.kyoto-u.ac.jp/item/rb00013381#?c=0&amp;m=0&amp;s=0&amp;cv=22")</f>
        <v>https://rmda.kulib.kyoto-u.ac.jp/item/rb00013381#?c=0&amp;m=0&amp;s=0&amp;cv=22</v>
      </c>
    </row>
    <row r="5062" spans="1:4" x14ac:dyDescent="0.15">
      <c r="A5062" s="6" t="s">
        <v>298</v>
      </c>
      <c r="B5062" s="6" t="s">
        <v>3286</v>
      </c>
      <c r="C5062" s="6">
        <v>24</v>
      </c>
      <c r="D5062" s="6" t="str">
        <f>HYPERLINK("https://rmda.kulib.kyoto-u.ac.jp/item/rb00013381#?c=0&amp;m=0&amp;s=0&amp;cv=23")</f>
        <v>https://rmda.kulib.kyoto-u.ac.jp/item/rb00013381#?c=0&amp;m=0&amp;s=0&amp;cv=23</v>
      </c>
    </row>
    <row r="5063" spans="1:4" x14ac:dyDescent="0.15">
      <c r="A5063" s="6" t="s">
        <v>298</v>
      </c>
      <c r="B5063" s="6" t="s">
        <v>3490</v>
      </c>
      <c r="C5063" s="6">
        <v>25</v>
      </c>
      <c r="D5063" s="6" t="str">
        <f>HYPERLINK("https://rmda.kulib.kyoto-u.ac.jp/item/rb00013381#?c=0&amp;m=0&amp;s=0&amp;cv=24")</f>
        <v>https://rmda.kulib.kyoto-u.ac.jp/item/rb00013381#?c=0&amp;m=0&amp;s=0&amp;cv=24</v>
      </c>
    </row>
    <row r="5064" spans="1:4" x14ac:dyDescent="0.15">
      <c r="A5064" s="6" t="s">
        <v>298</v>
      </c>
      <c r="B5064" s="6" t="s">
        <v>3287</v>
      </c>
      <c r="C5064" s="6">
        <v>25</v>
      </c>
      <c r="D5064" s="6" t="str">
        <f>HYPERLINK("https://rmda.kulib.kyoto-u.ac.jp/item/rb00013381#?c=0&amp;m=0&amp;s=0&amp;cv=24")</f>
        <v>https://rmda.kulib.kyoto-u.ac.jp/item/rb00013381#?c=0&amp;m=0&amp;s=0&amp;cv=24</v>
      </c>
    </row>
    <row r="5065" spans="1:4" x14ac:dyDescent="0.15">
      <c r="A5065" s="6" t="s">
        <v>298</v>
      </c>
      <c r="B5065" s="6" t="s">
        <v>3288</v>
      </c>
      <c r="C5065" s="6">
        <v>26</v>
      </c>
      <c r="D5065" s="6" t="str">
        <f>HYPERLINK("https://rmda.kulib.kyoto-u.ac.jp/item/rb00013381#?c=0&amp;m=0&amp;s=0&amp;cv=25")</f>
        <v>https://rmda.kulib.kyoto-u.ac.jp/item/rb00013381#?c=0&amp;m=0&amp;s=0&amp;cv=25</v>
      </c>
    </row>
    <row r="5066" spans="1:4" x14ac:dyDescent="0.15">
      <c r="A5066" s="6" t="s">
        <v>298</v>
      </c>
      <c r="B5066" s="6" t="s">
        <v>3289</v>
      </c>
      <c r="C5066" s="6">
        <v>27</v>
      </c>
      <c r="D5066" s="6" t="str">
        <f>HYPERLINK("https://rmda.kulib.kyoto-u.ac.jp/item/rb00013381#?c=0&amp;m=0&amp;s=0&amp;cv=26")</f>
        <v>https://rmda.kulib.kyoto-u.ac.jp/item/rb00013381#?c=0&amp;m=0&amp;s=0&amp;cv=26</v>
      </c>
    </row>
    <row r="5067" spans="1:4" x14ac:dyDescent="0.15">
      <c r="A5067" s="6" t="s">
        <v>298</v>
      </c>
      <c r="B5067" s="6" t="s">
        <v>3290</v>
      </c>
      <c r="C5067" s="6">
        <v>28</v>
      </c>
      <c r="D5067" s="6" t="str">
        <f>HYPERLINK("https://rmda.kulib.kyoto-u.ac.jp/item/rb00013381#?c=0&amp;m=0&amp;s=0&amp;cv=27")</f>
        <v>https://rmda.kulib.kyoto-u.ac.jp/item/rb00013381#?c=0&amp;m=0&amp;s=0&amp;cv=27</v>
      </c>
    </row>
    <row r="5068" spans="1:4" x14ac:dyDescent="0.15">
      <c r="A5068" s="6" t="s">
        <v>298</v>
      </c>
      <c r="B5068" s="6" t="s">
        <v>3291</v>
      </c>
      <c r="C5068" s="6">
        <v>28</v>
      </c>
      <c r="D5068" s="6" t="str">
        <f>HYPERLINK("https://rmda.kulib.kyoto-u.ac.jp/item/rb00013381#?c=0&amp;m=0&amp;s=0&amp;cv=27")</f>
        <v>https://rmda.kulib.kyoto-u.ac.jp/item/rb00013381#?c=0&amp;m=0&amp;s=0&amp;cv=27</v>
      </c>
    </row>
    <row r="5069" spans="1:4" x14ac:dyDescent="0.15">
      <c r="A5069" s="6" t="s">
        <v>298</v>
      </c>
      <c r="B5069" s="6" t="s">
        <v>3292</v>
      </c>
      <c r="C5069" s="6">
        <v>28</v>
      </c>
      <c r="D5069" s="6" t="str">
        <f>HYPERLINK("https://rmda.kulib.kyoto-u.ac.jp/item/rb00013381#?c=0&amp;m=0&amp;s=0&amp;cv=27")</f>
        <v>https://rmda.kulib.kyoto-u.ac.jp/item/rb00013381#?c=0&amp;m=0&amp;s=0&amp;cv=27</v>
      </c>
    </row>
    <row r="5070" spans="1:4" x14ac:dyDescent="0.15">
      <c r="A5070" s="6" t="s">
        <v>298</v>
      </c>
      <c r="B5070" s="6" t="s">
        <v>3293</v>
      </c>
      <c r="C5070" s="6">
        <v>29</v>
      </c>
      <c r="D5070" s="6" t="str">
        <f>HYPERLINK("https://rmda.kulib.kyoto-u.ac.jp/item/rb00013381#?c=0&amp;m=0&amp;s=0&amp;cv=28")</f>
        <v>https://rmda.kulib.kyoto-u.ac.jp/item/rb00013381#?c=0&amp;m=0&amp;s=0&amp;cv=28</v>
      </c>
    </row>
    <row r="5071" spans="1:4" x14ac:dyDescent="0.15">
      <c r="A5071" s="6" t="s">
        <v>298</v>
      </c>
      <c r="B5071" s="6" t="s">
        <v>3294</v>
      </c>
      <c r="C5071" s="6">
        <v>29</v>
      </c>
      <c r="D5071" s="6" t="str">
        <f>HYPERLINK("https://rmda.kulib.kyoto-u.ac.jp/item/rb00013381#?c=0&amp;m=0&amp;s=0&amp;cv=28")</f>
        <v>https://rmda.kulib.kyoto-u.ac.jp/item/rb00013381#?c=0&amp;m=0&amp;s=0&amp;cv=28</v>
      </c>
    </row>
    <row r="5072" spans="1:4" x14ac:dyDescent="0.15">
      <c r="A5072" s="6" t="s">
        <v>298</v>
      </c>
      <c r="B5072" s="6" t="s">
        <v>3295</v>
      </c>
      <c r="C5072" s="6">
        <v>31</v>
      </c>
      <c r="D5072" s="6" t="str">
        <f>HYPERLINK("https://rmda.kulib.kyoto-u.ac.jp/item/rb00013381#?c=0&amp;m=0&amp;s=0&amp;cv=30")</f>
        <v>https://rmda.kulib.kyoto-u.ac.jp/item/rb00013381#?c=0&amp;m=0&amp;s=0&amp;cv=30</v>
      </c>
    </row>
    <row r="5073" spans="1:4" x14ac:dyDescent="0.15">
      <c r="A5073" s="6" t="s">
        <v>298</v>
      </c>
      <c r="B5073" s="6" t="s">
        <v>3499</v>
      </c>
      <c r="C5073" s="6">
        <v>31</v>
      </c>
      <c r="D5073" s="6" t="str">
        <f>HYPERLINK("https://rmda.kulib.kyoto-u.ac.jp/item/rb00013381#?c=0&amp;m=0&amp;s=0&amp;cv=30")</f>
        <v>https://rmda.kulib.kyoto-u.ac.jp/item/rb00013381#?c=0&amp;m=0&amp;s=0&amp;cv=30</v>
      </c>
    </row>
    <row r="5074" spans="1:4" x14ac:dyDescent="0.15">
      <c r="A5074" s="6" t="s">
        <v>298</v>
      </c>
      <c r="B5074" s="6" t="s">
        <v>3296</v>
      </c>
      <c r="C5074" s="6">
        <v>32</v>
      </c>
      <c r="D5074" s="6" t="str">
        <f>HYPERLINK("https://rmda.kulib.kyoto-u.ac.jp/item/rb00013381#?c=0&amp;m=0&amp;s=0&amp;cv=31")</f>
        <v>https://rmda.kulib.kyoto-u.ac.jp/item/rb00013381#?c=0&amp;m=0&amp;s=0&amp;cv=31</v>
      </c>
    </row>
    <row r="5075" spans="1:4" x14ac:dyDescent="0.15">
      <c r="A5075" s="6" t="s">
        <v>298</v>
      </c>
      <c r="B5075" s="6" t="s">
        <v>3500</v>
      </c>
      <c r="C5075" s="6">
        <v>36</v>
      </c>
      <c r="D5075" s="6" t="str">
        <f>HYPERLINK("https://rmda.kulib.kyoto-u.ac.jp/item/rb00013381#?c=0&amp;m=0&amp;s=0&amp;cv=35")</f>
        <v>https://rmda.kulib.kyoto-u.ac.jp/item/rb00013381#?c=0&amp;m=0&amp;s=0&amp;cv=35</v>
      </c>
    </row>
    <row r="5076" spans="1:4" x14ac:dyDescent="0.15">
      <c r="A5076" s="6" t="s">
        <v>298</v>
      </c>
      <c r="B5076" s="6" t="s">
        <v>1449</v>
      </c>
      <c r="C5076" s="6">
        <v>38</v>
      </c>
      <c r="D5076" s="6" t="str">
        <f>HYPERLINK("https://rmda.kulib.kyoto-u.ac.jp/item/rb00013381#?c=0&amp;m=0&amp;s=0&amp;cv=37")</f>
        <v>https://rmda.kulib.kyoto-u.ac.jp/item/rb00013381#?c=0&amp;m=0&amp;s=0&amp;cv=37</v>
      </c>
    </row>
    <row r="5077" spans="1:4" x14ac:dyDescent="0.15">
      <c r="A5077" s="6" t="s">
        <v>298</v>
      </c>
      <c r="B5077" s="6" t="s">
        <v>3501</v>
      </c>
      <c r="C5077" s="6">
        <v>40</v>
      </c>
      <c r="D5077" s="6" t="str">
        <f>HYPERLINK("https://rmda.kulib.kyoto-u.ac.jp/item/rb00013381#?c=0&amp;m=0&amp;s=0&amp;cv=39")</f>
        <v>https://rmda.kulib.kyoto-u.ac.jp/item/rb00013381#?c=0&amp;m=0&amp;s=0&amp;cv=39</v>
      </c>
    </row>
    <row r="5078" spans="1:4" x14ac:dyDescent="0.15">
      <c r="A5078" s="6" t="s">
        <v>298</v>
      </c>
      <c r="B5078" s="6" t="s">
        <v>3297</v>
      </c>
      <c r="C5078" s="6">
        <v>41</v>
      </c>
      <c r="D5078" s="6" t="str">
        <f>HYPERLINK("https://rmda.kulib.kyoto-u.ac.jp/item/rb00013381#?c=0&amp;m=0&amp;s=0&amp;cv=40")</f>
        <v>https://rmda.kulib.kyoto-u.ac.jp/item/rb00013381#?c=0&amp;m=0&amp;s=0&amp;cv=40</v>
      </c>
    </row>
    <row r="5079" spans="1:4" x14ac:dyDescent="0.15">
      <c r="A5079" s="6" t="s">
        <v>298</v>
      </c>
      <c r="B5079" s="6" t="s">
        <v>3298</v>
      </c>
      <c r="C5079" s="6">
        <v>44</v>
      </c>
      <c r="D5079" s="6" t="str">
        <f>HYPERLINK("https://rmda.kulib.kyoto-u.ac.jp/item/rb00013381#?c=0&amp;m=0&amp;s=0&amp;cv=43")</f>
        <v>https://rmda.kulib.kyoto-u.ac.jp/item/rb00013381#?c=0&amp;m=0&amp;s=0&amp;cv=43</v>
      </c>
    </row>
    <row r="5080" spans="1:4" x14ac:dyDescent="0.15">
      <c r="A5080" s="6" t="s">
        <v>298</v>
      </c>
      <c r="B5080" s="6" t="s">
        <v>3299</v>
      </c>
      <c r="C5080" s="6">
        <v>44</v>
      </c>
      <c r="D5080" s="6" t="str">
        <f>HYPERLINK("https://rmda.kulib.kyoto-u.ac.jp/item/rb00013381#?c=0&amp;m=0&amp;s=0&amp;cv=43")</f>
        <v>https://rmda.kulib.kyoto-u.ac.jp/item/rb00013381#?c=0&amp;m=0&amp;s=0&amp;cv=43</v>
      </c>
    </row>
    <row r="5081" spans="1:4" x14ac:dyDescent="0.15">
      <c r="A5081" s="6" t="s">
        <v>298</v>
      </c>
      <c r="B5081" s="6" t="s">
        <v>1413</v>
      </c>
      <c r="C5081" s="6">
        <v>46</v>
      </c>
      <c r="D5081" s="6" t="str">
        <f>HYPERLINK("https://rmda.kulib.kyoto-u.ac.jp/item/rb00013381#?c=0&amp;m=0&amp;s=0&amp;cv=45")</f>
        <v>https://rmda.kulib.kyoto-u.ac.jp/item/rb00013381#?c=0&amp;m=0&amp;s=0&amp;cv=45</v>
      </c>
    </row>
    <row r="5082" spans="1:4" x14ac:dyDescent="0.15">
      <c r="A5082" s="6" t="s">
        <v>298</v>
      </c>
      <c r="B5082" s="6" t="s">
        <v>1414</v>
      </c>
      <c r="C5082" s="6">
        <v>47</v>
      </c>
      <c r="D5082" s="6" t="str">
        <f>HYPERLINK("https://rmda.kulib.kyoto-u.ac.jp/item/rb00013381#?c=0&amp;m=0&amp;s=0&amp;cv=46")</f>
        <v>https://rmda.kulib.kyoto-u.ac.jp/item/rb00013381#?c=0&amp;m=0&amp;s=0&amp;cv=46</v>
      </c>
    </row>
    <row r="5083" spans="1:4" x14ac:dyDescent="0.15">
      <c r="A5083" s="6" t="s">
        <v>298</v>
      </c>
      <c r="B5083" s="6" t="s">
        <v>3300</v>
      </c>
      <c r="C5083" s="6">
        <v>48</v>
      </c>
      <c r="D5083" s="6" t="str">
        <f>HYPERLINK("https://rmda.kulib.kyoto-u.ac.jp/item/rb00013381#?c=0&amp;m=0&amp;s=0&amp;cv=47")</f>
        <v>https://rmda.kulib.kyoto-u.ac.jp/item/rb00013381#?c=0&amp;m=0&amp;s=0&amp;cv=47</v>
      </c>
    </row>
    <row r="5084" spans="1:4" x14ac:dyDescent="0.15">
      <c r="A5084" s="6" t="s">
        <v>298</v>
      </c>
      <c r="B5084" s="6" t="s">
        <v>2569</v>
      </c>
      <c r="C5084" s="6">
        <v>48</v>
      </c>
      <c r="D5084" s="6" t="str">
        <f>HYPERLINK("https://rmda.kulib.kyoto-u.ac.jp/item/rb00013381#?c=0&amp;m=0&amp;s=0&amp;cv=47")</f>
        <v>https://rmda.kulib.kyoto-u.ac.jp/item/rb00013381#?c=0&amp;m=0&amp;s=0&amp;cv=47</v>
      </c>
    </row>
    <row r="5085" spans="1:4" x14ac:dyDescent="0.15">
      <c r="A5085" s="6" t="s">
        <v>298</v>
      </c>
      <c r="B5085" s="6" t="s">
        <v>3301</v>
      </c>
      <c r="C5085" s="6">
        <v>49</v>
      </c>
      <c r="D5085" s="6" t="str">
        <f>HYPERLINK("https://rmda.kulib.kyoto-u.ac.jp/item/rb00013381#?c=0&amp;m=0&amp;s=0&amp;cv=48")</f>
        <v>https://rmda.kulib.kyoto-u.ac.jp/item/rb00013381#?c=0&amp;m=0&amp;s=0&amp;cv=48</v>
      </c>
    </row>
    <row r="5086" spans="1:4" x14ac:dyDescent="0.15">
      <c r="A5086" s="6" t="s">
        <v>298</v>
      </c>
      <c r="B5086" s="6" t="s">
        <v>3502</v>
      </c>
      <c r="C5086" s="6">
        <v>50</v>
      </c>
      <c r="D5086" s="6" t="str">
        <f>HYPERLINK("https://rmda.kulib.kyoto-u.ac.jp/item/rb00013381#?c=0&amp;m=0&amp;s=0&amp;cv=49")</f>
        <v>https://rmda.kulib.kyoto-u.ac.jp/item/rb00013381#?c=0&amp;m=0&amp;s=0&amp;cv=49</v>
      </c>
    </row>
    <row r="5087" spans="1:4" x14ac:dyDescent="0.15">
      <c r="A5087" s="6" t="s">
        <v>298</v>
      </c>
      <c r="B5087" s="6" t="s">
        <v>3302</v>
      </c>
      <c r="C5087" s="6">
        <v>51</v>
      </c>
      <c r="D5087" s="6" t="str">
        <f>HYPERLINK("https://rmda.kulib.kyoto-u.ac.jp/item/rb00013381#?c=0&amp;m=0&amp;s=0&amp;cv=50")</f>
        <v>https://rmda.kulib.kyoto-u.ac.jp/item/rb00013381#?c=0&amp;m=0&amp;s=0&amp;cv=50</v>
      </c>
    </row>
    <row r="5088" spans="1:4" x14ac:dyDescent="0.15">
      <c r="A5088" s="6" t="s">
        <v>298</v>
      </c>
      <c r="B5088" s="6" t="s">
        <v>3303</v>
      </c>
      <c r="C5088" s="6">
        <v>53</v>
      </c>
      <c r="D5088" s="6" t="str">
        <f>HYPERLINK("https://rmda.kulib.kyoto-u.ac.jp/item/rb00013381#?c=0&amp;m=0&amp;s=0&amp;cv=52")</f>
        <v>https://rmda.kulib.kyoto-u.ac.jp/item/rb00013381#?c=0&amp;m=0&amp;s=0&amp;cv=52</v>
      </c>
    </row>
    <row r="5089" spans="1:4" x14ac:dyDescent="0.15">
      <c r="A5089" s="6" t="s">
        <v>298</v>
      </c>
      <c r="B5089" s="6" t="s">
        <v>3304</v>
      </c>
      <c r="C5089" s="6">
        <v>53</v>
      </c>
      <c r="D5089" s="6" t="str">
        <f>HYPERLINK("https://rmda.kulib.kyoto-u.ac.jp/item/rb00013381#?c=0&amp;m=0&amp;s=0&amp;cv=52")</f>
        <v>https://rmda.kulib.kyoto-u.ac.jp/item/rb00013381#?c=0&amp;m=0&amp;s=0&amp;cv=52</v>
      </c>
    </row>
    <row r="5090" spans="1:4" x14ac:dyDescent="0.15">
      <c r="A5090" s="6" t="s">
        <v>298</v>
      </c>
      <c r="B5090" s="6" t="s">
        <v>3305</v>
      </c>
      <c r="C5090" s="6">
        <v>54</v>
      </c>
      <c r="D5090" s="6" t="str">
        <f>HYPERLINK("https://rmda.kulib.kyoto-u.ac.jp/item/rb00013381#?c=0&amp;m=0&amp;s=0&amp;cv=53")</f>
        <v>https://rmda.kulib.kyoto-u.ac.jp/item/rb00013381#?c=0&amp;m=0&amp;s=0&amp;cv=53</v>
      </c>
    </row>
    <row r="5091" spans="1:4" x14ac:dyDescent="0.15">
      <c r="A5091" s="6" t="s">
        <v>298</v>
      </c>
      <c r="B5091" s="6" t="s">
        <v>3306</v>
      </c>
      <c r="C5091" s="6">
        <v>55</v>
      </c>
      <c r="D5091" s="6" t="str">
        <f>HYPERLINK("https://rmda.kulib.kyoto-u.ac.jp/item/rb00013381#?c=0&amp;m=0&amp;s=0&amp;cv=54")</f>
        <v>https://rmda.kulib.kyoto-u.ac.jp/item/rb00013381#?c=0&amp;m=0&amp;s=0&amp;cv=54</v>
      </c>
    </row>
    <row r="5092" spans="1:4" x14ac:dyDescent="0.15">
      <c r="A5092" s="6" t="s">
        <v>298</v>
      </c>
      <c r="B5092" s="6" t="s">
        <v>3307</v>
      </c>
      <c r="C5092" s="6">
        <v>57</v>
      </c>
      <c r="D5092" s="6" t="str">
        <f>HYPERLINK("https://rmda.kulib.kyoto-u.ac.jp/item/rb00013381#?c=0&amp;m=0&amp;s=0&amp;cv=56")</f>
        <v>https://rmda.kulib.kyoto-u.ac.jp/item/rb00013381#?c=0&amp;m=0&amp;s=0&amp;cv=56</v>
      </c>
    </row>
    <row r="5093" spans="1:4" x14ac:dyDescent="0.15">
      <c r="A5093" s="6" t="s">
        <v>298</v>
      </c>
      <c r="B5093" s="6" t="s">
        <v>3308</v>
      </c>
      <c r="C5093" s="6">
        <v>59</v>
      </c>
      <c r="D5093" s="6" t="str">
        <f>HYPERLINK("https://rmda.kulib.kyoto-u.ac.jp/item/rb00013381#?c=0&amp;m=0&amp;s=0&amp;cv=58")</f>
        <v>https://rmda.kulib.kyoto-u.ac.jp/item/rb00013381#?c=0&amp;m=0&amp;s=0&amp;cv=58</v>
      </c>
    </row>
    <row r="5094" spans="1:4" x14ac:dyDescent="0.15">
      <c r="A5094" s="6" t="s">
        <v>298</v>
      </c>
      <c r="B5094" s="6" t="s">
        <v>3309</v>
      </c>
      <c r="C5094" s="6">
        <v>60</v>
      </c>
      <c r="D5094" s="6" t="str">
        <f>HYPERLINK("https://rmda.kulib.kyoto-u.ac.jp/item/rb00013381#?c=0&amp;m=0&amp;s=0&amp;cv=59")</f>
        <v>https://rmda.kulib.kyoto-u.ac.jp/item/rb00013381#?c=0&amp;m=0&amp;s=0&amp;cv=59</v>
      </c>
    </row>
    <row r="5095" spans="1:4" x14ac:dyDescent="0.15">
      <c r="A5095" s="6" t="s">
        <v>298</v>
      </c>
      <c r="B5095" s="6" t="s">
        <v>3310</v>
      </c>
      <c r="C5095" s="6">
        <v>60</v>
      </c>
      <c r="D5095" s="6" t="str">
        <f>HYPERLINK("https://rmda.kulib.kyoto-u.ac.jp/item/rb00013381#?c=0&amp;m=0&amp;s=0&amp;cv=59")</f>
        <v>https://rmda.kulib.kyoto-u.ac.jp/item/rb00013381#?c=0&amp;m=0&amp;s=0&amp;cv=59</v>
      </c>
    </row>
    <row r="5096" spans="1:4" x14ac:dyDescent="0.15">
      <c r="A5096" s="6" t="s">
        <v>298</v>
      </c>
      <c r="B5096" s="6" t="s">
        <v>3311</v>
      </c>
      <c r="C5096" s="6">
        <v>61</v>
      </c>
      <c r="D5096" s="6" t="str">
        <f>HYPERLINK("https://rmda.kulib.kyoto-u.ac.jp/item/rb00013381#?c=0&amp;m=0&amp;s=0&amp;cv=60")</f>
        <v>https://rmda.kulib.kyoto-u.ac.jp/item/rb00013381#?c=0&amp;m=0&amp;s=0&amp;cv=60</v>
      </c>
    </row>
    <row r="5097" spans="1:4" x14ac:dyDescent="0.15">
      <c r="A5097" s="6" t="s">
        <v>298</v>
      </c>
      <c r="B5097" s="6" t="s">
        <v>3312</v>
      </c>
      <c r="C5097" s="6">
        <v>61</v>
      </c>
      <c r="D5097" s="6" t="str">
        <f>HYPERLINK("https://rmda.kulib.kyoto-u.ac.jp/item/rb00013381#?c=0&amp;m=0&amp;s=0&amp;cv=60")</f>
        <v>https://rmda.kulib.kyoto-u.ac.jp/item/rb00013381#?c=0&amp;m=0&amp;s=0&amp;cv=60</v>
      </c>
    </row>
    <row r="5098" spans="1:4" x14ac:dyDescent="0.15">
      <c r="A5098" s="6" t="s">
        <v>298</v>
      </c>
      <c r="B5098" s="6" t="s">
        <v>3313</v>
      </c>
      <c r="C5098" s="6">
        <v>61</v>
      </c>
      <c r="D5098" s="6" t="str">
        <f>HYPERLINK("https://rmda.kulib.kyoto-u.ac.jp/item/rb00013381#?c=0&amp;m=0&amp;s=0&amp;cv=60")</f>
        <v>https://rmda.kulib.kyoto-u.ac.jp/item/rb00013381#?c=0&amp;m=0&amp;s=0&amp;cv=60</v>
      </c>
    </row>
    <row r="5099" spans="1:4" x14ac:dyDescent="0.15">
      <c r="A5099" s="6" t="s">
        <v>298</v>
      </c>
      <c r="B5099" s="6" t="s">
        <v>3314</v>
      </c>
      <c r="C5099" s="6">
        <v>62</v>
      </c>
      <c r="D5099" s="6" t="str">
        <f>HYPERLINK("https://rmda.kulib.kyoto-u.ac.jp/item/rb00013381#?c=0&amp;m=0&amp;s=0&amp;cv=61")</f>
        <v>https://rmda.kulib.kyoto-u.ac.jp/item/rb00013381#?c=0&amp;m=0&amp;s=0&amp;cv=61</v>
      </c>
    </row>
    <row r="5100" spans="1:4" x14ac:dyDescent="0.15">
      <c r="A5100" s="6" t="s">
        <v>298</v>
      </c>
      <c r="B5100" s="6" t="s">
        <v>3315</v>
      </c>
      <c r="C5100" s="6">
        <v>63</v>
      </c>
      <c r="D5100" s="6" t="str">
        <f>HYPERLINK("https://rmda.kulib.kyoto-u.ac.jp/item/rb00013381#?c=0&amp;m=0&amp;s=0&amp;cv=62")</f>
        <v>https://rmda.kulib.kyoto-u.ac.jp/item/rb00013381#?c=0&amp;m=0&amp;s=0&amp;cv=62</v>
      </c>
    </row>
    <row r="5101" spans="1:4" x14ac:dyDescent="0.15">
      <c r="A5101" s="6" t="s">
        <v>298</v>
      </c>
      <c r="B5101" s="6" t="s">
        <v>3316</v>
      </c>
      <c r="C5101" s="6">
        <v>64</v>
      </c>
      <c r="D5101" s="6" t="str">
        <f>HYPERLINK("https://rmda.kulib.kyoto-u.ac.jp/item/rb00013381#?c=0&amp;m=0&amp;s=0&amp;cv=63")</f>
        <v>https://rmda.kulib.kyoto-u.ac.jp/item/rb00013381#?c=0&amp;m=0&amp;s=0&amp;cv=63</v>
      </c>
    </row>
    <row r="5102" spans="1:4" x14ac:dyDescent="0.15">
      <c r="A5102" s="6" t="s">
        <v>298</v>
      </c>
      <c r="B5102" s="6" t="s">
        <v>3317</v>
      </c>
      <c r="C5102" s="6">
        <v>67</v>
      </c>
      <c r="D5102" s="6" t="str">
        <f>HYPERLINK("https://rmda.kulib.kyoto-u.ac.jp/item/rb00013381#?c=0&amp;m=0&amp;s=0&amp;cv=66")</f>
        <v>https://rmda.kulib.kyoto-u.ac.jp/item/rb00013381#?c=0&amp;m=0&amp;s=0&amp;cv=66</v>
      </c>
    </row>
    <row r="5103" spans="1:4" x14ac:dyDescent="0.15">
      <c r="A5103" s="6" t="s">
        <v>298</v>
      </c>
      <c r="B5103" s="6" t="s">
        <v>3318</v>
      </c>
      <c r="C5103" s="6">
        <v>70</v>
      </c>
      <c r="D5103" s="6" t="str">
        <f>HYPERLINK("https://rmda.kulib.kyoto-u.ac.jp/item/rb00013381#?c=0&amp;m=0&amp;s=0&amp;cv=69")</f>
        <v>https://rmda.kulib.kyoto-u.ac.jp/item/rb00013381#?c=0&amp;m=0&amp;s=0&amp;cv=69</v>
      </c>
    </row>
    <row r="5104" spans="1:4" x14ac:dyDescent="0.15">
      <c r="A5104" s="6" t="s">
        <v>298</v>
      </c>
      <c r="B5104" s="6" t="s">
        <v>3319</v>
      </c>
      <c r="C5104" s="6">
        <v>72</v>
      </c>
      <c r="D5104" s="6" t="str">
        <f>HYPERLINK("https://rmda.kulib.kyoto-u.ac.jp/item/rb00013381#?c=0&amp;m=0&amp;s=0&amp;cv=71")</f>
        <v>https://rmda.kulib.kyoto-u.ac.jp/item/rb00013381#?c=0&amp;m=0&amp;s=0&amp;cv=71</v>
      </c>
    </row>
    <row r="5105" spans="1:4" x14ac:dyDescent="0.15">
      <c r="A5105" s="6" t="s">
        <v>298</v>
      </c>
      <c r="B5105" s="6" t="s">
        <v>3320</v>
      </c>
      <c r="C5105" s="6">
        <v>73</v>
      </c>
      <c r="D5105" s="6" t="str">
        <f>HYPERLINK("https://rmda.kulib.kyoto-u.ac.jp/item/rb00013381#?c=0&amp;m=0&amp;s=0&amp;cv=72")</f>
        <v>https://rmda.kulib.kyoto-u.ac.jp/item/rb00013381#?c=0&amp;m=0&amp;s=0&amp;cv=72</v>
      </c>
    </row>
    <row r="5106" spans="1:4" x14ac:dyDescent="0.15">
      <c r="A5106" s="6" t="s">
        <v>298</v>
      </c>
      <c r="B5106" s="6" t="s">
        <v>3321</v>
      </c>
      <c r="C5106" s="6">
        <v>73</v>
      </c>
      <c r="D5106" s="6" t="str">
        <f>HYPERLINK("https://rmda.kulib.kyoto-u.ac.jp/item/rb00013381#?c=0&amp;m=0&amp;s=0&amp;cv=72")</f>
        <v>https://rmda.kulib.kyoto-u.ac.jp/item/rb00013381#?c=0&amp;m=0&amp;s=0&amp;cv=72</v>
      </c>
    </row>
    <row r="5107" spans="1:4" x14ac:dyDescent="0.15">
      <c r="A5107" s="6" t="s">
        <v>298</v>
      </c>
      <c r="B5107" s="6" t="s">
        <v>3503</v>
      </c>
      <c r="C5107" s="6">
        <v>75</v>
      </c>
      <c r="D5107" s="6" t="str">
        <f>HYPERLINK("https://rmda.kulib.kyoto-u.ac.jp/item/rb00013381#?c=0&amp;m=0&amp;s=0&amp;cv=74")</f>
        <v>https://rmda.kulib.kyoto-u.ac.jp/item/rb00013381#?c=0&amp;m=0&amp;s=0&amp;cv=74</v>
      </c>
    </row>
    <row r="5108" spans="1:4" x14ac:dyDescent="0.15">
      <c r="A5108" s="6" t="s">
        <v>298</v>
      </c>
      <c r="B5108" s="6" t="s">
        <v>3322</v>
      </c>
      <c r="C5108" s="6">
        <v>76</v>
      </c>
      <c r="D5108" s="6" t="str">
        <f>HYPERLINK("https://rmda.kulib.kyoto-u.ac.jp/item/rb00013381#?c=0&amp;m=0&amp;s=0&amp;cv=75")</f>
        <v>https://rmda.kulib.kyoto-u.ac.jp/item/rb00013381#?c=0&amp;m=0&amp;s=0&amp;cv=75</v>
      </c>
    </row>
    <row r="5109" spans="1:4" x14ac:dyDescent="0.15">
      <c r="A5109" s="6" t="s">
        <v>298</v>
      </c>
      <c r="B5109" s="72" t="s">
        <v>3491</v>
      </c>
      <c r="C5109" s="6">
        <v>83</v>
      </c>
      <c r="D5109" s="6" t="str">
        <f>HYPERLINK("https://rmda.kulib.kyoto-u.ac.jp/item/rb00013381#?c=0&amp;m=0&amp;s=0&amp;cv=82")</f>
        <v>https://rmda.kulib.kyoto-u.ac.jp/item/rb00013381#?c=0&amp;m=0&amp;s=0&amp;cv=82</v>
      </c>
    </row>
    <row r="5110" spans="1:4" x14ac:dyDescent="0.15">
      <c r="A5110" s="6" t="s">
        <v>298</v>
      </c>
      <c r="B5110" s="6" t="s">
        <v>3323</v>
      </c>
      <c r="C5110" s="6">
        <v>83</v>
      </c>
      <c r="D5110" s="6" t="str">
        <f>HYPERLINK("https://rmda.kulib.kyoto-u.ac.jp/item/rb00013381#?c=0&amp;m=0&amp;s=0&amp;cv=82")</f>
        <v>https://rmda.kulib.kyoto-u.ac.jp/item/rb00013381#?c=0&amp;m=0&amp;s=0&amp;cv=82</v>
      </c>
    </row>
    <row r="5111" spans="1:4" x14ac:dyDescent="0.15">
      <c r="A5111" s="6" t="s">
        <v>298</v>
      </c>
      <c r="B5111" s="6" t="s">
        <v>3324</v>
      </c>
      <c r="C5111" s="6">
        <v>87</v>
      </c>
      <c r="D5111" s="6" t="str">
        <f>HYPERLINK("https://rmda.kulib.kyoto-u.ac.jp/item/rb00013381#?c=0&amp;m=0&amp;s=0&amp;cv=86")</f>
        <v>https://rmda.kulib.kyoto-u.ac.jp/item/rb00013381#?c=0&amp;m=0&amp;s=0&amp;cv=86</v>
      </c>
    </row>
    <row r="5112" spans="1:4" x14ac:dyDescent="0.15">
      <c r="A5112" s="6" t="s">
        <v>298</v>
      </c>
      <c r="B5112" s="6" t="s">
        <v>3325</v>
      </c>
      <c r="C5112" s="6">
        <v>88</v>
      </c>
      <c r="D5112" s="6" t="str">
        <f>HYPERLINK("https://rmda.kulib.kyoto-u.ac.jp/item/rb00013381#?c=0&amp;m=0&amp;s=0&amp;cv=87")</f>
        <v>https://rmda.kulib.kyoto-u.ac.jp/item/rb00013381#?c=0&amp;m=0&amp;s=0&amp;cv=87</v>
      </c>
    </row>
    <row r="5113" spans="1:4" x14ac:dyDescent="0.15">
      <c r="A5113" s="6" t="s">
        <v>298</v>
      </c>
      <c r="B5113" s="6" t="s">
        <v>3492</v>
      </c>
      <c r="C5113" s="6">
        <v>89</v>
      </c>
      <c r="D5113" s="6" t="str">
        <f>HYPERLINK("https://rmda.kulib.kyoto-u.ac.jp/item/rb00013381#?c=0&amp;m=0&amp;s=0&amp;cv=88")</f>
        <v>https://rmda.kulib.kyoto-u.ac.jp/item/rb00013381#?c=0&amp;m=0&amp;s=0&amp;cv=88</v>
      </c>
    </row>
    <row r="5114" spans="1:4" x14ac:dyDescent="0.15">
      <c r="A5114" s="6" t="s">
        <v>298</v>
      </c>
      <c r="B5114" s="6" t="s">
        <v>2980</v>
      </c>
      <c r="C5114" s="6">
        <v>90</v>
      </c>
      <c r="D5114" s="6" t="str">
        <f>HYPERLINK("https://rmda.kulib.kyoto-u.ac.jp/item/rb00013381#?c=0&amp;m=0&amp;s=0&amp;cv=89")</f>
        <v>https://rmda.kulib.kyoto-u.ac.jp/item/rb00013381#?c=0&amp;m=0&amp;s=0&amp;cv=89</v>
      </c>
    </row>
    <row r="5115" spans="1:4" x14ac:dyDescent="0.15">
      <c r="A5115" s="6" t="s">
        <v>298</v>
      </c>
      <c r="B5115" s="6" t="s">
        <v>3493</v>
      </c>
      <c r="C5115" s="6">
        <v>90</v>
      </c>
      <c r="D5115" s="6" t="str">
        <f>HYPERLINK("https://rmda.kulib.kyoto-u.ac.jp/item/rb00013381#?c=0&amp;m=0&amp;s=0&amp;cv=89")</f>
        <v>https://rmda.kulib.kyoto-u.ac.jp/item/rb00013381#?c=0&amp;m=0&amp;s=0&amp;cv=89</v>
      </c>
    </row>
    <row r="5116" spans="1:4" x14ac:dyDescent="0.15">
      <c r="A5116" s="6" t="s">
        <v>298</v>
      </c>
      <c r="B5116" s="6" t="s">
        <v>3326</v>
      </c>
      <c r="C5116" s="6">
        <v>92</v>
      </c>
      <c r="D5116" s="6" t="str">
        <f>HYPERLINK("https://rmda.kulib.kyoto-u.ac.jp/item/rb00013381#?c=0&amp;m=0&amp;s=0&amp;cv=91")</f>
        <v>https://rmda.kulib.kyoto-u.ac.jp/item/rb00013381#?c=0&amp;m=0&amp;s=0&amp;cv=91</v>
      </c>
    </row>
    <row r="5117" spans="1:4" x14ac:dyDescent="0.15">
      <c r="A5117" s="6" t="s">
        <v>298</v>
      </c>
      <c r="B5117" s="6" t="s">
        <v>3327</v>
      </c>
      <c r="C5117" s="6">
        <v>93</v>
      </c>
      <c r="D5117" s="6" t="str">
        <f>HYPERLINK("https://rmda.kulib.kyoto-u.ac.jp/item/rb00013381#?c=0&amp;m=0&amp;s=0&amp;cv=92")</f>
        <v>https://rmda.kulib.kyoto-u.ac.jp/item/rb00013381#?c=0&amp;m=0&amp;s=0&amp;cv=92</v>
      </c>
    </row>
    <row r="5118" spans="1:4" x14ac:dyDescent="0.15">
      <c r="A5118" s="6" t="s">
        <v>298</v>
      </c>
      <c r="B5118" s="6" t="s">
        <v>3328</v>
      </c>
      <c r="C5118" s="6">
        <v>94</v>
      </c>
      <c r="D5118" s="6" t="str">
        <f>HYPERLINK("https://rmda.kulib.kyoto-u.ac.jp/item/rb00013381#?c=0&amp;m=0&amp;s=0&amp;cv=93")</f>
        <v>https://rmda.kulib.kyoto-u.ac.jp/item/rb00013381#?c=0&amp;m=0&amp;s=0&amp;cv=93</v>
      </c>
    </row>
    <row r="5119" spans="1:4" x14ac:dyDescent="0.15">
      <c r="A5119" s="6" t="s">
        <v>298</v>
      </c>
      <c r="B5119" s="6" t="s">
        <v>3329</v>
      </c>
      <c r="C5119" s="6">
        <v>96</v>
      </c>
      <c r="D5119" s="6" t="str">
        <f>HYPERLINK("https://rmda.kulib.kyoto-u.ac.jp/item/rb00013381#?c=0&amp;m=0&amp;s=0&amp;cv=95")</f>
        <v>https://rmda.kulib.kyoto-u.ac.jp/item/rb00013381#?c=0&amp;m=0&amp;s=0&amp;cv=95</v>
      </c>
    </row>
    <row r="5120" spans="1:4" x14ac:dyDescent="0.15">
      <c r="A5120" s="6" t="s">
        <v>298</v>
      </c>
      <c r="B5120" s="6" t="s">
        <v>3330</v>
      </c>
      <c r="C5120" s="6">
        <v>96</v>
      </c>
      <c r="D5120" s="6" t="str">
        <f>HYPERLINK("https://rmda.kulib.kyoto-u.ac.jp/item/rb00013381#?c=0&amp;m=0&amp;s=0&amp;cv=95")</f>
        <v>https://rmda.kulib.kyoto-u.ac.jp/item/rb00013381#?c=0&amp;m=0&amp;s=0&amp;cv=95</v>
      </c>
    </row>
    <row r="5121" spans="1:4" x14ac:dyDescent="0.15">
      <c r="A5121" s="6" t="s">
        <v>298</v>
      </c>
      <c r="B5121" s="6" t="s">
        <v>3331</v>
      </c>
      <c r="C5121" s="6">
        <v>98</v>
      </c>
      <c r="D5121" s="6" t="str">
        <f>HYPERLINK("https://rmda.kulib.kyoto-u.ac.jp/item/rb00013381#?c=0&amp;m=0&amp;s=0&amp;cv=97")</f>
        <v>https://rmda.kulib.kyoto-u.ac.jp/item/rb00013381#?c=0&amp;m=0&amp;s=0&amp;cv=97</v>
      </c>
    </row>
    <row r="5122" spans="1:4" x14ac:dyDescent="0.15">
      <c r="A5122" s="6" t="s">
        <v>298</v>
      </c>
      <c r="B5122" s="6" t="s">
        <v>3332</v>
      </c>
      <c r="C5122" s="6">
        <v>102</v>
      </c>
      <c r="D5122" s="6" t="str">
        <f>HYPERLINK("https://rmda.kulib.kyoto-u.ac.jp/item/rb00013381#?c=0&amp;m=0&amp;s=0&amp;cv=101")</f>
        <v>https://rmda.kulib.kyoto-u.ac.jp/item/rb00013381#?c=0&amp;m=0&amp;s=0&amp;cv=101</v>
      </c>
    </row>
    <row r="5123" spans="1:4" x14ac:dyDescent="0.15">
      <c r="A5123" s="6" t="s">
        <v>298</v>
      </c>
      <c r="B5123" s="6" t="s">
        <v>3333</v>
      </c>
      <c r="C5123" s="6">
        <v>103</v>
      </c>
      <c r="D5123" s="6" t="str">
        <f>HYPERLINK("https://rmda.kulib.kyoto-u.ac.jp/item/rb00013381#?c=0&amp;m=0&amp;s=0&amp;cv=102")</f>
        <v>https://rmda.kulib.kyoto-u.ac.jp/item/rb00013381#?c=0&amp;m=0&amp;s=0&amp;cv=102</v>
      </c>
    </row>
    <row r="5124" spans="1:4" x14ac:dyDescent="0.15">
      <c r="A5124" s="6" t="s">
        <v>298</v>
      </c>
      <c r="B5124" s="6" t="s">
        <v>3334</v>
      </c>
      <c r="C5124" s="6">
        <v>105</v>
      </c>
      <c r="D5124" s="6" t="str">
        <f>HYPERLINK("https://rmda.kulib.kyoto-u.ac.jp/item/rb00013381#?c=0&amp;m=0&amp;s=0&amp;cv=104")</f>
        <v>https://rmda.kulib.kyoto-u.ac.jp/item/rb00013381#?c=0&amp;m=0&amp;s=0&amp;cv=104</v>
      </c>
    </row>
    <row r="5125" spans="1:4" x14ac:dyDescent="0.15">
      <c r="A5125" s="6" t="s">
        <v>298</v>
      </c>
      <c r="B5125" s="6" t="s">
        <v>3504</v>
      </c>
      <c r="C5125" s="6">
        <v>107</v>
      </c>
      <c r="D5125" s="6" t="str">
        <f>HYPERLINK("https://rmda.kulib.kyoto-u.ac.jp/item/rb00013381#?c=0&amp;m=0&amp;s=0&amp;cv=106")</f>
        <v>https://rmda.kulib.kyoto-u.ac.jp/item/rb00013381#?c=0&amp;m=0&amp;s=0&amp;cv=106</v>
      </c>
    </row>
    <row r="5126" spans="1:4" x14ac:dyDescent="0.15">
      <c r="A5126" s="6" t="s">
        <v>298</v>
      </c>
      <c r="B5126" s="6" t="s">
        <v>3505</v>
      </c>
      <c r="C5126" s="6">
        <v>107</v>
      </c>
      <c r="D5126" s="6" t="str">
        <f>HYPERLINK("https://rmda.kulib.kyoto-u.ac.jp/item/rb00013381#?c=0&amp;m=0&amp;s=0&amp;cv=106")</f>
        <v>https://rmda.kulib.kyoto-u.ac.jp/item/rb00013381#?c=0&amp;m=0&amp;s=0&amp;cv=106</v>
      </c>
    </row>
    <row r="5127" spans="1:4" x14ac:dyDescent="0.15">
      <c r="A5127" s="6" t="s">
        <v>298</v>
      </c>
      <c r="B5127" s="6" t="s">
        <v>3335</v>
      </c>
      <c r="C5127" s="6">
        <v>108</v>
      </c>
      <c r="D5127" s="6" t="str">
        <f>HYPERLINK("https://rmda.kulib.kyoto-u.ac.jp/item/rb00013381#?c=0&amp;m=0&amp;s=0&amp;cv=107")</f>
        <v>https://rmda.kulib.kyoto-u.ac.jp/item/rb00013381#?c=0&amp;m=0&amp;s=0&amp;cv=107</v>
      </c>
    </row>
    <row r="5128" spans="1:4" x14ac:dyDescent="0.15">
      <c r="A5128" s="6" t="s">
        <v>298</v>
      </c>
      <c r="B5128" s="6" t="s">
        <v>3336</v>
      </c>
      <c r="C5128" s="6">
        <v>110</v>
      </c>
      <c r="D5128" s="6" t="str">
        <f>HYPERLINK("https://rmda.kulib.kyoto-u.ac.jp/item/rb00013381#?c=0&amp;m=0&amp;s=0&amp;cv=109")</f>
        <v>https://rmda.kulib.kyoto-u.ac.jp/item/rb00013381#?c=0&amp;m=0&amp;s=0&amp;cv=109</v>
      </c>
    </row>
    <row r="5129" spans="1:4" x14ac:dyDescent="0.15">
      <c r="A5129" s="6" t="s">
        <v>298</v>
      </c>
      <c r="B5129" s="6" t="s">
        <v>3337</v>
      </c>
      <c r="C5129" s="6">
        <v>112</v>
      </c>
      <c r="D5129" s="6" t="str">
        <f>HYPERLINK("https://rmda.kulib.kyoto-u.ac.jp/item/rb00013381#?c=0&amp;m=0&amp;s=0&amp;cv=111")</f>
        <v>https://rmda.kulib.kyoto-u.ac.jp/item/rb00013381#?c=0&amp;m=0&amp;s=0&amp;cv=111</v>
      </c>
    </row>
    <row r="5130" spans="1:4" x14ac:dyDescent="0.15">
      <c r="A5130" s="6" t="s">
        <v>298</v>
      </c>
      <c r="B5130" s="6" t="s">
        <v>3338</v>
      </c>
      <c r="C5130" s="6">
        <v>113</v>
      </c>
      <c r="D5130" s="6" t="str">
        <f>HYPERLINK("https://rmda.kulib.kyoto-u.ac.jp/item/rb00013381#?c=0&amp;m=0&amp;s=0&amp;cv=112")</f>
        <v>https://rmda.kulib.kyoto-u.ac.jp/item/rb00013381#?c=0&amp;m=0&amp;s=0&amp;cv=112</v>
      </c>
    </row>
    <row r="5131" spans="1:4" x14ac:dyDescent="0.15">
      <c r="A5131" s="6" t="s">
        <v>298</v>
      </c>
      <c r="B5131" s="6" t="s">
        <v>3339</v>
      </c>
      <c r="C5131" s="6">
        <v>117</v>
      </c>
      <c r="D5131" s="6" t="str">
        <f>HYPERLINK("https://rmda.kulib.kyoto-u.ac.jp/item/rb00013381#?c=0&amp;m=0&amp;s=0&amp;cv=116")</f>
        <v>https://rmda.kulib.kyoto-u.ac.jp/item/rb00013381#?c=0&amp;m=0&amp;s=0&amp;cv=116</v>
      </c>
    </row>
    <row r="5132" spans="1:4" x14ac:dyDescent="0.15">
      <c r="A5132" s="6" t="s">
        <v>298</v>
      </c>
      <c r="B5132" s="6" t="s">
        <v>3340</v>
      </c>
      <c r="C5132" s="6">
        <v>119</v>
      </c>
      <c r="D5132" s="6" t="str">
        <f>HYPERLINK("https://rmda.kulib.kyoto-u.ac.jp/item/rb00013381#?c=0&amp;m=0&amp;s=0&amp;cv=118")</f>
        <v>https://rmda.kulib.kyoto-u.ac.jp/item/rb00013381#?c=0&amp;m=0&amp;s=0&amp;cv=118</v>
      </c>
    </row>
    <row r="5133" spans="1:4" x14ac:dyDescent="0.15">
      <c r="A5133" s="6" t="s">
        <v>298</v>
      </c>
      <c r="B5133" s="63" t="s">
        <v>3672</v>
      </c>
      <c r="C5133" s="6">
        <v>121</v>
      </c>
      <c r="D5133" s="6" t="str">
        <f>HYPERLINK("https://rmda.kulib.kyoto-u.ac.jp/item/rb00013381#?c=0&amp;m=0&amp;s=0&amp;cv=120")</f>
        <v>https://rmda.kulib.kyoto-u.ac.jp/item/rb00013381#?c=0&amp;m=0&amp;s=0&amp;cv=120</v>
      </c>
    </row>
    <row r="5134" spans="1:4" x14ac:dyDescent="0.15">
      <c r="A5134" s="6" t="s">
        <v>298</v>
      </c>
      <c r="B5134" s="6" t="s">
        <v>3341</v>
      </c>
      <c r="C5134" s="6">
        <v>121</v>
      </c>
      <c r="D5134" s="6" t="str">
        <f>HYPERLINK("https://rmda.kulib.kyoto-u.ac.jp/item/rb00013381#?c=0&amp;m=0&amp;s=0&amp;cv=120")</f>
        <v>https://rmda.kulib.kyoto-u.ac.jp/item/rb00013381#?c=0&amp;m=0&amp;s=0&amp;cv=120</v>
      </c>
    </row>
    <row r="5135" spans="1:4" x14ac:dyDescent="0.15">
      <c r="A5135" s="6" t="s">
        <v>298</v>
      </c>
      <c r="B5135" s="6" t="s">
        <v>3342</v>
      </c>
      <c r="C5135" s="6">
        <v>121</v>
      </c>
      <c r="D5135" s="6" t="str">
        <f>HYPERLINK("https://rmda.kulib.kyoto-u.ac.jp/item/rb00013381#?c=0&amp;m=0&amp;s=0&amp;cv=120")</f>
        <v>https://rmda.kulib.kyoto-u.ac.jp/item/rb00013381#?c=0&amp;m=0&amp;s=0&amp;cv=120</v>
      </c>
    </row>
    <row r="5136" spans="1:4" x14ac:dyDescent="0.15">
      <c r="A5136" s="6" t="s">
        <v>298</v>
      </c>
      <c r="B5136" s="6" t="s">
        <v>3344</v>
      </c>
      <c r="C5136" s="6">
        <v>122</v>
      </c>
      <c r="D5136" s="6" t="str">
        <f>HYPERLINK("https://rmda.kulib.kyoto-u.ac.jp/item/rb00013381#?c=0&amp;m=0&amp;s=0&amp;cv=121")</f>
        <v>https://rmda.kulib.kyoto-u.ac.jp/item/rb00013381#?c=0&amp;m=0&amp;s=0&amp;cv=121</v>
      </c>
    </row>
    <row r="5137" spans="1:6" x14ac:dyDescent="0.15">
      <c r="A5137" s="6" t="s">
        <v>298</v>
      </c>
      <c r="B5137" s="63" t="s">
        <v>5210</v>
      </c>
      <c r="C5137" s="6">
        <v>123</v>
      </c>
      <c r="D5137" s="6" t="str">
        <f>HYPERLINK("https://rmda.kulib.kyoto-u.ac.jp/item/rb00013381#?c=0&amp;m=0&amp;s=0&amp;cv=122")</f>
        <v>https://rmda.kulib.kyoto-u.ac.jp/item/rb00013381#?c=0&amp;m=0&amp;s=0&amp;cv=122</v>
      </c>
    </row>
    <row r="5138" spans="1:6" x14ac:dyDescent="0.15">
      <c r="A5138" s="6" t="s">
        <v>298</v>
      </c>
      <c r="B5138" s="63" t="s">
        <v>3506</v>
      </c>
      <c r="C5138" s="6">
        <v>126</v>
      </c>
      <c r="D5138" s="6" t="str">
        <f>HYPERLINK("https://rmda.kulib.kyoto-u.ac.jp/item/rb00013381#?c=0&amp;m=0&amp;s=0&amp;cv=125")</f>
        <v>https://rmda.kulib.kyoto-u.ac.jp/item/rb00013381#?c=0&amp;m=0&amp;s=0&amp;cv=125</v>
      </c>
    </row>
    <row r="5139" spans="1:6" x14ac:dyDescent="0.15">
      <c r="A5139" s="6" t="s">
        <v>298</v>
      </c>
      <c r="B5139" s="6" t="s">
        <v>3345</v>
      </c>
      <c r="C5139" s="6">
        <v>128</v>
      </c>
      <c r="D5139" s="6" t="str">
        <f>HYPERLINK("https://rmda.kulib.kyoto-u.ac.jp/item/rb00013381#?c=0&amp;m=0&amp;s=0&amp;cv=127")</f>
        <v>https://rmda.kulib.kyoto-u.ac.jp/item/rb00013381#?c=0&amp;m=0&amp;s=0&amp;cv=127</v>
      </c>
    </row>
    <row r="5140" spans="1:6" x14ac:dyDescent="0.15">
      <c r="A5140" s="6" t="s">
        <v>298</v>
      </c>
      <c r="B5140" s="6" t="s">
        <v>3346</v>
      </c>
      <c r="C5140" s="6">
        <v>130</v>
      </c>
      <c r="D5140" s="6" t="str">
        <f>HYPERLINK("https://rmda.kulib.kyoto-u.ac.jp/item/rb00013381#?c=0&amp;m=0&amp;s=0&amp;cv=129")</f>
        <v>https://rmda.kulib.kyoto-u.ac.jp/item/rb00013381#?c=0&amp;m=0&amp;s=0&amp;cv=129</v>
      </c>
    </row>
    <row r="5141" spans="1:6" x14ac:dyDescent="0.15">
      <c r="A5141" s="6" t="s">
        <v>298</v>
      </c>
      <c r="B5141" s="6" t="s">
        <v>5209</v>
      </c>
      <c r="C5141" s="6">
        <v>131</v>
      </c>
      <c r="D5141" s="6" t="str">
        <f>HYPERLINK("https://rmda.kulib.kyoto-u.ac.jp/item/rb00013381#?c=0&amp;m=0&amp;s=0&amp;cv=130")</f>
        <v>https://rmda.kulib.kyoto-u.ac.jp/item/rb00013381#?c=0&amp;m=0&amp;s=0&amp;cv=130</v>
      </c>
    </row>
    <row r="5142" spans="1:6" x14ac:dyDescent="0.15">
      <c r="A5142" s="6" t="s">
        <v>298</v>
      </c>
      <c r="B5142" s="63" t="s">
        <v>3343</v>
      </c>
      <c r="C5142" s="6">
        <v>138</v>
      </c>
      <c r="D5142" s="6" t="str">
        <f>HYPERLINK("https://rmda.kulib.kyoto-u.ac.jp/item/rb00013381#?c=0&amp;m=0&amp;s=0&amp;cv=137")</f>
        <v>https://rmda.kulib.kyoto-u.ac.jp/item/rb00013381#?c=0&amp;m=0&amp;s=0&amp;cv=137</v>
      </c>
    </row>
    <row r="5143" spans="1:6" x14ac:dyDescent="0.15">
      <c r="A5143" s="6" t="s">
        <v>298</v>
      </c>
      <c r="B5143" s="6" t="s">
        <v>3347</v>
      </c>
      <c r="C5143" s="6">
        <v>139</v>
      </c>
      <c r="D5143" s="6" t="str">
        <f>HYPERLINK("https://rmda.kulib.kyoto-u.ac.jp/item/rb00013381#?c=0&amp;m=0&amp;s=0&amp;cv=138")</f>
        <v>https://rmda.kulib.kyoto-u.ac.jp/item/rb00013381#?c=0&amp;m=0&amp;s=0&amp;cv=138</v>
      </c>
    </row>
    <row r="5144" spans="1:6" x14ac:dyDescent="0.15">
      <c r="A5144" s="6" t="s">
        <v>298</v>
      </c>
      <c r="B5144" s="6" t="s">
        <v>3494</v>
      </c>
      <c r="C5144" s="6">
        <v>141</v>
      </c>
      <c r="D5144" s="6" t="str">
        <f>HYPERLINK("https://rmda.kulib.kyoto-u.ac.jp/item/rb00013381#?c=0&amp;m=0&amp;s=0&amp;cv=140")</f>
        <v>https://rmda.kulib.kyoto-u.ac.jp/item/rb00013381#?c=0&amp;m=0&amp;s=0&amp;cv=140</v>
      </c>
    </row>
    <row r="5145" spans="1:6" x14ac:dyDescent="0.15">
      <c r="A5145" s="96" t="s">
        <v>298</v>
      </c>
      <c r="B5145" s="96" t="s">
        <v>3348</v>
      </c>
      <c r="C5145" s="96">
        <v>148</v>
      </c>
      <c r="D5145" s="96" t="str">
        <f>HYPERLINK("https://rmda.kulib.kyoto-u.ac.jp/item/rb00013381#?c=0&amp;m=0&amp;s=0&amp;cv=147")</f>
        <v>https://rmda.kulib.kyoto-u.ac.jp/item/rb00013381#?c=0&amp;m=0&amp;s=0&amp;cv=147</v>
      </c>
    </row>
    <row r="5146" spans="1:6" x14ac:dyDescent="0.15">
      <c r="A5146" s="11" t="s">
        <v>6292</v>
      </c>
      <c r="B5146" s="11" t="s">
        <v>306</v>
      </c>
      <c r="C5146" s="67"/>
      <c r="D5146" s="9" t="s">
        <v>307</v>
      </c>
    </row>
    <row r="5147" spans="1:6" x14ac:dyDescent="0.15">
      <c r="A5147" s="84" t="s">
        <v>6334</v>
      </c>
      <c r="B5147" s="96"/>
      <c r="C5147" s="96"/>
      <c r="D5147" s="96"/>
    </row>
    <row r="5148" spans="1:6" x14ac:dyDescent="0.15">
      <c r="A5148" s="8" t="s">
        <v>5459</v>
      </c>
      <c r="B5148" s="8" t="s">
        <v>87</v>
      </c>
      <c r="C5148" s="6"/>
      <c r="D5148" s="6"/>
      <c r="E5148" s="6"/>
      <c r="F5148" s="6"/>
    </row>
    <row r="5149" spans="1:6" x14ac:dyDescent="0.15">
      <c r="A5149" s="85" t="s">
        <v>5458</v>
      </c>
      <c r="B5149" s="6"/>
      <c r="C5149" s="6"/>
      <c r="D5149" s="9" t="s">
        <v>3560</v>
      </c>
      <c r="E5149" s="6"/>
      <c r="F5149" s="9" t="s">
        <v>1196</v>
      </c>
    </row>
    <row r="5150" spans="1:6" x14ac:dyDescent="0.15">
      <c r="A5150" s="106"/>
      <c r="B5150" s="6"/>
      <c r="C5150" s="71" t="s">
        <v>5603</v>
      </c>
      <c r="D5150" s="6"/>
      <c r="E5150" s="71" t="s">
        <v>3562</v>
      </c>
      <c r="F5150" s="6"/>
    </row>
    <row r="5151" spans="1:6" x14ac:dyDescent="0.15">
      <c r="A5151" s="106"/>
      <c r="B5151" s="6"/>
      <c r="C5151" s="71" t="s">
        <v>5604</v>
      </c>
      <c r="D5151" s="6"/>
      <c r="E5151" s="71" t="s">
        <v>3561</v>
      </c>
      <c r="F5151" s="6"/>
    </row>
    <row r="5152" spans="1:6" x14ac:dyDescent="0.15">
      <c r="A5152" s="106"/>
      <c r="B5152" s="6"/>
      <c r="C5152" s="71" t="s">
        <v>5605</v>
      </c>
      <c r="D5152" s="6"/>
      <c r="E5152" s="71"/>
      <c r="F5152" s="6"/>
    </row>
    <row r="5153" spans="1:6" x14ac:dyDescent="0.15">
      <c r="A5153" s="106"/>
      <c r="B5153" s="6"/>
      <c r="C5153" s="71" t="s">
        <v>5581</v>
      </c>
      <c r="D5153" s="6"/>
      <c r="E5153" s="71"/>
      <c r="F5153" s="6"/>
    </row>
    <row r="5154" spans="1:6" x14ac:dyDescent="0.15">
      <c r="A5154" s="106"/>
      <c r="B5154" s="6"/>
      <c r="C5154" s="71" t="s">
        <v>5606</v>
      </c>
      <c r="D5154" s="6"/>
      <c r="E5154" s="71"/>
      <c r="F5154" s="6"/>
    </row>
    <row r="5155" spans="1:6" x14ac:dyDescent="0.15">
      <c r="A5155" s="106"/>
      <c r="B5155" s="6"/>
      <c r="C5155" s="71" t="s">
        <v>5607</v>
      </c>
      <c r="D5155" s="6"/>
      <c r="E5155" s="71"/>
      <c r="F5155" s="6"/>
    </row>
    <row r="5156" spans="1:6" x14ac:dyDescent="0.15">
      <c r="A5156" s="6" t="s">
        <v>309</v>
      </c>
      <c r="B5156" s="6" t="s">
        <v>1371</v>
      </c>
      <c r="C5156" s="6">
        <v>5</v>
      </c>
      <c r="D5156" s="6" t="str">
        <f>HYPERLINK("https://rmda.kulib.kyoto-u.ac.jp/item/rb00004134#?c=0&amp;m=0&amp;s=0&amp;cv=4")</f>
        <v>https://rmda.kulib.kyoto-u.ac.jp/item/rb00004134#?c=0&amp;m=0&amp;s=0&amp;cv=4</v>
      </c>
      <c r="E5156" s="6"/>
      <c r="F5156" s="6"/>
    </row>
    <row r="5157" spans="1:6" x14ac:dyDescent="0.15">
      <c r="A5157" s="6" t="s">
        <v>309</v>
      </c>
      <c r="B5157" s="6" t="s">
        <v>3349</v>
      </c>
      <c r="C5157" s="6">
        <v>7</v>
      </c>
      <c r="D5157" s="6" t="str">
        <f>HYPERLINK("https://rmda.kulib.kyoto-u.ac.jp/item/rb00004134#?c=0&amp;m=0&amp;s=0&amp;cv=6")</f>
        <v>https://rmda.kulib.kyoto-u.ac.jp/item/rb00004134#?c=0&amp;m=0&amp;s=0&amp;cv=6</v>
      </c>
      <c r="E5157" s="6"/>
      <c r="F5157" s="6"/>
    </row>
    <row r="5158" spans="1:6" x14ac:dyDescent="0.15">
      <c r="A5158" s="6" t="s">
        <v>309</v>
      </c>
      <c r="B5158" s="6" t="s">
        <v>1372</v>
      </c>
      <c r="C5158" s="6">
        <v>9</v>
      </c>
      <c r="D5158" s="6" t="str">
        <f>HYPERLINK("https://rmda.kulib.kyoto-u.ac.jp/item/rb00004134#?c=0&amp;m=0&amp;s=0&amp;cv=8")</f>
        <v>https://rmda.kulib.kyoto-u.ac.jp/item/rb00004134#?c=0&amp;m=0&amp;s=0&amp;cv=8</v>
      </c>
      <c r="E5158" s="6"/>
      <c r="F5158" s="6"/>
    </row>
    <row r="5159" spans="1:6" x14ac:dyDescent="0.15">
      <c r="A5159" s="6" t="s">
        <v>309</v>
      </c>
      <c r="B5159" s="6" t="s">
        <v>3350</v>
      </c>
      <c r="C5159" s="6">
        <v>11</v>
      </c>
      <c r="D5159" s="6" t="str">
        <f>HYPERLINK("https://rmda.kulib.kyoto-u.ac.jp/item/rb00004134#?c=0&amp;m=0&amp;s=0&amp;cv=10")</f>
        <v>https://rmda.kulib.kyoto-u.ac.jp/item/rb00004134#?c=0&amp;m=0&amp;s=0&amp;cv=10</v>
      </c>
      <c r="E5159" s="6"/>
      <c r="F5159" s="6"/>
    </row>
    <row r="5160" spans="1:6" x14ac:dyDescent="0.15">
      <c r="A5160" s="6" t="s">
        <v>309</v>
      </c>
      <c r="B5160" s="6" t="s">
        <v>3351</v>
      </c>
      <c r="C5160" s="6">
        <v>22</v>
      </c>
      <c r="D5160" s="6" t="str">
        <f>HYPERLINK("https://rmda.kulib.kyoto-u.ac.jp/item/rb00004134#?c=0&amp;m=0&amp;s=0&amp;cv=21")</f>
        <v>https://rmda.kulib.kyoto-u.ac.jp/item/rb00004134#?c=0&amp;m=0&amp;s=0&amp;cv=21</v>
      </c>
      <c r="E5160" s="6"/>
      <c r="F5160" s="6"/>
    </row>
    <row r="5161" spans="1:6" x14ac:dyDescent="0.15">
      <c r="A5161" s="6" t="s">
        <v>309</v>
      </c>
      <c r="B5161" s="6" t="s">
        <v>3352</v>
      </c>
      <c r="C5161" s="6">
        <v>34</v>
      </c>
      <c r="D5161" s="6" t="str">
        <f>HYPERLINK("https://rmda.kulib.kyoto-u.ac.jp/item/rb00004134#?c=0&amp;m=0&amp;s=0&amp;cv=33")</f>
        <v>https://rmda.kulib.kyoto-u.ac.jp/item/rb00004134#?c=0&amp;m=0&amp;s=0&amp;cv=33</v>
      </c>
      <c r="E5161" s="6"/>
      <c r="F5161" s="6"/>
    </row>
    <row r="5162" spans="1:6" x14ac:dyDescent="0.15">
      <c r="A5162" s="6" t="s">
        <v>309</v>
      </c>
      <c r="B5162" s="6" t="s">
        <v>5586</v>
      </c>
      <c r="C5162" s="6">
        <v>45</v>
      </c>
      <c r="D5162" s="6" t="str">
        <f>HYPERLINK("https://rmda.kulib.kyoto-u.ac.jp/item/rb00004134#?c=0&amp;m=0&amp;s=0&amp;cv=44")</f>
        <v>https://rmda.kulib.kyoto-u.ac.jp/item/rb00004134#?c=0&amp;m=0&amp;s=0&amp;cv=44</v>
      </c>
      <c r="E5162" s="6"/>
      <c r="F5162" s="6"/>
    </row>
    <row r="5163" spans="1:6" x14ac:dyDescent="0.15">
      <c r="A5163" s="6" t="s">
        <v>309</v>
      </c>
      <c r="B5163" s="6" t="s">
        <v>5587</v>
      </c>
      <c r="C5163" s="6">
        <v>48</v>
      </c>
      <c r="D5163" s="6" t="str">
        <f>HYPERLINK("https://rmda.kulib.kyoto-u.ac.jp/item/rb00004134#?c=0&amp;m=0&amp;s=0&amp;cv=47")</f>
        <v>https://rmda.kulib.kyoto-u.ac.jp/item/rb00004134#?c=0&amp;m=0&amp;s=0&amp;cv=47</v>
      </c>
      <c r="E5163" s="6"/>
      <c r="F5163" s="6"/>
    </row>
    <row r="5164" spans="1:6" x14ac:dyDescent="0.15">
      <c r="A5164" s="6" t="s">
        <v>309</v>
      </c>
      <c r="B5164" s="6" t="s">
        <v>5588</v>
      </c>
      <c r="C5164" s="6">
        <v>59</v>
      </c>
      <c r="D5164" s="6" t="str">
        <f>HYPERLINK("https://rmda.kulib.kyoto-u.ac.jp/item/rb00004134#?c=0&amp;m=0&amp;s=0&amp;cv=58")</f>
        <v>https://rmda.kulib.kyoto-u.ac.jp/item/rb00004134#?c=0&amp;m=0&amp;s=0&amp;cv=58</v>
      </c>
      <c r="E5164" s="6"/>
      <c r="F5164" s="6"/>
    </row>
    <row r="5165" spans="1:6" x14ac:dyDescent="0.15">
      <c r="A5165" s="6" t="s">
        <v>309</v>
      </c>
      <c r="B5165" s="6" t="s">
        <v>5589</v>
      </c>
      <c r="C5165" s="6">
        <v>87</v>
      </c>
      <c r="D5165" s="6" t="str">
        <f>HYPERLINK("https://rmda.kulib.kyoto-u.ac.jp/item/rb00004134#?c=0&amp;m=0&amp;s=0&amp;cv=86")</f>
        <v>https://rmda.kulib.kyoto-u.ac.jp/item/rb00004134#?c=0&amp;m=0&amp;s=0&amp;cv=86</v>
      </c>
      <c r="E5165" s="6"/>
      <c r="F5165" s="6"/>
    </row>
    <row r="5166" spans="1:6" x14ac:dyDescent="0.15">
      <c r="A5166" s="6" t="s">
        <v>309</v>
      </c>
      <c r="B5166" s="6" t="s">
        <v>5590</v>
      </c>
      <c r="C5166" s="6">
        <v>108</v>
      </c>
      <c r="D5166" s="6" t="str">
        <f>HYPERLINK("https://rmda.kulib.kyoto-u.ac.jp/item/rb00004134#?c=0&amp;m=0&amp;s=0&amp;cv=107")</f>
        <v>https://rmda.kulib.kyoto-u.ac.jp/item/rb00004134#?c=0&amp;m=0&amp;s=0&amp;cv=107</v>
      </c>
      <c r="E5166" s="6">
        <v>2</v>
      </c>
      <c r="F5166" s="9" t="s">
        <v>1196</v>
      </c>
    </row>
    <row r="5167" spans="1:6" x14ac:dyDescent="0.15">
      <c r="A5167" s="6" t="s">
        <v>309</v>
      </c>
      <c r="B5167" s="6" t="s">
        <v>5591</v>
      </c>
      <c r="C5167" s="6">
        <v>125</v>
      </c>
      <c r="D5167" s="6" t="str">
        <f>HYPERLINK("https://rmda.kulib.kyoto-u.ac.jp/item/rb00004134#?c=0&amp;m=0&amp;s=0&amp;cv=124")</f>
        <v>https://rmda.kulib.kyoto-u.ac.jp/item/rb00004134#?c=0&amp;m=0&amp;s=0&amp;cv=124</v>
      </c>
      <c r="E5167" s="6">
        <v>21</v>
      </c>
      <c r="F5167" s="9" t="s">
        <v>1196</v>
      </c>
    </row>
    <row r="5168" spans="1:6" x14ac:dyDescent="0.15">
      <c r="A5168" s="6" t="s">
        <v>309</v>
      </c>
      <c r="B5168" s="6" t="s">
        <v>5592</v>
      </c>
      <c r="C5168" s="6">
        <v>127</v>
      </c>
      <c r="D5168" s="6" t="str">
        <f>HYPERLINK("https://rmda.kulib.kyoto-u.ac.jp/item/rb00004134#?c=0&amp;m=0&amp;s=0&amp;cv=126")</f>
        <v>https://rmda.kulib.kyoto-u.ac.jp/item/rb00004134#?c=0&amp;m=0&amp;s=0&amp;cv=126</v>
      </c>
      <c r="E5168" s="6">
        <v>23</v>
      </c>
      <c r="F5168" s="9" t="s">
        <v>1196</v>
      </c>
    </row>
    <row r="5169" spans="1:6" x14ac:dyDescent="0.15">
      <c r="A5169" s="6" t="s">
        <v>309</v>
      </c>
      <c r="B5169" s="6" t="s">
        <v>5593</v>
      </c>
      <c r="C5169" s="6">
        <v>128</v>
      </c>
      <c r="D5169" s="6" t="str">
        <f>HYPERLINK("https://rmda.kulib.kyoto-u.ac.jp/item/rb00004134#?c=0&amp;m=0&amp;s=0&amp;cv=127")</f>
        <v>https://rmda.kulib.kyoto-u.ac.jp/item/rb00004134#?c=0&amp;m=0&amp;s=0&amp;cv=127</v>
      </c>
      <c r="E5169" s="6">
        <v>24</v>
      </c>
      <c r="F5169" s="9" t="s">
        <v>1196</v>
      </c>
    </row>
    <row r="5170" spans="1:6" x14ac:dyDescent="0.15">
      <c r="A5170" s="6" t="s">
        <v>309</v>
      </c>
      <c r="B5170" s="6" t="s">
        <v>5594</v>
      </c>
      <c r="C5170" s="6">
        <v>138</v>
      </c>
      <c r="D5170" s="6" t="str">
        <f>HYPERLINK("https://rmda.kulib.kyoto-u.ac.jp/item/rb00004134#?c=0&amp;m=0&amp;s=0&amp;cv=137")</f>
        <v>https://rmda.kulib.kyoto-u.ac.jp/item/rb00004134#?c=0&amp;m=0&amp;s=0&amp;cv=137</v>
      </c>
      <c r="E5170" s="6">
        <v>35</v>
      </c>
      <c r="F5170" s="9" t="s">
        <v>1196</v>
      </c>
    </row>
    <row r="5171" spans="1:6" x14ac:dyDescent="0.15">
      <c r="A5171" s="6" t="s">
        <v>309</v>
      </c>
      <c r="B5171" s="6" t="s">
        <v>5595</v>
      </c>
      <c r="C5171" s="6">
        <v>147</v>
      </c>
      <c r="D5171" s="6" t="str">
        <f>HYPERLINK("https://rmda.kulib.kyoto-u.ac.jp/item/rb00004134#?c=0&amp;m=0&amp;s=0&amp;cv=146")</f>
        <v>https://rmda.kulib.kyoto-u.ac.jp/item/rb00004134#?c=0&amp;m=0&amp;s=0&amp;cv=146</v>
      </c>
      <c r="E5171" s="6">
        <v>45</v>
      </c>
      <c r="F5171" s="9" t="s">
        <v>1196</v>
      </c>
    </row>
    <row r="5172" spans="1:6" x14ac:dyDescent="0.15">
      <c r="A5172" s="6" t="s">
        <v>309</v>
      </c>
      <c r="B5172" s="6" t="s">
        <v>5596</v>
      </c>
      <c r="C5172" s="6">
        <v>150</v>
      </c>
      <c r="D5172" s="6" t="str">
        <f>HYPERLINK("https://rmda.kulib.kyoto-u.ac.jp/item/rb00004134#?c=0&amp;m=0&amp;s=0&amp;cv=149")</f>
        <v>https://rmda.kulib.kyoto-u.ac.jp/item/rb00004134#?c=0&amp;m=0&amp;s=0&amp;cv=149</v>
      </c>
      <c r="E5172" s="6">
        <v>48</v>
      </c>
      <c r="F5172" s="9" t="s">
        <v>1196</v>
      </c>
    </row>
    <row r="5173" spans="1:6" x14ac:dyDescent="0.15">
      <c r="A5173" s="6" t="s">
        <v>309</v>
      </c>
      <c r="B5173" s="6" t="s">
        <v>5597</v>
      </c>
      <c r="C5173" s="6">
        <v>152</v>
      </c>
      <c r="D5173" s="6" t="str">
        <f>HYPERLINK("https://rmda.kulib.kyoto-u.ac.jp/item/rb00004134#?c=0&amp;m=0&amp;s=0&amp;cv=151")</f>
        <v>https://rmda.kulib.kyoto-u.ac.jp/item/rb00004134#?c=0&amp;m=0&amp;s=0&amp;cv=151</v>
      </c>
      <c r="E5173" s="6">
        <v>50</v>
      </c>
      <c r="F5173" s="9" t="s">
        <v>1196</v>
      </c>
    </row>
    <row r="5174" spans="1:6" x14ac:dyDescent="0.15">
      <c r="A5174" s="6" t="s">
        <v>309</v>
      </c>
      <c r="B5174" s="6" t="s">
        <v>5598</v>
      </c>
      <c r="C5174" s="6">
        <v>154</v>
      </c>
      <c r="D5174" s="6" t="str">
        <f>HYPERLINK("https://rmda.kulib.kyoto-u.ac.jp/item/rb00004134#?c=0&amp;m=0&amp;s=0&amp;cv=153")</f>
        <v>https://rmda.kulib.kyoto-u.ac.jp/item/rb00004134#?c=0&amp;m=0&amp;s=0&amp;cv=153</v>
      </c>
      <c r="E5174" s="6">
        <v>53</v>
      </c>
      <c r="F5174" s="9" t="s">
        <v>1196</v>
      </c>
    </row>
    <row r="5175" spans="1:6" x14ac:dyDescent="0.15">
      <c r="A5175" s="6" t="s">
        <v>309</v>
      </c>
      <c r="B5175" s="6" t="s">
        <v>5599</v>
      </c>
      <c r="C5175" s="6">
        <v>155</v>
      </c>
      <c r="D5175" s="6" t="str">
        <f>HYPERLINK("https://rmda.kulib.kyoto-u.ac.jp/item/rb00004134#?c=0&amp;m=0&amp;s=0&amp;cv=154")</f>
        <v>https://rmda.kulib.kyoto-u.ac.jp/item/rb00004134#?c=0&amp;m=0&amp;s=0&amp;cv=154</v>
      </c>
      <c r="E5175" s="6">
        <v>54</v>
      </c>
      <c r="F5175" s="9" t="s">
        <v>1196</v>
      </c>
    </row>
    <row r="5176" spans="1:6" x14ac:dyDescent="0.15">
      <c r="A5176" s="6" t="s">
        <v>309</v>
      </c>
      <c r="B5176" s="6" t="s">
        <v>3353</v>
      </c>
      <c r="C5176" s="6">
        <v>155</v>
      </c>
      <c r="D5176" s="6" t="str">
        <f>HYPERLINK("https://rmda.kulib.kyoto-u.ac.jp/item/rb00004134#?c=0&amp;m=0&amp;s=0&amp;cv=154")</f>
        <v>https://rmda.kulib.kyoto-u.ac.jp/item/rb00004134#?c=0&amp;m=0&amp;s=0&amp;cv=154</v>
      </c>
      <c r="E5176" s="6">
        <v>54</v>
      </c>
      <c r="F5176" s="9" t="s">
        <v>1196</v>
      </c>
    </row>
    <row r="5177" spans="1:6" x14ac:dyDescent="0.15">
      <c r="A5177" s="6" t="s">
        <v>309</v>
      </c>
      <c r="B5177" s="6" t="s">
        <v>3354</v>
      </c>
      <c r="C5177" s="6">
        <v>155</v>
      </c>
      <c r="D5177" s="6" t="str">
        <f>HYPERLINK("https://rmda.kulib.kyoto-u.ac.jp/item/rb00004134#?c=0&amp;m=0&amp;s=0&amp;cv=154")</f>
        <v>https://rmda.kulib.kyoto-u.ac.jp/item/rb00004134#?c=0&amp;m=0&amp;s=0&amp;cv=154</v>
      </c>
      <c r="E5177" s="6">
        <v>54</v>
      </c>
      <c r="F5177" s="9" t="s">
        <v>1196</v>
      </c>
    </row>
    <row r="5178" spans="1:6" x14ac:dyDescent="0.15">
      <c r="A5178" s="6" t="s">
        <v>309</v>
      </c>
      <c r="B5178" s="6" t="s">
        <v>5600</v>
      </c>
      <c r="C5178" s="6">
        <v>156</v>
      </c>
      <c r="D5178" s="6" t="str">
        <f>HYPERLINK("https://rmda.kulib.kyoto-u.ac.jp/item/rb00004134#?c=0&amp;m=0&amp;s=0&amp;cv=155")</f>
        <v>https://rmda.kulib.kyoto-u.ac.jp/item/rb00004134#?c=0&amp;m=0&amp;s=0&amp;cv=155</v>
      </c>
      <c r="E5178" s="6">
        <v>55</v>
      </c>
      <c r="F5178" s="9" t="s">
        <v>1196</v>
      </c>
    </row>
    <row r="5179" spans="1:6" x14ac:dyDescent="0.15">
      <c r="A5179" s="6" t="s">
        <v>309</v>
      </c>
      <c r="B5179" s="6" t="s">
        <v>5601</v>
      </c>
      <c r="C5179" s="6">
        <v>161</v>
      </c>
      <c r="D5179" s="6" t="str">
        <f>HYPERLINK("https://rmda.kulib.kyoto-u.ac.jp/item/rb00004134#?c=0&amp;m=0&amp;s=0&amp;cv=160")</f>
        <v>https://rmda.kulib.kyoto-u.ac.jp/item/rb00004134#?c=0&amp;m=0&amp;s=0&amp;cv=160</v>
      </c>
      <c r="E5179" s="6">
        <v>61</v>
      </c>
      <c r="F5179" s="9" t="s">
        <v>1196</v>
      </c>
    </row>
    <row r="5180" spans="1:6" x14ac:dyDescent="0.15">
      <c r="A5180" s="6" t="s">
        <v>309</v>
      </c>
      <c r="B5180" s="6" t="s">
        <v>5602</v>
      </c>
      <c r="C5180" s="6">
        <v>163</v>
      </c>
      <c r="D5180" s="6" t="str">
        <f>HYPERLINK("https://rmda.kulib.kyoto-u.ac.jp/item/rb00004134#?c=0&amp;m=0&amp;s=0&amp;cv=162")</f>
        <v>https://rmda.kulib.kyoto-u.ac.jp/item/rb00004134#?c=0&amp;m=0&amp;s=0&amp;cv=162</v>
      </c>
      <c r="E5180" s="6">
        <v>62</v>
      </c>
      <c r="F5180" s="9" t="s">
        <v>1196</v>
      </c>
    </row>
    <row r="5181" spans="1:6" x14ac:dyDescent="0.15">
      <c r="A5181" s="8" t="s">
        <v>6293</v>
      </c>
      <c r="B5181" s="67"/>
      <c r="C5181" s="67"/>
      <c r="D5181" s="67"/>
      <c r="E5181" s="67"/>
      <c r="F5181" s="97"/>
    </row>
    <row r="5182" spans="1:6" x14ac:dyDescent="0.15">
      <c r="A5182" s="98" t="s">
        <v>6335</v>
      </c>
      <c r="C5182" s="67"/>
      <c r="D5182" s="67"/>
      <c r="E5182" s="67"/>
      <c r="F5182" s="97"/>
    </row>
    <row r="5183" spans="1:6" x14ac:dyDescent="0.15">
      <c r="A5183" s="8" t="s">
        <v>6294</v>
      </c>
      <c r="B5183" s="67"/>
      <c r="C5183" s="67"/>
      <c r="D5183" s="67"/>
      <c r="E5183" s="67"/>
      <c r="F5183" s="97"/>
    </row>
    <row r="5184" spans="1:6" x14ac:dyDescent="0.15">
      <c r="A5184" s="98" t="s">
        <v>6336</v>
      </c>
      <c r="B5184" s="67"/>
      <c r="C5184" s="67"/>
      <c r="D5184" s="67"/>
      <c r="E5184" s="67"/>
      <c r="F5184" s="97"/>
    </row>
    <row r="5185" spans="1:4" x14ac:dyDescent="0.15">
      <c r="A5185" s="117" t="s">
        <v>6295</v>
      </c>
      <c r="B5185" s="67"/>
      <c r="C5185" s="67"/>
      <c r="D5185" s="67"/>
    </row>
    <row r="5186" spans="1:4" x14ac:dyDescent="0.15">
      <c r="A5186" s="67"/>
      <c r="B5186" s="67" t="s">
        <v>1709</v>
      </c>
      <c r="C5186" s="67"/>
      <c r="D5186" s="67"/>
    </row>
    <row r="5187" spans="1:4" x14ac:dyDescent="0.15">
      <c r="A5187" s="67"/>
      <c r="B5187" s="67" t="s">
        <v>2814</v>
      </c>
      <c r="C5187" s="67"/>
      <c r="D5187" s="67"/>
    </row>
    <row r="5188" spans="1:4" x14ac:dyDescent="0.15">
      <c r="A5188" s="67" t="s">
        <v>2814</v>
      </c>
      <c r="B5188" s="67" t="s">
        <v>3356</v>
      </c>
      <c r="C5188" s="67"/>
      <c r="D5188" s="67"/>
    </row>
    <row r="5189" spans="1:4" x14ac:dyDescent="0.15">
      <c r="A5189" s="67" t="s">
        <v>2815</v>
      </c>
      <c r="B5189" s="67" t="s">
        <v>3357</v>
      </c>
      <c r="C5189" s="67"/>
      <c r="D5189" s="67"/>
    </row>
    <row r="5190" spans="1:4" x14ac:dyDescent="0.15">
      <c r="A5190" s="67" t="s">
        <v>2816</v>
      </c>
      <c r="B5190" s="67" t="s">
        <v>3358</v>
      </c>
      <c r="C5190" s="67"/>
      <c r="D5190" s="67"/>
    </row>
    <row r="5191" spans="1:4" x14ac:dyDescent="0.15">
      <c r="A5191" s="67" t="s">
        <v>2817</v>
      </c>
      <c r="B5191" s="67" t="s">
        <v>3359</v>
      </c>
      <c r="C5191" s="67"/>
      <c r="D5191" s="67"/>
    </row>
    <row r="5192" spans="1:4" x14ac:dyDescent="0.15">
      <c r="A5192" s="67" t="s">
        <v>2818</v>
      </c>
      <c r="B5192" s="67" t="s">
        <v>3360</v>
      </c>
      <c r="C5192" s="67"/>
      <c r="D5192" s="67"/>
    </row>
    <row r="5193" spans="1:4" x14ac:dyDescent="0.15">
      <c r="A5193" s="67" t="s">
        <v>2819</v>
      </c>
      <c r="B5193" s="67" t="s">
        <v>3361</v>
      </c>
      <c r="C5193" s="67"/>
      <c r="D5193" s="67"/>
    </row>
    <row r="5194" spans="1:4" x14ac:dyDescent="0.15">
      <c r="A5194" s="67" t="s">
        <v>3029</v>
      </c>
      <c r="B5194" s="67" t="s">
        <v>3362</v>
      </c>
      <c r="C5194" s="67"/>
      <c r="D5194" s="67"/>
    </row>
    <row r="5195" spans="1:4" x14ac:dyDescent="0.15">
      <c r="A5195" s="67" t="s">
        <v>3057</v>
      </c>
      <c r="B5195" s="67" t="s">
        <v>3363</v>
      </c>
      <c r="C5195" s="67"/>
      <c r="D5195" s="67"/>
    </row>
    <row r="5196" spans="1:4" x14ac:dyDescent="0.15">
      <c r="A5196" s="67" t="s">
        <v>3355</v>
      </c>
      <c r="B5196" s="67" t="s">
        <v>3364</v>
      </c>
      <c r="C5196" s="67"/>
      <c r="D5196" s="67"/>
    </row>
    <row r="5197" spans="1:4" x14ac:dyDescent="0.15">
      <c r="A5197" s="67" t="s">
        <v>3164</v>
      </c>
      <c r="B5197" s="67" t="s">
        <v>3365</v>
      </c>
    </row>
    <row r="5198" spans="1:4" x14ac:dyDescent="0.15">
      <c r="A5198" s="67" t="s">
        <v>3366</v>
      </c>
      <c r="B5198" s="67" t="s">
        <v>3367</v>
      </c>
    </row>
    <row r="5199" spans="1:4" x14ac:dyDescent="0.15">
      <c r="A5199" s="67" t="s">
        <v>2498</v>
      </c>
      <c r="B5199" s="67" t="s">
        <v>3368</v>
      </c>
    </row>
    <row r="5200" spans="1:4" x14ac:dyDescent="0.15">
      <c r="A5200" s="67" t="s">
        <v>3369</v>
      </c>
      <c r="B5200" s="67" t="s">
        <v>3370</v>
      </c>
    </row>
    <row r="5201" spans="1:3" x14ac:dyDescent="0.15">
      <c r="A5201" s="67" t="s">
        <v>3371</v>
      </c>
      <c r="B5201" s="67" t="s">
        <v>3372</v>
      </c>
    </row>
    <row r="5202" spans="1:3" x14ac:dyDescent="0.15">
      <c r="A5202" s="67" t="s">
        <v>3373</v>
      </c>
      <c r="B5202" s="67" t="s">
        <v>3374</v>
      </c>
    </row>
    <row r="5203" spans="1:3" x14ac:dyDescent="0.15">
      <c r="A5203" s="67" t="s">
        <v>3373</v>
      </c>
      <c r="B5203" s="67" t="s">
        <v>3375</v>
      </c>
    </row>
    <row r="5204" spans="1:3" x14ac:dyDescent="0.15">
      <c r="A5204" s="67" t="s">
        <v>3373</v>
      </c>
      <c r="B5204" s="67" t="s">
        <v>3376</v>
      </c>
    </row>
    <row r="5205" spans="1:3" x14ac:dyDescent="0.15">
      <c r="A5205" s="67" t="s">
        <v>3373</v>
      </c>
      <c r="B5205" s="67" t="s">
        <v>3377</v>
      </c>
    </row>
    <row r="5206" spans="1:3" x14ac:dyDescent="0.15">
      <c r="A5206" s="67" t="s">
        <v>3373</v>
      </c>
      <c r="B5206" s="67" t="s">
        <v>3378</v>
      </c>
    </row>
    <row r="5207" spans="1:3" x14ac:dyDescent="0.15">
      <c r="A5207" s="67" t="s">
        <v>3373</v>
      </c>
      <c r="B5207" s="67" t="s">
        <v>3379</v>
      </c>
    </row>
    <row r="5208" spans="1:3" x14ac:dyDescent="0.15">
      <c r="A5208" s="67" t="s">
        <v>3380</v>
      </c>
      <c r="B5208" s="67" t="s">
        <v>3381</v>
      </c>
    </row>
    <row r="5209" spans="1:3" x14ac:dyDescent="0.15">
      <c r="A5209" s="67" t="s">
        <v>3380</v>
      </c>
      <c r="B5209" s="67" t="s">
        <v>2503</v>
      </c>
    </row>
    <row r="5210" spans="1:3" x14ac:dyDescent="0.15">
      <c r="A5210" s="67" t="s">
        <v>2502</v>
      </c>
      <c r="B5210" s="67" t="s">
        <v>3382</v>
      </c>
    </row>
    <row r="5211" spans="1:3" x14ac:dyDescent="0.15">
      <c r="A5211" s="8" t="s">
        <v>6296</v>
      </c>
      <c r="B5211" s="67"/>
    </row>
    <row r="5212" spans="1:3" x14ac:dyDescent="0.15">
      <c r="A5212" s="98" t="s">
        <v>6337</v>
      </c>
      <c r="B5212" s="67"/>
    </row>
    <row r="5213" spans="1:3" x14ac:dyDescent="0.15">
      <c r="A5213" s="115" t="s">
        <v>3404</v>
      </c>
      <c r="B5213" t="s">
        <v>2814</v>
      </c>
    </row>
    <row r="5214" spans="1:3" x14ac:dyDescent="0.15">
      <c r="A5214" s="67" t="s">
        <v>2814</v>
      </c>
      <c r="B5214" s="67" t="s">
        <v>3383</v>
      </c>
      <c r="C5214" s="67" t="s">
        <v>3409</v>
      </c>
    </row>
    <row r="5215" spans="1:3" x14ac:dyDescent="0.15">
      <c r="A5215" s="67" t="s">
        <v>2814</v>
      </c>
      <c r="B5215" s="67" t="s">
        <v>3405</v>
      </c>
      <c r="C5215" s="67" t="s">
        <v>3410</v>
      </c>
    </row>
    <row r="5216" spans="1:3" x14ac:dyDescent="0.15">
      <c r="A5216" s="67" t="s">
        <v>2815</v>
      </c>
      <c r="B5216" s="67" t="s">
        <v>3384</v>
      </c>
      <c r="C5216" s="67" t="s">
        <v>3411</v>
      </c>
    </row>
    <row r="5217" spans="1:4" x14ac:dyDescent="0.15">
      <c r="A5217" s="67" t="s">
        <v>2815</v>
      </c>
      <c r="B5217" s="67" t="s">
        <v>3385</v>
      </c>
      <c r="C5217" s="67" t="s">
        <v>3412</v>
      </c>
    </row>
    <row r="5218" spans="1:4" x14ac:dyDescent="0.15">
      <c r="A5218" s="67" t="s">
        <v>2815</v>
      </c>
      <c r="B5218" s="67" t="s">
        <v>3386</v>
      </c>
      <c r="C5218" s="67" t="s">
        <v>3413</v>
      </c>
    </row>
    <row r="5219" spans="1:4" x14ac:dyDescent="0.15">
      <c r="A5219" s="67" t="s">
        <v>2815</v>
      </c>
      <c r="B5219" s="67" t="s">
        <v>3387</v>
      </c>
      <c r="C5219" s="67" t="s">
        <v>3414</v>
      </c>
    </row>
    <row r="5220" spans="1:4" x14ac:dyDescent="0.15">
      <c r="A5220" s="67" t="s">
        <v>2815</v>
      </c>
      <c r="B5220" s="67" t="s">
        <v>3388</v>
      </c>
      <c r="C5220" s="67" t="s">
        <v>3415</v>
      </c>
    </row>
    <row r="5221" spans="1:4" x14ac:dyDescent="0.15">
      <c r="A5221" s="67" t="s">
        <v>2816</v>
      </c>
      <c r="B5221" s="67" t="s">
        <v>3389</v>
      </c>
      <c r="C5221" s="67" t="s">
        <v>3416</v>
      </c>
    </row>
    <row r="5222" spans="1:4" x14ac:dyDescent="0.15">
      <c r="A5222" s="67" t="s">
        <v>2816</v>
      </c>
      <c r="B5222" s="67" t="s">
        <v>3390</v>
      </c>
      <c r="C5222" s="67" t="s">
        <v>3417</v>
      </c>
    </row>
    <row r="5223" spans="1:4" x14ac:dyDescent="0.15">
      <c r="A5223" s="67" t="s">
        <v>2816</v>
      </c>
      <c r="B5223" s="67" t="s">
        <v>3391</v>
      </c>
      <c r="C5223" s="67" t="s">
        <v>3418</v>
      </c>
    </row>
    <row r="5224" spans="1:4" x14ac:dyDescent="0.15">
      <c r="A5224" s="67" t="s">
        <v>2816</v>
      </c>
      <c r="B5224" s="67" t="s">
        <v>3392</v>
      </c>
      <c r="C5224" s="67" t="s">
        <v>3419</v>
      </c>
    </row>
    <row r="5225" spans="1:4" x14ac:dyDescent="0.15">
      <c r="A5225" s="67" t="s">
        <v>2816</v>
      </c>
      <c r="B5225" s="67" t="s">
        <v>3393</v>
      </c>
      <c r="C5225" s="67" t="s">
        <v>3420</v>
      </c>
    </row>
    <row r="5226" spans="1:4" x14ac:dyDescent="0.15">
      <c r="A5226" s="67" t="s">
        <v>2817</v>
      </c>
      <c r="B5226" s="67" t="s">
        <v>3394</v>
      </c>
      <c r="C5226" s="67" t="s">
        <v>3421</v>
      </c>
    </row>
    <row r="5227" spans="1:4" x14ac:dyDescent="0.15">
      <c r="A5227" s="67" t="s">
        <v>2817</v>
      </c>
      <c r="B5227" s="67" t="s">
        <v>3395</v>
      </c>
      <c r="C5227" s="67" t="s">
        <v>3422</v>
      </c>
    </row>
    <row r="5228" spans="1:4" x14ac:dyDescent="0.15">
      <c r="A5228" s="67" t="s">
        <v>2817</v>
      </c>
      <c r="B5228" s="67" t="s">
        <v>3396</v>
      </c>
      <c r="C5228" s="67" t="s">
        <v>3423</v>
      </c>
    </row>
    <row r="5229" spans="1:4" x14ac:dyDescent="0.15">
      <c r="A5229" s="67" t="s">
        <v>2818</v>
      </c>
      <c r="B5229" s="67" t="s">
        <v>3397</v>
      </c>
      <c r="C5229" s="67" t="s">
        <v>3424</v>
      </c>
      <c r="D5229" s="67"/>
    </row>
    <row r="5230" spans="1:4" x14ac:dyDescent="0.15">
      <c r="A5230" s="67" t="s">
        <v>2818</v>
      </c>
      <c r="B5230" s="67" t="s">
        <v>3398</v>
      </c>
      <c r="C5230" s="67" t="s">
        <v>3425</v>
      </c>
      <c r="D5230" s="67"/>
    </row>
    <row r="5231" spans="1:4" x14ac:dyDescent="0.15">
      <c r="A5231" s="67" t="s">
        <v>2818</v>
      </c>
      <c r="B5231" s="67" t="s">
        <v>3399</v>
      </c>
      <c r="C5231" s="67" t="s">
        <v>3426</v>
      </c>
      <c r="D5231" s="67"/>
    </row>
    <row r="5232" spans="1:4" x14ac:dyDescent="0.15">
      <c r="A5232" s="67" t="s">
        <v>2818</v>
      </c>
      <c r="B5232" s="67" t="s">
        <v>3406</v>
      </c>
      <c r="C5232" s="67" t="s">
        <v>3427</v>
      </c>
      <c r="D5232" s="67"/>
    </row>
    <row r="5233" spans="1:4" x14ac:dyDescent="0.15">
      <c r="A5233" s="67" t="s">
        <v>2819</v>
      </c>
      <c r="B5233" s="67" t="s">
        <v>3400</v>
      </c>
      <c r="C5233" s="67" t="s">
        <v>3428</v>
      </c>
      <c r="D5233" s="67"/>
    </row>
    <row r="5234" spans="1:4" x14ac:dyDescent="0.15">
      <c r="A5234" s="67" t="s">
        <v>2819</v>
      </c>
      <c r="B5234" s="67" t="s">
        <v>3401</v>
      </c>
      <c r="C5234" s="67" t="s">
        <v>3429</v>
      </c>
      <c r="D5234" s="67"/>
    </row>
    <row r="5235" spans="1:4" x14ac:dyDescent="0.15">
      <c r="A5235" s="67" t="s">
        <v>2819</v>
      </c>
      <c r="B5235" s="67" t="s">
        <v>3402</v>
      </c>
      <c r="C5235" s="67" t="s">
        <v>3430</v>
      </c>
      <c r="D5235" s="67"/>
    </row>
    <row r="5236" spans="1:4" x14ac:dyDescent="0.15">
      <c r="A5236" s="67" t="s">
        <v>2819</v>
      </c>
      <c r="B5236" s="67" t="s">
        <v>3403</v>
      </c>
      <c r="C5236" s="67" t="s">
        <v>3431</v>
      </c>
      <c r="D5236" s="67"/>
    </row>
    <row r="5237" spans="1:4" x14ac:dyDescent="0.15">
      <c r="A5237" s="67"/>
      <c r="B5237" s="67" t="s">
        <v>3029</v>
      </c>
      <c r="C5237" s="67"/>
      <c r="D5237" s="67"/>
    </row>
    <row r="5238" spans="1:4" x14ac:dyDescent="0.15">
      <c r="A5238" s="67" t="s">
        <v>3029</v>
      </c>
      <c r="B5238" s="67" t="s">
        <v>3407</v>
      </c>
      <c r="C5238" s="67" t="s">
        <v>3432</v>
      </c>
      <c r="D5238" s="67"/>
    </row>
    <row r="5239" spans="1:4" x14ac:dyDescent="0.15">
      <c r="A5239" s="67" t="s">
        <v>3029</v>
      </c>
      <c r="B5239" s="67" t="s">
        <v>3408</v>
      </c>
      <c r="C5239" s="67" t="s">
        <v>3433</v>
      </c>
      <c r="D5239" s="67"/>
    </row>
    <row r="5240" spans="1:4" x14ac:dyDescent="0.15">
      <c r="A5240" s="67" t="s">
        <v>3057</v>
      </c>
      <c r="B5240" s="67" t="s">
        <v>3382</v>
      </c>
      <c r="C5240" s="67" t="s">
        <v>3382</v>
      </c>
      <c r="D5240" s="67"/>
    </row>
    <row r="5241" spans="1:4" x14ac:dyDescent="0.15">
      <c r="A5241" s="8" t="s">
        <v>5452</v>
      </c>
      <c r="B5241" s="6"/>
      <c r="C5241" s="6"/>
      <c r="D5241" s="6"/>
    </row>
    <row r="5242" spans="1:4" x14ac:dyDescent="0.15">
      <c r="A5242" s="63" t="s">
        <v>5447</v>
      </c>
      <c r="B5242" s="71" t="s">
        <v>5208</v>
      </c>
      <c r="C5242" s="6"/>
      <c r="D5242" s="79" t="s">
        <v>1197</v>
      </c>
    </row>
    <row r="5243" spans="1:4" x14ac:dyDescent="0.15">
      <c r="A5243" s="6"/>
      <c r="B5243" s="71" t="s">
        <v>5435</v>
      </c>
      <c r="C5243" s="6"/>
      <c r="D5243" s="9"/>
    </row>
    <row r="5244" spans="1:4" x14ac:dyDescent="0.15">
      <c r="A5244" s="6" t="s">
        <v>5453</v>
      </c>
      <c r="B5244" s="6" t="s">
        <v>5434</v>
      </c>
      <c r="C5244" s="79">
        <v>5</v>
      </c>
      <c r="D5244" s="6" t="str">
        <f>HYPERLINK("https://kotenseki.nijl.ac.jp/biblio/100232443/viewer/5")</f>
        <v>https://kotenseki.nijl.ac.jp/biblio/100232443/viewer/5</v>
      </c>
    </row>
    <row r="5245" spans="1:4" x14ac:dyDescent="0.15">
      <c r="A5245" s="6" t="s">
        <v>5453</v>
      </c>
      <c r="B5245" s="6" t="s">
        <v>3485</v>
      </c>
      <c r="C5245" s="6">
        <v>6</v>
      </c>
      <c r="D5245" s="6" t="str">
        <f>HYPERLINK("https://kotenseki.nijl.ac.jp/biblio/100232443/viewer/6")</f>
        <v>https://kotenseki.nijl.ac.jp/biblio/100232443/viewer/6</v>
      </c>
    </row>
    <row r="5246" spans="1:4" x14ac:dyDescent="0.15">
      <c r="A5246" s="6" t="s">
        <v>5453</v>
      </c>
      <c r="B5246" s="72" t="s">
        <v>3434</v>
      </c>
      <c r="C5246" s="6">
        <v>8</v>
      </c>
      <c r="D5246" s="6" t="str">
        <f>HYPERLINK("https://kotenseki.nijl.ac.jp/biblio/100232443/viewer/8")</f>
        <v>https://kotenseki.nijl.ac.jp/biblio/100232443/viewer/8</v>
      </c>
    </row>
    <row r="5247" spans="1:4" x14ac:dyDescent="0.15">
      <c r="A5247" s="6" t="s">
        <v>5453</v>
      </c>
      <c r="B5247" s="6" t="s">
        <v>3435</v>
      </c>
      <c r="C5247" s="6">
        <v>8</v>
      </c>
      <c r="D5247" s="6" t="str">
        <f>HYPERLINK("https://kotenseki.nijl.ac.jp/biblio/100232443/viewer/8")</f>
        <v>https://kotenseki.nijl.ac.jp/biblio/100232443/viewer/8</v>
      </c>
    </row>
    <row r="5248" spans="1:4" x14ac:dyDescent="0.15">
      <c r="A5248" s="6" t="s">
        <v>5453</v>
      </c>
      <c r="B5248" s="6" t="s">
        <v>3436</v>
      </c>
      <c r="C5248" s="6">
        <v>10</v>
      </c>
      <c r="D5248" s="6" t="str">
        <f>HYPERLINK("https://kotenseki.nijl.ac.jp/biblio/100232443/viewer/10")</f>
        <v>https://kotenseki.nijl.ac.jp/biblio/100232443/viewer/10</v>
      </c>
    </row>
    <row r="5249" spans="1:4" x14ac:dyDescent="0.15">
      <c r="A5249" s="6" t="s">
        <v>5453</v>
      </c>
      <c r="B5249" s="6" t="s">
        <v>3437</v>
      </c>
      <c r="C5249" s="6">
        <v>11</v>
      </c>
      <c r="D5249" s="6" t="str">
        <f>HYPERLINK("https://kotenseki.nijl.ac.jp/biblio/100232443/viewer/11")</f>
        <v>https://kotenseki.nijl.ac.jp/biblio/100232443/viewer/11</v>
      </c>
    </row>
    <row r="5250" spans="1:4" x14ac:dyDescent="0.15">
      <c r="A5250" s="6" t="s">
        <v>5453</v>
      </c>
      <c r="B5250" s="6" t="s">
        <v>3438</v>
      </c>
      <c r="C5250" s="6">
        <v>11</v>
      </c>
      <c r="D5250" s="6" t="str">
        <f>HYPERLINK("https://kotenseki.nijl.ac.jp/biblio/100232443/viewer/11")</f>
        <v>https://kotenseki.nijl.ac.jp/biblio/100232443/viewer/11</v>
      </c>
    </row>
    <row r="5251" spans="1:4" x14ac:dyDescent="0.15">
      <c r="A5251" s="6" t="s">
        <v>5453</v>
      </c>
      <c r="B5251" s="6" t="s">
        <v>3439</v>
      </c>
      <c r="C5251" s="6">
        <v>12</v>
      </c>
      <c r="D5251" s="6" t="str">
        <f>HYPERLINK("https://kotenseki.nijl.ac.jp/biblio/100232443/viewer/12")</f>
        <v>https://kotenseki.nijl.ac.jp/biblio/100232443/viewer/12</v>
      </c>
    </row>
    <row r="5252" spans="1:4" x14ac:dyDescent="0.15">
      <c r="A5252" s="6" t="s">
        <v>5453</v>
      </c>
      <c r="B5252" s="6" t="s">
        <v>3440</v>
      </c>
      <c r="C5252" s="6">
        <v>12</v>
      </c>
      <c r="D5252" s="6" t="str">
        <f>HYPERLINK("https://kotenseki.nijl.ac.jp/biblio/100232443/viewer/12")</f>
        <v>https://kotenseki.nijl.ac.jp/biblio/100232443/viewer/12</v>
      </c>
    </row>
    <row r="5253" spans="1:4" x14ac:dyDescent="0.15">
      <c r="A5253" s="6" t="s">
        <v>5453</v>
      </c>
      <c r="B5253" s="6" t="s">
        <v>3441</v>
      </c>
      <c r="C5253" s="6">
        <v>12</v>
      </c>
      <c r="D5253" s="6" t="str">
        <f>HYPERLINK("https://kotenseki.nijl.ac.jp/biblio/100232443/viewer/12")</f>
        <v>https://kotenseki.nijl.ac.jp/biblio/100232443/viewer/12</v>
      </c>
    </row>
    <row r="5254" spans="1:4" x14ac:dyDescent="0.15">
      <c r="A5254" s="6" t="s">
        <v>5453</v>
      </c>
      <c r="B5254" s="6" t="s">
        <v>3442</v>
      </c>
      <c r="C5254" s="6">
        <v>13</v>
      </c>
      <c r="D5254" s="6" t="str">
        <f>HYPERLINK("https://kotenseki.nijl.ac.jp/biblio/100232443/viewer/13")</f>
        <v>https://kotenseki.nijl.ac.jp/biblio/100232443/viewer/13</v>
      </c>
    </row>
    <row r="5255" spans="1:4" x14ac:dyDescent="0.15">
      <c r="A5255" s="6" t="s">
        <v>5453</v>
      </c>
      <c r="B5255" s="6" t="s">
        <v>3443</v>
      </c>
      <c r="C5255" s="6">
        <v>13</v>
      </c>
      <c r="D5255" s="6" t="str">
        <f>HYPERLINK("https://kotenseki.nijl.ac.jp/biblio/100232443/viewer/13")</f>
        <v>https://kotenseki.nijl.ac.jp/biblio/100232443/viewer/13</v>
      </c>
    </row>
    <row r="5256" spans="1:4" x14ac:dyDescent="0.15">
      <c r="A5256" s="6" t="s">
        <v>5453</v>
      </c>
      <c r="B5256" s="6" t="s">
        <v>3444</v>
      </c>
      <c r="C5256" s="6">
        <v>14</v>
      </c>
      <c r="D5256" s="6" t="str">
        <f>HYPERLINK("https://kotenseki.nijl.ac.jp/biblio/100232443/viewer/14")</f>
        <v>https://kotenseki.nijl.ac.jp/biblio/100232443/viewer/14</v>
      </c>
    </row>
    <row r="5257" spans="1:4" x14ac:dyDescent="0.15">
      <c r="A5257" s="6" t="s">
        <v>5453</v>
      </c>
      <c r="B5257" s="6" t="s">
        <v>3445</v>
      </c>
      <c r="C5257" s="6">
        <v>16</v>
      </c>
      <c r="D5257" s="6" t="str">
        <f>HYPERLINK("https://kotenseki.nijl.ac.jp/biblio/100232443/viewer/16")</f>
        <v>https://kotenseki.nijl.ac.jp/biblio/100232443/viewer/16</v>
      </c>
    </row>
    <row r="5258" spans="1:4" x14ac:dyDescent="0.15">
      <c r="A5258" s="6" t="s">
        <v>5453</v>
      </c>
      <c r="B5258" s="6" t="s">
        <v>3446</v>
      </c>
      <c r="C5258" s="6">
        <v>17</v>
      </c>
      <c r="D5258" s="6" t="str">
        <f>HYPERLINK("https://kotenseki.nijl.ac.jp/biblio/100232443/viewer/17")</f>
        <v>https://kotenseki.nijl.ac.jp/biblio/100232443/viewer/17</v>
      </c>
    </row>
    <row r="5259" spans="1:4" x14ac:dyDescent="0.15">
      <c r="A5259" s="6" t="s">
        <v>5453</v>
      </c>
      <c r="B5259" s="6" t="s">
        <v>3447</v>
      </c>
      <c r="C5259" s="6">
        <v>19</v>
      </c>
      <c r="D5259" s="6" t="str">
        <f>HYPERLINK("https://kotenseki.nijl.ac.jp/biblio/100232443/viewer/19")</f>
        <v>https://kotenseki.nijl.ac.jp/biblio/100232443/viewer/19</v>
      </c>
    </row>
    <row r="5260" spans="1:4" x14ac:dyDescent="0.15">
      <c r="A5260" s="6" t="s">
        <v>5453</v>
      </c>
      <c r="B5260" s="6" t="s">
        <v>3448</v>
      </c>
      <c r="C5260" s="6">
        <v>21</v>
      </c>
      <c r="D5260" s="6" t="str">
        <f>HYPERLINK("https://kotenseki.nijl.ac.jp/biblio/100232443/viewer/21")</f>
        <v>https://kotenseki.nijl.ac.jp/biblio/100232443/viewer/21</v>
      </c>
    </row>
    <row r="5261" spans="1:4" x14ac:dyDescent="0.15">
      <c r="A5261" s="6" t="s">
        <v>5453</v>
      </c>
      <c r="B5261" s="6" t="s">
        <v>3449</v>
      </c>
      <c r="C5261" s="6">
        <v>22</v>
      </c>
      <c r="D5261" s="6" t="str">
        <f>HYPERLINK("https://kotenseki.nijl.ac.jp/biblio/100232443/viewer/22")</f>
        <v>https://kotenseki.nijl.ac.jp/biblio/100232443/viewer/22</v>
      </c>
    </row>
    <row r="5262" spans="1:4" x14ac:dyDescent="0.15">
      <c r="A5262" s="6" t="s">
        <v>5453</v>
      </c>
      <c r="B5262" s="72" t="s">
        <v>3486</v>
      </c>
      <c r="C5262" s="6">
        <v>23</v>
      </c>
      <c r="D5262" s="6" t="str">
        <f>HYPERLINK("https://kotenseki.nijl.ac.jp/biblio/100232443/viewer/23")</f>
        <v>https://kotenseki.nijl.ac.jp/biblio/100232443/viewer/23</v>
      </c>
    </row>
    <row r="5263" spans="1:4" x14ac:dyDescent="0.15">
      <c r="A5263" s="6" t="s">
        <v>5453</v>
      </c>
      <c r="B5263" s="6" t="s">
        <v>3450</v>
      </c>
      <c r="C5263" s="6">
        <v>23</v>
      </c>
      <c r="D5263" s="6" t="str">
        <f>HYPERLINK("https://kotenseki.nijl.ac.jp/biblio/100232443/viewer/23")</f>
        <v>https://kotenseki.nijl.ac.jp/biblio/100232443/viewer/23</v>
      </c>
    </row>
    <row r="5264" spans="1:4" x14ac:dyDescent="0.15">
      <c r="A5264" s="6" t="s">
        <v>5453</v>
      </c>
      <c r="B5264" s="6" t="s">
        <v>3451</v>
      </c>
      <c r="C5264" s="6">
        <v>25</v>
      </c>
      <c r="D5264" s="6" t="str">
        <f>HYPERLINK("https://kotenseki.nijl.ac.jp/biblio/100232443/viewer/25")</f>
        <v>https://kotenseki.nijl.ac.jp/biblio/100232443/viewer/25</v>
      </c>
    </row>
    <row r="5265" spans="1:4" x14ac:dyDescent="0.15">
      <c r="A5265" s="6" t="s">
        <v>5453</v>
      </c>
      <c r="B5265" s="6" t="s">
        <v>3452</v>
      </c>
      <c r="C5265" s="6">
        <v>25</v>
      </c>
      <c r="D5265" s="6" t="str">
        <f>HYPERLINK("https://kotenseki.nijl.ac.jp/biblio/100232443/viewer/25")</f>
        <v>https://kotenseki.nijl.ac.jp/biblio/100232443/viewer/25</v>
      </c>
    </row>
    <row r="5266" spans="1:4" x14ac:dyDescent="0.15">
      <c r="A5266" s="6" t="s">
        <v>5453</v>
      </c>
      <c r="B5266" s="6" t="s">
        <v>3453</v>
      </c>
      <c r="C5266" s="6">
        <v>26</v>
      </c>
      <c r="D5266" s="6" t="str">
        <f>HYPERLINK("https://kotenseki.nijl.ac.jp/biblio/100232443/viewer/26")</f>
        <v>https://kotenseki.nijl.ac.jp/biblio/100232443/viewer/26</v>
      </c>
    </row>
    <row r="5267" spans="1:4" x14ac:dyDescent="0.15">
      <c r="A5267" s="6" t="s">
        <v>5453</v>
      </c>
      <c r="B5267" s="6" t="s">
        <v>3454</v>
      </c>
      <c r="C5267" s="6">
        <v>27</v>
      </c>
      <c r="D5267" s="6" t="str">
        <f>HYPERLINK("https://kotenseki.nijl.ac.jp/biblio/100232443/viewer/27")</f>
        <v>https://kotenseki.nijl.ac.jp/biblio/100232443/viewer/27</v>
      </c>
    </row>
    <row r="5268" spans="1:4" x14ac:dyDescent="0.15">
      <c r="A5268" s="6" t="s">
        <v>5453</v>
      </c>
      <c r="B5268" s="6" t="s">
        <v>3455</v>
      </c>
      <c r="C5268" s="6">
        <v>27</v>
      </c>
      <c r="D5268" s="6" t="str">
        <f>HYPERLINK("https://kotenseki.nijl.ac.jp/biblio/100232443/viewer/27")</f>
        <v>https://kotenseki.nijl.ac.jp/biblio/100232443/viewer/27</v>
      </c>
    </row>
    <row r="5269" spans="1:4" x14ac:dyDescent="0.15">
      <c r="A5269" s="6" t="s">
        <v>5453</v>
      </c>
      <c r="B5269" s="6" t="s">
        <v>3456</v>
      </c>
      <c r="C5269" s="6">
        <v>28</v>
      </c>
      <c r="D5269" s="6" t="str">
        <f>HYPERLINK("https://kotenseki.nijl.ac.jp/biblio/100232443/viewer/28")</f>
        <v>https://kotenseki.nijl.ac.jp/biblio/100232443/viewer/28</v>
      </c>
    </row>
    <row r="5270" spans="1:4" x14ac:dyDescent="0.15">
      <c r="A5270" s="6" t="s">
        <v>5453</v>
      </c>
      <c r="B5270" s="6" t="s">
        <v>3457</v>
      </c>
      <c r="C5270" s="6">
        <v>29</v>
      </c>
      <c r="D5270" s="6" t="str">
        <f>HYPERLINK("https://kotenseki.nijl.ac.jp/biblio/100232443/viewer/29")</f>
        <v>https://kotenseki.nijl.ac.jp/biblio/100232443/viewer/29</v>
      </c>
    </row>
    <row r="5271" spans="1:4" x14ac:dyDescent="0.15">
      <c r="A5271" s="6" t="s">
        <v>5453</v>
      </c>
      <c r="B5271" s="6" t="s">
        <v>3458</v>
      </c>
      <c r="C5271" s="6">
        <v>29</v>
      </c>
      <c r="D5271" s="6" t="str">
        <f>HYPERLINK("https://kotenseki.nijl.ac.jp/biblio/100232443/viewer/29")</f>
        <v>https://kotenseki.nijl.ac.jp/biblio/100232443/viewer/29</v>
      </c>
    </row>
    <row r="5272" spans="1:4" x14ac:dyDescent="0.15">
      <c r="A5272" s="6" t="s">
        <v>5453</v>
      </c>
      <c r="B5272" s="6" t="s">
        <v>3459</v>
      </c>
      <c r="C5272" s="6">
        <v>30</v>
      </c>
      <c r="D5272" s="6" t="str">
        <f>HYPERLINK("https://kotenseki.nijl.ac.jp/biblio/100232443/viewer/30")</f>
        <v>https://kotenseki.nijl.ac.jp/biblio/100232443/viewer/30</v>
      </c>
    </row>
    <row r="5273" spans="1:4" x14ac:dyDescent="0.15">
      <c r="A5273" s="6" t="s">
        <v>5453</v>
      </c>
      <c r="B5273" s="6" t="s">
        <v>3460</v>
      </c>
      <c r="C5273" s="6">
        <v>31</v>
      </c>
      <c r="D5273" s="6" t="str">
        <f>HYPERLINK("https://kotenseki.nijl.ac.jp/biblio/100232443/viewer/31")</f>
        <v>https://kotenseki.nijl.ac.jp/biblio/100232443/viewer/31</v>
      </c>
    </row>
    <row r="5274" spans="1:4" x14ac:dyDescent="0.15">
      <c r="A5274" s="6" t="s">
        <v>5453</v>
      </c>
      <c r="B5274" s="6" t="s">
        <v>3461</v>
      </c>
      <c r="C5274" s="6">
        <v>31</v>
      </c>
      <c r="D5274" s="6" t="str">
        <f>HYPERLINK("https://kotenseki.nijl.ac.jp/biblio/100232443/viewer/31")</f>
        <v>https://kotenseki.nijl.ac.jp/biblio/100232443/viewer/31</v>
      </c>
    </row>
    <row r="5275" spans="1:4" x14ac:dyDescent="0.15">
      <c r="A5275" s="6" t="s">
        <v>5453</v>
      </c>
      <c r="B5275" s="6" t="s">
        <v>3462</v>
      </c>
      <c r="C5275" s="6">
        <v>31</v>
      </c>
      <c r="D5275" s="6" t="str">
        <f>HYPERLINK("https://kotenseki.nijl.ac.jp/biblio/100232443/viewer/31")</f>
        <v>https://kotenseki.nijl.ac.jp/biblio/100232443/viewer/31</v>
      </c>
    </row>
    <row r="5276" spans="1:4" x14ac:dyDescent="0.15">
      <c r="A5276" s="6" t="s">
        <v>5453</v>
      </c>
      <c r="B5276" s="6" t="s">
        <v>3463</v>
      </c>
      <c r="C5276" s="6">
        <v>32</v>
      </c>
      <c r="D5276" s="6" t="str">
        <f>HYPERLINK("https://kotenseki.nijl.ac.jp/biblio/100232443/viewer/32")</f>
        <v>https://kotenseki.nijl.ac.jp/biblio/100232443/viewer/32</v>
      </c>
    </row>
    <row r="5277" spans="1:4" x14ac:dyDescent="0.15">
      <c r="A5277" s="6" t="s">
        <v>5453</v>
      </c>
      <c r="B5277" s="6" t="s">
        <v>3464</v>
      </c>
      <c r="C5277" s="6">
        <v>33</v>
      </c>
      <c r="D5277" s="6" t="str">
        <f>HYPERLINK("https://kotenseki.nijl.ac.jp/biblio/100232443/viewer/33")</f>
        <v>https://kotenseki.nijl.ac.jp/biblio/100232443/viewer/33</v>
      </c>
    </row>
    <row r="5278" spans="1:4" x14ac:dyDescent="0.15">
      <c r="A5278" s="6" t="s">
        <v>5453</v>
      </c>
      <c r="B5278" s="6" t="s">
        <v>3465</v>
      </c>
      <c r="C5278" s="6">
        <v>33</v>
      </c>
      <c r="D5278" s="6" t="str">
        <f>HYPERLINK("https://kotenseki.nijl.ac.jp/biblio/100232443/viewer/33")</f>
        <v>https://kotenseki.nijl.ac.jp/biblio/100232443/viewer/33</v>
      </c>
    </row>
    <row r="5279" spans="1:4" x14ac:dyDescent="0.15">
      <c r="A5279" s="6" t="s">
        <v>5453</v>
      </c>
      <c r="B5279" s="6" t="s">
        <v>3466</v>
      </c>
      <c r="C5279" s="6">
        <v>35</v>
      </c>
      <c r="D5279" s="6" t="str">
        <f>HYPERLINK("https://kotenseki.nijl.ac.jp/biblio/100232443/viewer/35")</f>
        <v>https://kotenseki.nijl.ac.jp/biblio/100232443/viewer/35</v>
      </c>
    </row>
    <row r="5280" spans="1:4" x14ac:dyDescent="0.15">
      <c r="A5280" s="6" t="s">
        <v>5453</v>
      </c>
      <c r="B5280" s="6" t="s">
        <v>3467</v>
      </c>
      <c r="C5280" s="6">
        <v>35</v>
      </c>
      <c r="D5280" s="6" t="str">
        <f>HYPERLINK("https://kotenseki.nijl.ac.jp/biblio/100232443/viewer/35")</f>
        <v>https://kotenseki.nijl.ac.jp/biblio/100232443/viewer/35</v>
      </c>
    </row>
    <row r="5281" spans="1:4" x14ac:dyDescent="0.15">
      <c r="A5281" s="6" t="s">
        <v>5453</v>
      </c>
      <c r="B5281" s="6" t="s">
        <v>3468</v>
      </c>
      <c r="C5281" s="6">
        <v>36</v>
      </c>
      <c r="D5281" s="6" t="str">
        <f>HYPERLINK("https://kotenseki.nijl.ac.jp/biblio/100232443/viewer/36")</f>
        <v>https://kotenseki.nijl.ac.jp/biblio/100232443/viewer/36</v>
      </c>
    </row>
    <row r="5282" spans="1:4" x14ac:dyDescent="0.15">
      <c r="A5282" s="6" t="s">
        <v>5453</v>
      </c>
      <c r="B5282" s="6" t="s">
        <v>3469</v>
      </c>
      <c r="C5282" s="6">
        <v>36</v>
      </c>
      <c r="D5282" s="6" t="str">
        <f>HYPERLINK("https://kotenseki.nijl.ac.jp/biblio/100232443/viewer/36")</f>
        <v>https://kotenseki.nijl.ac.jp/biblio/100232443/viewer/36</v>
      </c>
    </row>
    <row r="5283" spans="1:4" x14ac:dyDescent="0.15">
      <c r="A5283" s="6" t="s">
        <v>5453</v>
      </c>
      <c r="B5283" s="6" t="s">
        <v>3470</v>
      </c>
      <c r="C5283" s="6">
        <v>37</v>
      </c>
      <c r="D5283" s="6" t="str">
        <f>HYPERLINK("https://kotenseki.nijl.ac.jp/biblio/100232443/viewer/37")</f>
        <v>https://kotenseki.nijl.ac.jp/biblio/100232443/viewer/37</v>
      </c>
    </row>
    <row r="5284" spans="1:4" x14ac:dyDescent="0.15">
      <c r="A5284" s="6" t="s">
        <v>5453</v>
      </c>
      <c r="B5284" s="6" t="s">
        <v>3471</v>
      </c>
      <c r="C5284" s="6">
        <v>38</v>
      </c>
      <c r="D5284" s="6" t="str">
        <f>HYPERLINK("https://kotenseki.nijl.ac.jp/biblio/100232443/viewer/38")</f>
        <v>https://kotenseki.nijl.ac.jp/biblio/100232443/viewer/38</v>
      </c>
    </row>
    <row r="5285" spans="1:4" x14ac:dyDescent="0.15">
      <c r="A5285" s="6" t="s">
        <v>5453</v>
      </c>
      <c r="B5285" s="6" t="s">
        <v>3472</v>
      </c>
      <c r="C5285" s="6">
        <v>38</v>
      </c>
      <c r="D5285" s="6" t="str">
        <f>HYPERLINK("https://kotenseki.nijl.ac.jp/biblio/100232443/viewer/38")</f>
        <v>https://kotenseki.nijl.ac.jp/biblio/100232443/viewer/38</v>
      </c>
    </row>
    <row r="5286" spans="1:4" x14ac:dyDescent="0.15">
      <c r="A5286" s="6" t="s">
        <v>5453</v>
      </c>
      <c r="B5286" s="6" t="s">
        <v>3473</v>
      </c>
      <c r="C5286" s="6">
        <v>38</v>
      </c>
      <c r="D5286" s="6" t="str">
        <f>HYPERLINK("https://kotenseki.nijl.ac.jp/biblio/100232443/viewer/38")</f>
        <v>https://kotenseki.nijl.ac.jp/biblio/100232443/viewer/38</v>
      </c>
    </row>
    <row r="5287" spans="1:4" x14ac:dyDescent="0.15">
      <c r="A5287" s="6" t="s">
        <v>5453</v>
      </c>
      <c r="B5287" s="6" t="s">
        <v>3474</v>
      </c>
      <c r="C5287" s="6">
        <v>39</v>
      </c>
      <c r="D5287" s="6" t="str">
        <f>HYPERLINK("https://kotenseki.nijl.ac.jp/biblio/100232443/viewer/39")</f>
        <v>https://kotenseki.nijl.ac.jp/biblio/100232443/viewer/39</v>
      </c>
    </row>
    <row r="5288" spans="1:4" x14ac:dyDescent="0.15">
      <c r="A5288" s="6" t="s">
        <v>5453</v>
      </c>
      <c r="B5288" s="72" t="s">
        <v>3487</v>
      </c>
      <c r="C5288" s="6">
        <v>40</v>
      </c>
      <c r="D5288" s="6" t="str">
        <f>HYPERLINK("https://kotenseki.nijl.ac.jp/biblio/100232443/viewer/40")</f>
        <v>https://kotenseki.nijl.ac.jp/biblio/100232443/viewer/40</v>
      </c>
    </row>
    <row r="5289" spans="1:4" x14ac:dyDescent="0.15">
      <c r="A5289" s="6" t="s">
        <v>5453</v>
      </c>
      <c r="B5289" s="6" t="s">
        <v>3475</v>
      </c>
      <c r="C5289" s="6">
        <v>40</v>
      </c>
      <c r="D5289" s="6" t="str">
        <f>HYPERLINK("https://kotenseki.nijl.ac.jp/biblio/100232443/viewer/40")</f>
        <v>https://kotenseki.nijl.ac.jp/biblio/100232443/viewer/40</v>
      </c>
    </row>
    <row r="5290" spans="1:4" x14ac:dyDescent="0.15">
      <c r="A5290" s="6" t="s">
        <v>5453</v>
      </c>
      <c r="B5290" s="6" t="s">
        <v>3476</v>
      </c>
      <c r="C5290" s="6">
        <v>40</v>
      </c>
      <c r="D5290" s="6" t="str">
        <f>HYPERLINK("https://kotenseki.nijl.ac.jp/biblio/100232443/viewer/40")</f>
        <v>https://kotenseki.nijl.ac.jp/biblio/100232443/viewer/40</v>
      </c>
    </row>
    <row r="5291" spans="1:4" x14ac:dyDescent="0.15">
      <c r="A5291" s="6" t="s">
        <v>5453</v>
      </c>
      <c r="B5291" s="6" t="s">
        <v>3477</v>
      </c>
      <c r="C5291" s="6">
        <v>43</v>
      </c>
      <c r="D5291" s="6" t="str">
        <f>HYPERLINK("https://kotenseki.nijl.ac.jp/biblio/100232443/viewer/43")</f>
        <v>https://kotenseki.nijl.ac.jp/biblio/100232443/viewer/43</v>
      </c>
    </row>
    <row r="5292" spans="1:4" x14ac:dyDescent="0.15">
      <c r="A5292" s="6" t="s">
        <v>5453</v>
      </c>
      <c r="B5292" s="6" t="s">
        <v>3478</v>
      </c>
      <c r="C5292" s="6">
        <v>43</v>
      </c>
      <c r="D5292" s="6" t="str">
        <f>HYPERLINK("https://kotenseki.nijl.ac.jp/biblio/100232443/viewer/43")</f>
        <v>https://kotenseki.nijl.ac.jp/biblio/100232443/viewer/43</v>
      </c>
    </row>
    <row r="5293" spans="1:4" x14ac:dyDescent="0.15">
      <c r="A5293" s="6" t="s">
        <v>5453</v>
      </c>
      <c r="B5293" s="6" t="s">
        <v>3479</v>
      </c>
      <c r="C5293" s="6">
        <v>44</v>
      </c>
      <c r="D5293" s="6" t="str">
        <f>HYPERLINK("https://kotenseki.nijl.ac.jp/biblio/100232443/viewer/44")</f>
        <v>https://kotenseki.nijl.ac.jp/biblio/100232443/viewer/44</v>
      </c>
    </row>
    <row r="5294" spans="1:4" x14ac:dyDescent="0.15">
      <c r="A5294" s="6" t="s">
        <v>5453</v>
      </c>
      <c r="B5294" s="6" t="s">
        <v>3480</v>
      </c>
      <c r="C5294" s="6">
        <v>44</v>
      </c>
      <c r="D5294" s="6" t="str">
        <f>HYPERLINK("https://kotenseki.nijl.ac.jp/biblio/100232443/viewer/44")</f>
        <v>https://kotenseki.nijl.ac.jp/biblio/100232443/viewer/44</v>
      </c>
    </row>
    <row r="5295" spans="1:4" x14ac:dyDescent="0.15">
      <c r="A5295" s="6" t="s">
        <v>5453</v>
      </c>
      <c r="B5295" s="6" t="s">
        <v>3481</v>
      </c>
      <c r="C5295" s="6">
        <v>45</v>
      </c>
      <c r="D5295" s="6" t="str">
        <f>HYPERLINK("https://kotenseki.nijl.ac.jp/biblio/100232443/viewer/45")</f>
        <v>https://kotenseki.nijl.ac.jp/biblio/100232443/viewer/45</v>
      </c>
    </row>
    <row r="5296" spans="1:4" x14ac:dyDescent="0.15">
      <c r="A5296" s="6" t="s">
        <v>5453</v>
      </c>
      <c r="B5296" s="6" t="s">
        <v>3482</v>
      </c>
      <c r="C5296" s="6">
        <v>45</v>
      </c>
      <c r="D5296" s="6" t="str">
        <f>HYPERLINK("https://kotenseki.nijl.ac.jp/biblio/100232443/viewer/45")</f>
        <v>https://kotenseki.nijl.ac.jp/biblio/100232443/viewer/45</v>
      </c>
    </row>
    <row r="5297" spans="1:4" x14ac:dyDescent="0.15">
      <c r="A5297" s="6" t="s">
        <v>5453</v>
      </c>
      <c r="B5297" s="6" t="s">
        <v>3483</v>
      </c>
      <c r="C5297" s="6">
        <v>45</v>
      </c>
      <c r="D5297" s="6" t="str">
        <f>HYPERLINK("https://kotenseki.nijl.ac.jp/biblio/100232443/viewer/45")</f>
        <v>https://kotenseki.nijl.ac.jp/biblio/100232443/viewer/45</v>
      </c>
    </row>
    <row r="5298" spans="1:4" x14ac:dyDescent="0.15">
      <c r="A5298" s="6" t="s">
        <v>5453</v>
      </c>
      <c r="B5298" s="6" t="s">
        <v>3484</v>
      </c>
      <c r="C5298" s="6">
        <v>45</v>
      </c>
      <c r="D5298" s="6" t="str">
        <f>HYPERLINK("https://kotenseki.nijl.ac.jp/biblio/100232443/viewer/45")</f>
        <v>https://kotenseki.nijl.ac.jp/biblio/100232443/viewer/45</v>
      </c>
    </row>
  </sheetData>
  <autoFilter ref="A1:D5298"/>
  <phoneticPr fontId="2"/>
  <hyperlinks>
    <hyperlink ref="D7" r:id="rId1"/>
    <hyperlink ref="D47" r:id="rId2"/>
    <hyperlink ref="D1047" r:id="rId3"/>
    <hyperlink ref="D1030" r:id="rId4"/>
    <hyperlink ref="D5242" r:id="rId5"/>
    <hyperlink ref="D5053" r:id="rId6"/>
    <hyperlink ref="D4899" r:id="rId7"/>
    <hyperlink ref="D5149" r:id="rId8"/>
    <hyperlink ref="D3926" r:id="rId9"/>
    <hyperlink ref="D3222" r:id="rId10"/>
    <hyperlink ref="G3227" r:id="rId11"/>
    <hyperlink ref="D1403" r:id="rId12"/>
    <hyperlink ref="D4968" r:id="rId13"/>
    <hyperlink ref="D3124" r:id="rId14"/>
    <hyperlink ref="D715" r:id="rId15"/>
    <hyperlink ref="D804" r:id="rId16"/>
    <hyperlink ref="D4087" r:id="rId17"/>
    <hyperlink ref="E653" r:id="rId18" tooltip="妬" display="https://jigen.net/kanji/22956"/>
    <hyperlink ref="F1603" r:id="rId19"/>
    <hyperlink ref="D48" r:id="rId20"/>
    <hyperlink ref="D89" r:id="rId21"/>
    <hyperlink ref="D127" r:id="rId22"/>
    <hyperlink ref="D380" r:id="rId23"/>
    <hyperlink ref="D1073" r:id="rId24"/>
    <hyperlink ref="D49:D88" r:id="rId25" display="http://archive.wul.waseda.ac.jp/kosho/ya09/ya09_00099/ya09_00099_0001/ya09_00099_0001.html"/>
    <hyperlink ref="D90:D125" r:id="rId26" display="http://archive.wul.waseda.ac.jp/kosho/ya09/ya09_00099/ya09_00099_0002/ya09_00099_0002.html"/>
    <hyperlink ref="D1594" r:id="rId27"/>
    <hyperlink ref="F5149" r:id="rId28"/>
    <hyperlink ref="F5166" r:id="rId29"/>
    <hyperlink ref="F5167:F5180" r:id="rId30" display="https://www.digital.archives.go.jp/das/image-j/M1000000000000092121"/>
    <hyperlink ref="F4710" r:id="rId31"/>
    <hyperlink ref="D4710" r:id="rId32"/>
    <hyperlink ref="F4087" r:id="rId33"/>
    <hyperlink ref="D3339" r:id="rId34"/>
    <hyperlink ref="D3340" r:id="rId35"/>
    <hyperlink ref="D2584" r:id="rId36"/>
    <hyperlink ref="D3602" r:id="rId37"/>
    <hyperlink ref="F3602" r:id="rId38"/>
    <hyperlink ref="H3602" r:id="rId39"/>
    <hyperlink ref="J3602" r:id="rId40"/>
    <hyperlink ref="D4011" r:id="rId41"/>
    <hyperlink ref="C1480" r:id="rId42"/>
    <hyperlink ref="E1479" r:id="rId43"/>
    <hyperlink ref="F3227" r:id="rId44"/>
    <hyperlink ref="F3200" r:id="rId45"/>
    <hyperlink ref="F3203" r:id="rId46"/>
    <hyperlink ref="F3205" r:id="rId47"/>
    <hyperlink ref="F3206" r:id="rId48"/>
    <hyperlink ref="F3207" r:id="rId49"/>
    <hyperlink ref="F3208" r:id="rId50"/>
    <hyperlink ref="F3209" r:id="rId51"/>
    <hyperlink ref="F3210" r:id="rId52"/>
    <hyperlink ref="E3201" r:id="rId53"/>
    <hyperlink ref="E3202" r:id="rId54"/>
    <hyperlink ref="E3203" r:id="rId55"/>
    <hyperlink ref="E3205" r:id="rId56"/>
    <hyperlink ref="E3206" r:id="rId57"/>
    <hyperlink ref="E3207" r:id="rId58"/>
    <hyperlink ref="E3208" r:id="rId59"/>
    <hyperlink ref="E3209" r:id="rId60"/>
    <hyperlink ref="E3210" r:id="rId61"/>
    <hyperlink ref="E3211" r:id="rId62"/>
    <hyperlink ref="E3212" r:id="rId63"/>
    <hyperlink ref="D3211" r:id="rId64"/>
    <hyperlink ref="D3201" r:id="rId65"/>
    <hyperlink ref="D3212" r:id="rId66"/>
    <hyperlink ref="D3200" r:id="rId67"/>
    <hyperlink ref="D3213" r:id="rId68"/>
    <hyperlink ref="D5146" r:id="rId69"/>
    <hyperlink ref="H4833" r:id="rId70"/>
  </hyperlinks>
  <pageMargins left="0.7" right="0.7" top="0.75" bottom="0.75" header="0.3" footer="0.3"/>
  <pageSetup paperSize="9" orientation="portrait" horizontalDpi="4294967293" verticalDpi="0"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64"/>
  <sheetViews>
    <sheetView tabSelected="1" zoomScale="175" zoomScaleNormal="175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A2" sqref="A2"/>
    </sheetView>
  </sheetViews>
  <sheetFormatPr defaultRowHeight="13.5" x14ac:dyDescent="0.15"/>
  <cols>
    <col min="1" max="1" width="6" customWidth="1"/>
    <col min="2" max="2" width="9.5" bestFit="1" customWidth="1"/>
    <col min="3" max="3" width="20.875" customWidth="1"/>
    <col min="4" max="4" width="18.75" customWidth="1"/>
    <col min="5" max="5" width="39.375" customWidth="1"/>
    <col min="6" max="6" width="31.625" customWidth="1"/>
    <col min="7" max="7" width="15.625" customWidth="1"/>
    <col min="9" max="9" width="18.125" customWidth="1"/>
    <col min="10" max="10" width="21.125" customWidth="1"/>
  </cols>
  <sheetData>
    <row r="1" spans="1:11" ht="33.75" x14ac:dyDescent="0.15">
      <c r="A1" s="1" t="s">
        <v>71</v>
      </c>
      <c r="B1" s="38" t="s">
        <v>1208</v>
      </c>
      <c r="C1" s="2" t="s">
        <v>72</v>
      </c>
      <c r="D1" s="2" t="s">
        <v>73</v>
      </c>
      <c r="E1" s="3" t="s">
        <v>1089</v>
      </c>
      <c r="F1" s="6" t="s">
        <v>1193</v>
      </c>
      <c r="G1" s="3" t="s">
        <v>75</v>
      </c>
      <c r="H1" s="4" t="s">
        <v>75</v>
      </c>
      <c r="I1" s="3" t="s">
        <v>74</v>
      </c>
      <c r="J1" s="3" t="s">
        <v>76</v>
      </c>
    </row>
    <row r="2" spans="1:11" x14ac:dyDescent="0.15">
      <c r="A2" s="1"/>
      <c r="B2" s="4" t="s">
        <v>1209</v>
      </c>
      <c r="C2" s="4"/>
      <c r="D2" s="4"/>
      <c r="E2" s="4"/>
      <c r="F2" s="4"/>
      <c r="G2" s="4"/>
      <c r="H2" s="4"/>
      <c r="I2" s="4"/>
      <c r="J2" s="4"/>
    </row>
    <row r="3" spans="1:11" x14ac:dyDescent="0.15">
      <c r="A3" s="58">
        <v>1</v>
      </c>
      <c r="B3" s="7" t="s">
        <v>77</v>
      </c>
      <c r="C3" s="8" t="s">
        <v>78</v>
      </c>
      <c r="D3" s="8" t="s">
        <v>79</v>
      </c>
      <c r="E3" s="9" t="s">
        <v>80</v>
      </c>
      <c r="F3" s="6"/>
      <c r="G3" s="6"/>
      <c r="H3" s="6"/>
      <c r="I3" s="6" t="str">
        <f>HYPERLINK("01-01.pdf")</f>
        <v>01-01.pdf</v>
      </c>
      <c r="J3" s="6"/>
    </row>
    <row r="4" spans="1:11" x14ac:dyDescent="0.15">
      <c r="A4" s="5">
        <v>1</v>
      </c>
      <c r="B4" s="7"/>
      <c r="C4" s="8"/>
      <c r="D4" s="8"/>
      <c r="E4" s="60" t="s">
        <v>1079</v>
      </c>
      <c r="F4" s="6" t="s">
        <v>1369</v>
      </c>
      <c r="G4" s="6"/>
      <c r="H4" s="6"/>
      <c r="I4" s="6"/>
      <c r="J4" s="6"/>
    </row>
    <row r="5" spans="1:11" x14ac:dyDescent="0.15">
      <c r="A5" s="5">
        <v>1</v>
      </c>
      <c r="B5" s="7"/>
      <c r="C5" s="8"/>
      <c r="D5" s="8"/>
      <c r="E5" s="9" t="s">
        <v>1090</v>
      </c>
      <c r="F5" s="6" t="s">
        <v>1365</v>
      </c>
      <c r="G5" s="6"/>
      <c r="H5" s="6"/>
      <c r="I5" s="6"/>
      <c r="J5" s="6"/>
    </row>
    <row r="6" spans="1:11" x14ac:dyDescent="0.15">
      <c r="A6" s="5">
        <v>1</v>
      </c>
      <c r="B6" s="7"/>
      <c r="C6" s="8"/>
      <c r="D6" s="8"/>
      <c r="E6" s="9" t="s">
        <v>1091</v>
      </c>
      <c r="F6" s="6" t="s">
        <v>1366</v>
      </c>
      <c r="G6" s="6"/>
      <c r="H6" s="6"/>
      <c r="I6" s="6"/>
      <c r="J6" s="6"/>
      <c r="K6" t="s">
        <v>1367</v>
      </c>
    </row>
    <row r="7" spans="1:11" x14ac:dyDescent="0.15">
      <c r="A7" s="5"/>
      <c r="B7" s="7"/>
      <c r="C7" s="8"/>
      <c r="D7" s="8"/>
      <c r="E7" s="9" t="s">
        <v>1092</v>
      </c>
      <c r="F7" s="6" t="s">
        <v>1368</v>
      </c>
      <c r="G7" s="6"/>
      <c r="H7" s="6"/>
      <c r="I7" s="6"/>
      <c r="J7" s="6"/>
    </row>
    <row r="8" spans="1:11" x14ac:dyDescent="0.15">
      <c r="A8" s="5">
        <v>1</v>
      </c>
      <c r="B8" s="7"/>
      <c r="C8" s="8"/>
      <c r="D8" s="8"/>
      <c r="E8" s="18" t="s">
        <v>1363</v>
      </c>
      <c r="F8" s="6" t="s">
        <v>1364</v>
      </c>
      <c r="G8" s="6"/>
      <c r="H8" s="6"/>
      <c r="I8" s="6"/>
      <c r="J8" s="6"/>
    </row>
    <row r="9" spans="1:11" x14ac:dyDescent="0.15">
      <c r="A9" s="5">
        <v>1</v>
      </c>
      <c r="B9" s="7"/>
      <c r="C9" s="10" t="s">
        <v>81</v>
      </c>
      <c r="D9" s="10"/>
      <c r="E9" s="6"/>
      <c r="F9" s="6"/>
      <c r="G9" s="6"/>
      <c r="H9" s="6"/>
      <c r="I9" s="6" t="str">
        <f>HYPERLINK("01-01　目次.pdf")</f>
        <v>01-01　目次.pdf</v>
      </c>
      <c r="J9" s="6"/>
    </row>
    <row r="10" spans="1:11" x14ac:dyDescent="0.15">
      <c r="A10" s="5">
        <v>1</v>
      </c>
      <c r="B10" s="7"/>
      <c r="C10" s="10" t="s">
        <v>82</v>
      </c>
      <c r="D10" s="10"/>
      <c r="E10" s="6"/>
      <c r="F10" s="6"/>
      <c r="G10" s="9" t="s">
        <v>84</v>
      </c>
      <c r="H10" s="6" t="s">
        <v>83</v>
      </c>
      <c r="I10" s="6" t="str">
        <f>HYPERLINK("01-01　解説.pdf")</f>
        <v>01-01　解説.pdf</v>
      </c>
      <c r="J10" s="6"/>
    </row>
    <row r="11" spans="1:11" x14ac:dyDescent="0.15">
      <c r="A11" s="58">
        <v>2</v>
      </c>
      <c r="B11" s="7" t="s">
        <v>85</v>
      </c>
      <c r="C11" s="11" t="s">
        <v>86</v>
      </c>
      <c r="D11" s="11" t="s">
        <v>87</v>
      </c>
      <c r="E11" s="9" t="s">
        <v>88</v>
      </c>
      <c r="F11" s="6"/>
      <c r="G11" s="6"/>
      <c r="H11" s="6"/>
      <c r="I11" s="6" t="str">
        <f>HYPERLINK("01-02 03.pdf")</f>
        <v>01-02 03.pdf</v>
      </c>
      <c r="J11" s="6" t="str">
        <f>HYPERLINK("465-傷寒明理論.txt")</f>
        <v>465-傷寒明理論.txt</v>
      </c>
    </row>
    <row r="12" spans="1:11" x14ac:dyDescent="0.15">
      <c r="A12" s="58">
        <v>3</v>
      </c>
      <c r="B12" s="13" t="s">
        <v>89</v>
      </c>
      <c r="C12" s="11" t="s">
        <v>90</v>
      </c>
      <c r="D12" s="11" t="s">
        <v>87</v>
      </c>
      <c r="E12" s="9" t="s">
        <v>88</v>
      </c>
      <c r="F12" s="6"/>
      <c r="G12" s="6"/>
      <c r="H12" s="6"/>
      <c r="I12" s="6" t="str">
        <f>HYPERLINK("01-02 03.pdf")</f>
        <v>01-02 03.pdf</v>
      </c>
      <c r="J12" s="6"/>
    </row>
    <row r="13" spans="1:11" x14ac:dyDescent="0.15">
      <c r="A13" s="5">
        <v>3</v>
      </c>
      <c r="B13" s="7"/>
      <c r="C13" s="12" t="s">
        <v>81</v>
      </c>
      <c r="D13" s="12"/>
      <c r="E13" s="6"/>
      <c r="F13" s="6"/>
      <c r="G13" s="6"/>
      <c r="H13" s="6"/>
      <c r="I13" s="6" t="str">
        <f>HYPERLINK("01-02 03　目次.pdf")</f>
        <v>01-02 03　目次.pdf</v>
      </c>
      <c r="J13" s="6"/>
    </row>
    <row r="14" spans="1:11" x14ac:dyDescent="0.15">
      <c r="A14" s="5">
        <v>3</v>
      </c>
      <c r="B14" s="7"/>
      <c r="C14" s="12" t="s">
        <v>82</v>
      </c>
      <c r="D14" s="12"/>
      <c r="E14" s="6"/>
      <c r="F14" s="6"/>
      <c r="G14" s="9" t="s">
        <v>91</v>
      </c>
      <c r="H14" s="6" t="s">
        <v>83</v>
      </c>
      <c r="I14" s="6" t="str">
        <f>HYPERLINK("01-02 03　解説.pdf")</f>
        <v>01-02 03　解説.pdf</v>
      </c>
      <c r="J14" s="6"/>
    </row>
    <row r="15" spans="1:11" x14ac:dyDescent="0.15">
      <c r="A15" s="58">
        <v>4</v>
      </c>
      <c r="B15" s="13" t="s">
        <v>92</v>
      </c>
      <c r="C15" s="8" t="s">
        <v>93</v>
      </c>
      <c r="D15" s="8" t="s">
        <v>94</v>
      </c>
      <c r="E15" s="9" t="s">
        <v>2062</v>
      </c>
      <c r="F15" s="6" t="s">
        <v>2063</v>
      </c>
      <c r="G15" s="6"/>
      <c r="H15" s="6"/>
      <c r="I15" s="6" t="str">
        <f>HYPERLINK("01-04.pdf")</f>
        <v>01-04.pdf</v>
      </c>
      <c r="J15" s="6" t="str">
        <f>HYPERLINK("133-小児薬証直訣.txt")</f>
        <v>133-小児薬証直訣.txt</v>
      </c>
    </row>
    <row r="16" spans="1:11" x14ac:dyDescent="0.15">
      <c r="A16" s="5"/>
      <c r="B16" s="13"/>
      <c r="C16" s="8"/>
      <c r="D16" s="8"/>
      <c r="E16" s="9" t="s">
        <v>2064</v>
      </c>
      <c r="F16" s="6" t="s">
        <v>2063</v>
      </c>
      <c r="G16" s="6"/>
      <c r="H16" s="6"/>
      <c r="I16" s="6"/>
      <c r="J16" s="6"/>
    </row>
    <row r="17" spans="1:11" x14ac:dyDescent="0.15">
      <c r="A17" s="5"/>
      <c r="B17" s="13"/>
      <c r="C17" s="8"/>
      <c r="D17" s="8"/>
      <c r="E17" s="9" t="s">
        <v>2065</v>
      </c>
      <c r="F17" s="6" t="s">
        <v>2063</v>
      </c>
      <c r="G17" s="6"/>
      <c r="H17" s="6"/>
      <c r="I17" s="6"/>
      <c r="J17" s="6"/>
      <c r="K17" t="s">
        <v>2066</v>
      </c>
    </row>
    <row r="18" spans="1:11" x14ac:dyDescent="0.15">
      <c r="A18" s="5"/>
      <c r="B18" s="13"/>
      <c r="C18" s="8"/>
      <c r="D18" s="8"/>
      <c r="E18" s="61" t="s">
        <v>4189</v>
      </c>
      <c r="F18" s="65" t="s">
        <v>4190</v>
      </c>
      <c r="G18" s="6"/>
      <c r="H18" s="6"/>
      <c r="I18" s="6"/>
      <c r="J18" s="6"/>
    </row>
    <row r="19" spans="1:11" x14ac:dyDescent="0.15">
      <c r="A19" s="5">
        <v>4</v>
      </c>
      <c r="B19" s="7"/>
      <c r="C19" s="10" t="s">
        <v>81</v>
      </c>
      <c r="D19" s="10"/>
      <c r="E19" s="6"/>
      <c r="F19" s="6"/>
      <c r="G19" s="6"/>
      <c r="H19" s="6"/>
      <c r="I19" s="6" t="str">
        <f>HYPERLINK("01-04　目次.pdf")</f>
        <v>01-04　目次.pdf</v>
      </c>
      <c r="J19" s="6"/>
    </row>
    <row r="20" spans="1:11" x14ac:dyDescent="0.15">
      <c r="A20" s="5">
        <v>4</v>
      </c>
      <c r="B20" s="7"/>
      <c r="C20" s="10" t="s">
        <v>82</v>
      </c>
      <c r="D20" s="10"/>
      <c r="E20" s="6"/>
      <c r="F20" s="6"/>
      <c r="G20" s="6"/>
      <c r="H20" s="6" t="s">
        <v>95</v>
      </c>
      <c r="I20" s="6" t="str">
        <f>HYPERLINK("01-04　解説.pdf")</f>
        <v>01-04　解説.pdf</v>
      </c>
      <c r="J20" s="6"/>
    </row>
    <row r="21" spans="1:11" x14ac:dyDescent="0.15">
      <c r="A21" s="58">
        <v>5</v>
      </c>
      <c r="B21" s="7" t="s">
        <v>96</v>
      </c>
      <c r="C21" s="11" t="s">
        <v>97</v>
      </c>
      <c r="D21" s="11" t="s">
        <v>98</v>
      </c>
      <c r="E21" s="9" t="s">
        <v>99</v>
      </c>
      <c r="F21" s="6"/>
      <c r="G21" s="6"/>
      <c r="H21" s="6"/>
      <c r="I21" s="6" t="str">
        <f>HYPERLINK("01-05.pdf")</f>
        <v>01-05.pdf</v>
      </c>
      <c r="J21" s="6" t="str">
        <f>HYPERLINK("558-三因極一病証方論.txt")</f>
        <v>558-三因極一病証方論.txt</v>
      </c>
    </row>
    <row r="22" spans="1:11" x14ac:dyDescent="0.15">
      <c r="A22" s="5">
        <v>5</v>
      </c>
      <c r="B22" s="7"/>
      <c r="C22" s="11"/>
      <c r="D22" s="11"/>
      <c r="E22" s="60" t="s">
        <v>1093</v>
      </c>
      <c r="F22" s="9"/>
      <c r="G22" s="6"/>
      <c r="H22" s="6"/>
      <c r="I22" s="6"/>
      <c r="J22" s="6"/>
    </row>
    <row r="23" spans="1:11" x14ac:dyDescent="0.15">
      <c r="A23" s="5">
        <v>5</v>
      </c>
      <c r="B23" s="7"/>
      <c r="C23" s="12" t="s">
        <v>81</v>
      </c>
      <c r="D23" s="12"/>
      <c r="E23" s="6"/>
      <c r="F23" s="6"/>
      <c r="G23" s="6"/>
      <c r="H23" s="6"/>
      <c r="I23" s="6" t="str">
        <f>HYPERLINK("01-05　目次.pdf")</f>
        <v>01-05　目次.pdf</v>
      </c>
      <c r="J23" s="6"/>
    </row>
    <row r="24" spans="1:11" x14ac:dyDescent="0.15">
      <c r="A24" s="5">
        <v>5</v>
      </c>
      <c r="B24" s="7"/>
      <c r="C24" s="12" t="s">
        <v>82</v>
      </c>
      <c r="D24" s="12"/>
      <c r="E24" s="6"/>
      <c r="F24" s="6"/>
      <c r="G24" s="6"/>
      <c r="H24" s="6" t="s">
        <v>95</v>
      </c>
      <c r="I24" s="6" t="str">
        <f>HYPERLINK("01-05　解説.pdf")</f>
        <v>01-05　解説.pdf</v>
      </c>
      <c r="J24" s="6"/>
    </row>
    <row r="25" spans="1:11" x14ac:dyDescent="0.15">
      <c r="A25" s="1"/>
      <c r="B25" s="4" t="s">
        <v>1207</v>
      </c>
      <c r="C25" s="39"/>
      <c r="D25" s="39"/>
      <c r="E25" s="4"/>
      <c r="F25" s="4"/>
      <c r="G25" s="4"/>
      <c r="H25" s="4"/>
      <c r="I25" s="4"/>
      <c r="J25" s="4"/>
    </row>
    <row r="26" spans="1:11" x14ac:dyDescent="0.15">
      <c r="A26" s="58">
        <v>6</v>
      </c>
      <c r="B26" s="7" t="s">
        <v>100</v>
      </c>
      <c r="C26" s="8" t="s">
        <v>101</v>
      </c>
      <c r="D26" s="8" t="s">
        <v>102</v>
      </c>
      <c r="E26" s="9" t="s">
        <v>1094</v>
      </c>
      <c r="F26" s="6"/>
      <c r="G26" s="6"/>
      <c r="H26" s="6"/>
      <c r="I26" s="6" t="str">
        <f>HYPERLINK("02-01.pdf")</f>
        <v>02-01.pdf</v>
      </c>
      <c r="J26" s="6" t="str">
        <f>HYPERLINK("076-普済本事方.txt")</f>
        <v>076-普済本事方.txt</v>
      </c>
    </row>
    <row r="27" spans="1:11" x14ac:dyDescent="0.15">
      <c r="A27" s="5">
        <v>6</v>
      </c>
      <c r="B27" s="7"/>
      <c r="C27" s="8"/>
      <c r="D27" s="8"/>
      <c r="E27" s="9" t="s">
        <v>1095</v>
      </c>
      <c r="F27" s="6"/>
      <c r="G27" s="6"/>
      <c r="H27" s="6"/>
      <c r="I27" s="6"/>
      <c r="J27" s="6"/>
    </row>
    <row r="28" spans="1:11" x14ac:dyDescent="0.15">
      <c r="A28" s="58">
        <v>7</v>
      </c>
      <c r="B28" s="13" t="s">
        <v>103</v>
      </c>
      <c r="C28" s="8" t="s">
        <v>104</v>
      </c>
      <c r="D28" s="8" t="s">
        <v>102</v>
      </c>
      <c r="E28" s="9" t="s">
        <v>2060</v>
      </c>
      <c r="F28" s="6" t="s">
        <v>2061</v>
      </c>
      <c r="G28" s="6"/>
      <c r="H28" s="6"/>
      <c r="I28" s="6" t="str">
        <f>HYPERLINK("02-02.pdf")</f>
        <v>02-02.pdf</v>
      </c>
      <c r="J28" s="6"/>
    </row>
    <row r="29" spans="1:11" x14ac:dyDescent="0.15">
      <c r="A29" s="5">
        <v>7</v>
      </c>
      <c r="B29" s="7"/>
      <c r="C29" s="10" t="s">
        <v>81</v>
      </c>
      <c r="D29" s="10"/>
      <c r="E29" s="6"/>
      <c r="F29" s="6"/>
      <c r="G29" s="6"/>
      <c r="H29" s="6"/>
      <c r="I29" s="6" t="str">
        <f>HYPERLINK("02-01 02　目次.pdf")</f>
        <v>02-01 02　目次.pdf</v>
      </c>
      <c r="J29" s="6"/>
    </row>
    <row r="30" spans="1:11" x14ac:dyDescent="0.15">
      <c r="A30" s="5">
        <v>7</v>
      </c>
      <c r="B30" s="7"/>
      <c r="C30" s="10" t="s">
        <v>82</v>
      </c>
      <c r="D30" s="10"/>
      <c r="E30" s="6"/>
      <c r="F30" s="6"/>
      <c r="G30" s="6"/>
      <c r="H30" s="6" t="s">
        <v>95</v>
      </c>
      <c r="I30" s="6" t="str">
        <f>HYPERLINK("02-01 02　解説.pdf")</f>
        <v>02-01 02　解説.pdf</v>
      </c>
      <c r="J30" s="6"/>
    </row>
    <row r="31" spans="1:11" x14ac:dyDescent="0.15">
      <c r="A31" s="58">
        <v>8</v>
      </c>
      <c r="B31" s="7" t="s">
        <v>105</v>
      </c>
      <c r="C31" s="11" t="s">
        <v>106</v>
      </c>
      <c r="D31" s="11" t="s">
        <v>107</v>
      </c>
      <c r="E31" s="9" t="s">
        <v>108</v>
      </c>
      <c r="F31" s="6"/>
      <c r="G31" s="6"/>
      <c r="H31" s="6"/>
      <c r="I31" s="6" t="str">
        <f>HYPERLINK("02-03.pdf")</f>
        <v>02-03.pdf</v>
      </c>
      <c r="J31" s="6" t="str">
        <f>HYPERLINK("572-儒門事親.txt")</f>
        <v>572-儒門事親.txt</v>
      </c>
    </row>
    <row r="32" spans="1:11" x14ac:dyDescent="0.15">
      <c r="A32" s="5">
        <v>8</v>
      </c>
      <c r="B32" s="7"/>
      <c r="C32" s="11"/>
      <c r="D32" s="11"/>
      <c r="E32" s="9" t="s">
        <v>1096</v>
      </c>
      <c r="F32" s="6"/>
      <c r="G32" s="6"/>
      <c r="H32" s="6"/>
      <c r="I32" s="6"/>
      <c r="J32" s="6"/>
    </row>
    <row r="33" spans="1:10" x14ac:dyDescent="0.15">
      <c r="A33" s="5">
        <v>8</v>
      </c>
      <c r="B33" s="7"/>
      <c r="C33" s="12" t="s">
        <v>81</v>
      </c>
      <c r="D33" s="12"/>
      <c r="E33" s="6"/>
      <c r="F33" s="6"/>
      <c r="G33" s="6"/>
      <c r="H33" s="6"/>
      <c r="I33" s="6" t="str">
        <f>HYPERLINK("02-03 目次.pdf")</f>
        <v>02-03 目次.pdf</v>
      </c>
      <c r="J33" s="6"/>
    </row>
    <row r="34" spans="1:10" x14ac:dyDescent="0.15">
      <c r="A34" s="5">
        <v>8</v>
      </c>
      <c r="B34" s="7"/>
      <c r="C34" s="12" t="s">
        <v>82</v>
      </c>
      <c r="D34" s="12"/>
      <c r="E34" s="6"/>
      <c r="F34" s="6"/>
      <c r="G34" s="9" t="s">
        <v>109</v>
      </c>
      <c r="H34" s="6" t="s">
        <v>83</v>
      </c>
      <c r="I34" s="6" t="str">
        <f>HYPERLINK("02-03 解説.pdf")</f>
        <v>02-03 解説.pdf</v>
      </c>
      <c r="J34" s="6"/>
    </row>
    <row r="35" spans="1:10" x14ac:dyDescent="0.15">
      <c r="A35" s="58">
        <v>9</v>
      </c>
      <c r="B35" s="7" t="s">
        <v>110</v>
      </c>
      <c r="C35" s="8" t="s">
        <v>111</v>
      </c>
      <c r="D35" s="8" t="s">
        <v>112</v>
      </c>
      <c r="E35" s="9" t="s">
        <v>113</v>
      </c>
      <c r="F35" s="6"/>
      <c r="G35" s="6"/>
      <c r="H35" s="6"/>
      <c r="I35" s="6" t="str">
        <f>HYPERLINK("02-04.pdf")</f>
        <v>02-04.pdf</v>
      </c>
      <c r="J35" s="6" t="str">
        <f>HYPERLINK("426-素問玄機原病式.txt")</f>
        <v>426-素問玄機原病式.txt</v>
      </c>
    </row>
    <row r="36" spans="1:10" x14ac:dyDescent="0.15">
      <c r="A36" s="5">
        <v>9</v>
      </c>
      <c r="B36" s="7"/>
      <c r="C36" s="8"/>
      <c r="D36" s="8"/>
      <c r="E36" s="9" t="s">
        <v>1097</v>
      </c>
      <c r="F36" s="6"/>
      <c r="G36" s="6"/>
      <c r="H36" s="6"/>
      <c r="I36" s="6"/>
      <c r="J36" s="6"/>
    </row>
    <row r="37" spans="1:10" x14ac:dyDescent="0.15">
      <c r="A37" s="58">
        <v>10</v>
      </c>
      <c r="B37" s="7" t="s">
        <v>114</v>
      </c>
      <c r="C37" s="8" t="s">
        <v>115</v>
      </c>
      <c r="D37" s="8" t="s">
        <v>112</v>
      </c>
      <c r="E37" s="9" t="s">
        <v>1098</v>
      </c>
      <c r="F37" s="6"/>
      <c r="G37" s="6"/>
      <c r="H37" s="6"/>
      <c r="I37" s="6" t="str">
        <f>HYPERLINK("02-05.pdf")</f>
        <v>02-05.pdf</v>
      </c>
      <c r="J37" s="6" t="str">
        <f>HYPERLINK("453-黄帝素問宣明論方.txt")</f>
        <v>453-黄帝素問宣明論方.txt</v>
      </c>
    </row>
    <row r="38" spans="1:10" x14ac:dyDescent="0.15">
      <c r="A38" s="5">
        <v>10</v>
      </c>
      <c r="B38" s="7"/>
      <c r="C38" s="10" t="s">
        <v>81</v>
      </c>
      <c r="D38" s="10"/>
      <c r="E38" s="6"/>
      <c r="F38" s="6"/>
      <c r="G38" s="6"/>
      <c r="H38" s="6"/>
      <c r="I38" s="6" t="str">
        <f>HYPERLINK("02-04 05　目次.pdf")</f>
        <v>02-04 05　目次.pdf</v>
      </c>
      <c r="J38" s="6"/>
    </row>
    <row r="39" spans="1:10" x14ac:dyDescent="0.15">
      <c r="A39" s="5">
        <v>10</v>
      </c>
      <c r="B39" s="7"/>
      <c r="C39" s="10" t="s">
        <v>82</v>
      </c>
      <c r="D39" s="10"/>
      <c r="E39" s="6"/>
      <c r="F39" s="6"/>
      <c r="G39" s="9" t="s">
        <v>116</v>
      </c>
      <c r="H39" s="6" t="s">
        <v>83</v>
      </c>
      <c r="I39" s="6" t="str">
        <f>HYPERLINK("02-04 05　解説.pdf")</f>
        <v>02-04 05　解説.pdf</v>
      </c>
      <c r="J39" s="6"/>
    </row>
    <row r="40" spans="1:10" x14ac:dyDescent="0.15">
      <c r="A40" s="1"/>
      <c r="B40" s="4" t="s">
        <v>117</v>
      </c>
      <c r="C40" s="39"/>
      <c r="D40" s="39"/>
      <c r="E40" s="4"/>
      <c r="F40" s="4"/>
      <c r="G40" s="4"/>
      <c r="H40" s="4"/>
      <c r="I40" s="4"/>
      <c r="J40" s="4"/>
    </row>
    <row r="41" spans="1:10" x14ac:dyDescent="0.15">
      <c r="A41" s="58">
        <v>11</v>
      </c>
      <c r="B41" s="13" t="s">
        <v>118</v>
      </c>
      <c r="C41" s="11" t="s">
        <v>119</v>
      </c>
      <c r="D41" s="11" t="s">
        <v>120</v>
      </c>
      <c r="E41" s="18" t="s">
        <v>1201</v>
      </c>
      <c r="F41" s="6" t="s">
        <v>1202</v>
      </c>
      <c r="G41" s="6"/>
      <c r="H41" s="6"/>
      <c r="I41" s="6" t="str">
        <f>HYPERLINK("03-01.pdf")</f>
        <v>03-01.pdf</v>
      </c>
      <c r="J41" s="6" t="str">
        <f>HYPERLINK("128-婦人大全良方.txt")</f>
        <v>128-婦人大全良方.txt</v>
      </c>
    </row>
    <row r="42" spans="1:10" x14ac:dyDescent="0.15">
      <c r="A42" s="5">
        <v>11</v>
      </c>
      <c r="B42" s="13"/>
      <c r="C42" s="11"/>
      <c r="D42" s="11"/>
      <c r="E42" s="18" t="s">
        <v>1203</v>
      </c>
      <c r="F42" s="6" t="s">
        <v>1204</v>
      </c>
      <c r="G42" s="6"/>
      <c r="H42" s="6"/>
      <c r="I42" s="6"/>
      <c r="J42" s="6"/>
    </row>
    <row r="43" spans="1:10" x14ac:dyDescent="0.15">
      <c r="A43" s="5">
        <v>11</v>
      </c>
      <c r="B43" s="7"/>
      <c r="C43" s="12" t="s">
        <v>81</v>
      </c>
      <c r="D43" s="12"/>
      <c r="E43" s="6"/>
      <c r="F43" s="6"/>
      <c r="G43" s="6"/>
      <c r="H43" s="6"/>
      <c r="I43" s="6" t="str">
        <f>HYPERLINK("03-01　目次.pdf")</f>
        <v>03-01　目次.pdf</v>
      </c>
      <c r="J43" s="6"/>
    </row>
    <row r="44" spans="1:10" x14ac:dyDescent="0.15">
      <c r="A44" s="5">
        <v>11</v>
      </c>
      <c r="B44" s="7"/>
      <c r="C44" s="12" t="s">
        <v>82</v>
      </c>
      <c r="D44" s="12"/>
      <c r="E44" s="6"/>
      <c r="F44" s="6"/>
      <c r="G44" s="6"/>
      <c r="H44" s="6" t="s">
        <v>95</v>
      </c>
      <c r="I44" s="6" t="str">
        <f>HYPERLINK("03-01　解説.pdf")</f>
        <v>03-01　解説.pdf</v>
      </c>
      <c r="J44" s="6"/>
    </row>
    <row r="45" spans="1:10" x14ac:dyDescent="0.15">
      <c r="A45" s="58">
        <v>12</v>
      </c>
      <c r="B45" s="7" t="s">
        <v>121</v>
      </c>
      <c r="C45" s="8" t="s">
        <v>122</v>
      </c>
      <c r="D45" s="11" t="s">
        <v>120</v>
      </c>
      <c r="E45" s="9" t="s">
        <v>123</v>
      </c>
      <c r="F45" s="6"/>
      <c r="G45" s="6"/>
      <c r="H45" s="6"/>
      <c r="I45" s="6" t="str">
        <f>HYPERLINK("03-02.pdf")</f>
        <v>03-02.pdf</v>
      </c>
      <c r="J45" s="6" t="str">
        <f>HYPERLINK("243-外科精要.txt")</f>
        <v>243-外科精要.txt</v>
      </c>
    </row>
    <row r="46" spans="1:10" x14ac:dyDescent="0.15">
      <c r="A46" s="5">
        <v>12</v>
      </c>
      <c r="B46" s="7"/>
      <c r="C46" s="8"/>
      <c r="D46" s="11"/>
      <c r="E46" s="9" t="s">
        <v>1099</v>
      </c>
      <c r="F46" s="6"/>
      <c r="G46" s="6"/>
      <c r="H46" s="6"/>
      <c r="I46" s="6"/>
      <c r="J46" s="6"/>
    </row>
    <row r="47" spans="1:10" x14ac:dyDescent="0.15">
      <c r="A47" s="5">
        <v>12</v>
      </c>
      <c r="B47" s="7"/>
      <c r="C47" s="8"/>
      <c r="D47" s="11"/>
      <c r="E47" s="60" t="s">
        <v>1100</v>
      </c>
      <c r="F47" s="6"/>
      <c r="G47" s="6"/>
      <c r="H47" s="6"/>
      <c r="I47" s="6"/>
      <c r="J47" s="6"/>
    </row>
    <row r="48" spans="1:10" x14ac:dyDescent="0.15">
      <c r="A48" s="5">
        <v>12</v>
      </c>
      <c r="B48" s="7"/>
      <c r="C48" s="10" t="s">
        <v>81</v>
      </c>
      <c r="D48" s="10"/>
      <c r="E48" s="6"/>
      <c r="F48" s="6"/>
      <c r="G48" s="6"/>
      <c r="H48" s="6"/>
      <c r="I48" s="6" t="str">
        <f>HYPERLINK("03-02　目次.pdf")</f>
        <v>03-02　目次.pdf</v>
      </c>
      <c r="J48" s="6"/>
    </row>
    <row r="49" spans="1:10" x14ac:dyDescent="0.15">
      <c r="A49" s="5">
        <v>12</v>
      </c>
      <c r="B49" s="7"/>
      <c r="C49" s="10" t="s">
        <v>82</v>
      </c>
      <c r="D49" s="10"/>
      <c r="E49" s="6"/>
      <c r="F49" s="6"/>
      <c r="G49" s="6"/>
      <c r="H49" s="6" t="s">
        <v>95</v>
      </c>
      <c r="I49" s="6" t="str">
        <f>HYPERLINK("03-02　解説.pdf")</f>
        <v>03-02　解説.pdf</v>
      </c>
      <c r="J49" s="6"/>
    </row>
    <row r="50" spans="1:10" x14ac:dyDescent="0.15">
      <c r="A50" s="58">
        <v>13</v>
      </c>
      <c r="B50" s="7" t="s">
        <v>124</v>
      </c>
      <c r="C50" s="11" t="s">
        <v>125</v>
      </c>
      <c r="D50" s="11" t="s">
        <v>126</v>
      </c>
      <c r="E50" s="9" t="s">
        <v>127</v>
      </c>
      <c r="F50" s="6"/>
      <c r="G50" s="6"/>
      <c r="H50" s="6"/>
      <c r="I50" s="6" t="str">
        <f>HYPERLINK("03-03.pdf")</f>
        <v>03-03.pdf</v>
      </c>
      <c r="J50" s="6" t="str">
        <f>HYPERLINK("520-察病指南.txt")</f>
        <v>520-察病指南.txt</v>
      </c>
    </row>
    <row r="51" spans="1:10" x14ac:dyDescent="0.15">
      <c r="A51" s="5">
        <v>13</v>
      </c>
      <c r="B51" s="7"/>
      <c r="C51" s="11"/>
      <c r="D51" s="11"/>
      <c r="E51" s="9" t="s">
        <v>1080</v>
      </c>
      <c r="F51" s="6"/>
      <c r="G51" s="6"/>
      <c r="H51" s="6"/>
      <c r="I51" s="6"/>
      <c r="J51" s="6"/>
    </row>
    <row r="52" spans="1:10" x14ac:dyDescent="0.15">
      <c r="A52" s="5">
        <v>13</v>
      </c>
      <c r="B52" s="7"/>
      <c r="C52" s="11"/>
      <c r="D52" s="11"/>
      <c r="E52" s="9" t="s">
        <v>1101</v>
      </c>
      <c r="F52" s="6"/>
      <c r="G52" s="6"/>
      <c r="H52" s="6"/>
      <c r="I52" s="6"/>
      <c r="J52" s="6"/>
    </row>
    <row r="53" spans="1:10" x14ac:dyDescent="0.15">
      <c r="A53" s="5">
        <v>13</v>
      </c>
      <c r="B53" s="7"/>
      <c r="C53" s="11"/>
      <c r="D53" s="11"/>
      <c r="E53" s="9" t="s">
        <v>1102</v>
      </c>
      <c r="F53" s="6" t="s">
        <v>6144</v>
      </c>
      <c r="G53" s="6"/>
      <c r="H53" s="6"/>
      <c r="I53" s="6"/>
      <c r="J53" s="6"/>
    </row>
    <row r="54" spans="1:10" x14ac:dyDescent="0.15">
      <c r="A54" s="5">
        <v>13</v>
      </c>
      <c r="B54" s="7"/>
      <c r="C54" s="11"/>
      <c r="D54" s="11"/>
      <c r="E54" s="9" t="s">
        <v>1103</v>
      </c>
      <c r="F54" s="6" t="s">
        <v>6144</v>
      </c>
      <c r="G54" s="6"/>
      <c r="H54" s="6"/>
      <c r="I54" s="6"/>
      <c r="J54" s="6"/>
    </row>
    <row r="55" spans="1:10" ht="15" x14ac:dyDescent="0.15">
      <c r="A55" s="5">
        <v>13</v>
      </c>
      <c r="B55" s="7"/>
      <c r="C55" s="11"/>
      <c r="D55" s="11"/>
      <c r="E55" s="9" t="s">
        <v>1104</v>
      </c>
      <c r="F55" s="107" t="s">
        <v>6145</v>
      </c>
      <c r="G55" s="6"/>
      <c r="H55" s="6"/>
      <c r="I55" s="6"/>
      <c r="J55" s="6"/>
    </row>
    <row r="56" spans="1:10" ht="15" x14ac:dyDescent="0.15">
      <c r="A56" s="5">
        <v>13</v>
      </c>
      <c r="B56" s="7"/>
      <c r="C56" s="11"/>
      <c r="D56" s="11"/>
      <c r="E56" s="60" t="s">
        <v>1105</v>
      </c>
      <c r="F56" s="107" t="s">
        <v>6146</v>
      </c>
      <c r="G56" s="6"/>
      <c r="H56" s="6"/>
      <c r="I56" s="6"/>
      <c r="J56" s="6"/>
    </row>
    <row r="57" spans="1:10" ht="15" x14ac:dyDescent="0.15">
      <c r="A57" s="5">
        <v>13</v>
      </c>
      <c r="B57" s="7"/>
      <c r="C57" s="11"/>
      <c r="D57" s="11"/>
      <c r="E57" s="9" t="s">
        <v>1106</v>
      </c>
      <c r="F57" s="107" t="s">
        <v>6145</v>
      </c>
      <c r="G57" s="6"/>
      <c r="H57" s="6"/>
      <c r="I57" s="6"/>
      <c r="J57" s="6"/>
    </row>
    <row r="58" spans="1:10" x14ac:dyDescent="0.15">
      <c r="A58" s="5">
        <v>13</v>
      </c>
      <c r="B58" s="7"/>
      <c r="C58" s="11"/>
      <c r="D58" s="11"/>
      <c r="E58" s="9" t="s">
        <v>1107</v>
      </c>
      <c r="F58" s="36" t="s">
        <v>1108</v>
      </c>
      <c r="G58" s="6"/>
      <c r="H58" s="6"/>
      <c r="I58" s="6"/>
      <c r="J58" s="6"/>
    </row>
    <row r="59" spans="1:10" x14ac:dyDescent="0.15">
      <c r="A59" s="5">
        <v>13</v>
      </c>
      <c r="B59" s="7"/>
      <c r="C59" s="11"/>
      <c r="D59" s="11"/>
      <c r="E59" s="9" t="s">
        <v>1109</v>
      </c>
      <c r="F59" s="36" t="s">
        <v>1110</v>
      </c>
      <c r="G59" s="6"/>
      <c r="H59" s="6"/>
      <c r="I59" s="6"/>
      <c r="J59" s="6"/>
    </row>
    <row r="60" spans="1:10" x14ac:dyDescent="0.15">
      <c r="A60" s="5">
        <v>13</v>
      </c>
      <c r="B60" s="7"/>
      <c r="C60" s="12" t="s">
        <v>81</v>
      </c>
      <c r="D60" s="12"/>
      <c r="E60" s="6"/>
      <c r="F60" s="6"/>
      <c r="G60" s="6"/>
      <c r="H60" s="6"/>
      <c r="I60" s="6" t="str">
        <f>HYPERLINK("03-03　目次.pdf")</f>
        <v>03-03　目次.pdf</v>
      </c>
      <c r="J60" s="6"/>
    </row>
    <row r="61" spans="1:10" x14ac:dyDescent="0.15">
      <c r="A61" s="5">
        <v>13</v>
      </c>
      <c r="B61" s="7"/>
      <c r="C61" s="12" t="s">
        <v>82</v>
      </c>
      <c r="D61" s="12"/>
      <c r="E61" s="6"/>
      <c r="F61" s="6"/>
      <c r="G61" s="6"/>
      <c r="H61" s="6" t="s">
        <v>95</v>
      </c>
      <c r="I61" s="6" t="str">
        <f>HYPERLINK("03-03　解説.pdf")</f>
        <v>03-03　解説.pdf</v>
      </c>
      <c r="J61" s="6"/>
    </row>
    <row r="62" spans="1:10" x14ac:dyDescent="0.15">
      <c r="A62" s="1"/>
      <c r="B62" s="4" t="s">
        <v>128</v>
      </c>
      <c r="C62" s="39"/>
      <c r="D62" s="39"/>
      <c r="E62" s="4"/>
      <c r="F62" s="4"/>
      <c r="G62" s="4"/>
      <c r="H62" s="4"/>
      <c r="I62" s="4"/>
      <c r="J62" s="4"/>
    </row>
    <row r="63" spans="1:10" x14ac:dyDescent="0.15">
      <c r="A63" s="58">
        <v>14</v>
      </c>
      <c r="B63" s="7" t="s">
        <v>129</v>
      </c>
      <c r="C63" s="8" t="s">
        <v>130</v>
      </c>
      <c r="D63" s="8" t="s">
        <v>131</v>
      </c>
      <c r="E63" s="9" t="s">
        <v>1081</v>
      </c>
      <c r="F63" s="6"/>
      <c r="G63" s="6"/>
      <c r="H63" s="6"/>
      <c r="I63" s="6" t="str">
        <f>HYPERLINK("04-01.pdf")</f>
        <v>04-01.pdf</v>
      </c>
      <c r="J63" s="6" t="str">
        <f>HYPERLINK("059-太平恵民和剤局方.txt")</f>
        <v>059-太平恵民和剤局方.txt</v>
      </c>
    </row>
    <row r="64" spans="1:10" x14ac:dyDescent="0.15">
      <c r="A64" s="5">
        <v>14</v>
      </c>
      <c r="B64" s="7"/>
      <c r="C64" s="8"/>
      <c r="D64" s="8"/>
      <c r="E64" s="9" t="s">
        <v>1111</v>
      </c>
      <c r="F64" s="36" t="s">
        <v>1112</v>
      </c>
      <c r="G64" s="6"/>
      <c r="H64" s="6"/>
      <c r="I64" s="6"/>
      <c r="J64" s="6"/>
    </row>
    <row r="65" spans="1:10" x14ac:dyDescent="0.15">
      <c r="A65" s="5">
        <v>14</v>
      </c>
      <c r="B65" s="7"/>
      <c r="C65" s="10" t="s">
        <v>81</v>
      </c>
      <c r="D65" s="10"/>
      <c r="E65" s="6"/>
      <c r="F65" s="6"/>
      <c r="G65" s="6"/>
      <c r="H65" s="6"/>
      <c r="I65" s="6" t="str">
        <f>HYPERLINK("04-01　目次.pdf")</f>
        <v>04-01　目次.pdf</v>
      </c>
      <c r="J65" s="6"/>
    </row>
    <row r="66" spans="1:10" x14ac:dyDescent="0.15">
      <c r="A66" s="5">
        <v>14</v>
      </c>
      <c r="B66" s="7"/>
      <c r="C66" s="10" t="s">
        <v>82</v>
      </c>
      <c r="D66" s="10"/>
      <c r="E66" s="6"/>
      <c r="F66" s="6"/>
      <c r="G66" s="6"/>
      <c r="H66" s="6" t="s">
        <v>95</v>
      </c>
      <c r="I66" s="6" t="str">
        <f>HYPERLINK("04-01　解説.pdf")</f>
        <v>04-01　解説.pdf</v>
      </c>
      <c r="J66" s="6"/>
    </row>
    <row r="67" spans="1:10" x14ac:dyDescent="0.15">
      <c r="A67" s="58">
        <v>15</v>
      </c>
      <c r="B67" s="7" t="s">
        <v>132</v>
      </c>
      <c r="C67" s="11" t="s">
        <v>133</v>
      </c>
      <c r="D67" s="11" t="s">
        <v>134</v>
      </c>
      <c r="E67" s="9" t="s">
        <v>135</v>
      </c>
      <c r="F67" s="6"/>
      <c r="G67" s="6"/>
      <c r="H67" s="6"/>
      <c r="I67" s="6" t="str">
        <f>HYPERLINK("04-02.pdf")</f>
        <v>04-02.pdf</v>
      </c>
      <c r="J67" s="6" t="str">
        <f>HYPERLINK("077-厳氏済生方.txt")</f>
        <v>077-厳氏済生方.txt</v>
      </c>
    </row>
    <row r="68" spans="1:10" x14ac:dyDescent="0.15">
      <c r="A68" s="5">
        <v>15</v>
      </c>
      <c r="B68" s="7"/>
      <c r="C68" s="11"/>
      <c r="D68" s="11"/>
      <c r="E68" s="60" t="s">
        <v>1113</v>
      </c>
      <c r="F68" s="6"/>
      <c r="G68" s="6"/>
      <c r="H68" s="6"/>
      <c r="I68" s="6"/>
      <c r="J68" s="6"/>
    </row>
    <row r="69" spans="1:10" x14ac:dyDescent="0.15">
      <c r="A69" s="5">
        <v>15</v>
      </c>
      <c r="B69" s="7"/>
      <c r="C69" s="11"/>
      <c r="D69" s="11"/>
      <c r="E69" s="9" t="s">
        <v>1114</v>
      </c>
      <c r="F69" s="6"/>
      <c r="G69" s="6"/>
      <c r="H69" s="6"/>
      <c r="I69" s="6"/>
      <c r="J69" s="6"/>
    </row>
    <row r="70" spans="1:10" x14ac:dyDescent="0.15">
      <c r="A70" s="58">
        <v>16</v>
      </c>
      <c r="B70" s="7" t="s">
        <v>136</v>
      </c>
      <c r="C70" s="11" t="s">
        <v>137</v>
      </c>
      <c r="D70" s="11" t="s">
        <v>134</v>
      </c>
      <c r="E70" s="9" t="s">
        <v>138</v>
      </c>
      <c r="F70" s="6"/>
      <c r="G70" s="6"/>
      <c r="H70" s="6"/>
      <c r="I70" s="6" t="str">
        <f>HYPERLINK("04-03.pdf")</f>
        <v>04-03.pdf</v>
      </c>
      <c r="J70" s="6"/>
    </row>
    <row r="71" spans="1:10" x14ac:dyDescent="0.15">
      <c r="A71" s="5">
        <v>16</v>
      </c>
      <c r="B71" s="7"/>
      <c r="C71" s="12" t="s">
        <v>81</v>
      </c>
      <c r="D71" s="12"/>
      <c r="E71" s="6"/>
      <c r="F71" s="6"/>
      <c r="G71" s="6"/>
      <c r="H71" s="6"/>
      <c r="I71" s="6" t="str">
        <f>HYPERLINK("04-02 03　目次.pdf")</f>
        <v>04-02 03　目次.pdf</v>
      </c>
      <c r="J71" s="6"/>
    </row>
    <row r="72" spans="1:10" x14ac:dyDescent="0.15">
      <c r="A72" s="5">
        <v>16</v>
      </c>
      <c r="B72" s="7"/>
      <c r="C72" s="12" t="s">
        <v>82</v>
      </c>
      <c r="D72" s="12"/>
      <c r="E72" s="6"/>
      <c r="F72" s="6"/>
      <c r="G72" s="9" t="s">
        <v>139</v>
      </c>
      <c r="H72" s="6" t="s">
        <v>83</v>
      </c>
      <c r="I72" s="6" t="str">
        <f>HYPERLINK("04-02 03　解説.pdf")</f>
        <v>04-02 03　解説.pdf</v>
      </c>
      <c r="J72" s="6"/>
    </row>
    <row r="73" spans="1:10" x14ac:dyDescent="0.15">
      <c r="A73" s="1"/>
      <c r="B73" s="4" t="s">
        <v>140</v>
      </c>
      <c r="C73" s="39"/>
      <c r="D73" s="39"/>
      <c r="E73" s="4"/>
      <c r="F73" s="4"/>
      <c r="G73" s="4"/>
      <c r="H73" s="4"/>
      <c r="I73" s="4"/>
      <c r="J73" s="4"/>
    </row>
    <row r="74" spans="1:10" x14ac:dyDescent="0.15">
      <c r="A74" s="58">
        <v>17</v>
      </c>
      <c r="B74" s="7" t="s">
        <v>141</v>
      </c>
      <c r="C74" s="8" t="s">
        <v>142</v>
      </c>
      <c r="D74" s="8" t="s">
        <v>143</v>
      </c>
      <c r="E74" s="9" t="s">
        <v>1115</v>
      </c>
      <c r="F74" s="6"/>
      <c r="G74" s="6"/>
      <c r="H74" s="6"/>
      <c r="I74" s="6" t="str">
        <f>HYPERLINK("05-01.pdf")</f>
        <v>05-01.pdf</v>
      </c>
      <c r="J74" s="6" t="str">
        <f>HYPERLINK("560-玉機微義.txt")</f>
        <v>560-玉機微義.txt</v>
      </c>
    </row>
    <row r="75" spans="1:10" x14ac:dyDescent="0.15">
      <c r="A75" s="5">
        <v>17</v>
      </c>
      <c r="B75" s="7"/>
      <c r="C75" s="10" t="s">
        <v>81</v>
      </c>
      <c r="D75" s="10"/>
      <c r="E75" s="6"/>
      <c r="F75" s="6"/>
      <c r="G75" s="6"/>
      <c r="H75" s="6"/>
      <c r="I75" s="6" t="str">
        <f>HYPERLINK("05-01　目次.pdf")</f>
        <v>05-01　目次.pdf</v>
      </c>
      <c r="J75" s="6"/>
    </row>
    <row r="76" spans="1:10" x14ac:dyDescent="0.15">
      <c r="A76" s="5">
        <v>17</v>
      </c>
      <c r="B76" s="7"/>
      <c r="C76" s="10" t="s">
        <v>82</v>
      </c>
      <c r="D76" s="10"/>
      <c r="E76" s="6"/>
      <c r="F76" s="6"/>
      <c r="G76" s="6"/>
      <c r="H76" s="6" t="s">
        <v>95</v>
      </c>
      <c r="I76" s="6" t="str">
        <f>HYPERLINK("05-01　解説.pdf")</f>
        <v>05-01　解説.pdf</v>
      </c>
      <c r="J76" s="6"/>
    </row>
    <row r="77" spans="1:10" x14ac:dyDescent="0.15">
      <c r="A77" s="1"/>
      <c r="B77" s="4" t="s">
        <v>144</v>
      </c>
      <c r="C77" s="39"/>
      <c r="D77" s="39"/>
      <c r="E77" s="4"/>
      <c r="F77" s="4"/>
      <c r="G77" s="4"/>
      <c r="H77" s="4"/>
      <c r="I77" s="4"/>
      <c r="J77" s="4"/>
    </row>
    <row r="78" spans="1:10" x14ac:dyDescent="0.15">
      <c r="A78" s="58">
        <v>18</v>
      </c>
      <c r="B78" s="7" t="s">
        <v>145</v>
      </c>
      <c r="C78" s="11" t="s">
        <v>146</v>
      </c>
      <c r="D78" s="11"/>
      <c r="E78" s="9" t="s">
        <v>1116</v>
      </c>
      <c r="F78" s="6"/>
      <c r="G78" s="9" t="s">
        <v>147</v>
      </c>
      <c r="H78" s="6" t="s">
        <v>83</v>
      </c>
      <c r="I78" s="6" t="str">
        <f>HYPERLINK("06-00-12.pdf")</f>
        <v>06-00-12.pdf</v>
      </c>
      <c r="J78" s="6"/>
    </row>
    <row r="79" spans="1:10" x14ac:dyDescent="0.15">
      <c r="A79" s="5">
        <v>18</v>
      </c>
      <c r="B79" s="7"/>
      <c r="C79" s="11"/>
      <c r="D79" s="11"/>
      <c r="E79" s="9" t="s">
        <v>148</v>
      </c>
      <c r="F79" s="9" t="s">
        <v>1116</v>
      </c>
      <c r="G79" s="6"/>
      <c r="H79" s="6"/>
      <c r="I79" s="6"/>
      <c r="J79" s="6"/>
    </row>
    <row r="80" spans="1:10" x14ac:dyDescent="0.15">
      <c r="A80" s="5">
        <v>19</v>
      </c>
      <c r="B80" s="7" t="s">
        <v>149</v>
      </c>
      <c r="C80" s="11" t="s">
        <v>150</v>
      </c>
      <c r="D80" s="11" t="s">
        <v>151</v>
      </c>
      <c r="E80" s="6"/>
      <c r="F80" s="9" t="s">
        <v>1116</v>
      </c>
      <c r="G80" s="6"/>
      <c r="H80" s="6"/>
      <c r="I80" s="6" t="str">
        <f>HYPERLINK("06-01.pdf")</f>
        <v>06-01.pdf</v>
      </c>
      <c r="J80" s="6" t="str">
        <f>HYPERLINK("503-脈訣.txt")</f>
        <v>503-脈訣.txt</v>
      </c>
    </row>
    <row r="81" spans="1:10" x14ac:dyDescent="0.15">
      <c r="A81" s="5">
        <v>20</v>
      </c>
      <c r="B81" s="7" t="s">
        <v>152</v>
      </c>
      <c r="C81" s="11" t="s">
        <v>6273</v>
      </c>
      <c r="D81" s="11" t="s">
        <v>153</v>
      </c>
      <c r="E81" s="6"/>
      <c r="F81" s="9" t="s">
        <v>1116</v>
      </c>
      <c r="G81" s="9" t="s">
        <v>154</v>
      </c>
      <c r="H81" s="6" t="s">
        <v>83</v>
      </c>
      <c r="I81" s="6" t="str">
        <f>HYPERLINK("06-02.pdf")</f>
        <v>06-02.pdf</v>
      </c>
      <c r="J81" s="6" t="str">
        <f>HYPERLINK("232-内外傷弁.txt")</f>
        <v>232-内外傷弁.txt</v>
      </c>
    </row>
    <row r="82" spans="1:10" x14ac:dyDescent="0.15">
      <c r="A82" s="5">
        <v>20</v>
      </c>
      <c r="B82" s="7"/>
      <c r="C82" s="11"/>
      <c r="D82" s="11"/>
      <c r="E82" s="9" t="s">
        <v>155</v>
      </c>
      <c r="F82" s="6"/>
      <c r="G82" s="6"/>
      <c r="H82" s="6"/>
      <c r="I82" s="6"/>
      <c r="J82" s="6"/>
    </row>
    <row r="83" spans="1:10" x14ac:dyDescent="0.15">
      <c r="A83" s="5">
        <v>21</v>
      </c>
      <c r="B83" s="7" t="s">
        <v>156</v>
      </c>
      <c r="C83" s="11" t="s">
        <v>157</v>
      </c>
      <c r="D83" s="11" t="s">
        <v>153</v>
      </c>
      <c r="E83" s="6"/>
      <c r="F83" s="9" t="s">
        <v>1116</v>
      </c>
      <c r="G83" s="9" t="s">
        <v>154</v>
      </c>
      <c r="H83" s="6" t="s">
        <v>83</v>
      </c>
      <c r="I83" s="6" t="str">
        <f>HYPERLINK("06-03.pdf")</f>
        <v>06-03.pdf</v>
      </c>
      <c r="J83" s="6" t="str">
        <f>HYPERLINK("614-脾胃論.txt")</f>
        <v>614-脾胃論.txt</v>
      </c>
    </row>
    <row r="84" spans="1:10" x14ac:dyDescent="0.15">
      <c r="A84" s="5">
        <v>22</v>
      </c>
      <c r="B84" s="7" t="s">
        <v>158</v>
      </c>
      <c r="C84" s="11" t="s">
        <v>159</v>
      </c>
      <c r="D84" s="11" t="s">
        <v>153</v>
      </c>
      <c r="E84" s="6"/>
      <c r="F84" s="9" t="s">
        <v>1116</v>
      </c>
      <c r="G84" s="9" t="s">
        <v>154</v>
      </c>
      <c r="H84" s="6" t="s">
        <v>83</v>
      </c>
      <c r="I84" s="6" t="str">
        <f>HYPERLINK("06-04.pdf")</f>
        <v>06-04.pdf</v>
      </c>
      <c r="J84" s="6" t="str">
        <f>HYPERLINK("581-蘭室秘蔵.txt")</f>
        <v>581-蘭室秘蔵.txt</v>
      </c>
    </row>
    <row r="85" spans="1:10" x14ac:dyDescent="0.15">
      <c r="A85" s="5">
        <v>23</v>
      </c>
      <c r="B85" s="7" t="s">
        <v>160</v>
      </c>
      <c r="C85" s="11" t="s">
        <v>161</v>
      </c>
      <c r="D85" s="11" t="s">
        <v>162</v>
      </c>
      <c r="E85" s="6"/>
      <c r="F85" s="9" t="s">
        <v>1116</v>
      </c>
      <c r="G85" s="9" t="s">
        <v>163</v>
      </c>
      <c r="H85" s="6" t="s">
        <v>83</v>
      </c>
      <c r="I85" s="6" t="str">
        <f>HYPERLINK("06-05.pdf")</f>
        <v>06-05.pdf</v>
      </c>
      <c r="J85" s="6" t="str">
        <f>HYPERLINK("008-湯液本草.txt")</f>
        <v>008-湯液本草.txt</v>
      </c>
    </row>
    <row r="86" spans="1:10" x14ac:dyDescent="0.15">
      <c r="A86" s="5">
        <v>24</v>
      </c>
      <c r="B86" s="7" t="s">
        <v>164</v>
      </c>
      <c r="C86" s="11" t="s">
        <v>165</v>
      </c>
      <c r="D86" s="11" t="s">
        <v>162</v>
      </c>
      <c r="E86" s="6"/>
      <c r="F86" s="9" t="s">
        <v>1116</v>
      </c>
      <c r="G86" s="9" t="s">
        <v>163</v>
      </c>
      <c r="H86" s="6" t="s">
        <v>83</v>
      </c>
      <c r="I86" s="6" t="str">
        <f>HYPERLINK("06-06.pdf")</f>
        <v>06-06.pdf</v>
      </c>
      <c r="J86" s="6" t="str">
        <f>HYPERLINK("563-此事難知.txt")</f>
        <v>563-此事難知.txt</v>
      </c>
    </row>
    <row r="87" spans="1:10" x14ac:dyDescent="0.15">
      <c r="A87" s="5">
        <v>25</v>
      </c>
      <c r="B87" s="7" t="s">
        <v>166</v>
      </c>
      <c r="C87" s="11" t="s">
        <v>167</v>
      </c>
      <c r="D87" s="11" t="s">
        <v>168</v>
      </c>
      <c r="E87" s="6"/>
      <c r="F87" s="9" t="s">
        <v>1116</v>
      </c>
      <c r="G87" s="9" t="s">
        <v>169</v>
      </c>
      <c r="H87" s="6" t="s">
        <v>83</v>
      </c>
      <c r="I87" s="6" t="str">
        <f>HYPERLINK("06-07.pdf")</f>
        <v>06-07.pdf</v>
      </c>
      <c r="J87" s="6" t="str">
        <f>HYPERLINK("618-格致余論.txt")</f>
        <v>618-格致余論.txt</v>
      </c>
    </row>
    <row r="88" spans="1:10" x14ac:dyDescent="0.15">
      <c r="A88" s="5">
        <v>26</v>
      </c>
      <c r="B88" s="7" t="s">
        <v>170</v>
      </c>
      <c r="C88" s="11" t="s">
        <v>171</v>
      </c>
      <c r="D88" s="11" t="s">
        <v>168</v>
      </c>
      <c r="E88" s="6"/>
      <c r="F88" s="9" t="s">
        <v>1116</v>
      </c>
      <c r="G88" s="9" t="s">
        <v>169</v>
      </c>
      <c r="H88" s="6" t="s">
        <v>83</v>
      </c>
      <c r="I88" s="6" t="str">
        <f>HYPERLINK("06-08.pdf")</f>
        <v>06-08.pdf</v>
      </c>
      <c r="J88" s="6"/>
    </row>
    <row r="89" spans="1:10" x14ac:dyDescent="0.15">
      <c r="A89" s="5">
        <v>27</v>
      </c>
      <c r="B89" s="7" t="s">
        <v>172</v>
      </c>
      <c r="C89" s="11" t="s">
        <v>173</v>
      </c>
      <c r="D89" s="11" t="s">
        <v>174</v>
      </c>
      <c r="E89" s="9" t="s">
        <v>175</v>
      </c>
      <c r="F89" s="9" t="s">
        <v>1116</v>
      </c>
      <c r="G89" s="6"/>
      <c r="H89" s="6"/>
      <c r="I89" s="6" t="str">
        <f>HYPERLINK("06-09.pdf")</f>
        <v>06-09.pdf</v>
      </c>
      <c r="J89" s="6" t="str">
        <f>HYPERLINK("210-外科精義.txt")</f>
        <v>210-外科精義.txt</v>
      </c>
    </row>
    <row r="90" spans="1:10" x14ac:dyDescent="0.15">
      <c r="A90" s="5">
        <v>28</v>
      </c>
      <c r="B90" s="7" t="s">
        <v>176</v>
      </c>
      <c r="C90" s="11" t="s">
        <v>177</v>
      </c>
      <c r="D90" s="11" t="s">
        <v>178</v>
      </c>
      <c r="E90" s="9" t="s">
        <v>179</v>
      </c>
      <c r="F90" s="9" t="s">
        <v>1116</v>
      </c>
      <c r="G90" s="6"/>
      <c r="H90" s="6"/>
      <c r="I90" s="6" t="str">
        <f>HYPERLINK("06-10.pdf")</f>
        <v>06-10.pdf</v>
      </c>
      <c r="J90" s="6" t="str">
        <f>HYPERLINK("370-医経遡洄集.txt")</f>
        <v>370-医経遡洄集.txt</v>
      </c>
    </row>
    <row r="91" spans="1:10" x14ac:dyDescent="0.15">
      <c r="A91" s="5">
        <v>28</v>
      </c>
      <c r="B91" s="7"/>
      <c r="C91" s="11"/>
      <c r="D91" s="11"/>
      <c r="E91" s="18" t="s">
        <v>1206</v>
      </c>
      <c r="F91" s="9"/>
      <c r="G91" s="6"/>
      <c r="H91" s="6"/>
      <c r="I91" s="6"/>
      <c r="J91" s="6"/>
    </row>
    <row r="92" spans="1:10" x14ac:dyDescent="0.15">
      <c r="A92" s="5">
        <v>28</v>
      </c>
      <c r="B92" s="7"/>
      <c r="C92" s="12" t="s">
        <v>81</v>
      </c>
      <c r="D92" s="12"/>
      <c r="E92" s="6"/>
      <c r="F92" s="6"/>
      <c r="G92" s="6"/>
      <c r="H92" s="6"/>
      <c r="I92" s="6" t="str">
        <f>HYPERLINK("06-00-11　目次.pdf")</f>
        <v>06-00-11　目次.pdf</v>
      </c>
      <c r="J92" s="6"/>
    </row>
    <row r="93" spans="1:10" x14ac:dyDescent="0.15">
      <c r="A93" s="5">
        <v>29</v>
      </c>
      <c r="B93" s="37" t="s">
        <v>180</v>
      </c>
      <c r="C93" s="8" t="s">
        <v>181</v>
      </c>
      <c r="D93" s="8" t="s">
        <v>168</v>
      </c>
      <c r="E93" s="6"/>
      <c r="F93" s="6"/>
      <c r="G93" s="6"/>
      <c r="H93" s="6"/>
      <c r="I93" s="6" t="str">
        <f>HYPERLINK("06-12-01.pdf")</f>
        <v>06-12-01.pdf</v>
      </c>
      <c r="J93" s="6"/>
    </row>
    <row r="94" spans="1:10" x14ac:dyDescent="0.15">
      <c r="A94" s="5">
        <v>30</v>
      </c>
      <c r="B94" s="37" t="s">
        <v>182</v>
      </c>
      <c r="C94" s="8" t="s">
        <v>183</v>
      </c>
      <c r="D94" s="8" t="s">
        <v>168</v>
      </c>
      <c r="E94" s="6"/>
      <c r="F94" s="6"/>
      <c r="G94" s="6"/>
      <c r="H94" s="6"/>
      <c r="I94" s="6" t="str">
        <f>HYPERLINK("06-12-02.pdf")</f>
        <v>06-12-02.pdf</v>
      </c>
      <c r="J94" s="6"/>
    </row>
    <row r="95" spans="1:10" x14ac:dyDescent="0.15">
      <c r="A95" s="5">
        <v>31</v>
      </c>
      <c r="B95" s="37" t="s">
        <v>184</v>
      </c>
      <c r="C95" s="8" t="s">
        <v>1205</v>
      </c>
      <c r="D95" s="8" t="s">
        <v>178</v>
      </c>
      <c r="E95" s="6"/>
      <c r="F95" s="6"/>
      <c r="G95" s="6"/>
      <c r="H95" s="6"/>
      <c r="I95" s="6" t="str">
        <f>HYPERLINK("06-12-03.pdf")</f>
        <v>06-12-03.pdf</v>
      </c>
      <c r="J95" s="6"/>
    </row>
    <row r="96" spans="1:10" x14ac:dyDescent="0.15">
      <c r="A96" s="5">
        <v>32</v>
      </c>
      <c r="B96" s="37" t="s">
        <v>185</v>
      </c>
      <c r="C96" s="8" t="s">
        <v>186</v>
      </c>
      <c r="D96" s="8" t="s">
        <v>187</v>
      </c>
      <c r="E96" s="6"/>
      <c r="F96" s="6"/>
      <c r="G96" s="6"/>
      <c r="H96" s="6"/>
      <c r="I96" s="6" t="str">
        <f>HYPERLINK("06-11.pdf")</f>
        <v>06-11.pdf</v>
      </c>
      <c r="J96" s="6" t="str">
        <f>HYPERLINK("513-脈訣刊誤.txt")</f>
        <v>513-脈訣刊誤.txt</v>
      </c>
    </row>
    <row r="97" spans="1:10" x14ac:dyDescent="0.15">
      <c r="A97" s="5">
        <v>32</v>
      </c>
      <c r="B97" s="7"/>
      <c r="C97" s="10" t="s">
        <v>81</v>
      </c>
      <c r="D97" s="10"/>
      <c r="E97" s="6"/>
      <c r="F97" s="6"/>
      <c r="G97" s="6"/>
      <c r="H97" s="6"/>
      <c r="I97" s="6" t="str">
        <f>HYPERLINK("06-12　目次.pdf")</f>
        <v>06-12　目次.pdf</v>
      </c>
      <c r="J97" s="6"/>
    </row>
    <row r="98" spans="1:10" x14ac:dyDescent="0.15">
      <c r="A98" s="5">
        <v>32</v>
      </c>
      <c r="B98" s="7"/>
      <c r="C98" s="10" t="s">
        <v>82</v>
      </c>
      <c r="D98" s="10"/>
      <c r="E98" s="6"/>
      <c r="F98" s="6"/>
      <c r="G98" s="6"/>
      <c r="H98" s="6" t="s">
        <v>188</v>
      </c>
      <c r="I98" s="6" t="str">
        <f>HYPERLINK("06-00-11　解説.pdf")</f>
        <v>06-00-11　解説.pdf</v>
      </c>
      <c r="J98" s="6"/>
    </row>
    <row r="99" spans="1:10" x14ac:dyDescent="0.15">
      <c r="A99" s="1"/>
      <c r="B99" s="4" t="s">
        <v>189</v>
      </c>
      <c r="C99" s="40"/>
      <c r="D99" s="40"/>
      <c r="E99" s="4"/>
      <c r="F99" s="4"/>
      <c r="G99" s="4"/>
      <c r="H99" s="4"/>
      <c r="I99" s="4"/>
      <c r="J99" s="4"/>
    </row>
    <row r="100" spans="1:10" x14ac:dyDescent="0.15">
      <c r="A100" s="58">
        <v>33</v>
      </c>
      <c r="B100" s="7" t="s">
        <v>190</v>
      </c>
      <c r="C100" s="11" t="s">
        <v>191</v>
      </c>
      <c r="D100" s="11" t="s">
        <v>192</v>
      </c>
      <c r="E100" s="9" t="s">
        <v>1117</v>
      </c>
      <c r="G100" s="6"/>
      <c r="H100" s="6"/>
      <c r="I100" s="6" t="str">
        <f>HYPERLINK("07-01.pdf")</f>
        <v>07-01.pdf</v>
      </c>
      <c r="J100" s="6" t="str">
        <f>HYPERLINK("569-秘伝証治要訣及類方.txt")</f>
        <v>569-秘伝証治要訣及類方.txt</v>
      </c>
    </row>
    <row r="101" spans="1:10" x14ac:dyDescent="0.15">
      <c r="A101" s="58">
        <v>34</v>
      </c>
      <c r="B101" s="13" t="s">
        <v>193</v>
      </c>
      <c r="C101" s="11" t="s">
        <v>194</v>
      </c>
      <c r="D101" s="11" t="s">
        <v>192</v>
      </c>
      <c r="E101" s="18" t="s">
        <v>3643</v>
      </c>
      <c r="F101" t="s">
        <v>3644</v>
      </c>
      <c r="G101" s="6"/>
      <c r="H101" s="6"/>
      <c r="I101" s="6" t="str">
        <f>HYPERLINK("07-02.pdf")</f>
        <v>07-02.pdf</v>
      </c>
      <c r="J101" s="6"/>
    </row>
    <row r="102" spans="1:10" x14ac:dyDescent="0.15">
      <c r="A102" s="5">
        <v>34</v>
      </c>
      <c r="B102" s="7"/>
      <c r="C102" s="12" t="s">
        <v>81</v>
      </c>
      <c r="D102" s="12"/>
      <c r="E102" s="6"/>
      <c r="F102" s="6"/>
      <c r="G102" s="6"/>
      <c r="H102" s="6"/>
      <c r="I102" s="6" t="str">
        <f>HYPERLINK("07-01 02　目次.pdf")</f>
        <v>07-01 02　目次.pdf</v>
      </c>
      <c r="J102" s="6"/>
    </row>
    <row r="103" spans="1:10" x14ac:dyDescent="0.15">
      <c r="A103" s="5">
        <v>34</v>
      </c>
      <c r="B103" s="7"/>
      <c r="C103" s="12" t="s">
        <v>82</v>
      </c>
      <c r="D103" s="12"/>
      <c r="E103" s="6"/>
      <c r="F103" s="6"/>
      <c r="G103" s="9" t="s">
        <v>195</v>
      </c>
      <c r="H103" s="6" t="s">
        <v>83</v>
      </c>
      <c r="I103" s="6" t="str">
        <f>HYPERLINK("07-01 02　解説.pdf")</f>
        <v>07-01 02　解説.pdf</v>
      </c>
      <c r="J103" s="6"/>
    </row>
    <row r="104" spans="1:10" x14ac:dyDescent="0.15">
      <c r="A104" s="5">
        <v>35</v>
      </c>
      <c r="B104" s="7" t="s">
        <v>196</v>
      </c>
      <c r="C104" s="8" t="s">
        <v>197</v>
      </c>
      <c r="D104" s="8" t="s">
        <v>198</v>
      </c>
      <c r="E104" s="9" t="s">
        <v>199</v>
      </c>
      <c r="F104" s="6"/>
      <c r="G104" s="6"/>
      <c r="H104" s="6"/>
      <c r="I104" s="6" t="str">
        <f>HYPERLINK("07-03.pdf")</f>
        <v>07-03.pdf</v>
      </c>
      <c r="J104" s="6" t="str">
        <f>HYPERLINK("470-傷寒六書.txt")</f>
        <v>470-傷寒六書.txt</v>
      </c>
    </row>
    <row r="105" spans="1:10" x14ac:dyDescent="0.15">
      <c r="A105" s="5">
        <v>35</v>
      </c>
      <c r="B105" s="7"/>
      <c r="C105" s="8"/>
      <c r="D105" s="8"/>
      <c r="E105" s="9" t="s">
        <v>1118</v>
      </c>
      <c r="F105" s="6"/>
      <c r="G105" s="6"/>
      <c r="H105" s="6"/>
      <c r="I105" s="6"/>
      <c r="J105" s="6"/>
    </row>
    <row r="106" spans="1:10" x14ac:dyDescent="0.15">
      <c r="A106" s="5">
        <v>35</v>
      </c>
      <c r="B106" s="7"/>
      <c r="C106" s="10" t="s">
        <v>81</v>
      </c>
      <c r="D106" s="10"/>
      <c r="E106" s="6"/>
      <c r="F106" s="6"/>
      <c r="G106" s="6"/>
      <c r="H106" s="6"/>
      <c r="I106" s="6" t="str">
        <f>HYPERLINK("07-03　目次.pdf")</f>
        <v>07-03　目次.pdf</v>
      </c>
      <c r="J106" s="6"/>
    </row>
    <row r="107" spans="1:10" x14ac:dyDescent="0.15">
      <c r="A107" s="5">
        <v>35</v>
      </c>
      <c r="B107" s="7"/>
      <c r="C107" s="10" t="s">
        <v>82</v>
      </c>
      <c r="D107" s="10"/>
      <c r="E107" s="6"/>
      <c r="F107" s="6"/>
      <c r="G107" s="9" t="s">
        <v>200</v>
      </c>
      <c r="H107" s="6" t="s">
        <v>83</v>
      </c>
      <c r="I107" s="6" t="str">
        <f>HYPERLINK("07-03　解説.pdf")</f>
        <v>07-03　解説.pdf</v>
      </c>
      <c r="J107" s="6"/>
    </row>
    <row r="108" spans="1:10" x14ac:dyDescent="0.15">
      <c r="A108" s="58">
        <v>36</v>
      </c>
      <c r="B108" s="7" t="s">
        <v>201</v>
      </c>
      <c r="C108" s="11" t="s">
        <v>202</v>
      </c>
      <c r="D108" s="11" t="s">
        <v>203</v>
      </c>
      <c r="E108" s="9" t="s">
        <v>204</v>
      </c>
      <c r="F108" s="6"/>
      <c r="G108" s="6"/>
      <c r="H108" s="6"/>
      <c r="I108" s="6" t="str">
        <f>HYPERLINK("07-04.pdf")</f>
        <v>07-04.pdf</v>
      </c>
      <c r="J108" s="6"/>
    </row>
    <row r="109" spans="1:10" x14ac:dyDescent="0.15">
      <c r="A109" s="5">
        <v>36</v>
      </c>
      <c r="B109" s="7"/>
      <c r="C109" s="11"/>
      <c r="D109" s="11"/>
      <c r="E109" s="9" t="s">
        <v>1082</v>
      </c>
      <c r="F109" s="6"/>
      <c r="G109" s="6"/>
      <c r="H109" s="6"/>
      <c r="I109" s="6"/>
      <c r="J109" s="6"/>
    </row>
    <row r="110" spans="1:10" x14ac:dyDescent="0.15">
      <c r="A110" s="5">
        <v>36</v>
      </c>
      <c r="B110" s="7"/>
      <c r="C110" s="11"/>
      <c r="D110" s="11"/>
      <c r="E110" s="9" t="s">
        <v>1119</v>
      </c>
      <c r="F110" s="6" t="s">
        <v>1122</v>
      </c>
      <c r="G110" s="6"/>
      <c r="H110" s="6"/>
      <c r="I110" s="6"/>
      <c r="J110" s="6"/>
    </row>
    <row r="111" spans="1:10" x14ac:dyDescent="0.15">
      <c r="A111" s="5">
        <v>36</v>
      </c>
      <c r="B111" s="7"/>
      <c r="C111" s="11"/>
      <c r="D111" s="11"/>
      <c r="E111" s="9" t="s">
        <v>1120</v>
      </c>
      <c r="F111" s="6" t="s">
        <v>1123</v>
      </c>
      <c r="G111" s="6"/>
      <c r="H111" s="6"/>
      <c r="I111" s="6"/>
      <c r="J111" s="6"/>
    </row>
    <row r="112" spans="1:10" x14ac:dyDescent="0.15">
      <c r="A112" s="5">
        <v>36</v>
      </c>
      <c r="B112" s="7"/>
      <c r="C112" s="11"/>
      <c r="D112" s="11"/>
      <c r="E112" s="9" t="s">
        <v>1121</v>
      </c>
      <c r="F112" s="6" t="s">
        <v>1124</v>
      </c>
      <c r="G112" s="6"/>
      <c r="H112" s="6"/>
      <c r="I112" s="6"/>
      <c r="J112" s="6"/>
    </row>
    <row r="113" spans="1:10" x14ac:dyDescent="0.15">
      <c r="A113" s="58">
        <v>37</v>
      </c>
      <c r="B113" s="7" t="s">
        <v>205</v>
      </c>
      <c r="C113" s="11" t="s">
        <v>206</v>
      </c>
      <c r="D113" s="11" t="s">
        <v>207</v>
      </c>
      <c r="E113" s="9" t="s">
        <v>208</v>
      </c>
      <c r="F113" s="6"/>
      <c r="G113" s="6"/>
      <c r="H113" s="6"/>
      <c r="I113" s="6" t="str">
        <f>HYPERLINK("07-05.pdf")</f>
        <v>07-05.pdf</v>
      </c>
      <c r="J113" s="6"/>
    </row>
    <row r="114" spans="1:10" x14ac:dyDescent="0.15">
      <c r="A114" s="5">
        <v>37</v>
      </c>
      <c r="B114" s="7"/>
      <c r="C114" s="11"/>
      <c r="D114" s="11"/>
      <c r="E114" s="9" t="s">
        <v>1083</v>
      </c>
      <c r="F114" s="6"/>
      <c r="G114" s="6"/>
      <c r="H114" s="6"/>
      <c r="I114" s="6"/>
      <c r="J114" s="6"/>
    </row>
    <row r="115" spans="1:10" x14ac:dyDescent="0.15">
      <c r="A115" s="5">
        <v>37</v>
      </c>
      <c r="B115" s="7"/>
      <c r="C115" s="11"/>
      <c r="D115" s="11"/>
      <c r="E115" s="9" t="s">
        <v>1084</v>
      </c>
      <c r="F115" s="6"/>
      <c r="G115" s="6"/>
      <c r="H115" s="6"/>
      <c r="I115" s="6"/>
      <c r="J115" s="6"/>
    </row>
    <row r="116" spans="1:10" x14ac:dyDescent="0.15">
      <c r="A116" s="5">
        <v>37</v>
      </c>
      <c r="B116" s="7"/>
      <c r="C116" s="12"/>
      <c r="D116" s="12"/>
      <c r="E116" s="9" t="s">
        <v>209</v>
      </c>
      <c r="F116" s="6"/>
      <c r="G116" s="6"/>
      <c r="H116" s="6"/>
      <c r="I116" s="6"/>
      <c r="J116" s="6"/>
    </row>
    <row r="117" spans="1:10" x14ac:dyDescent="0.15">
      <c r="A117" s="5">
        <v>37</v>
      </c>
      <c r="B117" s="7"/>
      <c r="C117" s="12"/>
      <c r="D117" s="12"/>
      <c r="E117" s="9" t="s">
        <v>1125</v>
      </c>
      <c r="F117" s="6" t="s">
        <v>206</v>
      </c>
      <c r="G117" s="6"/>
      <c r="H117" s="6"/>
      <c r="I117" s="6"/>
      <c r="J117" s="6"/>
    </row>
    <row r="118" spans="1:10" x14ac:dyDescent="0.15">
      <c r="A118" s="5">
        <v>37</v>
      </c>
      <c r="B118" s="7"/>
      <c r="C118" s="12"/>
      <c r="D118" s="12"/>
      <c r="E118" s="9" t="s">
        <v>1126</v>
      </c>
      <c r="F118" s="6" t="s">
        <v>206</v>
      </c>
      <c r="G118" s="6"/>
      <c r="H118" s="6"/>
      <c r="I118" s="6"/>
      <c r="J118" s="6"/>
    </row>
    <row r="119" spans="1:10" x14ac:dyDescent="0.15">
      <c r="A119" s="5">
        <v>37</v>
      </c>
      <c r="B119" s="7"/>
      <c r="C119" s="12"/>
      <c r="D119" s="12"/>
      <c r="E119" s="9" t="s">
        <v>1127</v>
      </c>
      <c r="F119" s="6" t="s">
        <v>206</v>
      </c>
      <c r="G119" s="6"/>
      <c r="H119" s="6"/>
      <c r="I119" s="6"/>
      <c r="J119" s="6"/>
    </row>
    <row r="120" spans="1:10" x14ac:dyDescent="0.15">
      <c r="A120" s="5">
        <v>37</v>
      </c>
      <c r="B120" s="7"/>
      <c r="C120" s="12"/>
      <c r="D120" s="12"/>
      <c r="E120" s="9" t="s">
        <v>1128</v>
      </c>
      <c r="F120" s="6" t="s">
        <v>1132</v>
      </c>
      <c r="G120" s="6"/>
      <c r="H120" s="6"/>
      <c r="I120" s="6"/>
      <c r="J120" s="6"/>
    </row>
    <row r="121" spans="1:10" x14ac:dyDescent="0.15">
      <c r="A121" s="5">
        <v>37</v>
      </c>
      <c r="B121" s="7"/>
      <c r="C121" s="12"/>
      <c r="D121" s="12"/>
      <c r="E121" s="9" t="s">
        <v>1129</v>
      </c>
      <c r="F121" s="6" t="s">
        <v>1133</v>
      </c>
      <c r="G121" s="6"/>
      <c r="H121" s="6"/>
      <c r="I121" s="6"/>
      <c r="J121" s="6"/>
    </row>
    <row r="122" spans="1:10" x14ac:dyDescent="0.15">
      <c r="A122" s="5">
        <v>37</v>
      </c>
      <c r="B122" s="7"/>
      <c r="C122" s="12"/>
      <c r="D122" s="12"/>
      <c r="E122" s="9" t="s">
        <v>1130</v>
      </c>
      <c r="F122" s="6" t="s">
        <v>522</v>
      </c>
      <c r="G122" s="6"/>
      <c r="H122" s="6"/>
      <c r="I122" s="6"/>
      <c r="J122" s="6"/>
    </row>
    <row r="123" spans="1:10" x14ac:dyDescent="0.15">
      <c r="A123" s="5">
        <v>37</v>
      </c>
      <c r="B123" s="7"/>
      <c r="C123" s="12"/>
      <c r="D123" s="12"/>
      <c r="E123" s="9" t="s">
        <v>1131</v>
      </c>
      <c r="F123" s="6" t="s">
        <v>1134</v>
      </c>
      <c r="G123" s="6"/>
      <c r="H123" s="6"/>
      <c r="I123" s="6"/>
      <c r="J123" s="6"/>
    </row>
    <row r="124" spans="1:10" x14ac:dyDescent="0.15">
      <c r="A124" s="5">
        <v>37</v>
      </c>
      <c r="B124" s="7"/>
      <c r="C124" s="12" t="s">
        <v>81</v>
      </c>
      <c r="D124" s="12"/>
      <c r="E124" s="9"/>
      <c r="F124" s="6"/>
      <c r="G124" s="6"/>
      <c r="H124" s="6"/>
      <c r="I124" s="6" t="str">
        <f>HYPERLINK("07-04 05　目次.pdf")</f>
        <v>07-04 05　目次.pdf</v>
      </c>
      <c r="J124" s="6"/>
    </row>
    <row r="125" spans="1:10" x14ac:dyDescent="0.15">
      <c r="A125" s="5">
        <v>37</v>
      </c>
      <c r="B125" s="7"/>
      <c r="C125" s="12" t="s">
        <v>82</v>
      </c>
      <c r="D125" s="12"/>
      <c r="E125" s="6"/>
      <c r="F125" s="6"/>
      <c r="G125" s="6"/>
      <c r="H125" s="6" t="s">
        <v>210</v>
      </c>
      <c r="I125" s="6" t="str">
        <f>HYPERLINK("07-04 05　解説.pdf")</f>
        <v>07-04 05　解説.pdf</v>
      </c>
      <c r="J125" s="6"/>
    </row>
    <row r="126" spans="1:10" x14ac:dyDescent="0.15">
      <c r="A126" s="1"/>
      <c r="B126" s="4" t="s">
        <v>211</v>
      </c>
      <c r="C126" s="39"/>
      <c r="D126" s="39"/>
      <c r="E126" s="4"/>
      <c r="F126" s="4"/>
      <c r="G126" s="4"/>
      <c r="H126" s="4"/>
      <c r="I126" s="4"/>
      <c r="J126" s="4"/>
    </row>
    <row r="127" spans="1:10" x14ac:dyDescent="0.15">
      <c r="A127" s="58">
        <v>38</v>
      </c>
      <c r="B127" s="7" t="s">
        <v>212</v>
      </c>
      <c r="C127" s="8" t="s">
        <v>213</v>
      </c>
      <c r="D127" s="8" t="s">
        <v>214</v>
      </c>
      <c r="E127" s="9" t="s">
        <v>215</v>
      </c>
      <c r="F127" s="6"/>
      <c r="G127" s="6"/>
      <c r="H127" s="6"/>
      <c r="I127" s="6" t="str">
        <f>HYPERLINK("08-01.pdf")</f>
        <v>08-01.pdf</v>
      </c>
      <c r="J127" s="6" t="str">
        <f>HYPERLINK("562-明医雑著.txt")</f>
        <v>562-明医雑著.txt</v>
      </c>
    </row>
    <row r="128" spans="1:10" x14ac:dyDescent="0.15">
      <c r="A128" s="5">
        <v>38</v>
      </c>
      <c r="B128" s="7"/>
      <c r="C128" s="8"/>
      <c r="D128" s="8"/>
      <c r="E128" s="9" t="s">
        <v>1135</v>
      </c>
      <c r="F128" s="6" t="s">
        <v>1138</v>
      </c>
      <c r="G128" s="6"/>
      <c r="H128" s="6"/>
      <c r="I128" s="6"/>
      <c r="J128" s="6"/>
    </row>
    <row r="129" spans="1:10" x14ac:dyDescent="0.15">
      <c r="A129" s="5">
        <v>38</v>
      </c>
      <c r="B129" s="7"/>
      <c r="C129" s="8"/>
      <c r="D129" s="8"/>
      <c r="E129" s="9" t="s">
        <v>1136</v>
      </c>
      <c r="F129" s="6" t="s">
        <v>1139</v>
      </c>
      <c r="G129" s="6"/>
      <c r="H129" s="6"/>
      <c r="I129" s="6"/>
      <c r="J129" s="6"/>
    </row>
    <row r="130" spans="1:10" x14ac:dyDescent="0.15">
      <c r="A130" s="5">
        <v>38</v>
      </c>
      <c r="B130" s="7"/>
      <c r="C130" s="8"/>
      <c r="D130" s="8"/>
      <c r="E130" s="9" t="s">
        <v>1137</v>
      </c>
      <c r="F130" s="6" t="s">
        <v>1140</v>
      </c>
      <c r="G130" s="6"/>
      <c r="H130" s="6"/>
      <c r="I130" s="6"/>
      <c r="J130" s="6"/>
    </row>
    <row r="131" spans="1:10" x14ac:dyDescent="0.15">
      <c r="A131" s="5">
        <v>38</v>
      </c>
      <c r="B131" s="7"/>
      <c r="C131" s="10" t="s">
        <v>81</v>
      </c>
      <c r="D131" s="10"/>
      <c r="E131" s="6"/>
      <c r="F131" s="6"/>
      <c r="G131" s="6"/>
      <c r="H131" s="6"/>
      <c r="I131" s="6" t="str">
        <f>HYPERLINK("08-01　目次.pdf")</f>
        <v>08-01　目次.pdf</v>
      </c>
      <c r="J131" s="6"/>
    </row>
    <row r="132" spans="1:10" x14ac:dyDescent="0.15">
      <c r="A132" s="58">
        <v>39</v>
      </c>
      <c r="B132" s="13" t="s">
        <v>216</v>
      </c>
      <c r="C132" s="11" t="s">
        <v>217</v>
      </c>
      <c r="D132" s="11" t="s">
        <v>214</v>
      </c>
      <c r="E132" s="17" t="str">
        <f>HYPERLINK("https://kotenseki.nijl.ac.jp/biblio/100248245/viewer/588")</f>
        <v>https://kotenseki.nijl.ac.jp/biblio/100248245/viewer/588</v>
      </c>
      <c r="F132" s="17" t="s">
        <v>2109</v>
      </c>
      <c r="G132" s="6"/>
      <c r="H132" s="6"/>
      <c r="I132" s="6" t="str">
        <f>HYPERLINK("08-02.pdf")</f>
        <v>08-02.pdf</v>
      </c>
      <c r="J132" s="6"/>
    </row>
    <row r="133" spans="1:10" x14ac:dyDescent="0.15">
      <c r="A133" s="5">
        <v>39</v>
      </c>
      <c r="B133" s="7"/>
      <c r="C133" s="12" t="s">
        <v>81</v>
      </c>
      <c r="D133" s="12"/>
      <c r="E133" s="6"/>
      <c r="F133" s="6"/>
      <c r="G133" s="6"/>
      <c r="H133" s="6"/>
      <c r="I133" s="6" t="str">
        <f>HYPERLINK("08-02　目次.pdf")</f>
        <v>08-02　目次.pdf</v>
      </c>
      <c r="J133" s="6"/>
    </row>
    <row r="134" spans="1:10" x14ac:dyDescent="0.15">
      <c r="A134" s="5">
        <v>39</v>
      </c>
      <c r="B134" s="7"/>
      <c r="C134" s="12" t="s">
        <v>82</v>
      </c>
      <c r="D134" s="12"/>
      <c r="E134" s="6"/>
      <c r="F134" s="6"/>
      <c r="G134" s="9" t="s">
        <v>218</v>
      </c>
      <c r="H134" s="6" t="s">
        <v>83</v>
      </c>
      <c r="I134" s="6" t="str">
        <f>HYPERLINK("08-01 02　解説.pdf")</f>
        <v>08-01 02　解説.pdf</v>
      </c>
      <c r="J134" s="6"/>
    </row>
    <row r="135" spans="1:10" x14ac:dyDescent="0.15">
      <c r="A135" s="58">
        <v>40</v>
      </c>
      <c r="B135" s="7" t="s">
        <v>219</v>
      </c>
      <c r="C135" s="8" t="s">
        <v>220</v>
      </c>
      <c r="D135" s="8" t="s">
        <v>221</v>
      </c>
      <c r="E135" s="9" t="s">
        <v>222</v>
      </c>
      <c r="F135" s="6"/>
      <c r="G135" s="6"/>
      <c r="H135" s="6"/>
      <c r="I135" s="6" t="str">
        <f>HYPERLINK("08-03.pdf")</f>
        <v>08-03.pdf</v>
      </c>
      <c r="J135" s="6" t="str">
        <f>HYPERLINK("583-医学正伝.txt")</f>
        <v>583-医学正伝.txt</v>
      </c>
    </row>
    <row r="136" spans="1:10" x14ac:dyDescent="0.15">
      <c r="A136" s="5">
        <v>40</v>
      </c>
      <c r="B136" s="7"/>
      <c r="C136" s="8"/>
      <c r="D136" s="8"/>
      <c r="E136" s="9" t="s">
        <v>1085</v>
      </c>
      <c r="F136" s="6"/>
      <c r="G136" s="6"/>
      <c r="H136" s="6"/>
      <c r="I136" s="6"/>
      <c r="J136" s="6"/>
    </row>
    <row r="137" spans="1:10" x14ac:dyDescent="0.15">
      <c r="A137" s="5">
        <v>40</v>
      </c>
      <c r="B137" s="7"/>
      <c r="C137" s="8"/>
      <c r="D137" s="8"/>
      <c r="E137" s="9" t="s">
        <v>1141</v>
      </c>
      <c r="F137" s="6" t="s">
        <v>1142</v>
      </c>
      <c r="G137" s="6"/>
      <c r="H137" s="6"/>
      <c r="I137" s="6"/>
      <c r="J137" s="6"/>
    </row>
    <row r="138" spans="1:10" x14ac:dyDescent="0.15">
      <c r="A138" s="5">
        <v>40</v>
      </c>
      <c r="B138" s="7"/>
      <c r="C138" s="8"/>
      <c r="D138" s="8"/>
      <c r="E138" s="9" t="s">
        <v>1143</v>
      </c>
      <c r="F138" s="6" t="s">
        <v>1144</v>
      </c>
      <c r="G138" s="6"/>
      <c r="H138" s="6"/>
      <c r="I138" s="6"/>
      <c r="J138" s="6"/>
    </row>
    <row r="139" spans="1:10" x14ac:dyDescent="0.15">
      <c r="A139" s="5">
        <v>40</v>
      </c>
      <c r="B139" s="7"/>
      <c r="C139" s="8"/>
      <c r="D139" s="8"/>
      <c r="E139" s="9" t="s">
        <v>1145</v>
      </c>
      <c r="F139" s="6" t="s">
        <v>1144</v>
      </c>
      <c r="G139" s="6"/>
      <c r="H139" s="6"/>
      <c r="I139" s="6"/>
      <c r="J139" s="6"/>
    </row>
    <row r="140" spans="1:10" x14ac:dyDescent="0.15">
      <c r="A140" s="5">
        <v>40</v>
      </c>
      <c r="B140" s="7"/>
      <c r="C140" s="8"/>
      <c r="D140" s="8"/>
      <c r="E140" s="9" t="s">
        <v>1146</v>
      </c>
      <c r="F140" s="6" t="s">
        <v>1147</v>
      </c>
      <c r="G140" s="6"/>
      <c r="H140" s="6"/>
      <c r="I140" s="6"/>
      <c r="J140" s="6"/>
    </row>
    <row r="141" spans="1:10" x14ac:dyDescent="0.15">
      <c r="A141" s="5">
        <v>40</v>
      </c>
      <c r="B141" s="7"/>
      <c r="C141" s="8"/>
      <c r="D141" s="8"/>
      <c r="E141" s="9" t="s">
        <v>1148</v>
      </c>
      <c r="F141" s="6" t="s">
        <v>1149</v>
      </c>
      <c r="G141" s="6"/>
      <c r="H141" s="6"/>
      <c r="I141" s="6"/>
      <c r="J141" s="6"/>
    </row>
    <row r="142" spans="1:10" x14ac:dyDescent="0.15">
      <c r="A142" s="5">
        <v>40</v>
      </c>
      <c r="B142" s="7"/>
      <c r="C142" s="8"/>
      <c r="D142" s="8"/>
      <c r="E142" s="9" t="s">
        <v>1150</v>
      </c>
      <c r="F142" s="6" t="s">
        <v>1151</v>
      </c>
      <c r="G142" s="6"/>
      <c r="H142" s="6"/>
      <c r="I142" s="6"/>
      <c r="J142" s="6"/>
    </row>
    <row r="143" spans="1:10" x14ac:dyDescent="0.15">
      <c r="A143" s="5">
        <v>40</v>
      </c>
      <c r="B143" s="7"/>
      <c r="C143" s="8"/>
      <c r="D143" s="8"/>
      <c r="E143" s="9" t="s">
        <v>1152</v>
      </c>
      <c r="F143" s="6" t="s">
        <v>1151</v>
      </c>
      <c r="G143" s="6"/>
      <c r="H143" s="6"/>
      <c r="I143" s="6"/>
      <c r="J143" s="6"/>
    </row>
    <row r="144" spans="1:10" x14ac:dyDescent="0.15">
      <c r="A144" s="5">
        <v>40</v>
      </c>
      <c r="B144" s="7"/>
      <c r="C144" s="8"/>
      <c r="D144" s="8"/>
      <c r="E144" s="9" t="s">
        <v>1153</v>
      </c>
      <c r="F144" s="6" t="s">
        <v>1154</v>
      </c>
      <c r="G144" s="6"/>
      <c r="H144" s="6"/>
      <c r="I144" s="6"/>
      <c r="J144" s="6"/>
    </row>
    <row r="145" spans="1:10" x14ac:dyDescent="0.15">
      <c r="A145" s="5">
        <v>40</v>
      </c>
      <c r="B145" s="7"/>
      <c r="C145" s="10" t="s">
        <v>81</v>
      </c>
      <c r="D145" s="10"/>
      <c r="E145" s="6"/>
      <c r="F145" s="6"/>
      <c r="G145" s="6"/>
      <c r="H145" s="6"/>
      <c r="I145" s="6" t="str">
        <f>HYPERLINK("08-03　目次.pdf")</f>
        <v>08-03　目次.pdf</v>
      </c>
      <c r="J145" s="6"/>
    </row>
    <row r="146" spans="1:10" x14ac:dyDescent="0.15">
      <c r="A146" s="5">
        <v>40</v>
      </c>
      <c r="B146" s="7"/>
      <c r="C146" s="10" t="s">
        <v>82</v>
      </c>
      <c r="D146" s="10"/>
      <c r="E146" s="6"/>
      <c r="F146" s="6"/>
      <c r="G146" s="6"/>
      <c r="H146" s="6" t="s">
        <v>210</v>
      </c>
      <c r="I146" s="6" t="str">
        <f>HYPERLINK("08-03　解説.pdf")</f>
        <v>08-03　解説.pdf</v>
      </c>
      <c r="J146" s="6"/>
    </row>
    <row r="147" spans="1:10" x14ac:dyDescent="0.15">
      <c r="A147" s="1"/>
      <c r="B147" s="4" t="s">
        <v>223</v>
      </c>
      <c r="C147" s="39"/>
      <c r="D147" s="39"/>
      <c r="E147" s="4"/>
      <c r="F147" s="4"/>
      <c r="G147" s="4"/>
      <c r="H147" s="4"/>
      <c r="I147" s="4"/>
      <c r="J147" s="4"/>
    </row>
    <row r="148" spans="1:10" x14ac:dyDescent="0.15">
      <c r="A148" s="58">
        <v>41</v>
      </c>
      <c r="B148" s="7" t="s">
        <v>224</v>
      </c>
      <c r="C148" s="11" t="s">
        <v>225</v>
      </c>
      <c r="D148" s="11" t="s">
        <v>226</v>
      </c>
      <c r="E148" s="9" t="s">
        <v>227</v>
      </c>
      <c r="F148" s="6"/>
      <c r="G148" s="6"/>
      <c r="H148" s="6"/>
      <c r="I148" s="6" t="str">
        <f>HYPERLINK("09-01.pdf")</f>
        <v>09-01.pdf</v>
      </c>
      <c r="J148" s="6" t="str">
        <f>HYPERLINK("577-医学入門.txt")</f>
        <v>577-医学入門.txt</v>
      </c>
    </row>
    <row r="149" spans="1:10" x14ac:dyDescent="0.15">
      <c r="A149" s="5">
        <v>41</v>
      </c>
      <c r="B149" s="7"/>
      <c r="C149" s="11"/>
      <c r="D149" s="11"/>
      <c r="E149" s="9" t="s">
        <v>3666</v>
      </c>
      <c r="F149" s="6" t="s">
        <v>1155</v>
      </c>
      <c r="G149" s="6"/>
      <c r="H149" s="6"/>
      <c r="I149" s="6"/>
      <c r="J149" s="6"/>
    </row>
    <row r="150" spans="1:10" x14ac:dyDescent="0.15">
      <c r="A150" s="5">
        <v>41</v>
      </c>
      <c r="B150" s="7"/>
      <c r="C150" s="11"/>
      <c r="D150" s="11"/>
      <c r="E150" s="9" t="s">
        <v>3667</v>
      </c>
      <c r="F150" s="6" t="s">
        <v>1156</v>
      </c>
      <c r="G150" s="6"/>
      <c r="H150" s="6"/>
      <c r="I150" s="6"/>
      <c r="J150" s="6"/>
    </row>
    <row r="151" spans="1:10" x14ac:dyDescent="0.15">
      <c r="A151" s="5">
        <v>41</v>
      </c>
      <c r="B151" s="7"/>
      <c r="C151" s="11"/>
      <c r="D151" s="11"/>
      <c r="E151" s="9" t="s">
        <v>3668</v>
      </c>
      <c r="F151" s="6" t="s">
        <v>1157</v>
      </c>
      <c r="G151" s="6"/>
      <c r="H151" s="6"/>
      <c r="I151" s="6"/>
      <c r="J151" s="6"/>
    </row>
    <row r="152" spans="1:10" x14ac:dyDescent="0.15">
      <c r="A152" s="5">
        <v>41</v>
      </c>
      <c r="B152" s="7"/>
      <c r="C152" s="11"/>
      <c r="D152" s="11"/>
      <c r="E152" s="9" t="s">
        <v>3664</v>
      </c>
      <c r="F152" s="6" t="s">
        <v>1158</v>
      </c>
      <c r="G152" s="6"/>
      <c r="H152" s="6"/>
      <c r="I152" s="6"/>
      <c r="J152" s="6"/>
    </row>
    <row r="153" spans="1:10" x14ac:dyDescent="0.15">
      <c r="A153" s="5">
        <v>41</v>
      </c>
      <c r="B153" s="7"/>
      <c r="C153" s="11"/>
      <c r="D153" s="11"/>
      <c r="E153" s="60" t="s">
        <v>3665</v>
      </c>
      <c r="F153" s="6" t="s">
        <v>1159</v>
      </c>
      <c r="G153" s="6"/>
      <c r="H153" s="6"/>
      <c r="I153" s="6"/>
      <c r="J153" s="6"/>
    </row>
    <row r="154" spans="1:10" x14ac:dyDescent="0.15">
      <c r="A154" s="5">
        <v>41</v>
      </c>
      <c r="B154" s="7"/>
      <c r="C154" s="12" t="s">
        <v>81</v>
      </c>
      <c r="D154" s="12"/>
      <c r="E154" s="6"/>
      <c r="F154" s="6"/>
      <c r="G154" s="6"/>
      <c r="H154" s="6"/>
      <c r="I154" s="6" t="str">
        <f>HYPERLINK("09-01　目次.pdf")</f>
        <v>09-01　目次.pdf</v>
      </c>
      <c r="J154" s="6"/>
    </row>
    <row r="155" spans="1:10" x14ac:dyDescent="0.15">
      <c r="A155" s="5">
        <v>41</v>
      </c>
      <c r="B155" s="7"/>
      <c r="C155" s="12" t="s">
        <v>82</v>
      </c>
      <c r="D155" s="12"/>
      <c r="E155" s="6"/>
      <c r="F155" s="6"/>
      <c r="G155" s="6"/>
      <c r="H155" s="6" t="s">
        <v>210</v>
      </c>
      <c r="I155" s="6" t="str">
        <f>HYPERLINK("09-01　解説.pdf")</f>
        <v>09-01　解説.pdf</v>
      </c>
      <c r="J155" s="6"/>
    </row>
    <row r="156" spans="1:10" x14ac:dyDescent="0.15">
      <c r="A156" s="1"/>
      <c r="B156" s="4" t="s">
        <v>228</v>
      </c>
      <c r="C156" s="39"/>
      <c r="D156" s="39"/>
      <c r="E156" s="4"/>
      <c r="F156" s="4"/>
      <c r="G156" s="4"/>
      <c r="H156" s="4"/>
      <c r="I156" s="4"/>
      <c r="J156" s="4"/>
    </row>
    <row r="157" spans="1:10" x14ac:dyDescent="0.15">
      <c r="A157" s="5">
        <v>42</v>
      </c>
      <c r="B157" s="7" t="s">
        <v>229</v>
      </c>
      <c r="C157" s="8" t="s">
        <v>230</v>
      </c>
      <c r="D157" s="8" t="s">
        <v>231</v>
      </c>
      <c r="E157" s="9" t="s">
        <v>232</v>
      </c>
      <c r="F157" s="6"/>
      <c r="G157" s="6"/>
      <c r="H157" s="6"/>
      <c r="I157" s="6" t="str">
        <f>HYPERLINK("10-01.pdf")</f>
        <v>10-01.pdf</v>
      </c>
      <c r="J157" s="6" t="str">
        <f>HYPERLINK("416-続名医類案.txt")</f>
        <v>416-続名医類案.txt</v>
      </c>
    </row>
    <row r="158" spans="1:10" x14ac:dyDescent="0.15">
      <c r="A158" s="5">
        <v>42</v>
      </c>
      <c r="B158" s="7"/>
      <c r="C158" s="8"/>
      <c r="D158" s="8"/>
      <c r="E158" s="9" t="s">
        <v>1160</v>
      </c>
      <c r="F158" s="6" t="s">
        <v>1161</v>
      </c>
      <c r="G158" s="6"/>
      <c r="H158" s="6"/>
      <c r="I158" s="6"/>
      <c r="J158" s="6"/>
    </row>
    <row r="159" spans="1:10" x14ac:dyDescent="0.15">
      <c r="A159" s="5">
        <v>42</v>
      </c>
      <c r="B159" s="7"/>
      <c r="C159" s="10" t="s">
        <v>81</v>
      </c>
      <c r="D159" s="10"/>
      <c r="E159" s="6"/>
      <c r="F159" s="6"/>
      <c r="G159" s="6"/>
      <c r="H159" s="6"/>
      <c r="I159" s="6" t="str">
        <f>HYPERLINK("10-01　目次.pdf")</f>
        <v>10-01　目次.pdf</v>
      </c>
      <c r="J159" s="6"/>
    </row>
    <row r="160" spans="1:10" x14ac:dyDescent="0.15">
      <c r="A160" s="5">
        <v>42</v>
      </c>
      <c r="B160" s="7"/>
      <c r="C160" s="10" t="s">
        <v>82</v>
      </c>
      <c r="D160" s="10"/>
      <c r="E160" s="6"/>
      <c r="F160" s="6"/>
      <c r="G160" s="9" t="s">
        <v>233</v>
      </c>
      <c r="H160" s="6" t="s">
        <v>83</v>
      </c>
      <c r="I160" s="6" t="str">
        <f>HYPERLINK("10-01　解説.pdf")</f>
        <v>10-01　解説.pdf</v>
      </c>
      <c r="J160" s="6"/>
    </row>
    <row r="161" spans="1:10" x14ac:dyDescent="0.15">
      <c r="A161" s="58">
        <v>43</v>
      </c>
      <c r="B161" s="7" t="s">
        <v>234</v>
      </c>
      <c r="C161" s="11" t="s">
        <v>235</v>
      </c>
      <c r="D161" s="11" t="s">
        <v>236</v>
      </c>
      <c r="E161" s="9" t="s">
        <v>237</v>
      </c>
      <c r="F161" s="6"/>
      <c r="G161" s="6"/>
      <c r="H161" s="6"/>
      <c r="I161" s="6" t="str">
        <f>HYPERLINK("10-02.pdf")</f>
        <v>10-02.pdf</v>
      </c>
      <c r="J161" s="6" t="str">
        <f>HYPERLINK("072-医方考.txt")</f>
        <v>072-医方考.txt</v>
      </c>
    </row>
    <row r="162" spans="1:10" x14ac:dyDescent="0.15">
      <c r="A162" s="5">
        <v>43</v>
      </c>
      <c r="B162" s="7"/>
      <c r="C162" s="11"/>
      <c r="D162" s="11"/>
      <c r="E162" s="9" t="s">
        <v>1162</v>
      </c>
      <c r="F162" s="61" t="s">
        <v>3628</v>
      </c>
      <c r="G162" s="6"/>
      <c r="H162" s="6"/>
      <c r="I162" s="6"/>
      <c r="J162" s="6"/>
    </row>
    <row r="163" spans="1:10" x14ac:dyDescent="0.15">
      <c r="A163" s="58">
        <v>44</v>
      </c>
      <c r="B163" s="7" t="s">
        <v>5437</v>
      </c>
      <c r="C163" s="11" t="s">
        <v>238</v>
      </c>
      <c r="D163" s="11" t="s">
        <v>236</v>
      </c>
      <c r="E163" s="9" t="s">
        <v>1163</v>
      </c>
      <c r="F163" s="6"/>
      <c r="G163" s="6"/>
      <c r="H163" s="6"/>
      <c r="I163" s="6" t="str">
        <f>HYPERLINK("10-03.pdf")</f>
        <v>10-03.pdf</v>
      </c>
      <c r="J163" s="6"/>
    </row>
    <row r="164" spans="1:10" x14ac:dyDescent="0.15">
      <c r="A164" s="5">
        <v>44</v>
      </c>
      <c r="B164" s="7"/>
      <c r="C164" s="11"/>
      <c r="D164" s="11"/>
      <c r="E164" s="9" t="s">
        <v>1164</v>
      </c>
      <c r="F164" s="6"/>
      <c r="G164" s="6"/>
      <c r="H164" s="6"/>
      <c r="I164" s="6"/>
      <c r="J164" s="6"/>
    </row>
    <row r="165" spans="1:10" x14ac:dyDescent="0.15">
      <c r="A165" s="5">
        <v>44</v>
      </c>
      <c r="B165" s="7"/>
      <c r="C165" s="11"/>
      <c r="D165" s="11"/>
      <c r="E165" s="60" t="s">
        <v>1165</v>
      </c>
      <c r="F165" s="6"/>
      <c r="G165" s="6"/>
      <c r="H165" s="6"/>
      <c r="I165" s="6"/>
      <c r="J165" s="6"/>
    </row>
    <row r="166" spans="1:10" x14ac:dyDescent="0.15">
      <c r="A166" s="5">
        <v>44</v>
      </c>
      <c r="B166" s="7"/>
      <c r="C166" s="12" t="s">
        <v>81</v>
      </c>
      <c r="D166" s="12"/>
      <c r="E166" s="6"/>
      <c r="F166" s="6"/>
      <c r="G166" s="6"/>
      <c r="H166" s="6"/>
      <c r="I166" s="6" t="str">
        <f>HYPERLINK("10-02 03　目次.pdf")</f>
        <v>10-02 03　目次.pdf</v>
      </c>
      <c r="J166" s="6"/>
    </row>
    <row r="167" spans="1:10" x14ac:dyDescent="0.15">
      <c r="A167" s="5"/>
      <c r="B167" s="7"/>
      <c r="C167" s="12" t="s">
        <v>82</v>
      </c>
      <c r="D167" s="12"/>
      <c r="E167" s="6"/>
      <c r="F167" s="6"/>
      <c r="G167" s="6"/>
      <c r="H167" s="6" t="s">
        <v>210</v>
      </c>
      <c r="I167" s="6" t="str">
        <f>HYPERLINK("10-02 03　解説.pdf")</f>
        <v>10-02 03　解説.pdf</v>
      </c>
      <c r="J167" s="6"/>
    </row>
    <row r="168" spans="1:10" x14ac:dyDescent="0.15">
      <c r="A168" s="1"/>
      <c r="B168" s="4" t="s">
        <v>239</v>
      </c>
      <c r="C168" s="39"/>
      <c r="D168" s="39"/>
      <c r="E168" s="4"/>
      <c r="F168" s="4"/>
      <c r="G168" s="4"/>
      <c r="H168" s="4"/>
      <c r="I168" s="4"/>
      <c r="J168" s="4"/>
    </row>
    <row r="169" spans="1:10" x14ac:dyDescent="0.15">
      <c r="A169" s="58">
        <v>45</v>
      </c>
      <c r="B169" s="7" t="s">
        <v>240</v>
      </c>
      <c r="C169" s="8" t="s">
        <v>241</v>
      </c>
      <c r="D169" s="8" t="s">
        <v>242</v>
      </c>
      <c r="E169" s="9" t="s">
        <v>243</v>
      </c>
      <c r="F169" s="6"/>
      <c r="G169" s="6"/>
      <c r="H169" s="6"/>
      <c r="I169" s="6" t="str">
        <f>HYPERLINK("11-01.pdf")</f>
        <v>11-01.pdf</v>
      </c>
      <c r="J169" s="6" t="str">
        <f>HYPERLINK("647-万病回春.txt")</f>
        <v>647-万病回春.txt</v>
      </c>
    </row>
    <row r="170" spans="1:10" x14ac:dyDescent="0.15">
      <c r="A170" s="5">
        <v>45</v>
      </c>
      <c r="B170" s="7"/>
      <c r="C170" s="8"/>
      <c r="D170" s="8"/>
      <c r="E170" s="9" t="s">
        <v>1166</v>
      </c>
      <c r="F170" s="6" t="s">
        <v>1167</v>
      </c>
      <c r="G170" s="6"/>
      <c r="H170" s="6"/>
      <c r="I170" s="6"/>
      <c r="J170" s="6"/>
    </row>
    <row r="171" spans="1:10" x14ac:dyDescent="0.15">
      <c r="A171" s="5">
        <v>45</v>
      </c>
      <c r="B171" s="7"/>
      <c r="C171" s="8"/>
      <c r="D171" s="8"/>
      <c r="E171" s="9" t="s">
        <v>1168</v>
      </c>
      <c r="F171" s="6" t="s">
        <v>1169</v>
      </c>
      <c r="G171" s="6"/>
      <c r="H171" s="6"/>
      <c r="I171" s="6"/>
      <c r="J171" s="6"/>
    </row>
    <row r="172" spans="1:10" x14ac:dyDescent="0.15">
      <c r="A172" s="5">
        <v>45</v>
      </c>
      <c r="B172" s="7"/>
      <c r="C172" s="8"/>
      <c r="D172" s="8"/>
      <c r="E172" s="9" t="s">
        <v>1170</v>
      </c>
      <c r="F172" s="6" t="s">
        <v>1167</v>
      </c>
      <c r="G172" s="6"/>
      <c r="H172" s="6"/>
      <c r="I172" s="6"/>
      <c r="J172" s="6"/>
    </row>
    <row r="173" spans="1:10" x14ac:dyDescent="0.15">
      <c r="A173" s="5">
        <v>45</v>
      </c>
      <c r="B173" s="7"/>
      <c r="C173" s="8"/>
      <c r="D173" s="8"/>
      <c r="E173" s="9" t="s">
        <v>1171</v>
      </c>
      <c r="F173" s="6" t="s">
        <v>1172</v>
      </c>
      <c r="G173" s="6"/>
      <c r="H173" s="6"/>
      <c r="I173" s="6"/>
      <c r="J173" s="6"/>
    </row>
    <row r="174" spans="1:10" x14ac:dyDescent="0.15">
      <c r="A174" s="5">
        <v>45</v>
      </c>
      <c r="B174" s="7"/>
      <c r="C174" s="8"/>
      <c r="D174" s="8"/>
      <c r="E174" s="18" t="s">
        <v>1200</v>
      </c>
      <c r="F174" s="6"/>
      <c r="G174" s="6"/>
      <c r="H174" s="6"/>
      <c r="I174" s="6"/>
      <c r="J174" s="6"/>
    </row>
    <row r="175" spans="1:10" x14ac:dyDescent="0.15">
      <c r="A175" s="5">
        <v>45</v>
      </c>
      <c r="B175" s="7"/>
      <c r="C175" s="10" t="s">
        <v>81</v>
      </c>
      <c r="D175" s="10"/>
      <c r="E175" s="6"/>
      <c r="F175" s="6"/>
      <c r="G175" s="6"/>
      <c r="H175" s="6"/>
      <c r="I175" s="6" t="str">
        <f>HYPERLINK("11-01　目次.pdf")</f>
        <v>11-01　目次.pdf</v>
      </c>
      <c r="J175" s="6"/>
    </row>
    <row r="176" spans="1:10" x14ac:dyDescent="0.15">
      <c r="A176" s="5">
        <v>45</v>
      </c>
      <c r="B176" s="7"/>
      <c r="C176" s="10" t="s">
        <v>82</v>
      </c>
      <c r="D176" s="10"/>
      <c r="E176" s="6"/>
      <c r="F176" s="6"/>
      <c r="G176" s="6"/>
      <c r="H176" s="6"/>
      <c r="I176" s="6" t="str">
        <f>HYPERLINK("11-01　解説.pdf")</f>
        <v>11-01　解説.pdf</v>
      </c>
      <c r="J176" s="6"/>
    </row>
    <row r="177" spans="1:10" x14ac:dyDescent="0.15">
      <c r="A177" s="5">
        <v>46</v>
      </c>
      <c r="B177" s="7" t="s">
        <v>244</v>
      </c>
      <c r="C177" s="11" t="s">
        <v>245</v>
      </c>
      <c r="D177" s="11" t="s">
        <v>246</v>
      </c>
      <c r="E177" s="9" t="s">
        <v>1086</v>
      </c>
      <c r="F177" s="6"/>
      <c r="G177" s="6"/>
      <c r="H177" s="6"/>
      <c r="I177" s="6" t="str">
        <f>HYPERLINK("11-02.pdf")</f>
        <v>11-02.pdf</v>
      </c>
      <c r="J177" s="6" t="str">
        <f>HYPERLINK("573-古今医鑑.txt")</f>
        <v>573-古今医鑑.txt</v>
      </c>
    </row>
    <row r="178" spans="1:10" x14ac:dyDescent="0.15">
      <c r="A178" s="5">
        <v>46</v>
      </c>
      <c r="B178" s="7"/>
      <c r="C178" s="11"/>
      <c r="D178" s="11"/>
      <c r="E178" s="9" t="s">
        <v>1173</v>
      </c>
      <c r="F178" s="6"/>
      <c r="G178" s="6"/>
      <c r="H178" s="6"/>
      <c r="I178" s="6"/>
      <c r="J178" s="6"/>
    </row>
    <row r="179" spans="1:10" x14ac:dyDescent="0.15">
      <c r="A179" s="5">
        <v>47</v>
      </c>
      <c r="B179" s="7" t="s">
        <v>247</v>
      </c>
      <c r="C179" s="11" t="s">
        <v>248</v>
      </c>
      <c r="D179" s="11" t="s">
        <v>249</v>
      </c>
      <c r="E179" s="9" t="s">
        <v>1174</v>
      </c>
      <c r="F179" s="6"/>
      <c r="G179" s="6"/>
      <c r="H179" s="6"/>
      <c r="I179" s="6" t="str">
        <f>HYPERLINK("11-03.pdf")</f>
        <v>11-03.pdf</v>
      </c>
      <c r="J179" s="6"/>
    </row>
    <row r="180" spans="1:10" x14ac:dyDescent="0.15">
      <c r="A180" s="5">
        <v>47</v>
      </c>
      <c r="B180" s="7"/>
      <c r="C180" s="11"/>
      <c r="D180" s="11"/>
      <c r="E180" s="9" t="s">
        <v>1175</v>
      </c>
      <c r="F180" s="6"/>
      <c r="G180" s="6"/>
      <c r="H180" s="6"/>
      <c r="I180" s="6"/>
      <c r="J180" s="6"/>
    </row>
    <row r="181" spans="1:10" x14ac:dyDescent="0.15">
      <c r="A181" s="5">
        <v>47</v>
      </c>
      <c r="B181" s="7"/>
      <c r="C181" s="12" t="s">
        <v>81</v>
      </c>
      <c r="D181" s="12"/>
      <c r="E181" s="6"/>
      <c r="F181" s="6"/>
      <c r="G181" s="6"/>
      <c r="H181" s="6"/>
      <c r="I181" s="6" t="str">
        <f>HYPERLINK("11-02 03　目次.pdf")</f>
        <v>11-02 03　目次.pdf</v>
      </c>
      <c r="J181" s="6"/>
    </row>
    <row r="182" spans="1:10" x14ac:dyDescent="0.15">
      <c r="A182" s="5">
        <v>47</v>
      </c>
      <c r="B182" s="7"/>
      <c r="C182" s="12" t="s">
        <v>82</v>
      </c>
      <c r="D182" s="12"/>
      <c r="E182" s="6"/>
      <c r="F182" s="6"/>
      <c r="G182" s="6"/>
      <c r="H182" s="6" t="s">
        <v>210</v>
      </c>
      <c r="I182" s="6" t="str">
        <f>HYPERLINK("11-02 03　解説.pdf")</f>
        <v>11-02 03　解説.pdf</v>
      </c>
      <c r="J182" s="6"/>
    </row>
    <row r="183" spans="1:10" x14ac:dyDescent="0.15">
      <c r="A183" s="1"/>
      <c r="B183" s="4" t="s">
        <v>250</v>
      </c>
      <c r="C183" s="39"/>
      <c r="D183" s="39"/>
      <c r="E183" s="4"/>
      <c r="F183" s="4"/>
      <c r="G183" s="4"/>
      <c r="H183" s="4"/>
      <c r="I183" s="4"/>
      <c r="J183" s="4"/>
    </row>
    <row r="184" spans="1:10" x14ac:dyDescent="0.15">
      <c r="A184" s="5">
        <v>48</v>
      </c>
      <c r="B184" s="37" t="s">
        <v>251</v>
      </c>
      <c r="C184" s="8" t="s">
        <v>252</v>
      </c>
      <c r="D184" s="8" t="s">
        <v>242</v>
      </c>
      <c r="E184" s="6"/>
      <c r="F184" s="6"/>
      <c r="G184" s="6"/>
      <c r="H184" s="6"/>
      <c r="I184" s="6" t="str">
        <f>HYPERLINK("12-01.pdf")</f>
        <v>12-01.pdf</v>
      </c>
      <c r="J184" s="6" t="str">
        <f>HYPERLINK("542-寿世保元.txt")</f>
        <v>542-寿世保元.txt</v>
      </c>
    </row>
    <row r="185" spans="1:10" x14ac:dyDescent="0.15">
      <c r="A185" s="5">
        <v>48</v>
      </c>
      <c r="B185" s="7"/>
      <c r="C185" s="10" t="s">
        <v>81</v>
      </c>
      <c r="D185" s="10"/>
      <c r="E185" s="6"/>
      <c r="F185" s="6"/>
      <c r="G185" s="6"/>
      <c r="H185" s="6"/>
      <c r="I185" s="6" t="str">
        <f>HYPERLINK("12-01　目次.pdf")</f>
        <v>12-01　目次.pdf</v>
      </c>
      <c r="J185" s="6"/>
    </row>
    <row r="186" spans="1:10" x14ac:dyDescent="0.15">
      <c r="A186" s="5">
        <v>48</v>
      </c>
      <c r="B186" s="7"/>
      <c r="C186" s="10" t="s">
        <v>82</v>
      </c>
      <c r="D186" s="10"/>
      <c r="E186" s="6"/>
      <c r="F186" s="6"/>
      <c r="G186" s="6"/>
      <c r="H186" s="6" t="s">
        <v>210</v>
      </c>
      <c r="I186" s="6" t="str">
        <f>HYPERLINK("12-01　解説.pdf")</f>
        <v>12-01　解説.pdf</v>
      </c>
      <c r="J186" s="6"/>
    </row>
    <row r="187" spans="1:10" x14ac:dyDescent="0.15">
      <c r="A187" s="5">
        <v>49</v>
      </c>
      <c r="B187" s="7" t="s">
        <v>253</v>
      </c>
      <c r="C187" s="11" t="s">
        <v>254</v>
      </c>
      <c r="D187" s="11" t="s">
        <v>249</v>
      </c>
      <c r="E187" s="9" t="s">
        <v>255</v>
      </c>
      <c r="F187" s="6"/>
      <c r="G187" s="6"/>
      <c r="H187" s="6"/>
      <c r="I187" s="6" t="str">
        <f>HYPERLINK("12-02.pdf")</f>
        <v>12-02.pdf</v>
      </c>
      <c r="J187" s="6"/>
    </row>
    <row r="188" spans="1:10" x14ac:dyDescent="0.15">
      <c r="A188" s="5">
        <v>49</v>
      </c>
      <c r="B188" s="7"/>
      <c r="C188" s="11"/>
      <c r="D188" s="11"/>
      <c r="E188" s="9" t="s">
        <v>1176</v>
      </c>
      <c r="F188" s="6" t="s">
        <v>1178</v>
      </c>
      <c r="G188" s="6"/>
      <c r="H188" s="6"/>
      <c r="I188" s="6"/>
      <c r="J188" s="6"/>
    </row>
    <row r="189" spans="1:10" x14ac:dyDescent="0.15">
      <c r="A189" s="5">
        <v>49</v>
      </c>
      <c r="B189" s="7"/>
      <c r="C189" s="11"/>
      <c r="D189" s="11"/>
      <c r="E189" s="9" t="s">
        <v>1177</v>
      </c>
      <c r="F189" s="6" t="s">
        <v>1178</v>
      </c>
      <c r="G189" s="6"/>
      <c r="H189" s="6"/>
      <c r="I189" s="6"/>
      <c r="J189" s="6"/>
    </row>
    <row r="190" spans="1:10" x14ac:dyDescent="0.15">
      <c r="A190" s="5">
        <v>49</v>
      </c>
      <c r="B190" s="7"/>
      <c r="C190" s="12" t="s">
        <v>81</v>
      </c>
      <c r="D190" s="12"/>
      <c r="E190" s="6"/>
      <c r="F190" s="6"/>
      <c r="G190" s="6"/>
      <c r="H190" s="6"/>
      <c r="I190" s="6" t="str">
        <f>HYPERLINK("12-02　目次.pdf")</f>
        <v>12-02　目次.pdf</v>
      </c>
      <c r="J190" s="6"/>
    </row>
    <row r="191" spans="1:10" x14ac:dyDescent="0.15">
      <c r="A191" s="5">
        <v>49</v>
      </c>
      <c r="B191" s="7"/>
      <c r="C191" s="12" t="s">
        <v>82</v>
      </c>
      <c r="D191" s="12"/>
      <c r="E191" s="6"/>
      <c r="F191" s="6"/>
      <c r="G191" s="6"/>
      <c r="H191" s="6" t="s">
        <v>210</v>
      </c>
      <c r="I191" s="6" t="str">
        <f>HYPERLINK("12-02　解説.pdf")</f>
        <v>12-02　解説.pdf</v>
      </c>
      <c r="J191" s="6"/>
    </row>
    <row r="192" spans="1:10" x14ac:dyDescent="0.15">
      <c r="A192" s="5">
        <v>50</v>
      </c>
      <c r="B192" s="7" t="s">
        <v>256</v>
      </c>
      <c r="C192" s="8" t="s">
        <v>257</v>
      </c>
      <c r="D192" s="8" t="s">
        <v>242</v>
      </c>
      <c r="E192" s="9" t="s">
        <v>1087</v>
      </c>
      <c r="F192" s="6"/>
      <c r="G192" s="6"/>
      <c r="H192" s="6"/>
      <c r="I192" s="6" t="str">
        <f>HYPERLINK("12-03.pdf")</f>
        <v>12-03.pdf</v>
      </c>
      <c r="J192" s="6"/>
    </row>
    <row r="193" spans="1:10" x14ac:dyDescent="0.15">
      <c r="A193" s="5">
        <v>50</v>
      </c>
      <c r="B193" s="7"/>
      <c r="C193" s="8"/>
      <c r="D193" s="8"/>
      <c r="E193" s="18" t="s">
        <v>1199</v>
      </c>
      <c r="F193" s="6"/>
      <c r="G193" s="6"/>
      <c r="H193" s="6"/>
      <c r="I193" s="6"/>
      <c r="J193" s="6"/>
    </row>
    <row r="194" spans="1:10" x14ac:dyDescent="0.15">
      <c r="A194" s="5">
        <v>51</v>
      </c>
      <c r="B194" s="7" t="s">
        <v>258</v>
      </c>
      <c r="C194" s="8" t="s">
        <v>259</v>
      </c>
      <c r="D194" s="8" t="s">
        <v>242</v>
      </c>
      <c r="E194" s="9" t="s">
        <v>1181</v>
      </c>
      <c r="F194" s="6" t="s">
        <v>1179</v>
      </c>
      <c r="G194" s="6"/>
      <c r="H194" s="6"/>
      <c r="I194" s="6" t="str">
        <f>HYPERLINK("12-04.pdf")</f>
        <v>12-04.pdf</v>
      </c>
      <c r="J194" s="6"/>
    </row>
    <row r="195" spans="1:10" x14ac:dyDescent="0.15">
      <c r="A195" s="5">
        <v>51</v>
      </c>
      <c r="B195" s="7"/>
      <c r="C195" s="8"/>
      <c r="D195" s="8"/>
      <c r="E195" s="9" t="s">
        <v>1182</v>
      </c>
      <c r="F195" s="6" t="s">
        <v>1180</v>
      </c>
      <c r="G195" s="6"/>
      <c r="H195" s="6"/>
      <c r="I195" s="6"/>
      <c r="J195" s="6"/>
    </row>
    <row r="196" spans="1:10" x14ac:dyDescent="0.15">
      <c r="A196" s="5">
        <v>51</v>
      </c>
      <c r="B196" s="7"/>
      <c r="C196" s="10" t="s">
        <v>81</v>
      </c>
      <c r="D196" s="10"/>
      <c r="E196" s="6"/>
      <c r="F196" s="6"/>
      <c r="G196" s="6"/>
      <c r="H196" s="6"/>
      <c r="I196" s="6" t="str">
        <f>HYPERLINK("12-03 04　目次.pdf")</f>
        <v>12-03 04　目次.pdf</v>
      </c>
      <c r="J196" s="6"/>
    </row>
    <row r="197" spans="1:10" x14ac:dyDescent="0.15">
      <c r="A197" s="5">
        <v>51</v>
      </c>
      <c r="B197" s="7"/>
      <c r="C197" s="10" t="s">
        <v>82</v>
      </c>
      <c r="D197" s="10"/>
      <c r="E197" s="6"/>
      <c r="F197" s="6"/>
      <c r="G197" s="6"/>
      <c r="H197" s="6" t="s">
        <v>95</v>
      </c>
      <c r="I197" s="6" t="str">
        <f>HYPERLINK("12-03 04　解説.pdf")</f>
        <v>12-03 04　解説.pdf</v>
      </c>
      <c r="J197" s="6"/>
    </row>
    <row r="198" spans="1:10" x14ac:dyDescent="0.15">
      <c r="A198" s="1"/>
      <c r="B198" s="4" t="s">
        <v>260</v>
      </c>
      <c r="C198" s="39"/>
      <c r="D198" s="39"/>
      <c r="E198" s="4"/>
      <c r="F198" s="4"/>
      <c r="G198" s="4"/>
      <c r="H198" s="4"/>
      <c r="I198" s="4"/>
      <c r="J198" s="4"/>
    </row>
    <row r="199" spans="1:10" x14ac:dyDescent="0.15">
      <c r="A199" s="5">
        <v>52</v>
      </c>
      <c r="B199" s="7" t="s">
        <v>261</v>
      </c>
      <c r="C199" s="11" t="s">
        <v>262</v>
      </c>
      <c r="D199" s="11" t="s">
        <v>263</v>
      </c>
      <c r="E199" s="9" t="s">
        <v>264</v>
      </c>
      <c r="F199" s="6"/>
      <c r="G199" s="6"/>
      <c r="H199" s="6"/>
      <c r="I199" s="6" t="str">
        <f>HYPERLINK("13-01.pdf")</f>
        <v>13-01.pdf</v>
      </c>
      <c r="J199" s="6" t="str">
        <f>HYPERLINK("471-傷寒論条弁.txt")</f>
        <v>471-傷寒論条弁.txt</v>
      </c>
    </row>
    <row r="200" spans="1:10" x14ac:dyDescent="0.15">
      <c r="A200" s="5">
        <v>52</v>
      </c>
      <c r="B200" s="7"/>
      <c r="C200" s="12" t="s">
        <v>81</v>
      </c>
      <c r="D200" s="12"/>
      <c r="E200" s="6"/>
      <c r="F200" s="6"/>
      <c r="G200" s="6"/>
      <c r="H200" s="6"/>
      <c r="I200" s="6" t="str">
        <f>HYPERLINK("13-01　目次.pdf")</f>
        <v>13-01　目次.pdf</v>
      </c>
      <c r="J200" s="6"/>
    </row>
    <row r="201" spans="1:10" x14ac:dyDescent="0.15">
      <c r="A201" s="5">
        <v>52</v>
      </c>
      <c r="B201" s="7"/>
      <c r="C201" s="12" t="s">
        <v>82</v>
      </c>
      <c r="D201" s="12"/>
      <c r="E201" s="6"/>
      <c r="F201" s="6"/>
      <c r="G201" s="9" t="s">
        <v>265</v>
      </c>
      <c r="H201" s="6" t="s">
        <v>83</v>
      </c>
      <c r="I201" s="6" t="str">
        <f>HYPERLINK("13-01　解説.pdf")</f>
        <v>13-01　解説.pdf</v>
      </c>
      <c r="J201" s="6"/>
    </row>
    <row r="202" spans="1:10" x14ac:dyDescent="0.15">
      <c r="A202" s="58">
        <v>53</v>
      </c>
      <c r="B202" s="7" t="s">
        <v>266</v>
      </c>
      <c r="C202" s="8" t="s">
        <v>267</v>
      </c>
      <c r="D202" s="8" t="s">
        <v>268</v>
      </c>
      <c r="E202" s="9" t="s">
        <v>269</v>
      </c>
      <c r="F202" s="6"/>
      <c r="G202" s="6"/>
      <c r="H202" s="6"/>
      <c r="I202" s="6" t="str">
        <f>HYPERLINK("13-02.pdf")</f>
        <v>13-02.pdf</v>
      </c>
      <c r="J202" s="6" t="str">
        <f>HYPERLINK("230-外科正宗.txt")</f>
        <v>230-外科正宗.txt</v>
      </c>
    </row>
    <row r="203" spans="1:10" x14ac:dyDescent="0.15">
      <c r="A203" s="5">
        <v>53</v>
      </c>
      <c r="B203" s="7"/>
      <c r="C203" s="8"/>
      <c r="D203" s="8"/>
      <c r="E203" s="9" t="s">
        <v>1183</v>
      </c>
      <c r="F203" s="6"/>
      <c r="G203" s="6"/>
      <c r="H203" s="6"/>
      <c r="I203" s="6"/>
      <c r="J203" s="6"/>
    </row>
    <row r="204" spans="1:10" x14ac:dyDescent="0.15">
      <c r="A204" s="5">
        <v>53</v>
      </c>
      <c r="B204" s="7"/>
      <c r="C204" s="10" t="s">
        <v>81</v>
      </c>
      <c r="D204" s="10"/>
      <c r="E204" s="6"/>
      <c r="F204" s="6"/>
      <c r="G204" s="6"/>
      <c r="H204" s="6"/>
      <c r="I204" s="6" t="str">
        <f>HYPERLINK("13-02　目次.pdf")</f>
        <v>13-02　目次.pdf</v>
      </c>
      <c r="J204" s="6"/>
    </row>
    <row r="205" spans="1:10" x14ac:dyDescent="0.15">
      <c r="A205" s="5">
        <v>53</v>
      </c>
      <c r="B205" s="7"/>
      <c r="C205" s="10" t="s">
        <v>82</v>
      </c>
      <c r="D205" s="10"/>
      <c r="E205" s="6"/>
      <c r="F205" s="6"/>
      <c r="G205" s="6"/>
      <c r="H205" s="6" t="s">
        <v>95</v>
      </c>
      <c r="I205" s="6" t="str">
        <f>HYPERLINK("13-02　解説.pdf")</f>
        <v>13-02　解説.pdf</v>
      </c>
      <c r="J205" s="6"/>
    </row>
    <row r="206" spans="1:10" x14ac:dyDescent="0.15">
      <c r="A206" s="1"/>
      <c r="B206" s="4" t="s">
        <v>270</v>
      </c>
      <c r="C206" s="39"/>
      <c r="D206" s="39"/>
      <c r="E206" s="4"/>
      <c r="F206" s="4"/>
      <c r="G206" s="4"/>
      <c r="H206" s="4"/>
      <c r="I206" s="4"/>
      <c r="J206" s="4"/>
    </row>
    <row r="207" spans="1:10" x14ac:dyDescent="0.15">
      <c r="A207" s="5">
        <v>54</v>
      </c>
      <c r="B207" s="7" t="s">
        <v>271</v>
      </c>
      <c r="C207" s="11" t="s">
        <v>272</v>
      </c>
      <c r="D207" s="11" t="s">
        <v>273</v>
      </c>
      <c r="E207" s="9" t="s">
        <v>1088</v>
      </c>
      <c r="F207" s="62" t="s">
        <v>4124</v>
      </c>
      <c r="G207" s="6"/>
      <c r="H207" s="6"/>
      <c r="I207" s="6" t="str">
        <f>HYPERLINK("14-01.pdf")</f>
        <v>14-01.pdf</v>
      </c>
      <c r="J207" s="6"/>
    </row>
    <row r="208" spans="1:10" x14ac:dyDescent="0.15">
      <c r="A208" s="5">
        <v>54</v>
      </c>
      <c r="B208" s="7"/>
      <c r="C208" s="12"/>
      <c r="D208" s="12"/>
      <c r="E208" s="18" t="s">
        <v>857</v>
      </c>
      <c r="F208" s="6"/>
      <c r="G208" s="6"/>
      <c r="H208" s="6"/>
      <c r="I208" s="6" t="str">
        <f>HYPERLINK("14-01　目次.pdf")</f>
        <v>14-01　目次.pdf</v>
      </c>
      <c r="J208" s="6"/>
    </row>
    <row r="209" spans="1:10" x14ac:dyDescent="0.15">
      <c r="A209" s="5"/>
      <c r="B209" s="7"/>
      <c r="C209" s="12" t="s">
        <v>81</v>
      </c>
      <c r="D209" s="12"/>
      <c r="E209" s="18"/>
      <c r="F209" s="6"/>
      <c r="G209" s="6"/>
      <c r="H209" s="6"/>
      <c r="I209" s="6"/>
      <c r="J209" s="6"/>
    </row>
    <row r="210" spans="1:10" x14ac:dyDescent="0.15">
      <c r="A210" s="5">
        <v>54</v>
      </c>
      <c r="B210" s="7"/>
      <c r="C210" s="12" t="s">
        <v>82</v>
      </c>
      <c r="D210" s="12"/>
      <c r="E210" s="6"/>
      <c r="F210" s="6"/>
      <c r="G210" s="6"/>
      <c r="H210" s="6" t="s">
        <v>95</v>
      </c>
      <c r="I210" s="6" t="str">
        <f>HYPERLINK("14-01　解説.pdf")</f>
        <v>14-01　解説.pdf</v>
      </c>
      <c r="J210" s="6"/>
    </row>
    <row r="211" spans="1:10" x14ac:dyDescent="0.15">
      <c r="A211" s="58">
        <v>55</v>
      </c>
      <c r="B211" s="7" t="s">
        <v>274</v>
      </c>
      <c r="C211" s="8" t="s">
        <v>275</v>
      </c>
      <c r="D211" s="8" t="s">
        <v>276</v>
      </c>
      <c r="E211" s="9" t="s">
        <v>1184</v>
      </c>
      <c r="F211" s="6" t="s">
        <v>1185</v>
      </c>
      <c r="G211" s="6"/>
      <c r="H211" s="6"/>
      <c r="I211" s="6" t="str">
        <f>HYPERLINK("14-02.pdf")</f>
        <v>14-02.pdf</v>
      </c>
      <c r="J211" s="6" t="str">
        <f>HYPERLINK("364-医貫.txt")</f>
        <v>364-医貫.txt</v>
      </c>
    </row>
    <row r="212" spans="1:10" x14ac:dyDescent="0.15">
      <c r="A212" s="5">
        <v>55</v>
      </c>
      <c r="B212" s="7"/>
      <c r="C212" s="10" t="s">
        <v>81</v>
      </c>
      <c r="D212" s="10"/>
      <c r="E212" s="6"/>
      <c r="F212" s="6"/>
      <c r="G212" s="6"/>
      <c r="H212" s="6"/>
      <c r="I212" s="6" t="str">
        <f>HYPERLINK("14-02　目次.pdf")</f>
        <v>14-02　目次.pdf</v>
      </c>
      <c r="J212" s="6"/>
    </row>
    <row r="213" spans="1:10" x14ac:dyDescent="0.15">
      <c r="A213" s="5">
        <v>55</v>
      </c>
      <c r="B213" s="7"/>
      <c r="C213" s="10" t="s">
        <v>82</v>
      </c>
      <c r="D213" s="10"/>
      <c r="E213" s="6"/>
      <c r="F213" s="6"/>
      <c r="G213" s="9" t="s">
        <v>277</v>
      </c>
      <c r="H213" s="6" t="s">
        <v>83</v>
      </c>
      <c r="I213" s="6" t="str">
        <f>HYPERLINK("14-02　解説.pdf")</f>
        <v>14-02　解説.pdf</v>
      </c>
      <c r="J213" s="6"/>
    </row>
    <row r="214" spans="1:10" x14ac:dyDescent="0.15">
      <c r="A214" s="1"/>
      <c r="B214" s="41" t="s">
        <v>278</v>
      </c>
      <c r="C214" s="39"/>
      <c r="D214" s="39"/>
      <c r="E214" s="4"/>
      <c r="F214" s="4"/>
      <c r="G214" s="4"/>
      <c r="H214" s="4"/>
      <c r="I214" s="4"/>
      <c r="J214" s="4"/>
    </row>
    <row r="215" spans="1:10" x14ac:dyDescent="0.15">
      <c r="A215" s="5">
        <v>56</v>
      </c>
      <c r="B215" s="7" t="s">
        <v>279</v>
      </c>
      <c r="C215" s="11" t="s">
        <v>280</v>
      </c>
      <c r="D215" s="11" t="s">
        <v>281</v>
      </c>
      <c r="E215" s="9" t="s">
        <v>282</v>
      </c>
      <c r="F215" s="6"/>
      <c r="G215" s="6"/>
      <c r="H215" s="6"/>
      <c r="I215" s="6" t="str">
        <f>HYPERLINK("15-01.pdf")</f>
        <v>15-01.pdf</v>
      </c>
      <c r="J215" s="6"/>
    </row>
    <row r="216" spans="1:10" x14ac:dyDescent="0.15">
      <c r="A216" s="5">
        <v>56</v>
      </c>
      <c r="B216" s="7"/>
      <c r="C216" s="11"/>
      <c r="D216" s="11"/>
      <c r="E216" s="9" t="s">
        <v>1186</v>
      </c>
      <c r="F216" s="6"/>
      <c r="G216" s="6"/>
      <c r="H216" s="6"/>
      <c r="I216" s="6"/>
      <c r="J216" s="6"/>
    </row>
    <row r="217" spans="1:10" x14ac:dyDescent="0.15">
      <c r="A217" s="5">
        <v>57</v>
      </c>
      <c r="B217" s="7" t="s">
        <v>283</v>
      </c>
      <c r="C217" s="11" t="s">
        <v>284</v>
      </c>
      <c r="D217" s="11" t="s">
        <v>285</v>
      </c>
      <c r="E217" s="9" t="s">
        <v>1187</v>
      </c>
      <c r="F217" s="6" t="s">
        <v>1188</v>
      </c>
      <c r="G217" s="6"/>
      <c r="H217" s="6"/>
      <c r="I217" s="9" t="str">
        <f>HYPERLINK("15-02.pdf")</f>
        <v>15-02.pdf</v>
      </c>
      <c r="J217" s="6"/>
    </row>
    <row r="218" spans="1:10" x14ac:dyDescent="0.15">
      <c r="A218" s="5">
        <v>58</v>
      </c>
      <c r="B218" s="7" t="s">
        <v>286</v>
      </c>
      <c r="C218" s="11" t="s">
        <v>287</v>
      </c>
      <c r="D218" s="11" t="s">
        <v>285</v>
      </c>
      <c r="E218" s="9" t="s">
        <v>282</v>
      </c>
      <c r="F218" s="6"/>
      <c r="G218" s="6"/>
      <c r="H218" s="6"/>
      <c r="I218" s="9" t="str">
        <f>HYPERLINK("15-03.pdf")</f>
        <v>15-03.pdf</v>
      </c>
      <c r="J218" s="6"/>
    </row>
    <row r="219" spans="1:10" x14ac:dyDescent="0.15">
      <c r="A219" s="5">
        <v>59</v>
      </c>
      <c r="B219" s="37" t="s">
        <v>288</v>
      </c>
      <c r="C219" s="11" t="s">
        <v>289</v>
      </c>
      <c r="D219" s="11" t="s">
        <v>290</v>
      </c>
      <c r="E219" s="6"/>
      <c r="F219" s="6"/>
      <c r="G219" s="6"/>
      <c r="H219" s="6"/>
      <c r="I219" s="14" t="str">
        <f>HYPERLINK("15-04.pdf")</f>
        <v>15-04.pdf</v>
      </c>
      <c r="J219" s="6"/>
    </row>
    <row r="220" spans="1:10" x14ac:dyDescent="0.15">
      <c r="A220" s="5">
        <v>60</v>
      </c>
      <c r="B220" s="37" t="s">
        <v>291</v>
      </c>
      <c r="C220" s="11" t="s">
        <v>292</v>
      </c>
      <c r="D220" s="11" t="s">
        <v>285</v>
      </c>
      <c r="E220" s="6"/>
      <c r="F220" s="6"/>
      <c r="G220" s="6"/>
      <c r="H220" s="6"/>
      <c r="I220" s="6" t="str">
        <f>HYPERLINK("15-05.pdf")</f>
        <v>15-05.pdf</v>
      </c>
      <c r="J220" s="6"/>
    </row>
    <row r="221" spans="1:10" x14ac:dyDescent="0.15">
      <c r="A221" s="5">
        <v>60</v>
      </c>
      <c r="B221" s="7"/>
      <c r="C221" s="12" t="s">
        <v>81</v>
      </c>
      <c r="D221" s="12"/>
      <c r="E221" s="6"/>
      <c r="F221" s="6"/>
      <c r="G221" s="6"/>
      <c r="H221" s="6"/>
      <c r="I221" s="6" t="str">
        <f>HYPERLINK("15-01　目次.pdf")</f>
        <v>15-01　目次.pdf</v>
      </c>
      <c r="J221" s="6"/>
    </row>
    <row r="222" spans="1:10" x14ac:dyDescent="0.15">
      <c r="A222" s="5">
        <v>61</v>
      </c>
      <c r="B222" s="7" t="s">
        <v>293</v>
      </c>
      <c r="C222" s="11" t="s">
        <v>294</v>
      </c>
      <c r="D222" s="11" t="s">
        <v>281</v>
      </c>
      <c r="E222" s="9" t="s">
        <v>295</v>
      </c>
      <c r="F222" s="6"/>
      <c r="G222" s="6"/>
      <c r="H222" s="6"/>
      <c r="I222" s="9" t="str">
        <f>HYPERLINK("15-06.pdf")</f>
        <v>15-06.pdf</v>
      </c>
      <c r="J222" s="6" t="str">
        <f>HYPERLINK("207-医門法律.txt")</f>
        <v>207-医門法律.txt</v>
      </c>
    </row>
    <row r="223" spans="1:10" x14ac:dyDescent="0.15">
      <c r="A223" s="5">
        <v>61</v>
      </c>
      <c r="B223" s="7"/>
      <c r="C223" s="11"/>
      <c r="D223" s="11"/>
      <c r="E223" s="9" t="s">
        <v>1189</v>
      </c>
      <c r="F223" s="6"/>
      <c r="G223" s="6"/>
      <c r="H223" s="6"/>
      <c r="I223" s="9"/>
      <c r="J223" s="6"/>
    </row>
    <row r="224" spans="1:10" x14ac:dyDescent="0.15">
      <c r="A224" s="5">
        <v>61</v>
      </c>
      <c r="B224" s="7"/>
      <c r="C224" s="12" t="s">
        <v>81</v>
      </c>
      <c r="D224" s="12"/>
      <c r="E224" s="6"/>
      <c r="F224" s="6"/>
      <c r="G224" s="6"/>
      <c r="H224" s="6"/>
      <c r="I224" s="9" t="str">
        <f>HYPERLINK("15-06　目次.pdf")</f>
        <v>15-06　目次.pdf</v>
      </c>
      <c r="J224" s="6"/>
    </row>
    <row r="225" spans="1:10" x14ac:dyDescent="0.15">
      <c r="A225" s="5">
        <v>61</v>
      </c>
      <c r="B225" s="7"/>
      <c r="C225" s="12" t="s">
        <v>82</v>
      </c>
      <c r="D225" s="12"/>
      <c r="E225" s="6"/>
      <c r="F225" s="6"/>
      <c r="G225" s="9" t="s">
        <v>296</v>
      </c>
      <c r="H225" s="6" t="s">
        <v>83</v>
      </c>
      <c r="I225" s="9" t="str">
        <f>HYPERLINK("15-01 06　解説.pdf")</f>
        <v>15-01 06　解説.pdf</v>
      </c>
      <c r="J225" s="6"/>
    </row>
    <row r="226" spans="1:10" x14ac:dyDescent="0.15">
      <c r="A226" s="58">
        <v>62</v>
      </c>
      <c r="B226" s="7" t="s">
        <v>297</v>
      </c>
      <c r="C226" s="8" t="s">
        <v>298</v>
      </c>
      <c r="D226" s="8" t="s">
        <v>299</v>
      </c>
      <c r="E226" s="9" t="s">
        <v>300</v>
      </c>
      <c r="F226" s="6" t="s">
        <v>3496</v>
      </c>
      <c r="G226" s="6"/>
      <c r="H226" s="6"/>
      <c r="I226" s="6" t="str">
        <f>HYPERLINK("15-07.pdf")</f>
        <v>15-07.pdf</v>
      </c>
      <c r="J226" s="6" t="str">
        <f>HYPERLINK("522-温疫論.txt")</f>
        <v>522-温疫論.txt</v>
      </c>
    </row>
    <row r="227" spans="1:10" x14ac:dyDescent="0.15">
      <c r="A227" s="5">
        <v>62</v>
      </c>
      <c r="B227" s="7"/>
      <c r="C227" s="8"/>
      <c r="D227" s="8"/>
      <c r="E227" s="9" t="s">
        <v>1190</v>
      </c>
      <c r="F227" s="6" t="s">
        <v>1191</v>
      </c>
      <c r="G227" s="6"/>
      <c r="H227" s="6"/>
      <c r="I227" s="6"/>
      <c r="J227" s="6"/>
    </row>
    <row r="228" spans="1:10" x14ac:dyDescent="0.15">
      <c r="A228" s="5">
        <v>62</v>
      </c>
      <c r="B228" s="7"/>
      <c r="C228" s="8"/>
      <c r="D228" s="8"/>
      <c r="E228" s="60" t="s">
        <v>3497</v>
      </c>
      <c r="F228" s="6" t="s">
        <v>1192</v>
      </c>
      <c r="G228" s="6"/>
      <c r="H228" s="6"/>
      <c r="I228" s="6"/>
      <c r="J228" s="6"/>
    </row>
    <row r="229" spans="1:10" x14ac:dyDescent="0.15">
      <c r="A229" s="5">
        <v>62</v>
      </c>
      <c r="B229" s="7"/>
      <c r="C229" s="10" t="s">
        <v>81</v>
      </c>
      <c r="D229" s="10"/>
      <c r="E229" s="9" t="s">
        <v>301</v>
      </c>
      <c r="F229" s="6" t="s">
        <v>3495</v>
      </c>
      <c r="G229" s="6"/>
      <c r="H229" s="6"/>
      <c r="I229" s="9" t="str">
        <f>HYPERLINK("15-07　目次.pdf")</f>
        <v>15-07　目次.pdf</v>
      </c>
      <c r="J229" s="6"/>
    </row>
    <row r="230" spans="1:10" x14ac:dyDescent="0.15">
      <c r="A230" s="5">
        <v>62</v>
      </c>
      <c r="B230" s="7"/>
      <c r="C230" s="10" t="s">
        <v>82</v>
      </c>
      <c r="D230" s="10"/>
      <c r="E230" s="6"/>
      <c r="F230" s="6"/>
      <c r="G230" s="9" t="s">
        <v>302</v>
      </c>
      <c r="H230" s="6" t="s">
        <v>83</v>
      </c>
      <c r="I230" s="6" t="str">
        <f>HYPERLINK("15-07　解説.pdf")</f>
        <v>15-07　解説.pdf</v>
      </c>
      <c r="J230" s="6"/>
    </row>
    <row r="231" spans="1:10" x14ac:dyDescent="0.15">
      <c r="A231" s="1"/>
      <c r="B231" s="4" t="s">
        <v>303</v>
      </c>
      <c r="C231" s="39"/>
      <c r="D231" s="39"/>
      <c r="E231" s="4"/>
      <c r="F231" s="4"/>
      <c r="G231" s="4"/>
      <c r="H231" s="4"/>
      <c r="I231" s="4"/>
      <c r="J231" s="4"/>
    </row>
    <row r="232" spans="1:10" x14ac:dyDescent="0.15">
      <c r="A232" s="5">
        <v>63</v>
      </c>
      <c r="B232" s="7" t="s">
        <v>304</v>
      </c>
      <c r="C232" s="11" t="s">
        <v>305</v>
      </c>
      <c r="D232" s="11" t="s">
        <v>306</v>
      </c>
      <c r="E232" s="9" t="s">
        <v>307</v>
      </c>
      <c r="F232" s="6"/>
      <c r="G232" s="6"/>
      <c r="H232" s="6"/>
      <c r="I232" s="6" t="str">
        <f>HYPERLINK("16-01.pdf")</f>
        <v>16-01.pdf</v>
      </c>
      <c r="J232" s="6"/>
    </row>
    <row r="233" spans="1:10" x14ac:dyDescent="0.15">
      <c r="A233" s="5">
        <v>63</v>
      </c>
      <c r="B233" s="7"/>
      <c r="C233" s="12" t="s">
        <v>81</v>
      </c>
      <c r="D233" s="12"/>
      <c r="E233" s="6"/>
      <c r="F233" s="6"/>
      <c r="G233" s="6"/>
      <c r="H233" s="6"/>
      <c r="I233" s="6" t="str">
        <f>HYPERLINK("16-01　目次.pdf")</f>
        <v>16-01　目次.pdf</v>
      </c>
      <c r="J233" s="6"/>
    </row>
    <row r="234" spans="1:10" x14ac:dyDescent="0.15">
      <c r="A234" s="5">
        <v>63</v>
      </c>
      <c r="B234" s="7"/>
      <c r="C234" s="12" t="s">
        <v>82</v>
      </c>
      <c r="D234" s="12"/>
      <c r="E234" s="6"/>
      <c r="F234" s="6"/>
      <c r="G234" s="6"/>
      <c r="H234" s="6" t="s">
        <v>95</v>
      </c>
      <c r="I234" s="6" t="str">
        <f>HYPERLINK("16-01　解説.pdf")</f>
        <v>16-01　解説.pdf</v>
      </c>
      <c r="J234" s="6"/>
    </row>
    <row r="235" spans="1:10" x14ac:dyDescent="0.15">
      <c r="A235" s="58">
        <v>64</v>
      </c>
      <c r="B235" s="13" t="s">
        <v>308</v>
      </c>
      <c r="C235" s="8" t="s">
        <v>309</v>
      </c>
      <c r="D235" s="8" t="s">
        <v>87</v>
      </c>
      <c r="E235" s="18" t="s">
        <v>1194</v>
      </c>
      <c r="F235" s="6"/>
      <c r="G235" s="6"/>
      <c r="H235" s="6"/>
      <c r="I235" s="6" t="str">
        <f>HYPERLINK("16-02.pdf")</f>
        <v>16-02.pdf</v>
      </c>
      <c r="J235" s="6" t="str">
        <f>HYPERLINK("461-注解傷寒論.txt")</f>
        <v>461-注解傷寒論.txt</v>
      </c>
    </row>
    <row r="236" spans="1:10" x14ac:dyDescent="0.15">
      <c r="A236" s="5">
        <v>64</v>
      </c>
      <c r="B236" s="13"/>
      <c r="C236" s="8"/>
      <c r="D236" s="8"/>
      <c r="E236" s="18" t="s">
        <v>1195</v>
      </c>
      <c r="F236" s="6"/>
      <c r="G236" s="6"/>
      <c r="H236" s="6"/>
      <c r="I236" s="6"/>
      <c r="J236" s="6"/>
    </row>
    <row r="237" spans="1:10" x14ac:dyDescent="0.15">
      <c r="A237" s="5">
        <v>64</v>
      </c>
      <c r="B237" s="13"/>
      <c r="C237" s="8"/>
      <c r="D237" s="8"/>
      <c r="E237" s="18" t="s">
        <v>1196</v>
      </c>
      <c r="F237" s="6"/>
      <c r="G237" s="6"/>
      <c r="H237" s="6"/>
      <c r="I237" s="6"/>
      <c r="J237" s="6"/>
    </row>
    <row r="238" spans="1:10" x14ac:dyDescent="0.15">
      <c r="A238" s="5">
        <v>64</v>
      </c>
      <c r="B238" s="13"/>
      <c r="C238" s="8"/>
      <c r="D238" s="8"/>
      <c r="E238" s="18" t="s">
        <v>1198</v>
      </c>
      <c r="F238" s="6"/>
      <c r="G238" s="6"/>
      <c r="H238" s="6"/>
      <c r="I238" s="6"/>
      <c r="J238" s="6"/>
    </row>
    <row r="239" spans="1:10" x14ac:dyDescent="0.15">
      <c r="A239" s="5"/>
      <c r="B239" s="13"/>
      <c r="C239" s="8"/>
      <c r="D239" s="8"/>
      <c r="E239" s="61" t="s">
        <v>3560</v>
      </c>
      <c r="F239" s="6"/>
      <c r="G239" s="6"/>
      <c r="H239" s="6"/>
      <c r="I239" s="6"/>
      <c r="J239" s="6"/>
    </row>
    <row r="240" spans="1:10" x14ac:dyDescent="0.15">
      <c r="A240" s="5">
        <v>65</v>
      </c>
      <c r="B240" s="37" t="s">
        <v>310</v>
      </c>
      <c r="C240" s="8" t="s">
        <v>311</v>
      </c>
      <c r="D240" s="8"/>
      <c r="E240" s="6"/>
      <c r="F240" s="6"/>
      <c r="G240" s="9" t="s">
        <v>312</v>
      </c>
      <c r="H240" s="6" t="s">
        <v>83</v>
      </c>
      <c r="I240" s="6" t="str">
        <f>HYPERLINK("16-03-00.pdf")</f>
        <v>16-03-00.pdf</v>
      </c>
      <c r="J240" s="6"/>
    </row>
    <row r="241" spans="1:10" x14ac:dyDescent="0.15">
      <c r="A241" s="5">
        <v>66</v>
      </c>
      <c r="B241" s="37" t="s">
        <v>313</v>
      </c>
      <c r="C241" s="8" t="s">
        <v>314</v>
      </c>
      <c r="D241" s="8"/>
      <c r="E241" s="6"/>
      <c r="F241" s="6"/>
      <c r="G241" s="6"/>
      <c r="H241" s="6"/>
      <c r="I241" s="6" t="str">
        <f>HYPERLINK("16-03-01.pdf")</f>
        <v>16-03-01.pdf</v>
      </c>
      <c r="J241" s="6" t="str">
        <f>HYPERLINK("638-訂正仲景全書傷寒論注.txt")</f>
        <v>638-訂正仲景全書傷寒論注.txt</v>
      </c>
    </row>
    <row r="242" spans="1:10" x14ac:dyDescent="0.15">
      <c r="A242" s="5">
        <v>67</v>
      </c>
      <c r="B242" s="37" t="s">
        <v>315</v>
      </c>
      <c r="C242" s="8" t="s">
        <v>316</v>
      </c>
      <c r="D242" s="8"/>
      <c r="E242" s="6"/>
      <c r="F242" s="6"/>
      <c r="G242" s="6"/>
      <c r="H242" s="6"/>
      <c r="I242" s="6" t="str">
        <f>HYPERLINK("16-03-02.pdf")</f>
        <v>16-03-02.pdf</v>
      </c>
      <c r="J242" s="6" t="str">
        <f>HYPERLINK("642-訂正仲景全書金匱要略注.txt")</f>
        <v>642-訂正仲景全書金匱要略注.txt</v>
      </c>
    </row>
    <row r="243" spans="1:10" x14ac:dyDescent="0.15">
      <c r="A243" s="58">
        <v>68</v>
      </c>
      <c r="B243" s="7" t="s">
        <v>317</v>
      </c>
      <c r="C243" s="8" t="s">
        <v>318</v>
      </c>
      <c r="D243" s="8"/>
      <c r="E243" s="9" t="s">
        <v>319</v>
      </c>
      <c r="F243" s="6"/>
      <c r="G243" s="6"/>
      <c r="H243" s="6"/>
      <c r="I243" s="6" t="str">
        <f>HYPERLINK("16-03-03.pdf")</f>
        <v>16-03-03.pdf</v>
      </c>
      <c r="J243" s="6"/>
    </row>
    <row r="244" spans="1:10" x14ac:dyDescent="0.15">
      <c r="A244" s="5">
        <v>68</v>
      </c>
      <c r="B244" s="7"/>
      <c r="C244" s="8"/>
      <c r="D244" s="8"/>
      <c r="E244" s="61" t="s">
        <v>1197</v>
      </c>
      <c r="F244" s="6"/>
      <c r="G244" s="6"/>
      <c r="H244" s="6"/>
      <c r="I244" s="6"/>
      <c r="J244" s="6"/>
    </row>
    <row r="245" spans="1:10" x14ac:dyDescent="0.15">
      <c r="A245" s="5">
        <v>68</v>
      </c>
      <c r="B245" s="7"/>
      <c r="C245" s="10" t="s">
        <v>81</v>
      </c>
      <c r="D245" s="10"/>
      <c r="E245" s="6"/>
      <c r="F245" s="6"/>
      <c r="G245" s="6"/>
      <c r="H245" s="6"/>
      <c r="I245" s="6" t="str">
        <f>HYPERLINK("16-02 03　目次.pdf")</f>
        <v>16-02 03　目次.pdf</v>
      </c>
      <c r="J245" s="6"/>
    </row>
    <row r="246" spans="1:10" x14ac:dyDescent="0.15">
      <c r="A246" s="5">
        <v>68</v>
      </c>
      <c r="B246" s="7"/>
      <c r="C246" s="10" t="s">
        <v>82</v>
      </c>
      <c r="D246" s="10"/>
      <c r="E246" s="6"/>
      <c r="F246" s="6"/>
      <c r="G246" s="9" t="s">
        <v>320</v>
      </c>
      <c r="H246" s="6" t="s">
        <v>83</v>
      </c>
      <c r="I246" s="6" t="str">
        <f>HYPERLINK("16-02 03　解説.pdf")</f>
        <v>16-02 03　解説.pdf</v>
      </c>
      <c r="J246" s="6"/>
    </row>
    <row r="248" spans="1:10" x14ac:dyDescent="0.15">
      <c r="B248" t="s">
        <v>2110</v>
      </c>
    </row>
    <row r="249" spans="1:10" x14ac:dyDescent="0.15">
      <c r="B249" t="s">
        <v>1210</v>
      </c>
    </row>
    <row r="250" spans="1:10" x14ac:dyDescent="0.15">
      <c r="B250" s="56">
        <v>43648</v>
      </c>
    </row>
    <row r="251" spans="1:10" x14ac:dyDescent="0.15">
      <c r="B251" s="56"/>
      <c r="C251" t="s">
        <v>181</v>
      </c>
      <c r="D251" t="s">
        <v>2101</v>
      </c>
    </row>
    <row r="252" spans="1:10" x14ac:dyDescent="0.15">
      <c r="B252" s="56"/>
      <c r="C252" t="s">
        <v>183</v>
      </c>
      <c r="D252" t="s">
        <v>2101</v>
      </c>
    </row>
    <row r="253" spans="1:10" x14ac:dyDescent="0.15">
      <c r="B253" s="56"/>
      <c r="C253" t="s">
        <v>2102</v>
      </c>
      <c r="D253" t="s">
        <v>2103</v>
      </c>
    </row>
    <row r="254" spans="1:10" x14ac:dyDescent="0.15">
      <c r="B254" s="57"/>
      <c r="C254" t="s">
        <v>186</v>
      </c>
      <c r="D254" t="s">
        <v>187</v>
      </c>
    </row>
    <row r="255" spans="1:10" x14ac:dyDescent="0.15">
      <c r="B255" s="57"/>
      <c r="C255" s="55" t="s">
        <v>194</v>
      </c>
      <c r="D255" t="s">
        <v>2104</v>
      </c>
    </row>
    <row r="256" spans="1:10" x14ac:dyDescent="0.15">
      <c r="B256" s="57"/>
      <c r="E256" t="s">
        <v>217</v>
      </c>
      <c r="F256" t="s">
        <v>214</v>
      </c>
    </row>
    <row r="257" spans="2:4" x14ac:dyDescent="0.15">
      <c r="B257" s="57"/>
      <c r="C257" t="s">
        <v>252</v>
      </c>
      <c r="D257" t="s">
        <v>249</v>
      </c>
    </row>
    <row r="258" spans="2:4" x14ac:dyDescent="0.15">
      <c r="B258" s="57"/>
      <c r="C258" t="s">
        <v>289</v>
      </c>
      <c r="D258" t="s">
        <v>2105</v>
      </c>
    </row>
    <row r="259" spans="2:4" x14ac:dyDescent="0.15">
      <c r="B259" s="57"/>
      <c r="C259" t="s">
        <v>292</v>
      </c>
      <c r="D259" t="s">
        <v>2106</v>
      </c>
    </row>
    <row r="260" spans="2:4" x14ac:dyDescent="0.15">
      <c r="B260" s="57"/>
      <c r="C260" t="s">
        <v>311</v>
      </c>
    </row>
    <row r="261" spans="2:4" x14ac:dyDescent="0.15">
      <c r="B261" s="56"/>
      <c r="C261" t="s">
        <v>2107</v>
      </c>
    </row>
    <row r="262" spans="2:4" x14ac:dyDescent="0.15">
      <c r="B262" s="56"/>
      <c r="C262" t="s">
        <v>2108</v>
      </c>
    </row>
    <row r="263" spans="2:4" x14ac:dyDescent="0.15">
      <c r="B263" t="s">
        <v>6339</v>
      </c>
    </row>
    <row r="264" spans="2:4" x14ac:dyDescent="0.15">
      <c r="B264" s="18" t="s">
        <v>6338</v>
      </c>
    </row>
  </sheetData>
  <autoFilter ref="A1:J246"/>
  <phoneticPr fontId="2"/>
  <hyperlinks>
    <hyperlink ref="G10" r:id="rId1"/>
    <hyperlink ref="G14" r:id="rId2"/>
    <hyperlink ref="G34" r:id="rId3"/>
    <hyperlink ref="G39" r:id="rId4"/>
    <hyperlink ref="G72" r:id="rId5"/>
    <hyperlink ref="G78" r:id="rId6"/>
    <hyperlink ref="G81" r:id="rId7"/>
    <hyperlink ref="G83" r:id="rId8"/>
    <hyperlink ref="G84" r:id="rId9"/>
    <hyperlink ref="G85" r:id="rId10"/>
    <hyperlink ref="G86" r:id="rId11"/>
    <hyperlink ref="G87" r:id="rId12"/>
    <hyperlink ref="G88" r:id="rId13"/>
    <hyperlink ref="G103" r:id="rId14"/>
    <hyperlink ref="G107" r:id="rId15"/>
    <hyperlink ref="G134" r:id="rId16"/>
    <hyperlink ref="G201" r:id="rId17"/>
    <hyperlink ref="G240" r:id="rId18"/>
    <hyperlink ref="G230" r:id="rId19"/>
    <hyperlink ref="G225" r:id="rId20"/>
    <hyperlink ref="G213" r:id="rId21"/>
    <hyperlink ref="G160" r:id="rId22"/>
    <hyperlink ref="G246" r:id="rId23"/>
    <hyperlink ref="F58" r:id="rId24" display="https://rmda.kulib.kyoto-u.ac.jp/item/rb00002686"/>
    <hyperlink ref="F59" r:id="rId25" display="https://rmda.kulib.kyoto-u.ac.jp/item/rb00019945"/>
    <hyperlink ref="F64" r:id="rId26" display="https://rmda.kulib.kyoto-u.ac.jp/item/rb00002955"/>
    <hyperlink ref="F79" r:id="rId27"/>
    <hyperlink ref="F80" r:id="rId28"/>
    <hyperlink ref="F81" r:id="rId29"/>
    <hyperlink ref="F83" r:id="rId30"/>
    <hyperlink ref="F84" r:id="rId31"/>
    <hyperlink ref="F85" r:id="rId32"/>
    <hyperlink ref="F86" r:id="rId33"/>
    <hyperlink ref="F87" r:id="rId34"/>
    <hyperlink ref="F88" r:id="rId35"/>
    <hyperlink ref="F89" r:id="rId36"/>
    <hyperlink ref="F90" r:id="rId37"/>
    <hyperlink ref="E100" r:id="rId38"/>
    <hyperlink ref="E3" r:id="rId39"/>
    <hyperlink ref="E11" r:id="rId40"/>
    <hyperlink ref="E21" r:id="rId41"/>
    <hyperlink ref="E31" r:id="rId42"/>
    <hyperlink ref="E35" r:id="rId43"/>
    <hyperlink ref="E45" r:id="rId44"/>
    <hyperlink ref="E50" r:id="rId45"/>
    <hyperlink ref="E67" r:id="rId46"/>
    <hyperlink ref="E70" r:id="rId47"/>
    <hyperlink ref="E89" r:id="rId48"/>
    <hyperlink ref="E79" r:id="rId49"/>
    <hyperlink ref="E90" r:id="rId50"/>
    <hyperlink ref="E104" r:id="rId51"/>
    <hyperlink ref="E108" r:id="rId52"/>
    <hyperlink ref="E113" r:id="rId53"/>
    <hyperlink ref="E116" r:id="rId54"/>
    <hyperlink ref="E127" r:id="rId55"/>
    <hyperlink ref="E135" r:id="rId56"/>
    <hyperlink ref="E148" r:id="rId57"/>
    <hyperlink ref="E202" r:id="rId58"/>
    <hyperlink ref="E215" r:id="rId59"/>
    <hyperlink ref="E157" r:id="rId60"/>
    <hyperlink ref="E161" r:id="rId61"/>
    <hyperlink ref="E169" r:id="rId62"/>
    <hyperlink ref="E187" r:id="rId63"/>
    <hyperlink ref="E199" r:id="rId64"/>
    <hyperlink ref="E232" r:id="rId65"/>
    <hyperlink ref="E218" r:id="rId66"/>
    <hyperlink ref="E222" r:id="rId67"/>
    <hyperlink ref="E226" r:id="rId68"/>
    <hyperlink ref="E229" r:id="rId69"/>
    <hyperlink ref="E243" r:id="rId70"/>
    <hyperlink ref="E4" r:id="rId71"/>
    <hyperlink ref="E51" r:id="rId72"/>
    <hyperlink ref="E63" r:id="rId73"/>
    <hyperlink ref="E109" r:id="rId74"/>
    <hyperlink ref="E114" r:id="rId75"/>
    <hyperlink ref="E115" r:id="rId76"/>
    <hyperlink ref="E136" r:id="rId77"/>
    <hyperlink ref="E177" r:id="rId78"/>
    <hyperlink ref="E192" r:id="rId79"/>
    <hyperlink ref="E207" r:id="rId80"/>
    <hyperlink ref="E5" r:id="rId81"/>
    <hyperlink ref="E6" r:id="rId82"/>
    <hyperlink ref="E7" r:id="rId83"/>
    <hyperlink ref="E22" r:id="rId84"/>
    <hyperlink ref="E26" r:id="rId85"/>
    <hyperlink ref="E27" r:id="rId86"/>
    <hyperlink ref="E32" r:id="rId87"/>
    <hyperlink ref="E36" r:id="rId88"/>
    <hyperlink ref="E37" r:id="rId89"/>
    <hyperlink ref="E46" r:id="rId90"/>
    <hyperlink ref="E47" r:id="rId91"/>
    <hyperlink ref="E52" r:id="rId92"/>
    <hyperlink ref="E53" r:id="rId93"/>
    <hyperlink ref="E54" r:id="rId94"/>
    <hyperlink ref="E55" r:id="rId95"/>
    <hyperlink ref="E56" r:id="rId96"/>
    <hyperlink ref="E57" r:id="rId97"/>
    <hyperlink ref="E58" r:id="rId98"/>
    <hyperlink ref="E59" r:id="rId99"/>
    <hyperlink ref="E64" r:id="rId100"/>
    <hyperlink ref="E68" r:id="rId101"/>
    <hyperlink ref="E69" r:id="rId102"/>
    <hyperlink ref="E74" r:id="rId103"/>
    <hyperlink ref="E78" r:id="rId104"/>
    <hyperlink ref="E105" r:id="rId105"/>
    <hyperlink ref="E110" r:id="rId106"/>
    <hyperlink ref="E111" r:id="rId107"/>
    <hyperlink ref="E112" r:id="rId108"/>
    <hyperlink ref="E117" r:id="rId109"/>
    <hyperlink ref="E118" r:id="rId110"/>
    <hyperlink ref="E119" r:id="rId111"/>
    <hyperlink ref="E120" r:id="rId112"/>
    <hyperlink ref="E121" r:id="rId113"/>
    <hyperlink ref="E122" r:id="rId114"/>
    <hyperlink ref="E123" r:id="rId115"/>
    <hyperlink ref="E128" r:id="rId116"/>
    <hyperlink ref="E129" r:id="rId117"/>
    <hyperlink ref="E130" r:id="rId118"/>
    <hyperlink ref="E158" r:id="rId119"/>
    <hyperlink ref="E162" r:id="rId120"/>
    <hyperlink ref="E163" r:id="rId121"/>
    <hyperlink ref="E164" r:id="rId122"/>
    <hyperlink ref="E165" r:id="rId123"/>
    <hyperlink ref="E178" r:id="rId124"/>
    <hyperlink ref="E179" r:id="rId125"/>
    <hyperlink ref="E180" r:id="rId126"/>
    <hyperlink ref="E188" r:id="rId127"/>
    <hyperlink ref="E189" r:id="rId128"/>
    <hyperlink ref="E194" r:id="rId129"/>
    <hyperlink ref="E195" r:id="rId130"/>
    <hyperlink ref="E203" r:id="rId131"/>
    <hyperlink ref="E211" r:id="rId132"/>
    <hyperlink ref="E216" r:id="rId133"/>
    <hyperlink ref="E217" r:id="rId134"/>
    <hyperlink ref="E223" r:id="rId135"/>
    <hyperlink ref="E227" r:id="rId136"/>
    <hyperlink ref="E235" r:id="rId137"/>
    <hyperlink ref="E236" r:id="rId138"/>
    <hyperlink ref="E237" r:id="rId139"/>
    <hyperlink ref="E244" r:id="rId140"/>
    <hyperlink ref="E238" r:id="rId141"/>
    <hyperlink ref="E193" r:id="rId142"/>
    <hyperlink ref="E174" r:id="rId143"/>
    <hyperlink ref="E41" r:id="rId144"/>
    <hyperlink ref="E42" r:id="rId145"/>
    <hyperlink ref="E91" r:id="rId146"/>
    <hyperlink ref="E8" r:id="rId147"/>
    <hyperlink ref="E12" r:id="rId148"/>
    <hyperlink ref="E28" r:id="rId149"/>
    <hyperlink ref="E15" r:id="rId150"/>
    <hyperlink ref="E16" r:id="rId151"/>
    <hyperlink ref="E17" r:id="rId152"/>
    <hyperlink ref="E228" r:id="rId153"/>
    <hyperlink ref="E239" r:id="rId154"/>
    <hyperlink ref="F162" r:id="rId155" location="?c=0&amp;m=0&amp;s=0&amp;cv=343" display="https://rmda.kulib.kyoto-u.ac.jp/item/rb00008882 - ?c=0&amp;m=0&amp;s=0&amp;cv=343"/>
    <hyperlink ref="E101" r:id="rId156"/>
    <hyperlink ref="E152" r:id="rId157"/>
    <hyperlink ref="E153" r:id="rId158"/>
    <hyperlink ref="E149" r:id="rId159"/>
    <hyperlink ref="E150" r:id="rId160"/>
    <hyperlink ref="E151" r:id="rId161"/>
    <hyperlink ref="E208" r:id="rId162"/>
    <hyperlink ref="E18" r:id="rId163"/>
    <hyperlink ref="B264" r:id="rId164"/>
  </hyperlinks>
  <pageMargins left="0.7" right="0.7" top="0.75" bottom="0.75" header="0.3" footer="0.3"/>
  <pageSetup paperSize="9" orientation="portrait" horizontalDpi="4294967293" verticalDpi="0" r:id="rId16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23"/>
  <sheetViews>
    <sheetView zoomScale="175" zoomScaleNormal="17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2" sqref="A2"/>
    </sheetView>
  </sheetViews>
  <sheetFormatPr defaultRowHeight="13.5" x14ac:dyDescent="0.15"/>
  <cols>
    <col min="1" max="1" width="9" style="15"/>
    <col min="2" max="2" width="13.375" customWidth="1"/>
    <col min="3" max="3" width="22.5" customWidth="1"/>
    <col min="4" max="4" width="18.125" customWidth="1"/>
    <col min="5" max="5" width="18" customWidth="1"/>
    <col min="6" max="6" width="43.25" customWidth="1"/>
    <col min="7" max="7" width="21.625" customWidth="1"/>
    <col min="8" max="8" width="23.375" customWidth="1"/>
    <col min="9" max="9" width="20.25" customWidth="1"/>
  </cols>
  <sheetData>
    <row r="1" spans="1:9" x14ac:dyDescent="0.15">
      <c r="A1" s="42" t="s">
        <v>1219</v>
      </c>
      <c r="B1" s="43" t="s">
        <v>1218</v>
      </c>
      <c r="C1" s="44" t="s">
        <v>1216</v>
      </c>
      <c r="D1" s="44" t="s">
        <v>1211</v>
      </c>
      <c r="E1" s="44" t="s">
        <v>1212</v>
      </c>
      <c r="F1" s="44" t="s">
        <v>1217</v>
      </c>
      <c r="G1" s="44" t="s">
        <v>1213</v>
      </c>
      <c r="H1" s="44" t="s">
        <v>1214</v>
      </c>
      <c r="I1" s="44" t="s">
        <v>1215</v>
      </c>
    </row>
    <row r="2" spans="1:9" x14ac:dyDescent="0.15">
      <c r="A2" s="32" t="s">
        <v>3</v>
      </c>
      <c r="B2" s="33" t="s">
        <v>996</v>
      </c>
      <c r="C2" s="34"/>
      <c r="D2" s="34"/>
      <c r="E2" s="34"/>
      <c r="F2" s="34"/>
      <c r="G2" s="34"/>
      <c r="H2" s="34"/>
      <c r="I2" s="34"/>
    </row>
    <row r="3" spans="1:9" x14ac:dyDescent="0.15">
      <c r="A3" s="5">
        <v>1</v>
      </c>
      <c r="B3" s="6" t="s">
        <v>5</v>
      </c>
      <c r="C3" s="31" t="s">
        <v>6</v>
      </c>
      <c r="D3" s="6" t="s">
        <v>867</v>
      </c>
      <c r="E3" s="6"/>
      <c r="F3" s="6"/>
      <c r="G3" s="6"/>
      <c r="H3" s="6"/>
      <c r="I3" s="6"/>
    </row>
    <row r="4" spans="1:9" x14ac:dyDescent="0.15">
      <c r="A4" s="5" t="s">
        <v>321</v>
      </c>
      <c r="B4" s="6" t="s">
        <v>7</v>
      </c>
      <c r="C4" s="6" t="s">
        <v>322</v>
      </c>
      <c r="D4" s="6" t="s">
        <v>503</v>
      </c>
      <c r="E4" s="6" t="s">
        <v>504</v>
      </c>
      <c r="F4" s="17" t="str">
        <f>HYPERLINK("https://rmda.kulib.kyoto-u.ac.jp/item/RB00000559")</f>
        <v>https://rmda.kulib.kyoto-u.ac.jp/item/RB00000559</v>
      </c>
      <c r="G4" s="6" t="s">
        <v>505</v>
      </c>
      <c r="H4" s="6"/>
      <c r="I4" s="6"/>
    </row>
    <row r="5" spans="1:9" x14ac:dyDescent="0.15">
      <c r="A5" s="5"/>
      <c r="B5" s="6"/>
      <c r="C5" s="6" t="s">
        <v>323</v>
      </c>
      <c r="D5" s="6" t="s">
        <v>506</v>
      </c>
      <c r="E5" s="6" t="s">
        <v>504</v>
      </c>
      <c r="F5" s="17" t="str">
        <f>HYPERLINK("https://rmda.kulib.kyoto-u.ac.jp/item/RB00000328")</f>
        <v>https://rmda.kulib.kyoto-u.ac.jp/item/RB00000328</v>
      </c>
      <c r="G5" s="6" t="s">
        <v>507</v>
      </c>
      <c r="H5" s="6"/>
      <c r="I5" s="6"/>
    </row>
    <row r="6" spans="1:9" x14ac:dyDescent="0.15">
      <c r="A6" s="5"/>
      <c r="B6" s="6"/>
      <c r="C6" s="6"/>
      <c r="D6" s="6" t="s">
        <v>508</v>
      </c>
      <c r="E6" s="6" t="s">
        <v>504</v>
      </c>
      <c r="F6" s="17" t="str">
        <f>HYPERLINK("https://rmda.kulib.kyoto-u.ac.jp/item/RB00000406")</f>
        <v>https://rmda.kulib.kyoto-u.ac.jp/item/RB00000406</v>
      </c>
      <c r="G6" s="6" t="s">
        <v>509</v>
      </c>
      <c r="H6" s="6"/>
      <c r="I6" s="6"/>
    </row>
    <row r="7" spans="1:9" x14ac:dyDescent="0.15">
      <c r="A7" s="5"/>
      <c r="B7" s="6"/>
      <c r="C7" s="6"/>
      <c r="D7" s="6" t="s">
        <v>508</v>
      </c>
      <c r="E7" s="6" t="s">
        <v>504</v>
      </c>
      <c r="F7" s="17" t="str">
        <f>HYPERLINK("https://rmda.kulib.kyoto-u.ac.jp/item/RB00002008")</f>
        <v>https://rmda.kulib.kyoto-u.ac.jp/item/RB00002008</v>
      </c>
      <c r="G7" s="6" t="s">
        <v>509</v>
      </c>
      <c r="H7" s="6"/>
      <c r="I7" s="6"/>
    </row>
    <row r="8" spans="1:9" x14ac:dyDescent="0.15">
      <c r="A8" s="5"/>
      <c r="B8" s="6"/>
      <c r="C8" s="6"/>
      <c r="D8" s="6" t="s">
        <v>508</v>
      </c>
      <c r="E8" s="6" t="s">
        <v>504</v>
      </c>
      <c r="F8" s="17" t="str">
        <f>HYPERLINK("https://rmda.kulib.kyoto-u.ac.jp/item/RB00002009")</f>
        <v>https://rmda.kulib.kyoto-u.ac.jp/item/RB00002009</v>
      </c>
      <c r="G8" s="6" t="s">
        <v>509</v>
      </c>
      <c r="H8" s="6"/>
      <c r="I8" s="6"/>
    </row>
    <row r="9" spans="1:9" x14ac:dyDescent="0.15">
      <c r="A9" s="5"/>
      <c r="B9" s="6"/>
      <c r="C9" s="6"/>
      <c r="D9" s="6" t="s">
        <v>510</v>
      </c>
      <c r="E9" s="6" t="s">
        <v>511</v>
      </c>
      <c r="F9" s="17" t="str">
        <f>HYPERLINK("https://rmda.kulib.kyoto-u.ac.jp/item/RB00000537")</f>
        <v>https://rmda.kulib.kyoto-u.ac.jp/item/RB00000537</v>
      </c>
      <c r="G9" s="6" t="s">
        <v>512</v>
      </c>
      <c r="H9" s="6"/>
      <c r="I9" s="6"/>
    </row>
    <row r="10" spans="1:9" x14ac:dyDescent="0.15">
      <c r="A10" s="5"/>
      <c r="B10" s="6"/>
      <c r="C10" s="30" t="s">
        <v>324</v>
      </c>
      <c r="D10" s="6" t="s">
        <v>867</v>
      </c>
      <c r="E10" s="6"/>
      <c r="F10" s="45" t="s">
        <v>966</v>
      </c>
      <c r="G10" s="6"/>
      <c r="H10" s="6" t="s">
        <v>967</v>
      </c>
      <c r="I10" s="6"/>
    </row>
    <row r="11" spans="1:9" x14ac:dyDescent="0.15">
      <c r="A11" s="5"/>
      <c r="B11" s="6"/>
      <c r="C11" s="31" t="s">
        <v>325</v>
      </c>
      <c r="D11" s="6" t="s">
        <v>867</v>
      </c>
      <c r="E11" s="6"/>
      <c r="F11" s="6"/>
      <c r="G11" s="6"/>
      <c r="H11" s="6"/>
      <c r="I11" s="6"/>
    </row>
    <row r="12" spans="1:9" x14ac:dyDescent="0.15">
      <c r="A12" s="5"/>
      <c r="B12" s="6"/>
      <c r="C12" s="6" t="s">
        <v>326</v>
      </c>
      <c r="D12" s="6" t="s">
        <v>326</v>
      </c>
      <c r="E12" s="6" t="s">
        <v>504</v>
      </c>
      <c r="F12" s="17" t="str">
        <f>HYPERLINK("https://rmda.kulib.kyoto-u.ac.jp/item/RB00000213")</f>
        <v>https://rmda.kulib.kyoto-u.ac.jp/item/RB00000213</v>
      </c>
      <c r="G12" s="6" t="s">
        <v>513</v>
      </c>
      <c r="H12" s="6"/>
      <c r="I12" s="6"/>
    </row>
    <row r="13" spans="1:9" x14ac:dyDescent="0.15">
      <c r="A13" s="5"/>
      <c r="B13" s="6"/>
      <c r="C13" s="6"/>
      <c r="D13" s="6" t="s">
        <v>326</v>
      </c>
      <c r="E13" s="6" t="s">
        <v>504</v>
      </c>
      <c r="F13" s="17" t="str">
        <f>HYPERLINK("https://rmda.kulib.kyoto-u.ac.jp/item/RB00001667")</f>
        <v>https://rmda.kulib.kyoto-u.ac.jp/item/RB00001667</v>
      </c>
      <c r="G13" s="6" t="s">
        <v>513</v>
      </c>
      <c r="H13" s="6"/>
      <c r="I13" s="6"/>
    </row>
    <row r="14" spans="1:9" x14ac:dyDescent="0.15">
      <c r="A14" s="5"/>
      <c r="B14" s="6"/>
      <c r="C14" s="6"/>
      <c r="D14" s="6" t="s">
        <v>326</v>
      </c>
      <c r="E14" s="6" t="s">
        <v>504</v>
      </c>
      <c r="F14" s="17" t="str">
        <f>HYPERLINK("https://rmda.kulib.kyoto-u.ac.jp/item/RB00001668")</f>
        <v>https://rmda.kulib.kyoto-u.ac.jp/item/RB00001668</v>
      </c>
      <c r="G14" s="6" t="s">
        <v>513</v>
      </c>
      <c r="H14" s="6"/>
      <c r="I14" s="6"/>
    </row>
    <row r="15" spans="1:9" x14ac:dyDescent="0.15">
      <c r="A15" s="5"/>
      <c r="B15" s="6"/>
      <c r="C15" s="6" t="s">
        <v>327</v>
      </c>
      <c r="D15" s="6" t="s">
        <v>327</v>
      </c>
      <c r="E15" s="6" t="s">
        <v>514</v>
      </c>
      <c r="F15" s="17" t="str">
        <f>HYPERLINK("https://rmda.kulib.kyoto-u.ac.jp/item/RB00005787")</f>
        <v>https://rmda.kulib.kyoto-u.ac.jp/item/RB00005787</v>
      </c>
      <c r="G15" s="6" t="s">
        <v>515</v>
      </c>
      <c r="H15" s="6"/>
      <c r="I15" s="6"/>
    </row>
    <row r="16" spans="1:9" x14ac:dyDescent="0.15">
      <c r="A16" s="5"/>
      <c r="B16" s="6"/>
      <c r="C16" s="6" t="s">
        <v>328</v>
      </c>
      <c r="D16" s="6" t="s">
        <v>328</v>
      </c>
      <c r="E16" s="6" t="s">
        <v>504</v>
      </c>
      <c r="F16" s="46" t="s">
        <v>868</v>
      </c>
      <c r="G16" s="6" t="s">
        <v>1001</v>
      </c>
      <c r="H16" s="6" t="s">
        <v>1002</v>
      </c>
      <c r="I16" s="6"/>
    </row>
    <row r="17" spans="1:9" x14ac:dyDescent="0.15">
      <c r="A17" s="5"/>
      <c r="B17" s="6"/>
      <c r="C17" s="6"/>
      <c r="D17" s="6" t="s">
        <v>328</v>
      </c>
      <c r="E17" s="6" t="s">
        <v>7</v>
      </c>
      <c r="F17" s="45" t="s">
        <v>965</v>
      </c>
      <c r="G17" s="6"/>
      <c r="H17" s="6"/>
      <c r="I17" s="6"/>
    </row>
    <row r="18" spans="1:9" x14ac:dyDescent="0.15">
      <c r="A18" s="5"/>
      <c r="B18" s="6"/>
      <c r="C18" s="31" t="s">
        <v>329</v>
      </c>
      <c r="D18" s="6" t="s">
        <v>867</v>
      </c>
      <c r="E18" s="6"/>
      <c r="F18" s="6"/>
      <c r="G18" s="6"/>
      <c r="H18" s="6"/>
      <c r="I18" s="6"/>
    </row>
    <row r="19" spans="1:9" x14ac:dyDescent="0.15">
      <c r="A19" s="5">
        <v>6</v>
      </c>
      <c r="B19" s="6" t="s">
        <v>8</v>
      </c>
      <c r="C19" s="6" t="s">
        <v>330</v>
      </c>
      <c r="D19" s="6" t="s">
        <v>516</v>
      </c>
      <c r="E19" s="6" t="s">
        <v>517</v>
      </c>
      <c r="F19" s="17" t="str">
        <f>HYPERLINK("https://rmda.kulib.kyoto-u.ac.jp/item/RB00000173")</f>
        <v>https://rmda.kulib.kyoto-u.ac.jp/item/RB00000173</v>
      </c>
      <c r="G19" s="6" t="s">
        <v>518</v>
      </c>
      <c r="H19" s="6"/>
      <c r="I19" s="6"/>
    </row>
    <row r="20" spans="1:9" x14ac:dyDescent="0.15">
      <c r="A20" s="5"/>
      <c r="B20" s="6"/>
      <c r="C20" s="6"/>
      <c r="D20" s="6" t="s">
        <v>516</v>
      </c>
      <c r="E20" s="6" t="s">
        <v>517</v>
      </c>
      <c r="F20" s="17" t="str">
        <f>HYPERLINK("https://rmda.kulib.kyoto-u.ac.jp/item/RB00000894")</f>
        <v>https://rmda.kulib.kyoto-u.ac.jp/item/RB00000894</v>
      </c>
      <c r="G20" s="6" t="s">
        <v>518</v>
      </c>
      <c r="H20" s="6"/>
      <c r="I20" s="6"/>
    </row>
    <row r="21" spans="1:9" x14ac:dyDescent="0.15">
      <c r="A21" s="5"/>
      <c r="B21" s="6"/>
      <c r="C21" s="6"/>
      <c r="D21" s="6" t="s">
        <v>330</v>
      </c>
      <c r="E21" s="6" t="s">
        <v>517</v>
      </c>
      <c r="F21" s="17" t="str">
        <f>HYPERLINK("https://rmda.kulib.kyoto-u.ac.jp/item/RB00000895")</f>
        <v>https://rmda.kulib.kyoto-u.ac.jp/item/RB00000895</v>
      </c>
      <c r="G21" s="6" t="s">
        <v>518</v>
      </c>
      <c r="H21" s="6"/>
      <c r="I21" s="6"/>
    </row>
    <row r="22" spans="1:9" x14ac:dyDescent="0.15">
      <c r="A22" s="5"/>
      <c r="B22" s="6"/>
      <c r="C22" s="30" t="s">
        <v>331</v>
      </c>
      <c r="D22" s="30" t="s">
        <v>890</v>
      </c>
      <c r="E22" s="6"/>
      <c r="F22" s="47" t="s">
        <v>888</v>
      </c>
      <c r="G22" s="6"/>
      <c r="H22" s="6" t="s">
        <v>889</v>
      </c>
      <c r="I22" s="6" t="s">
        <v>960</v>
      </c>
    </row>
    <row r="23" spans="1:9" x14ac:dyDescent="0.15">
      <c r="A23" s="5"/>
      <c r="B23" s="6"/>
      <c r="C23" s="6" t="s">
        <v>332</v>
      </c>
      <c r="D23" s="6" t="s">
        <v>332</v>
      </c>
      <c r="E23" s="6" t="s">
        <v>517</v>
      </c>
      <c r="F23" s="17" t="str">
        <f>HYPERLINK("https://rmda.kulib.kyoto-u.ac.jp/item/RB00000208")</f>
        <v>https://rmda.kulib.kyoto-u.ac.jp/item/RB00000208</v>
      </c>
      <c r="G23" s="6" t="s">
        <v>519</v>
      </c>
      <c r="H23" s="6"/>
      <c r="I23" s="6"/>
    </row>
    <row r="24" spans="1:9" x14ac:dyDescent="0.15">
      <c r="A24" s="5"/>
      <c r="B24" s="6"/>
      <c r="C24" s="6"/>
      <c r="D24" s="6" t="s">
        <v>332</v>
      </c>
      <c r="E24" s="6" t="s">
        <v>517</v>
      </c>
      <c r="F24" s="17" t="str">
        <f>HYPERLINK("https://rmda.kulib.kyoto-u.ac.jp/item/RB00000403")</f>
        <v>https://rmda.kulib.kyoto-u.ac.jp/item/RB00000403</v>
      </c>
      <c r="G24" s="6" t="s">
        <v>519</v>
      </c>
      <c r="H24" s="6"/>
      <c r="I24" s="6"/>
    </row>
    <row r="25" spans="1:9" x14ac:dyDescent="0.15">
      <c r="A25" s="5"/>
      <c r="B25" s="6"/>
      <c r="C25" s="6"/>
      <c r="D25" s="6" t="s">
        <v>332</v>
      </c>
      <c r="E25" s="6" t="s">
        <v>517</v>
      </c>
      <c r="F25" s="17" t="str">
        <f>HYPERLINK("https://rmda.kulib.kyoto-u.ac.jp/item/RB00000404")</f>
        <v>https://rmda.kulib.kyoto-u.ac.jp/item/RB00000404</v>
      </c>
      <c r="G25" s="6" t="s">
        <v>519</v>
      </c>
      <c r="H25" s="6"/>
      <c r="I25" s="6"/>
    </row>
    <row r="26" spans="1:9" x14ac:dyDescent="0.15">
      <c r="A26" s="5"/>
      <c r="B26" s="6"/>
      <c r="C26" s="6"/>
      <c r="D26" s="6" t="s">
        <v>332</v>
      </c>
      <c r="E26" s="6" t="s">
        <v>517</v>
      </c>
      <c r="F26" s="17" t="str">
        <f>HYPERLINK("https://rmda.kulib.kyoto-u.ac.jp/item/RB00001316")</f>
        <v>https://rmda.kulib.kyoto-u.ac.jp/item/RB00001316</v>
      </c>
      <c r="G26" s="6" t="s">
        <v>519</v>
      </c>
      <c r="H26" s="6"/>
      <c r="I26" s="6"/>
    </row>
    <row r="27" spans="1:9" x14ac:dyDescent="0.15">
      <c r="A27" s="5"/>
      <c r="B27" s="6"/>
      <c r="C27" s="6"/>
      <c r="D27" s="6" t="s">
        <v>332</v>
      </c>
      <c r="E27" s="6" t="s">
        <v>517</v>
      </c>
      <c r="F27" s="17" t="str">
        <f>HYPERLINK("https://rmda.kulib.kyoto-u.ac.jp/item/RB00001317")</f>
        <v>https://rmda.kulib.kyoto-u.ac.jp/item/RB00001317</v>
      </c>
      <c r="G27" s="6" t="s">
        <v>519</v>
      </c>
      <c r="H27" s="6"/>
      <c r="I27" s="6"/>
    </row>
    <row r="28" spans="1:9" x14ac:dyDescent="0.15">
      <c r="A28" s="5" t="s">
        <v>333</v>
      </c>
      <c r="B28" s="6" t="s">
        <v>9</v>
      </c>
      <c r="C28" s="6" t="s">
        <v>334</v>
      </c>
      <c r="D28" s="6" t="s">
        <v>1000</v>
      </c>
      <c r="E28" s="6" t="s">
        <v>9</v>
      </c>
      <c r="F28" s="46" t="s">
        <v>869</v>
      </c>
      <c r="G28" s="6"/>
      <c r="H28" s="6" t="s">
        <v>870</v>
      </c>
      <c r="I28" s="6"/>
    </row>
    <row r="29" spans="1:9" x14ac:dyDescent="0.15">
      <c r="A29" s="5"/>
      <c r="B29" s="6"/>
      <c r="C29" s="6" t="s">
        <v>335</v>
      </c>
      <c r="D29" s="6" t="s">
        <v>1004</v>
      </c>
      <c r="E29" s="6" t="s">
        <v>514</v>
      </c>
      <c r="F29" s="17" t="str">
        <f>HYPERLINK("https://rmda.kulib.kyoto-u.ac.jp/item/RB00005042")</f>
        <v>https://rmda.kulib.kyoto-u.ac.jp/item/RB00005042</v>
      </c>
      <c r="G29" s="6" t="s">
        <v>521</v>
      </c>
      <c r="H29" s="6" t="s">
        <v>520</v>
      </c>
      <c r="I29" s="6"/>
    </row>
    <row r="30" spans="1:9" x14ac:dyDescent="0.15">
      <c r="A30" s="5"/>
      <c r="B30" s="6"/>
      <c r="C30" s="6" t="s">
        <v>336</v>
      </c>
      <c r="D30" s="6" t="s">
        <v>1003</v>
      </c>
      <c r="E30" s="6" t="s">
        <v>523</v>
      </c>
      <c r="F30" s="17" t="str">
        <f>HYPERLINK("https://rmda.kulib.kyoto-u.ac.jp/item/RB00001159")</f>
        <v>https://rmda.kulib.kyoto-u.ac.jp/item/RB00001159</v>
      </c>
      <c r="G30" s="6" t="s">
        <v>524</v>
      </c>
      <c r="H30" s="6" t="s">
        <v>522</v>
      </c>
      <c r="I30" s="6"/>
    </row>
    <row r="31" spans="1:9" x14ac:dyDescent="0.15">
      <c r="A31" s="5" t="s">
        <v>337</v>
      </c>
      <c r="B31" s="6" t="s">
        <v>10</v>
      </c>
      <c r="C31" s="6" t="s">
        <v>338</v>
      </c>
      <c r="D31" s="6" t="s">
        <v>1005</v>
      </c>
      <c r="E31" s="6" t="s">
        <v>805</v>
      </c>
      <c r="F31" s="17" t="str">
        <f>HYPERLINK("https://rmda.kulib.kyoto-u.ac.jp/item/RB00000742")</f>
        <v>https://rmda.kulib.kyoto-u.ac.jp/item/RB00000742</v>
      </c>
      <c r="G31" s="6" t="s">
        <v>806</v>
      </c>
      <c r="H31" s="6" t="s">
        <v>804</v>
      </c>
      <c r="I31" s="6"/>
    </row>
    <row r="32" spans="1:9" x14ac:dyDescent="0.15">
      <c r="A32" s="5"/>
      <c r="B32" s="6"/>
      <c r="C32" s="6"/>
      <c r="D32" s="6" t="s">
        <v>338</v>
      </c>
      <c r="E32" s="6" t="s">
        <v>805</v>
      </c>
      <c r="F32" s="17" t="str">
        <f>HYPERLINK("https://rmda.kulib.kyoto-u.ac.jp/item/RB00005446")</f>
        <v>https://rmda.kulib.kyoto-u.ac.jp/item/RB00005446</v>
      </c>
      <c r="G32" s="6" t="s">
        <v>806</v>
      </c>
      <c r="H32" s="6"/>
      <c r="I32" s="6"/>
    </row>
    <row r="33" spans="1:9" x14ac:dyDescent="0.15">
      <c r="A33" s="5"/>
      <c r="B33" s="6"/>
      <c r="C33" s="31" t="s">
        <v>339</v>
      </c>
      <c r="D33" s="6"/>
      <c r="E33" s="6"/>
      <c r="F33" s="6"/>
      <c r="G33" s="6"/>
      <c r="H33" s="6"/>
      <c r="I33" s="6"/>
    </row>
    <row r="34" spans="1:9" x14ac:dyDescent="0.15">
      <c r="A34" s="5"/>
      <c r="B34" s="6"/>
      <c r="C34" s="31" t="s">
        <v>340</v>
      </c>
      <c r="D34" s="6"/>
      <c r="E34" s="6"/>
      <c r="F34" s="6"/>
      <c r="G34" s="6"/>
      <c r="H34" s="6"/>
      <c r="I34" s="6"/>
    </row>
    <row r="35" spans="1:9" x14ac:dyDescent="0.15">
      <c r="A35" s="5"/>
      <c r="B35" s="6"/>
      <c r="C35" s="6"/>
      <c r="D35" s="6" t="s">
        <v>809</v>
      </c>
      <c r="E35" s="6" t="s">
        <v>810</v>
      </c>
      <c r="F35" s="17" t="str">
        <f>HYPERLINK("https://rmda.kulib.kyoto-u.ac.jp/item/RB00005448")</f>
        <v>https://rmda.kulib.kyoto-u.ac.jp/item/RB00005448</v>
      </c>
      <c r="G35" s="6" t="s">
        <v>811</v>
      </c>
      <c r="H35" s="6"/>
      <c r="I35" s="6"/>
    </row>
    <row r="36" spans="1:9" x14ac:dyDescent="0.15">
      <c r="A36" s="5"/>
      <c r="B36" s="6"/>
      <c r="C36" s="6"/>
      <c r="D36" s="6" t="s">
        <v>812</v>
      </c>
      <c r="E36" s="6" t="s">
        <v>813</v>
      </c>
      <c r="F36" s="17" t="str">
        <f>HYPERLINK("https://rmda.kulib.kyoto-u.ac.jp/item/RB00000382")</f>
        <v>https://rmda.kulib.kyoto-u.ac.jp/item/RB00000382</v>
      </c>
      <c r="G36" s="6" t="s">
        <v>814</v>
      </c>
      <c r="H36" s="6"/>
      <c r="I36" s="6"/>
    </row>
    <row r="37" spans="1:9" x14ac:dyDescent="0.15">
      <c r="A37" s="5"/>
      <c r="B37" s="6"/>
      <c r="C37" s="6"/>
      <c r="D37" s="6" t="s">
        <v>815</v>
      </c>
      <c r="E37" s="6" t="s">
        <v>816</v>
      </c>
      <c r="F37" s="17" t="str">
        <f>HYPERLINK("https://rmda.kulib.kyoto-u.ac.jp/item/RB00000378")</f>
        <v>https://rmda.kulib.kyoto-u.ac.jp/item/RB00000378</v>
      </c>
      <c r="G37" s="6" t="s">
        <v>817</v>
      </c>
      <c r="H37" s="6"/>
      <c r="I37" s="6"/>
    </row>
    <row r="38" spans="1:9" x14ac:dyDescent="0.15">
      <c r="A38" s="5"/>
      <c r="B38" s="6"/>
      <c r="C38" s="6" t="s">
        <v>341</v>
      </c>
      <c r="D38" s="6" t="s">
        <v>807</v>
      </c>
      <c r="E38" s="6" t="s">
        <v>790</v>
      </c>
      <c r="F38" s="17" t="str">
        <f>HYPERLINK("https://rmda.kulib.kyoto-u.ac.jp/item/RB00000381")</f>
        <v>https://rmda.kulib.kyoto-u.ac.jp/item/RB00000381</v>
      </c>
      <c r="G38" s="6" t="s">
        <v>808</v>
      </c>
      <c r="H38" s="6"/>
      <c r="I38" s="6"/>
    </row>
    <row r="39" spans="1:9" x14ac:dyDescent="0.15">
      <c r="A39" s="5"/>
      <c r="B39" s="6"/>
      <c r="C39" s="6"/>
      <c r="D39" s="6" t="s">
        <v>807</v>
      </c>
      <c r="E39" s="6" t="s">
        <v>790</v>
      </c>
      <c r="F39" s="17" t="str">
        <f>HYPERLINK("https://rmda.kulib.kyoto-u.ac.jp/item/RB00005447")</f>
        <v>https://rmda.kulib.kyoto-u.ac.jp/item/RB00005447</v>
      </c>
      <c r="G39" s="6" t="s">
        <v>808</v>
      </c>
      <c r="H39" s="6"/>
      <c r="I39" s="6"/>
    </row>
    <row r="40" spans="1:9" x14ac:dyDescent="0.15">
      <c r="A40" s="5"/>
      <c r="B40" s="6"/>
      <c r="C40" s="6" t="s">
        <v>342</v>
      </c>
      <c r="D40" s="6" t="s">
        <v>342</v>
      </c>
      <c r="E40" s="6" t="s">
        <v>818</v>
      </c>
      <c r="F40" s="17" t="str">
        <f>HYPERLINK("https://rmda.kulib.kyoto-u.ac.jp/item/RB00000577")</f>
        <v>https://rmda.kulib.kyoto-u.ac.jp/item/RB00000577</v>
      </c>
      <c r="G40" s="6" t="s">
        <v>819</v>
      </c>
      <c r="H40" s="6"/>
      <c r="I40" s="6"/>
    </row>
    <row r="41" spans="1:9" x14ac:dyDescent="0.15">
      <c r="A41" s="5"/>
      <c r="B41" s="6"/>
      <c r="C41" s="6"/>
      <c r="D41" s="6" t="s">
        <v>342</v>
      </c>
      <c r="E41" s="6" t="s">
        <v>818</v>
      </c>
      <c r="F41" s="17" t="str">
        <f>HYPERLINK("https://rmda.kulib.kyoto-u.ac.jp/item/RB00002311")</f>
        <v>https://rmda.kulib.kyoto-u.ac.jp/item/RB00002311</v>
      </c>
      <c r="G41" s="6" t="s">
        <v>819</v>
      </c>
      <c r="H41" s="6"/>
      <c r="I41" s="6"/>
    </row>
    <row r="42" spans="1:9" x14ac:dyDescent="0.15">
      <c r="A42" s="5"/>
      <c r="B42" s="6"/>
      <c r="C42" s="6"/>
      <c r="D42" s="6" t="s">
        <v>342</v>
      </c>
      <c r="E42" s="6" t="s">
        <v>818</v>
      </c>
      <c r="F42" s="17" t="str">
        <f>HYPERLINK("https://rmda.kulib.kyoto-u.ac.jp/item/RB00002312")</f>
        <v>https://rmda.kulib.kyoto-u.ac.jp/item/RB00002312</v>
      </c>
      <c r="G42" s="6" t="s">
        <v>819</v>
      </c>
      <c r="H42" s="6"/>
      <c r="I42" s="6"/>
    </row>
    <row r="43" spans="1:9" x14ac:dyDescent="0.15">
      <c r="A43" s="5"/>
      <c r="B43" s="6"/>
      <c r="C43" s="6" t="s">
        <v>343</v>
      </c>
      <c r="D43" s="6" t="s">
        <v>820</v>
      </c>
      <c r="E43" s="6" t="s">
        <v>805</v>
      </c>
      <c r="F43" s="17" t="str">
        <f>HYPERLINK("https://rmda.kulib.kyoto-u.ac.jp/item/RB00000207")</f>
        <v>https://rmda.kulib.kyoto-u.ac.jp/item/RB00000207</v>
      </c>
      <c r="G43" s="6" t="s">
        <v>821</v>
      </c>
      <c r="H43" s="6"/>
      <c r="I43" s="6"/>
    </row>
    <row r="44" spans="1:9" x14ac:dyDescent="0.15">
      <c r="A44" s="5"/>
      <c r="B44" s="6"/>
      <c r="C44" s="6"/>
      <c r="D44" s="6" t="s">
        <v>820</v>
      </c>
      <c r="E44" s="6" t="s">
        <v>805</v>
      </c>
      <c r="F44" s="17" t="str">
        <f>HYPERLINK("https://rmda.kulib.kyoto-u.ac.jp/item/RB00001033")</f>
        <v>https://rmda.kulib.kyoto-u.ac.jp/item/RB00001033</v>
      </c>
      <c r="G44" s="6" t="s">
        <v>821</v>
      </c>
      <c r="H44" s="6"/>
      <c r="I44" s="6"/>
    </row>
    <row r="45" spans="1:9" x14ac:dyDescent="0.15">
      <c r="A45" s="5"/>
      <c r="B45" s="6"/>
      <c r="C45" s="31" t="s">
        <v>344</v>
      </c>
      <c r="D45" s="6"/>
      <c r="E45" s="6"/>
      <c r="F45" s="6"/>
      <c r="G45" s="6"/>
      <c r="H45" s="6"/>
      <c r="I45" s="6"/>
    </row>
    <row r="46" spans="1:9" x14ac:dyDescent="0.15">
      <c r="A46" s="5"/>
      <c r="B46" s="6"/>
      <c r="C46" s="6" t="s">
        <v>345</v>
      </c>
      <c r="D46" s="6" t="s">
        <v>872</v>
      </c>
      <c r="E46" s="6" t="s">
        <v>873</v>
      </c>
      <c r="F46" s="17" t="s">
        <v>871</v>
      </c>
      <c r="G46" s="6"/>
      <c r="H46" s="6"/>
      <c r="I46" s="6"/>
    </row>
    <row r="47" spans="1:9" x14ac:dyDescent="0.15">
      <c r="A47" s="5"/>
      <c r="B47" s="6"/>
      <c r="C47" s="31" t="s">
        <v>346</v>
      </c>
      <c r="D47" s="6"/>
      <c r="E47" s="6"/>
      <c r="F47" s="6"/>
      <c r="G47" s="6"/>
      <c r="H47" s="6"/>
      <c r="I47" s="6"/>
    </row>
    <row r="48" spans="1:9" x14ac:dyDescent="0.15">
      <c r="A48" s="5"/>
      <c r="B48" s="6"/>
      <c r="C48" s="31" t="s">
        <v>347</v>
      </c>
      <c r="D48" s="6"/>
      <c r="E48" s="6"/>
      <c r="F48" s="6"/>
      <c r="G48" s="6"/>
      <c r="H48" s="6"/>
      <c r="I48" s="6"/>
    </row>
    <row r="49" spans="1:9" x14ac:dyDescent="0.15">
      <c r="A49" s="5"/>
      <c r="B49" s="6"/>
      <c r="C49" s="6" t="s">
        <v>348</v>
      </c>
      <c r="D49" s="6" t="s">
        <v>348</v>
      </c>
      <c r="E49" s="6" t="s">
        <v>682</v>
      </c>
      <c r="F49" s="17" t="str">
        <f>HYPERLINK("https://rmda.kulib.kyoto-u.ac.jp/item/RB00000732")</f>
        <v>https://rmda.kulib.kyoto-u.ac.jp/item/RB00000732</v>
      </c>
      <c r="G49" s="6" t="s">
        <v>683</v>
      </c>
      <c r="H49" s="6"/>
      <c r="I49" s="6"/>
    </row>
    <row r="50" spans="1:9" x14ac:dyDescent="0.15">
      <c r="A50" s="5"/>
      <c r="B50" s="6"/>
      <c r="C50" s="6"/>
      <c r="D50" s="6" t="s">
        <v>348</v>
      </c>
      <c r="E50" s="6" t="s">
        <v>682</v>
      </c>
      <c r="F50" s="17" t="str">
        <f>HYPERLINK("https://rmda.kulib.kyoto-u.ac.jp/item/RB00000733")</f>
        <v>https://rmda.kulib.kyoto-u.ac.jp/item/RB00000733</v>
      </c>
      <c r="G50" s="6" t="s">
        <v>683</v>
      </c>
      <c r="H50" s="6"/>
      <c r="I50" s="6"/>
    </row>
    <row r="51" spans="1:9" x14ac:dyDescent="0.15">
      <c r="A51" s="5">
        <v>13</v>
      </c>
      <c r="B51" s="6" t="s">
        <v>11</v>
      </c>
      <c r="C51" s="6" t="s">
        <v>349</v>
      </c>
      <c r="D51" s="6" t="s">
        <v>349</v>
      </c>
      <c r="E51" s="6" t="s">
        <v>514</v>
      </c>
      <c r="F51" s="17" t="str">
        <f>HYPERLINK("https://rmda.kulib.kyoto-u.ac.jp/item/RB00000243")</f>
        <v>https://rmda.kulib.kyoto-u.ac.jp/item/RB00000243</v>
      </c>
      <c r="G51" s="6" t="s">
        <v>680</v>
      </c>
      <c r="H51" s="6"/>
      <c r="I51" s="6"/>
    </row>
    <row r="52" spans="1:9" x14ac:dyDescent="0.15">
      <c r="A52" s="5"/>
      <c r="B52" s="6"/>
      <c r="C52" s="6"/>
      <c r="D52" s="6" t="s">
        <v>681</v>
      </c>
      <c r="E52" s="6" t="s">
        <v>514</v>
      </c>
      <c r="F52" s="17" t="str">
        <f>HYPERLINK("https://rmda.kulib.kyoto-u.ac.jp/item/RB00002882")</f>
        <v>https://rmda.kulib.kyoto-u.ac.jp/item/RB00002882</v>
      </c>
      <c r="G52" s="6" t="s">
        <v>680</v>
      </c>
      <c r="H52" s="6"/>
      <c r="I52" s="6"/>
    </row>
    <row r="53" spans="1:9" x14ac:dyDescent="0.15">
      <c r="A53" s="5"/>
      <c r="B53" s="6"/>
      <c r="C53" s="31" t="s">
        <v>350</v>
      </c>
      <c r="D53" s="6"/>
      <c r="E53" s="6"/>
      <c r="F53" s="6"/>
      <c r="G53" s="6"/>
      <c r="H53" s="6"/>
      <c r="I53" s="6"/>
    </row>
    <row r="54" spans="1:9" x14ac:dyDescent="0.15">
      <c r="A54" s="5"/>
      <c r="B54" s="6"/>
      <c r="C54" s="6" t="s">
        <v>351</v>
      </c>
      <c r="D54" s="6" t="s">
        <v>1006</v>
      </c>
      <c r="E54" s="6" t="s">
        <v>677</v>
      </c>
      <c r="F54" s="17" t="str">
        <f>HYPERLINK("https://rmda.kulib.kyoto-u.ac.jp/item/RB00000932")</f>
        <v>https://rmda.kulib.kyoto-u.ac.jp/item/RB00000932</v>
      </c>
      <c r="G54" s="6" t="s">
        <v>678</v>
      </c>
      <c r="H54" s="6" t="s">
        <v>679</v>
      </c>
      <c r="I54" s="6"/>
    </row>
    <row r="55" spans="1:9" x14ac:dyDescent="0.15">
      <c r="A55" s="5"/>
      <c r="B55" s="6"/>
      <c r="C55" s="31" t="s">
        <v>352</v>
      </c>
      <c r="D55" s="6"/>
      <c r="E55" s="6"/>
      <c r="F55" s="6"/>
      <c r="G55" s="6"/>
      <c r="H55" s="6"/>
      <c r="I55" s="6"/>
    </row>
    <row r="56" spans="1:9" x14ac:dyDescent="0.15">
      <c r="A56" s="5"/>
      <c r="B56" s="6"/>
      <c r="C56" s="6" t="s">
        <v>353</v>
      </c>
      <c r="D56" s="6" t="s">
        <v>353</v>
      </c>
      <c r="E56" s="6" t="s">
        <v>673</v>
      </c>
      <c r="F56" s="17" t="str">
        <f>HYPERLINK("https://rmda.kulib.kyoto-u.ac.jp/item/RB00000578")</f>
        <v>https://rmda.kulib.kyoto-u.ac.jp/item/RB00000578</v>
      </c>
      <c r="G56" s="6" t="s">
        <v>674</v>
      </c>
      <c r="H56" s="6"/>
      <c r="I56" s="6"/>
    </row>
    <row r="57" spans="1:9" x14ac:dyDescent="0.15">
      <c r="A57" s="5"/>
      <c r="B57" s="6"/>
      <c r="C57" s="6"/>
      <c r="D57" s="6" t="s">
        <v>675</v>
      </c>
      <c r="E57" s="6" t="s">
        <v>514</v>
      </c>
      <c r="F57" s="17" t="str">
        <f>HYPERLINK("https://rmda.kulib.kyoto-u.ac.jp/item/RB00003836")</f>
        <v>https://rmda.kulib.kyoto-u.ac.jp/item/RB00003836</v>
      </c>
      <c r="G57" s="6" t="s">
        <v>676</v>
      </c>
      <c r="H57" s="6"/>
      <c r="I57" s="6"/>
    </row>
    <row r="58" spans="1:9" x14ac:dyDescent="0.15">
      <c r="A58" s="5"/>
      <c r="B58" s="6"/>
      <c r="C58" s="6" t="s">
        <v>354</v>
      </c>
      <c r="D58" s="6" t="s">
        <v>670</v>
      </c>
      <c r="E58" s="6" t="s">
        <v>671</v>
      </c>
      <c r="F58" s="17" t="str">
        <f>HYPERLINK("https://rmda.kulib.kyoto-u.ac.jp/item/RB00000383")</f>
        <v>https://rmda.kulib.kyoto-u.ac.jp/item/RB00000383</v>
      </c>
      <c r="G58" s="6" t="s">
        <v>672</v>
      </c>
      <c r="H58" s="6"/>
      <c r="I58" s="6"/>
    </row>
    <row r="59" spans="1:9" x14ac:dyDescent="0.15">
      <c r="A59" s="5"/>
      <c r="B59" s="6"/>
      <c r="C59" s="6"/>
      <c r="D59" s="6" t="s">
        <v>670</v>
      </c>
      <c r="E59" s="6" t="s">
        <v>671</v>
      </c>
      <c r="F59" s="17" t="str">
        <f>HYPERLINK("https://rmda.kulib.kyoto-u.ac.jp/item/RB00005584")</f>
        <v>https://rmda.kulib.kyoto-u.ac.jp/item/RB00005584</v>
      </c>
      <c r="G59" s="6" t="s">
        <v>672</v>
      </c>
      <c r="H59" s="6"/>
      <c r="I59" s="6"/>
    </row>
    <row r="60" spans="1:9" x14ac:dyDescent="0.15">
      <c r="A60" s="5"/>
      <c r="B60" s="6"/>
      <c r="C60" s="6"/>
      <c r="D60" s="6" t="s">
        <v>670</v>
      </c>
      <c r="E60" s="6" t="s">
        <v>671</v>
      </c>
      <c r="F60" s="17" t="str">
        <f>HYPERLINK("https://rmda.kulib.kyoto-u.ac.jp/item/RB00005585")</f>
        <v>https://rmda.kulib.kyoto-u.ac.jp/item/RB00005585</v>
      </c>
      <c r="G60" s="6" t="s">
        <v>672</v>
      </c>
      <c r="H60" s="6"/>
      <c r="I60" s="6"/>
    </row>
    <row r="61" spans="1:9" x14ac:dyDescent="0.15">
      <c r="A61" s="5"/>
      <c r="B61" s="6"/>
      <c r="C61" s="6"/>
      <c r="D61" s="6" t="s">
        <v>670</v>
      </c>
      <c r="E61" s="6" t="s">
        <v>671</v>
      </c>
      <c r="F61" s="17" t="str">
        <f>HYPERLINK("https://rmda.kulib.kyoto-u.ac.jp/item/RB00005586")</f>
        <v>https://rmda.kulib.kyoto-u.ac.jp/item/RB00005586</v>
      </c>
      <c r="G61" s="6" t="s">
        <v>672</v>
      </c>
      <c r="H61" s="6"/>
      <c r="I61" s="6"/>
    </row>
    <row r="62" spans="1:9" x14ac:dyDescent="0.15">
      <c r="A62" s="5"/>
      <c r="B62" s="6"/>
      <c r="C62" s="31" t="s">
        <v>355</v>
      </c>
      <c r="D62" s="6"/>
      <c r="E62" s="6"/>
      <c r="F62" s="6"/>
      <c r="G62" s="6"/>
      <c r="H62" s="6"/>
      <c r="I62" s="6"/>
    </row>
    <row r="63" spans="1:9" x14ac:dyDescent="0.15">
      <c r="A63" s="5"/>
      <c r="B63" s="6"/>
      <c r="C63" s="30" t="s">
        <v>356</v>
      </c>
      <c r="D63" s="6"/>
      <c r="E63" s="6"/>
      <c r="F63" s="9" t="s">
        <v>962</v>
      </c>
      <c r="G63" s="6"/>
      <c r="H63" s="6"/>
      <c r="I63" s="6"/>
    </row>
    <row r="64" spans="1:9" x14ac:dyDescent="0.15">
      <c r="A64" s="5">
        <v>14</v>
      </c>
      <c r="B64" s="6" t="s">
        <v>12</v>
      </c>
      <c r="C64" s="6" t="s">
        <v>357</v>
      </c>
      <c r="D64" s="6"/>
      <c r="E64" s="6"/>
      <c r="F64" s="46" t="s">
        <v>961</v>
      </c>
      <c r="G64" s="6"/>
      <c r="H64" s="6" t="s">
        <v>874</v>
      </c>
      <c r="I64" s="6"/>
    </row>
    <row r="65" spans="1:9" x14ac:dyDescent="0.15">
      <c r="A65" s="5"/>
      <c r="B65" s="6"/>
      <c r="C65" s="6" t="s">
        <v>358</v>
      </c>
      <c r="D65" s="6" t="s">
        <v>358</v>
      </c>
      <c r="E65" s="6" t="s">
        <v>684</v>
      </c>
      <c r="F65" s="17" t="str">
        <f>HYPERLINK("https://rmda.kulib.kyoto-u.ac.jp/item/RB00004510")</f>
        <v>https://rmda.kulib.kyoto-u.ac.jp/item/RB00004510</v>
      </c>
      <c r="G65" s="6" t="s">
        <v>685</v>
      </c>
      <c r="H65" s="6"/>
      <c r="I65" s="6"/>
    </row>
    <row r="66" spans="1:9" x14ac:dyDescent="0.15">
      <c r="A66" s="5"/>
      <c r="B66" s="6"/>
      <c r="C66" s="6"/>
      <c r="D66" s="6" t="s">
        <v>358</v>
      </c>
      <c r="E66" s="6" t="s">
        <v>684</v>
      </c>
      <c r="F66" s="17" t="str">
        <f>HYPERLINK("https://rmda.kulib.kyoto-u.ac.jp/item/RB00004511")</f>
        <v>https://rmda.kulib.kyoto-u.ac.jp/item/RB00004511</v>
      </c>
      <c r="G66" s="6" t="s">
        <v>685</v>
      </c>
      <c r="H66" s="6"/>
      <c r="I66" s="6"/>
    </row>
    <row r="67" spans="1:9" x14ac:dyDescent="0.15">
      <c r="A67" s="5"/>
      <c r="B67" s="6"/>
      <c r="C67" s="6"/>
      <c r="D67" s="6" t="s">
        <v>358</v>
      </c>
      <c r="E67" s="6" t="s">
        <v>684</v>
      </c>
      <c r="F67" s="17" t="str">
        <f>HYPERLINK("https://rmda.kulib.kyoto-u.ac.jp/item/RB00004512")</f>
        <v>https://rmda.kulib.kyoto-u.ac.jp/item/RB00004512</v>
      </c>
      <c r="G67" s="6" t="s">
        <v>685</v>
      </c>
      <c r="H67" s="6"/>
      <c r="I67" s="6"/>
    </row>
    <row r="68" spans="1:9" x14ac:dyDescent="0.15">
      <c r="A68" s="5"/>
      <c r="B68" s="6"/>
      <c r="C68" s="6"/>
      <c r="D68" s="6" t="s">
        <v>358</v>
      </c>
      <c r="E68" s="6" t="s">
        <v>684</v>
      </c>
      <c r="F68" s="17" t="str">
        <f>HYPERLINK("https://rmda.kulib.kyoto-u.ac.jp/item/RB00004513")</f>
        <v>https://rmda.kulib.kyoto-u.ac.jp/item/RB00004513</v>
      </c>
      <c r="G68" s="6" t="s">
        <v>685</v>
      </c>
      <c r="H68" s="6"/>
      <c r="I68" s="6"/>
    </row>
    <row r="69" spans="1:9" x14ac:dyDescent="0.15">
      <c r="A69" s="5"/>
      <c r="B69" s="6"/>
      <c r="C69" s="30" t="s">
        <v>359</v>
      </c>
      <c r="D69" s="30" t="s">
        <v>359</v>
      </c>
      <c r="E69" s="6"/>
      <c r="F69" s="47" t="s">
        <v>891</v>
      </c>
      <c r="G69" s="6" t="s">
        <v>999</v>
      </c>
      <c r="H69" s="6" t="s">
        <v>893</v>
      </c>
      <c r="I69" s="6"/>
    </row>
    <row r="70" spans="1:9" x14ac:dyDescent="0.15">
      <c r="A70" s="5"/>
      <c r="B70" s="6"/>
      <c r="C70" s="30"/>
      <c r="D70" s="30" t="s">
        <v>359</v>
      </c>
      <c r="E70" s="6"/>
      <c r="F70" s="47" t="s">
        <v>892</v>
      </c>
      <c r="G70" s="6" t="s">
        <v>999</v>
      </c>
      <c r="H70" s="6" t="s">
        <v>893</v>
      </c>
      <c r="I70" s="6"/>
    </row>
    <row r="71" spans="1:9" x14ac:dyDescent="0.15">
      <c r="A71" s="5"/>
      <c r="B71" s="6"/>
      <c r="C71" s="31" t="s">
        <v>360</v>
      </c>
      <c r="D71" s="6"/>
      <c r="E71" s="6"/>
      <c r="F71" s="6"/>
      <c r="G71" s="6"/>
      <c r="H71" s="6"/>
      <c r="I71" s="6"/>
    </row>
    <row r="72" spans="1:9" x14ac:dyDescent="0.15">
      <c r="A72" s="5"/>
      <c r="B72" s="6"/>
      <c r="C72" s="6" t="s">
        <v>361</v>
      </c>
      <c r="D72" s="6" t="s">
        <v>361</v>
      </c>
      <c r="E72" s="6" t="s">
        <v>686</v>
      </c>
      <c r="F72" s="17" t="str">
        <f>HYPERLINK("https://rmda.kulib.kyoto-u.ac.jp/item/RB00000336")</f>
        <v>https://rmda.kulib.kyoto-u.ac.jp/item/RB00000336</v>
      </c>
      <c r="G72" s="6" t="s">
        <v>687</v>
      </c>
      <c r="H72" s="6"/>
      <c r="I72" s="6"/>
    </row>
    <row r="73" spans="1:9" x14ac:dyDescent="0.15">
      <c r="A73" s="5" t="s">
        <v>362</v>
      </c>
      <c r="B73" s="6" t="s">
        <v>13</v>
      </c>
      <c r="C73" s="6" t="s">
        <v>363</v>
      </c>
      <c r="D73" s="6" t="s">
        <v>688</v>
      </c>
      <c r="E73" s="6" t="s">
        <v>689</v>
      </c>
      <c r="F73" s="17" t="str">
        <f>HYPERLINK("https://rmda.kulib.kyoto-u.ac.jp/item/RB00000250")</f>
        <v>https://rmda.kulib.kyoto-u.ac.jp/item/RB00000250</v>
      </c>
      <c r="G73" s="6" t="s">
        <v>690</v>
      </c>
      <c r="H73" s="6"/>
      <c r="I73" s="6"/>
    </row>
    <row r="74" spans="1:9" x14ac:dyDescent="0.15">
      <c r="A74" s="5"/>
      <c r="B74" s="6"/>
      <c r="C74" s="6"/>
      <c r="D74" s="6" t="s">
        <v>688</v>
      </c>
      <c r="E74" s="6" t="s">
        <v>689</v>
      </c>
      <c r="F74" s="17" t="str">
        <f>HYPERLINK("https://rmda.kulib.kyoto-u.ac.jp/item/RB00003213")</f>
        <v>https://rmda.kulib.kyoto-u.ac.jp/item/RB00003213</v>
      </c>
      <c r="G74" s="6" t="s">
        <v>690</v>
      </c>
      <c r="H74" s="6"/>
      <c r="I74" s="6"/>
    </row>
    <row r="75" spans="1:9" x14ac:dyDescent="0.15">
      <c r="A75" s="5"/>
      <c r="B75" s="6"/>
      <c r="C75" s="6"/>
      <c r="D75" s="6" t="s">
        <v>691</v>
      </c>
      <c r="E75" s="6" t="s">
        <v>689</v>
      </c>
      <c r="F75" s="17" t="str">
        <f>HYPERLINK("https://rmda.kulib.kyoto-u.ac.jp/item/RB00003214")</f>
        <v>https://rmda.kulib.kyoto-u.ac.jp/item/RB00003214</v>
      </c>
      <c r="G75" s="6" t="s">
        <v>690</v>
      </c>
      <c r="H75" s="6"/>
      <c r="I75" s="6"/>
    </row>
    <row r="76" spans="1:9" x14ac:dyDescent="0.15">
      <c r="A76" s="5"/>
      <c r="B76" s="6"/>
      <c r="C76" s="6"/>
      <c r="D76" s="6" t="s">
        <v>692</v>
      </c>
      <c r="E76" s="6" t="s">
        <v>689</v>
      </c>
      <c r="F76" s="17" t="str">
        <f>HYPERLINK("https://rmda.kulib.kyoto-u.ac.jp/item/RB00003215")</f>
        <v>https://rmda.kulib.kyoto-u.ac.jp/item/RB00003215</v>
      </c>
      <c r="G76" s="6" t="s">
        <v>690</v>
      </c>
      <c r="H76" s="6"/>
      <c r="I76" s="6"/>
    </row>
    <row r="77" spans="1:9" x14ac:dyDescent="0.15">
      <c r="A77" s="5"/>
      <c r="B77" s="6"/>
      <c r="C77" s="6" t="s">
        <v>364</v>
      </c>
      <c r="D77" s="6"/>
      <c r="E77" s="6"/>
      <c r="F77" s="46" t="s">
        <v>875</v>
      </c>
      <c r="G77" s="6"/>
      <c r="H77" s="6" t="s">
        <v>876</v>
      </c>
      <c r="I77" s="6"/>
    </row>
    <row r="78" spans="1:9" x14ac:dyDescent="0.15">
      <c r="A78" s="5"/>
      <c r="B78" s="6"/>
      <c r="C78" s="6" t="s">
        <v>365</v>
      </c>
      <c r="D78" s="6" t="s">
        <v>365</v>
      </c>
      <c r="E78" s="6" t="s">
        <v>693</v>
      </c>
      <c r="F78" s="17" t="str">
        <f>HYPERLINK("https://rmda.kulib.kyoto-u.ac.jp/item/RB00000689")</f>
        <v>https://rmda.kulib.kyoto-u.ac.jp/item/RB00000689</v>
      </c>
      <c r="G78" s="6" t="s">
        <v>694</v>
      </c>
      <c r="H78" s="6"/>
      <c r="I78" s="6"/>
    </row>
    <row r="79" spans="1:9" x14ac:dyDescent="0.15">
      <c r="A79" s="5"/>
      <c r="B79" s="6"/>
      <c r="C79" s="6"/>
      <c r="D79" s="6" t="s">
        <v>365</v>
      </c>
      <c r="E79" s="6" t="s">
        <v>693</v>
      </c>
      <c r="F79" s="17" t="str">
        <f>HYPERLINK("https://rmda.kulib.kyoto-u.ac.jp/item/RB00004381")</f>
        <v>https://rmda.kulib.kyoto-u.ac.jp/item/RB00004381</v>
      </c>
      <c r="G79" s="6" t="s">
        <v>694</v>
      </c>
      <c r="H79" s="6"/>
      <c r="I79" s="6"/>
    </row>
    <row r="80" spans="1:9" x14ac:dyDescent="0.15">
      <c r="A80" s="5"/>
      <c r="B80" s="6"/>
      <c r="C80" s="6"/>
      <c r="D80" s="6" t="s">
        <v>365</v>
      </c>
      <c r="E80" s="6" t="s">
        <v>693</v>
      </c>
      <c r="F80" s="17" t="str">
        <f>HYPERLINK("https://rmda.kulib.kyoto-u.ac.jp/item/RB00004382")</f>
        <v>https://rmda.kulib.kyoto-u.ac.jp/item/RB00004382</v>
      </c>
      <c r="G80" s="6" t="s">
        <v>694</v>
      </c>
      <c r="H80" s="6"/>
      <c r="I80" s="6"/>
    </row>
    <row r="81" spans="1:9" x14ac:dyDescent="0.15">
      <c r="A81" s="5"/>
      <c r="B81" s="6"/>
      <c r="C81" s="6"/>
      <c r="D81" s="6" t="s">
        <v>365</v>
      </c>
      <c r="E81" s="6" t="s">
        <v>693</v>
      </c>
      <c r="F81" s="17" t="str">
        <f>HYPERLINK("https://rmda.kulib.kyoto-u.ac.jp/item/RB00004383")</f>
        <v>https://rmda.kulib.kyoto-u.ac.jp/item/RB00004383</v>
      </c>
      <c r="G81" s="6" t="s">
        <v>694</v>
      </c>
      <c r="H81" s="6"/>
      <c r="I81" s="6"/>
    </row>
    <row r="82" spans="1:9" x14ac:dyDescent="0.15">
      <c r="A82" s="5"/>
      <c r="B82" s="6"/>
      <c r="C82" s="6"/>
      <c r="D82" s="6" t="s">
        <v>365</v>
      </c>
      <c r="E82" s="6" t="s">
        <v>693</v>
      </c>
      <c r="F82" s="17" t="str">
        <f>HYPERLINK("https://rmda.kulib.kyoto-u.ac.jp/item/RB00004384")</f>
        <v>https://rmda.kulib.kyoto-u.ac.jp/item/RB00004384</v>
      </c>
      <c r="G82" s="6" t="s">
        <v>694</v>
      </c>
      <c r="H82" s="6"/>
      <c r="I82" s="6"/>
    </row>
    <row r="83" spans="1:9" x14ac:dyDescent="0.15">
      <c r="A83" s="5"/>
      <c r="B83" s="6"/>
      <c r="C83" s="6"/>
      <c r="D83" s="6" t="s">
        <v>365</v>
      </c>
      <c r="E83" s="6" t="s">
        <v>693</v>
      </c>
      <c r="F83" s="17" t="str">
        <f>HYPERLINK("https://rmda.kulib.kyoto-u.ac.jp/item/RB00004385")</f>
        <v>https://rmda.kulib.kyoto-u.ac.jp/item/RB00004385</v>
      </c>
      <c r="G83" s="6" t="s">
        <v>694</v>
      </c>
      <c r="H83" s="6"/>
      <c r="I83" s="6"/>
    </row>
    <row r="84" spans="1:9" x14ac:dyDescent="0.15">
      <c r="A84" s="5"/>
      <c r="B84" s="6"/>
      <c r="C84" s="6"/>
      <c r="D84" s="6" t="s">
        <v>365</v>
      </c>
      <c r="E84" s="6" t="s">
        <v>693</v>
      </c>
      <c r="F84" s="17" t="str">
        <f>HYPERLINK("https://rmda.kulib.kyoto-u.ac.jp/item/RB00004386")</f>
        <v>https://rmda.kulib.kyoto-u.ac.jp/item/RB00004386</v>
      </c>
      <c r="G84" s="6" t="s">
        <v>694</v>
      </c>
      <c r="H84" s="6"/>
      <c r="I84" s="6"/>
    </row>
    <row r="85" spans="1:9" x14ac:dyDescent="0.15">
      <c r="A85" s="5"/>
      <c r="B85" s="6"/>
      <c r="C85" s="6"/>
      <c r="D85" s="6" t="s">
        <v>695</v>
      </c>
      <c r="E85" s="6" t="s">
        <v>693</v>
      </c>
      <c r="F85" s="17" t="str">
        <f>HYPERLINK("https://rmda.kulib.kyoto-u.ac.jp/item/RB00004380")</f>
        <v>https://rmda.kulib.kyoto-u.ac.jp/item/RB00004380</v>
      </c>
      <c r="G85" s="6" t="s">
        <v>694</v>
      </c>
      <c r="H85" s="6"/>
      <c r="I85" s="6"/>
    </row>
    <row r="86" spans="1:9" x14ac:dyDescent="0.15">
      <c r="A86" s="5"/>
      <c r="B86" s="6"/>
      <c r="C86" s="6" t="s">
        <v>366</v>
      </c>
      <c r="D86" s="6" t="s">
        <v>366</v>
      </c>
      <c r="E86" s="6" t="s">
        <v>696</v>
      </c>
      <c r="F86" s="17" t="str">
        <f>HYPERLINK("https://rmda.kulib.kyoto-u.ac.jp/item/RB00000678")</f>
        <v>https://rmda.kulib.kyoto-u.ac.jp/item/RB00000678</v>
      </c>
      <c r="G86" s="6" t="s">
        <v>697</v>
      </c>
      <c r="H86" s="6"/>
      <c r="I86" s="6"/>
    </row>
    <row r="87" spans="1:9" x14ac:dyDescent="0.15">
      <c r="A87" s="5"/>
      <c r="B87" s="6"/>
      <c r="C87" s="6"/>
      <c r="D87" s="6" t="s">
        <v>366</v>
      </c>
      <c r="E87" s="6" t="s">
        <v>696</v>
      </c>
      <c r="F87" s="17" t="str">
        <f>HYPERLINK("https://rmda.kulib.kyoto-u.ac.jp/item/RB00000679")</f>
        <v>https://rmda.kulib.kyoto-u.ac.jp/item/RB00000679</v>
      </c>
      <c r="G87" s="6" t="s">
        <v>697</v>
      </c>
      <c r="H87" s="6"/>
      <c r="I87" s="6"/>
    </row>
    <row r="88" spans="1:9" x14ac:dyDescent="0.15">
      <c r="A88" s="5"/>
      <c r="B88" s="6"/>
      <c r="C88" s="31" t="s">
        <v>1009</v>
      </c>
      <c r="D88" s="6" t="s">
        <v>1007</v>
      </c>
      <c r="E88" s="6"/>
      <c r="F88" s="6"/>
      <c r="G88" s="6" t="s">
        <v>1008</v>
      </c>
      <c r="H88" s="6"/>
      <c r="I88" s="6"/>
    </row>
    <row r="89" spans="1:9" x14ac:dyDescent="0.15">
      <c r="A89" s="5">
        <v>17</v>
      </c>
      <c r="B89" s="6" t="s">
        <v>14</v>
      </c>
      <c r="C89" s="6" t="s">
        <v>367</v>
      </c>
      <c r="D89" s="6" t="s">
        <v>698</v>
      </c>
      <c r="E89" s="6" t="s">
        <v>699</v>
      </c>
      <c r="F89" s="17" t="str">
        <f>HYPERLINK("https://rmda.kulib.kyoto-u.ac.jp/item/RB00000290")</f>
        <v>https://rmda.kulib.kyoto-u.ac.jp/item/RB00000290</v>
      </c>
      <c r="G89" s="6" t="s">
        <v>700</v>
      </c>
      <c r="H89" s="6"/>
      <c r="I89" s="6"/>
    </row>
    <row r="90" spans="1:9" x14ac:dyDescent="0.15">
      <c r="A90" s="5"/>
      <c r="B90" s="6"/>
      <c r="C90" s="6"/>
      <c r="D90" s="6" t="s">
        <v>698</v>
      </c>
      <c r="E90" s="6" t="s">
        <v>699</v>
      </c>
      <c r="F90" s="17" t="str">
        <f>HYPERLINK("https://rmda.kulib.kyoto-u.ac.jp/item/RB00003727")</f>
        <v>https://rmda.kulib.kyoto-u.ac.jp/item/RB00003727</v>
      </c>
      <c r="G90" s="6" t="s">
        <v>700</v>
      </c>
      <c r="H90" s="6"/>
      <c r="I90" s="6"/>
    </row>
    <row r="91" spans="1:9" x14ac:dyDescent="0.15">
      <c r="A91" s="5"/>
      <c r="B91" s="6"/>
      <c r="C91" s="6" t="s">
        <v>368</v>
      </c>
      <c r="D91" s="6" t="s">
        <v>701</v>
      </c>
      <c r="E91" s="6" t="s">
        <v>702</v>
      </c>
      <c r="F91" s="17" t="str">
        <f>HYPERLINK("https://rmda.kulib.kyoto-u.ac.jp/item/RB00000291")</f>
        <v>https://rmda.kulib.kyoto-u.ac.jp/item/RB00000291</v>
      </c>
      <c r="G91" s="6" t="s">
        <v>703</v>
      </c>
      <c r="H91" s="6"/>
      <c r="I91" s="6"/>
    </row>
    <row r="92" spans="1:9" x14ac:dyDescent="0.15">
      <c r="A92" s="5"/>
      <c r="B92" s="6"/>
      <c r="C92" s="6"/>
      <c r="D92" s="6" t="s">
        <v>701</v>
      </c>
      <c r="E92" s="6" t="s">
        <v>702</v>
      </c>
      <c r="F92" s="17" t="str">
        <f>HYPERLINK("https://rmda.kulib.kyoto-u.ac.jp/item/RB00003728")</f>
        <v>https://rmda.kulib.kyoto-u.ac.jp/item/RB00003728</v>
      </c>
      <c r="G92" s="6" t="s">
        <v>703</v>
      </c>
      <c r="H92" s="6"/>
      <c r="I92" s="6"/>
    </row>
    <row r="93" spans="1:9" x14ac:dyDescent="0.15">
      <c r="A93" s="5"/>
      <c r="B93" s="6"/>
      <c r="C93" s="6" t="s">
        <v>369</v>
      </c>
      <c r="D93" s="6" t="s">
        <v>704</v>
      </c>
      <c r="E93" s="6" t="s">
        <v>705</v>
      </c>
      <c r="F93" s="17" t="str">
        <f>HYPERLINK("https://rmda.kulib.kyoto-u.ac.jp/item/RB00003730")</f>
        <v>https://rmda.kulib.kyoto-u.ac.jp/item/RB00003730</v>
      </c>
      <c r="G93" s="6" t="s">
        <v>706</v>
      </c>
      <c r="H93" s="6"/>
      <c r="I93" s="6"/>
    </row>
    <row r="94" spans="1:9" x14ac:dyDescent="0.15">
      <c r="A94" s="5"/>
      <c r="B94" s="6"/>
      <c r="C94" s="6" t="s">
        <v>370</v>
      </c>
      <c r="D94" s="6" t="s">
        <v>707</v>
      </c>
      <c r="E94" s="6" t="s">
        <v>708</v>
      </c>
      <c r="F94" s="17" t="str">
        <f>HYPERLINK("https://rmda.kulib.kyoto-u.ac.jp/item/RB00003741")</f>
        <v>https://rmda.kulib.kyoto-u.ac.jp/item/RB00003741</v>
      </c>
      <c r="G94" s="6" t="s">
        <v>709</v>
      </c>
      <c r="H94" s="6"/>
      <c r="I94" s="6"/>
    </row>
    <row r="95" spans="1:9" x14ac:dyDescent="0.15">
      <c r="A95" s="5"/>
      <c r="B95" s="6"/>
      <c r="C95" s="31" t="s">
        <v>371</v>
      </c>
      <c r="D95" s="6"/>
      <c r="E95" s="6"/>
      <c r="F95" s="6"/>
      <c r="G95" s="6"/>
      <c r="H95" s="6"/>
      <c r="I95" s="6"/>
    </row>
    <row r="96" spans="1:9" ht="27" x14ac:dyDescent="0.15">
      <c r="A96" s="5" t="s">
        <v>372</v>
      </c>
      <c r="B96" s="6" t="s">
        <v>15</v>
      </c>
      <c r="C96" s="30" t="s">
        <v>373</v>
      </c>
      <c r="D96" s="30" t="s">
        <v>373</v>
      </c>
      <c r="E96" s="48" t="s">
        <v>894</v>
      </c>
      <c r="F96" s="47" t="s">
        <v>895</v>
      </c>
      <c r="G96" s="6"/>
      <c r="H96" s="6"/>
      <c r="I96" s="6"/>
    </row>
    <row r="97" spans="1:9" ht="27" x14ac:dyDescent="0.15">
      <c r="A97" s="5"/>
      <c r="B97" s="6"/>
      <c r="C97" s="30"/>
      <c r="D97" s="30" t="s">
        <v>373</v>
      </c>
      <c r="E97" s="48" t="s">
        <v>894</v>
      </c>
      <c r="F97" s="47" t="s">
        <v>896</v>
      </c>
      <c r="G97" s="6"/>
      <c r="H97" s="6"/>
      <c r="I97" s="6"/>
    </row>
    <row r="98" spans="1:9" ht="15" x14ac:dyDescent="0.15">
      <c r="A98" s="5"/>
      <c r="B98" s="6"/>
      <c r="C98" s="30" t="s">
        <v>374</v>
      </c>
      <c r="D98" s="6"/>
      <c r="E98" s="49" t="s">
        <v>640</v>
      </c>
      <c r="F98" s="46" t="s">
        <v>998</v>
      </c>
      <c r="G98" s="6"/>
      <c r="H98" s="6"/>
      <c r="I98" s="6"/>
    </row>
    <row r="99" spans="1:9" x14ac:dyDescent="0.15">
      <c r="A99" s="5"/>
      <c r="B99" s="6"/>
      <c r="C99" s="6" t="s">
        <v>375</v>
      </c>
      <c r="D99" s="6" t="s">
        <v>798</v>
      </c>
      <c r="E99" s="6" t="s">
        <v>794</v>
      </c>
      <c r="F99" s="17" t="str">
        <f>HYPERLINK("https://rmda.kulib.kyoto-u.ac.jp/item/RB00003877")</f>
        <v>https://rmda.kulib.kyoto-u.ac.jp/item/RB00003877</v>
      </c>
      <c r="G99" s="6" t="s">
        <v>799</v>
      </c>
      <c r="H99" s="6"/>
      <c r="I99" s="6"/>
    </row>
    <row r="100" spans="1:9" x14ac:dyDescent="0.15">
      <c r="A100" s="5"/>
      <c r="B100" s="6"/>
      <c r="C100" s="6" t="s">
        <v>796</v>
      </c>
      <c r="D100" s="6" t="s">
        <v>796</v>
      </c>
      <c r="E100" s="6" t="s">
        <v>794</v>
      </c>
      <c r="F100" s="17" t="str">
        <f>HYPERLINK("https://rmda.kulib.kyoto-u.ac.jp/item/RB00001821")</f>
        <v>https://rmda.kulib.kyoto-u.ac.jp/item/RB00001821</v>
      </c>
      <c r="G100" s="6" t="s">
        <v>797</v>
      </c>
      <c r="H100" s="6"/>
      <c r="I100" s="6"/>
    </row>
    <row r="101" spans="1:9" x14ac:dyDescent="0.15">
      <c r="A101" s="5"/>
      <c r="B101" s="6"/>
      <c r="C101" s="6" t="s">
        <v>376</v>
      </c>
      <c r="D101" s="6" t="s">
        <v>793</v>
      </c>
      <c r="E101" s="6" t="s">
        <v>794</v>
      </c>
      <c r="F101" s="17" t="str">
        <f>HYPERLINK("https://rmda.kulib.kyoto-u.ac.jp/item/RB00004521")</f>
        <v>https://rmda.kulib.kyoto-u.ac.jp/item/RB00004521</v>
      </c>
      <c r="G101" s="6" t="s">
        <v>795</v>
      </c>
      <c r="H101" s="6"/>
      <c r="I101" s="6"/>
    </row>
    <row r="102" spans="1:9" x14ac:dyDescent="0.15">
      <c r="A102" s="5" t="s">
        <v>377</v>
      </c>
      <c r="B102" s="6" t="s">
        <v>16</v>
      </c>
      <c r="C102" s="6" t="s">
        <v>378</v>
      </c>
      <c r="D102" s="6" t="s">
        <v>822</v>
      </c>
      <c r="E102" s="6" t="s">
        <v>646</v>
      </c>
      <c r="F102" s="17" t="str">
        <f>HYPERLINK("https://rmda.kulib.kyoto-u.ac.jp/item/RB00000695")</f>
        <v>https://rmda.kulib.kyoto-u.ac.jp/item/RB00000695</v>
      </c>
      <c r="G102" s="6" t="s">
        <v>823</v>
      </c>
      <c r="H102" s="6"/>
      <c r="I102" s="6"/>
    </row>
    <row r="103" spans="1:9" x14ac:dyDescent="0.15">
      <c r="A103" s="5"/>
      <c r="B103" s="6"/>
      <c r="C103" s="6" t="s">
        <v>379</v>
      </c>
      <c r="D103" s="6" t="s">
        <v>824</v>
      </c>
      <c r="E103" s="6" t="s">
        <v>825</v>
      </c>
      <c r="F103" s="17" t="str">
        <f>HYPERLINK("https://rmda.kulib.kyoto-u.ac.jp/item/RB00003892")</f>
        <v>https://rmda.kulib.kyoto-u.ac.jp/item/RB00003892</v>
      </c>
      <c r="G103" s="6" t="s">
        <v>826</v>
      </c>
      <c r="H103" s="6"/>
      <c r="I103" s="6"/>
    </row>
    <row r="104" spans="1:9" x14ac:dyDescent="0.15">
      <c r="A104" s="5"/>
      <c r="B104" s="6"/>
      <c r="C104" s="30" t="s">
        <v>380</v>
      </c>
      <c r="D104" s="6" t="s">
        <v>969</v>
      </c>
      <c r="E104" s="6" t="s">
        <v>971</v>
      </c>
      <c r="F104" s="45" t="s">
        <v>968</v>
      </c>
      <c r="G104" s="6"/>
      <c r="H104" s="6"/>
      <c r="I104" s="6"/>
    </row>
    <row r="105" spans="1:9" x14ac:dyDescent="0.15">
      <c r="A105" s="5"/>
      <c r="B105" s="6"/>
      <c r="C105" s="30"/>
      <c r="D105" s="30" t="s">
        <v>380</v>
      </c>
      <c r="E105" s="6" t="s">
        <v>972</v>
      </c>
      <c r="F105" s="45" t="s">
        <v>970</v>
      </c>
      <c r="G105" s="6"/>
      <c r="H105" s="6"/>
      <c r="I105" s="6"/>
    </row>
    <row r="106" spans="1:9" x14ac:dyDescent="0.15">
      <c r="A106" s="5" t="s">
        <v>381</v>
      </c>
      <c r="B106" s="6" t="s">
        <v>17</v>
      </c>
      <c r="C106" s="6" t="s">
        <v>18</v>
      </c>
      <c r="D106" s="6" t="s">
        <v>545</v>
      </c>
      <c r="E106" s="6"/>
      <c r="F106" s="46" t="s">
        <v>546</v>
      </c>
      <c r="G106" s="6"/>
      <c r="H106" s="6"/>
      <c r="I106" s="6"/>
    </row>
    <row r="107" spans="1:9" x14ac:dyDescent="0.15">
      <c r="A107" s="5"/>
      <c r="B107" s="6"/>
      <c r="C107" s="6"/>
      <c r="D107" s="6" t="s">
        <v>547</v>
      </c>
      <c r="E107" s="6"/>
      <c r="F107" s="46" t="s">
        <v>548</v>
      </c>
      <c r="G107" s="6"/>
      <c r="H107" s="6"/>
      <c r="I107" s="6"/>
    </row>
    <row r="108" spans="1:9" x14ac:dyDescent="0.15">
      <c r="A108" s="5"/>
      <c r="B108" s="6"/>
      <c r="C108" s="6"/>
      <c r="D108" s="6" t="s">
        <v>549</v>
      </c>
      <c r="E108" s="6"/>
      <c r="F108" s="46" t="s">
        <v>550</v>
      </c>
      <c r="G108" s="6"/>
      <c r="H108" s="6"/>
      <c r="I108" s="6"/>
    </row>
    <row r="109" spans="1:9" x14ac:dyDescent="0.15">
      <c r="A109" s="5"/>
      <c r="B109" s="6"/>
      <c r="C109" s="6"/>
      <c r="D109" s="6" t="s">
        <v>551</v>
      </c>
      <c r="E109" s="6"/>
      <c r="F109" s="46" t="s">
        <v>552</v>
      </c>
      <c r="G109" s="6"/>
      <c r="H109" s="6"/>
      <c r="I109" s="6"/>
    </row>
    <row r="110" spans="1:9" x14ac:dyDescent="0.15">
      <c r="A110" s="5"/>
      <c r="B110" s="6"/>
      <c r="C110" s="6"/>
      <c r="D110" s="6" t="s">
        <v>551</v>
      </c>
      <c r="E110" s="6"/>
      <c r="F110" s="46" t="s">
        <v>553</v>
      </c>
      <c r="G110" s="6"/>
      <c r="H110" s="6"/>
      <c r="I110" s="6"/>
    </row>
    <row r="111" spans="1:9" x14ac:dyDescent="0.15">
      <c r="A111" s="5" t="s">
        <v>382</v>
      </c>
      <c r="B111" s="6" t="s">
        <v>19</v>
      </c>
      <c r="C111" s="6" t="s">
        <v>383</v>
      </c>
      <c r="D111" s="6"/>
      <c r="E111" s="6"/>
      <c r="F111" s="46" t="s">
        <v>877</v>
      </c>
      <c r="G111" s="6"/>
      <c r="H111" s="6" t="s">
        <v>878</v>
      </c>
      <c r="I111" s="6"/>
    </row>
    <row r="112" spans="1:9" x14ac:dyDescent="0.15">
      <c r="A112" s="5"/>
      <c r="B112" s="6"/>
      <c r="C112" s="6" t="s">
        <v>384</v>
      </c>
      <c r="D112" s="6" t="s">
        <v>384</v>
      </c>
      <c r="E112" s="6" t="s">
        <v>525</v>
      </c>
      <c r="F112" s="17" t="str">
        <f>HYPERLINK("https://rmda.kulib.kyoto-u.ac.jp/item/RB00000747")</f>
        <v>https://rmda.kulib.kyoto-u.ac.jp/item/RB00000747</v>
      </c>
      <c r="G112" s="6" t="s">
        <v>526</v>
      </c>
      <c r="H112" s="6"/>
      <c r="I112" s="6"/>
    </row>
    <row r="113" spans="1:9" x14ac:dyDescent="0.15">
      <c r="A113" s="5"/>
      <c r="B113" s="6"/>
      <c r="C113" s="6"/>
      <c r="D113" s="6" t="s">
        <v>384</v>
      </c>
      <c r="E113" s="6" t="s">
        <v>525</v>
      </c>
      <c r="F113" s="17" t="str">
        <f>HYPERLINK("https://rmda.kulib.kyoto-u.ac.jp/item/RB00000748")</f>
        <v>https://rmda.kulib.kyoto-u.ac.jp/item/RB00000748</v>
      </c>
      <c r="G113" s="6" t="s">
        <v>526</v>
      </c>
      <c r="H113" s="6"/>
      <c r="I113" s="6"/>
    </row>
    <row r="114" spans="1:9" x14ac:dyDescent="0.15">
      <c r="A114" s="5"/>
      <c r="B114" s="6"/>
      <c r="C114" s="6"/>
      <c r="D114" s="6" t="s">
        <v>527</v>
      </c>
      <c r="E114" s="6" t="s">
        <v>525</v>
      </c>
      <c r="F114" s="17" t="str">
        <f>HYPERLINK("https://rmda.kulib.kyoto-u.ac.jp/item/RB00000749")</f>
        <v>https://rmda.kulib.kyoto-u.ac.jp/item/RB00000749</v>
      </c>
      <c r="G114" s="6" t="s">
        <v>526</v>
      </c>
      <c r="H114" s="6"/>
      <c r="I114" s="6"/>
    </row>
    <row r="115" spans="1:9" x14ac:dyDescent="0.15">
      <c r="A115" s="5"/>
      <c r="B115" s="6"/>
      <c r="C115" s="6"/>
      <c r="D115" s="6" t="s">
        <v>384</v>
      </c>
      <c r="E115" s="6" t="s">
        <v>525</v>
      </c>
      <c r="F115" s="17" t="str">
        <f>HYPERLINK("https://rmda.kulib.kyoto-u.ac.jp/item/RB00000750")</f>
        <v>https://rmda.kulib.kyoto-u.ac.jp/item/RB00000750</v>
      </c>
      <c r="G115" s="6" t="s">
        <v>526</v>
      </c>
      <c r="H115" s="6"/>
      <c r="I115" s="6"/>
    </row>
    <row r="116" spans="1:9" x14ac:dyDescent="0.15">
      <c r="A116" s="5"/>
      <c r="B116" s="6"/>
      <c r="C116" s="6"/>
      <c r="D116" s="6" t="s">
        <v>384</v>
      </c>
      <c r="E116" s="6" t="s">
        <v>525</v>
      </c>
      <c r="F116" s="17" t="str">
        <f>HYPERLINK("https://rmda.kulib.kyoto-u.ac.jp/item/RB00000751")</f>
        <v>https://rmda.kulib.kyoto-u.ac.jp/item/RB00000751</v>
      </c>
      <c r="G116" s="6" t="s">
        <v>526</v>
      </c>
      <c r="H116" s="6"/>
      <c r="I116" s="6"/>
    </row>
    <row r="117" spans="1:9" x14ac:dyDescent="0.15">
      <c r="A117" s="5"/>
      <c r="B117" s="6"/>
      <c r="C117" s="6"/>
      <c r="D117" s="6" t="s">
        <v>384</v>
      </c>
      <c r="E117" s="6" t="s">
        <v>525</v>
      </c>
      <c r="F117" s="17" t="str">
        <f>HYPERLINK("https://rmda.kulib.kyoto-u.ac.jp/item/RB00000752")</f>
        <v>https://rmda.kulib.kyoto-u.ac.jp/item/RB00000752</v>
      </c>
      <c r="G117" s="6" t="s">
        <v>526</v>
      </c>
      <c r="H117" s="6"/>
      <c r="I117" s="6"/>
    </row>
    <row r="118" spans="1:9" x14ac:dyDescent="0.15">
      <c r="A118" s="5"/>
      <c r="B118" s="6"/>
      <c r="C118" s="6"/>
      <c r="D118" s="6" t="s">
        <v>528</v>
      </c>
      <c r="E118" s="6" t="s">
        <v>514</v>
      </c>
      <c r="F118" s="17" t="str">
        <f>HYPERLINK("https://rmda.kulib.kyoto-u.ac.jp/item/RB00005554")</f>
        <v>https://rmda.kulib.kyoto-u.ac.jp/item/RB00005554</v>
      </c>
      <c r="G118" s="6" t="s">
        <v>526</v>
      </c>
      <c r="H118" s="6"/>
      <c r="I118" s="6"/>
    </row>
    <row r="119" spans="1:9" x14ac:dyDescent="0.15">
      <c r="A119" s="5"/>
      <c r="B119" s="6"/>
      <c r="C119" s="6"/>
      <c r="D119" s="6" t="s">
        <v>1078</v>
      </c>
      <c r="E119" s="6" t="s">
        <v>525</v>
      </c>
      <c r="F119" s="17" t="str">
        <f>HYPERLINK("https://rmda.kulib.kyoto-u.ac.jp/item/RB00005555")</f>
        <v>https://rmda.kulib.kyoto-u.ac.jp/item/RB00005555</v>
      </c>
      <c r="G119" s="6" t="s">
        <v>526</v>
      </c>
      <c r="H119" s="6"/>
      <c r="I119" s="6"/>
    </row>
    <row r="120" spans="1:9" x14ac:dyDescent="0.15">
      <c r="A120" s="5"/>
      <c r="B120" s="6"/>
      <c r="C120" s="6"/>
      <c r="D120" s="6" t="s">
        <v>544</v>
      </c>
      <c r="E120" s="6" t="s">
        <v>525</v>
      </c>
      <c r="F120" s="17" t="str">
        <f>HYPERLINK("https://rmda.kulib.kyoto-u.ac.jp/item/RB00005556")</f>
        <v>https://rmda.kulib.kyoto-u.ac.jp/item/RB00005556</v>
      </c>
      <c r="G120" s="6" t="s">
        <v>529</v>
      </c>
      <c r="H120" s="6" t="s">
        <v>879</v>
      </c>
      <c r="I120" s="6"/>
    </row>
    <row r="121" spans="1:9" x14ac:dyDescent="0.15">
      <c r="A121" s="5"/>
      <c r="B121" s="6"/>
      <c r="C121" s="6"/>
      <c r="D121" s="6" t="s">
        <v>530</v>
      </c>
      <c r="E121" s="6" t="s">
        <v>525</v>
      </c>
      <c r="F121" s="17" t="str">
        <f>HYPERLINK("https://rmda.kulib.kyoto-u.ac.jp/item/RB00004766")</f>
        <v>https://rmda.kulib.kyoto-u.ac.jp/item/RB00004766</v>
      </c>
      <c r="G121" s="6" t="s">
        <v>531</v>
      </c>
      <c r="H121" s="6"/>
      <c r="I121" s="6"/>
    </row>
    <row r="122" spans="1:9" x14ac:dyDescent="0.15">
      <c r="A122" s="5"/>
      <c r="B122" s="6"/>
      <c r="C122" s="30" t="s">
        <v>385</v>
      </c>
      <c r="D122" s="6" t="s">
        <v>898</v>
      </c>
      <c r="E122" s="6" t="s">
        <v>899</v>
      </c>
      <c r="F122" s="47" t="s">
        <v>897</v>
      </c>
      <c r="G122" s="6"/>
      <c r="H122" s="6" t="s">
        <v>900</v>
      </c>
      <c r="I122" s="6"/>
    </row>
    <row r="123" spans="1:9" x14ac:dyDescent="0.15">
      <c r="A123" s="5"/>
      <c r="B123" s="6"/>
      <c r="C123" s="31" t="s">
        <v>386</v>
      </c>
      <c r="D123" s="6"/>
      <c r="E123" s="6"/>
      <c r="F123" s="6"/>
      <c r="G123" s="6"/>
      <c r="H123" s="6"/>
      <c r="I123" s="6"/>
    </row>
    <row r="124" spans="1:9" x14ac:dyDescent="0.15">
      <c r="A124" s="5"/>
      <c r="B124" s="6"/>
      <c r="C124" s="6" t="s">
        <v>387</v>
      </c>
      <c r="D124" s="6" t="s">
        <v>387</v>
      </c>
      <c r="E124" s="6" t="s">
        <v>532</v>
      </c>
      <c r="F124" s="17" t="str">
        <f>HYPERLINK("https://rmda.kulib.kyoto-u.ac.jp/item/RB00002735")</f>
        <v>https://rmda.kulib.kyoto-u.ac.jp/item/RB00002735</v>
      </c>
      <c r="G124" s="6" t="s">
        <v>533</v>
      </c>
      <c r="H124" s="6"/>
      <c r="I124" s="6"/>
    </row>
    <row r="125" spans="1:9" x14ac:dyDescent="0.15">
      <c r="A125" s="5"/>
      <c r="B125" s="6"/>
      <c r="C125" s="6" t="s">
        <v>388</v>
      </c>
      <c r="D125" s="6" t="s">
        <v>388</v>
      </c>
      <c r="E125" s="6" t="s">
        <v>514</v>
      </c>
      <c r="F125" s="17" t="str">
        <f>HYPERLINK("https://rmda.kulib.kyoto-u.ac.jp/item/RB00003752")</f>
        <v>https://rmda.kulib.kyoto-u.ac.jp/item/RB00003752</v>
      </c>
      <c r="G125" s="6" t="s">
        <v>534</v>
      </c>
      <c r="H125" s="6"/>
      <c r="I125" s="6"/>
    </row>
    <row r="126" spans="1:9" x14ac:dyDescent="0.15">
      <c r="A126" s="5"/>
      <c r="B126" s="6"/>
      <c r="C126" s="6"/>
      <c r="D126" s="6" t="s">
        <v>388</v>
      </c>
      <c r="E126" s="6" t="s">
        <v>514</v>
      </c>
      <c r="F126" s="17" t="str">
        <f>HYPERLINK("https://rmda.kulib.kyoto-u.ac.jp/item/RB00003753")</f>
        <v>https://rmda.kulib.kyoto-u.ac.jp/item/RB00003753</v>
      </c>
      <c r="G126" s="6" t="s">
        <v>534</v>
      </c>
      <c r="H126" s="6"/>
      <c r="I126" s="6"/>
    </row>
    <row r="127" spans="1:9" x14ac:dyDescent="0.15">
      <c r="A127" s="5"/>
      <c r="B127" s="6"/>
      <c r="C127" s="6"/>
      <c r="D127" s="6" t="s">
        <v>388</v>
      </c>
      <c r="E127" s="6" t="s">
        <v>514</v>
      </c>
      <c r="F127" s="17" t="str">
        <f>HYPERLINK("https://rmda.kulib.kyoto-u.ac.jp/item/RB00003754")</f>
        <v>https://rmda.kulib.kyoto-u.ac.jp/item/RB00003754</v>
      </c>
      <c r="G127" s="6" t="s">
        <v>534</v>
      </c>
      <c r="H127" s="6"/>
      <c r="I127" s="6"/>
    </row>
    <row r="128" spans="1:9" x14ac:dyDescent="0.15">
      <c r="A128" s="5"/>
      <c r="B128" s="6"/>
      <c r="C128" s="6"/>
      <c r="D128" s="6" t="s">
        <v>388</v>
      </c>
      <c r="E128" s="6" t="s">
        <v>514</v>
      </c>
      <c r="F128" s="17" t="str">
        <f>HYPERLINK("https://rmda.kulib.kyoto-u.ac.jp/item/RB00003755")</f>
        <v>https://rmda.kulib.kyoto-u.ac.jp/item/RB00003755</v>
      </c>
      <c r="G128" s="6" t="s">
        <v>534</v>
      </c>
      <c r="H128" s="6"/>
      <c r="I128" s="6"/>
    </row>
    <row r="129" spans="1:9" x14ac:dyDescent="0.15">
      <c r="A129" s="5"/>
      <c r="B129" s="6"/>
      <c r="C129" s="6"/>
      <c r="D129" s="6" t="s">
        <v>388</v>
      </c>
      <c r="E129" s="6" t="s">
        <v>514</v>
      </c>
      <c r="F129" s="17" t="str">
        <f>HYPERLINK("https://rmda.kulib.kyoto-u.ac.jp/item/RB00003756")</f>
        <v>https://rmda.kulib.kyoto-u.ac.jp/item/RB00003756</v>
      </c>
      <c r="G129" s="6" t="s">
        <v>534</v>
      </c>
      <c r="H129" s="6"/>
      <c r="I129" s="6"/>
    </row>
    <row r="130" spans="1:9" x14ac:dyDescent="0.15">
      <c r="A130" s="5"/>
      <c r="B130" s="6"/>
      <c r="C130" s="6" t="s">
        <v>389</v>
      </c>
      <c r="D130" s="6" t="s">
        <v>389</v>
      </c>
      <c r="E130" s="6" t="s">
        <v>525</v>
      </c>
      <c r="F130" s="17" t="str">
        <f>HYPERLINK("https://rmda.kulib.kyoto-u.ac.jp/item/RB00003055")</f>
        <v>https://rmda.kulib.kyoto-u.ac.jp/item/RB00003055</v>
      </c>
      <c r="G130" s="6" t="s">
        <v>535</v>
      </c>
      <c r="H130" s="6"/>
      <c r="I130" s="6"/>
    </row>
    <row r="131" spans="1:9" x14ac:dyDescent="0.15">
      <c r="A131" s="5"/>
      <c r="B131" s="6"/>
      <c r="C131" s="6"/>
      <c r="D131" s="6" t="s">
        <v>389</v>
      </c>
      <c r="E131" s="6" t="s">
        <v>525</v>
      </c>
      <c r="F131" s="17" t="str">
        <f>HYPERLINK("https://rmda.kulib.kyoto-u.ac.jp/item/RB00003056")</f>
        <v>https://rmda.kulib.kyoto-u.ac.jp/item/RB00003056</v>
      </c>
      <c r="G131" s="6" t="s">
        <v>535</v>
      </c>
      <c r="H131" s="6"/>
      <c r="I131" s="6"/>
    </row>
    <row r="132" spans="1:9" x14ac:dyDescent="0.15">
      <c r="A132" s="5"/>
      <c r="B132" s="6"/>
      <c r="C132" s="6"/>
      <c r="D132" s="6" t="s">
        <v>389</v>
      </c>
      <c r="E132" s="6" t="s">
        <v>525</v>
      </c>
      <c r="F132" s="17" t="str">
        <f>HYPERLINK("https://rmda.kulib.kyoto-u.ac.jp/item/RB00003057")</f>
        <v>https://rmda.kulib.kyoto-u.ac.jp/item/RB00003057</v>
      </c>
      <c r="G132" s="6" t="s">
        <v>535</v>
      </c>
      <c r="H132" s="6"/>
      <c r="I132" s="6"/>
    </row>
    <row r="133" spans="1:9" x14ac:dyDescent="0.15">
      <c r="A133" s="5"/>
      <c r="B133" s="6"/>
      <c r="C133" s="6" t="s">
        <v>390</v>
      </c>
      <c r="D133" s="6" t="s">
        <v>390</v>
      </c>
      <c r="E133" s="6" t="s">
        <v>525</v>
      </c>
      <c r="F133" s="17" t="str">
        <f>HYPERLINK("https://rmda.kulib.kyoto-u.ac.jp/item/RB00000581")</f>
        <v>https://rmda.kulib.kyoto-u.ac.jp/item/RB00000581</v>
      </c>
      <c r="G133" s="6" t="s">
        <v>536</v>
      </c>
      <c r="H133" s="6"/>
      <c r="I133" s="6"/>
    </row>
    <row r="134" spans="1:9" x14ac:dyDescent="0.15">
      <c r="A134" s="5"/>
      <c r="B134" s="6"/>
      <c r="C134" s="6"/>
      <c r="D134" s="6" t="s">
        <v>390</v>
      </c>
      <c r="E134" s="6" t="s">
        <v>525</v>
      </c>
      <c r="F134" s="17" t="str">
        <f>HYPERLINK("https://rmda.kulib.kyoto-u.ac.jp/item/RB00002427")</f>
        <v>https://rmda.kulib.kyoto-u.ac.jp/item/RB00002427</v>
      </c>
      <c r="G134" s="6" t="s">
        <v>536</v>
      </c>
      <c r="H134" s="6"/>
      <c r="I134" s="6"/>
    </row>
    <row r="135" spans="1:9" x14ac:dyDescent="0.15">
      <c r="A135" s="5"/>
      <c r="B135" s="6"/>
      <c r="C135" s="6"/>
      <c r="D135" s="6" t="s">
        <v>390</v>
      </c>
      <c r="E135" s="6" t="s">
        <v>525</v>
      </c>
      <c r="F135" s="17" t="str">
        <f>HYPERLINK("https://rmda.kulib.kyoto-u.ac.jp/item/RB00002428")</f>
        <v>https://rmda.kulib.kyoto-u.ac.jp/item/RB00002428</v>
      </c>
      <c r="G135" s="6" t="s">
        <v>536</v>
      </c>
      <c r="H135" s="6"/>
      <c r="I135" s="6"/>
    </row>
    <row r="136" spans="1:9" x14ac:dyDescent="0.15">
      <c r="A136" s="5"/>
      <c r="B136" s="6"/>
      <c r="C136" s="6"/>
      <c r="D136" s="6" t="s">
        <v>537</v>
      </c>
      <c r="E136" s="6" t="s">
        <v>538</v>
      </c>
      <c r="F136" s="17" t="str">
        <f>HYPERLINK("https://rmda.kulib.kyoto-u.ac.jp/item/RB00003060")</f>
        <v>https://rmda.kulib.kyoto-u.ac.jp/item/RB00003060</v>
      </c>
      <c r="G136" s="6" t="s">
        <v>539</v>
      </c>
      <c r="H136" s="6"/>
      <c r="I136" s="6"/>
    </row>
    <row r="137" spans="1:9" x14ac:dyDescent="0.15">
      <c r="A137" s="5"/>
      <c r="B137" s="6"/>
      <c r="C137" s="6"/>
      <c r="D137" s="6" t="s">
        <v>540</v>
      </c>
      <c r="E137" s="6" t="s">
        <v>538</v>
      </c>
      <c r="F137" s="17" t="str">
        <f>HYPERLINK("https://rmda.kulib.kyoto-u.ac.jp/item/RB00003061")</f>
        <v>https://rmda.kulib.kyoto-u.ac.jp/item/RB00003061</v>
      </c>
      <c r="G137" s="6" t="s">
        <v>539</v>
      </c>
      <c r="H137" s="6"/>
      <c r="I137" s="6"/>
    </row>
    <row r="138" spans="1:9" x14ac:dyDescent="0.15">
      <c r="A138" s="5"/>
      <c r="B138" s="6"/>
      <c r="C138" s="31" t="s">
        <v>391</v>
      </c>
      <c r="D138" s="6"/>
      <c r="E138" s="6"/>
      <c r="F138" s="6"/>
      <c r="G138" s="6"/>
      <c r="H138" s="6"/>
      <c r="I138" s="6"/>
    </row>
    <row r="139" spans="1:9" x14ac:dyDescent="0.15">
      <c r="A139" s="5"/>
      <c r="B139" s="6"/>
      <c r="C139" s="6" t="s">
        <v>392</v>
      </c>
      <c r="D139" s="6" t="s">
        <v>392</v>
      </c>
      <c r="E139" s="6" t="s">
        <v>525</v>
      </c>
      <c r="F139" s="17" t="str">
        <f>HYPERLINK("https://rmda.kulib.kyoto-u.ac.jp/item/RB00005574")</f>
        <v>https://rmda.kulib.kyoto-u.ac.jp/item/RB00005574</v>
      </c>
      <c r="G139" s="6" t="s">
        <v>541</v>
      </c>
      <c r="H139" s="6"/>
      <c r="I139" s="6"/>
    </row>
    <row r="140" spans="1:9" x14ac:dyDescent="0.15">
      <c r="A140" s="5"/>
      <c r="B140" s="6"/>
      <c r="C140" s="6"/>
      <c r="D140" s="6" t="s">
        <v>392</v>
      </c>
      <c r="E140" s="6" t="s">
        <v>525</v>
      </c>
      <c r="F140" s="17" t="str">
        <f>HYPERLINK("https://rmda.kulib.kyoto-u.ac.jp/item/RB00005575")</f>
        <v>https://rmda.kulib.kyoto-u.ac.jp/item/RB00005575</v>
      </c>
      <c r="G140" s="6" t="s">
        <v>541</v>
      </c>
      <c r="H140" s="6"/>
      <c r="I140" s="6"/>
    </row>
    <row r="141" spans="1:9" x14ac:dyDescent="0.15">
      <c r="A141" s="5"/>
      <c r="B141" s="6"/>
      <c r="C141" s="6"/>
      <c r="D141" s="6" t="s">
        <v>392</v>
      </c>
      <c r="E141" s="6" t="s">
        <v>525</v>
      </c>
      <c r="F141" s="17" t="str">
        <f>HYPERLINK("https://rmda.kulib.kyoto-u.ac.jp/item/RB00005576")</f>
        <v>https://rmda.kulib.kyoto-u.ac.jp/item/RB00005576</v>
      </c>
      <c r="G141" s="6" t="s">
        <v>541</v>
      </c>
      <c r="H141" s="6"/>
      <c r="I141" s="6"/>
    </row>
    <row r="142" spans="1:9" x14ac:dyDescent="0.15">
      <c r="A142" s="5"/>
      <c r="B142" s="6"/>
      <c r="C142" s="6"/>
      <c r="D142" s="6" t="s">
        <v>392</v>
      </c>
      <c r="E142" s="6" t="s">
        <v>525</v>
      </c>
      <c r="F142" s="17" t="str">
        <f>HYPERLINK("https://rmda.kulib.kyoto-u.ac.jp/item/RB00005577")</f>
        <v>https://rmda.kulib.kyoto-u.ac.jp/item/RB00005577</v>
      </c>
      <c r="G142" s="6" t="s">
        <v>541</v>
      </c>
      <c r="H142" s="6"/>
      <c r="I142" s="6"/>
    </row>
    <row r="143" spans="1:9" x14ac:dyDescent="0.15">
      <c r="A143" s="5"/>
      <c r="B143" s="6"/>
      <c r="C143" s="6"/>
      <c r="D143" s="6" t="s">
        <v>392</v>
      </c>
      <c r="E143" s="6" t="s">
        <v>525</v>
      </c>
      <c r="F143" s="17" t="str">
        <f>HYPERLINK("https://rmda.kulib.kyoto-u.ac.jp/item/RB00005578")</f>
        <v>https://rmda.kulib.kyoto-u.ac.jp/item/RB00005578</v>
      </c>
      <c r="G143" s="6" t="s">
        <v>541</v>
      </c>
      <c r="H143" s="6"/>
      <c r="I143" s="6"/>
    </row>
    <row r="144" spans="1:9" x14ac:dyDescent="0.15">
      <c r="A144" s="5"/>
      <c r="B144" s="6"/>
      <c r="C144" s="6"/>
      <c r="D144" s="6" t="s">
        <v>392</v>
      </c>
      <c r="E144" s="6" t="s">
        <v>525</v>
      </c>
      <c r="F144" s="17" t="str">
        <f>HYPERLINK("https://rmda.kulib.kyoto-u.ac.jp/item/RB00005579")</f>
        <v>https://rmda.kulib.kyoto-u.ac.jp/item/RB00005579</v>
      </c>
      <c r="G144" s="6" t="s">
        <v>541</v>
      </c>
      <c r="H144" s="6"/>
      <c r="I144" s="6"/>
    </row>
    <row r="145" spans="1:9" x14ac:dyDescent="0.15">
      <c r="A145" s="5"/>
      <c r="B145" s="6"/>
      <c r="C145" s="6"/>
      <c r="D145" s="6" t="s">
        <v>542</v>
      </c>
      <c r="E145" s="6" t="s">
        <v>525</v>
      </c>
      <c r="F145" s="17" t="str">
        <f>HYPERLINK("https://rmda.kulib.kyoto-u.ac.jp/item/RB00003067")</f>
        <v>https://rmda.kulib.kyoto-u.ac.jp/item/RB00003067</v>
      </c>
      <c r="G145" s="6" t="s">
        <v>543</v>
      </c>
      <c r="H145" s="6"/>
      <c r="I145" s="6"/>
    </row>
    <row r="146" spans="1:9" x14ac:dyDescent="0.15">
      <c r="A146" s="5"/>
      <c r="B146" s="6"/>
      <c r="C146" s="31" t="s">
        <v>393</v>
      </c>
      <c r="D146" s="6"/>
      <c r="E146" s="6"/>
      <c r="F146" s="6"/>
      <c r="G146" s="6"/>
      <c r="H146" s="6"/>
      <c r="I146" s="6"/>
    </row>
    <row r="147" spans="1:9" x14ac:dyDescent="0.15">
      <c r="A147" s="32" t="s">
        <v>20</v>
      </c>
      <c r="B147" s="34" t="s">
        <v>4</v>
      </c>
      <c r="C147" s="34"/>
      <c r="D147" s="34"/>
      <c r="E147" s="34"/>
      <c r="F147" s="34"/>
      <c r="G147" s="34"/>
      <c r="H147" s="34"/>
      <c r="I147" s="34"/>
    </row>
    <row r="148" spans="1:9" x14ac:dyDescent="0.15">
      <c r="A148" s="5" t="s">
        <v>484</v>
      </c>
      <c r="B148" s="6" t="s">
        <v>21</v>
      </c>
      <c r="C148" s="30" t="s">
        <v>394</v>
      </c>
      <c r="D148" s="6" t="s">
        <v>902</v>
      </c>
      <c r="E148" s="6" t="s">
        <v>904</v>
      </c>
      <c r="F148" s="47" t="s">
        <v>901</v>
      </c>
      <c r="G148" s="6" t="s">
        <v>903</v>
      </c>
      <c r="H148" s="6" t="s">
        <v>905</v>
      </c>
      <c r="I148" s="6"/>
    </row>
    <row r="149" spans="1:9" x14ac:dyDescent="0.15">
      <c r="A149" s="5"/>
      <c r="B149" s="6"/>
      <c r="C149" s="6" t="s">
        <v>395</v>
      </c>
      <c r="D149" s="6" t="s">
        <v>789</v>
      </c>
      <c r="E149" s="6" t="s">
        <v>790</v>
      </c>
      <c r="F149" s="17" t="str">
        <f>HYPERLINK("https://rmda.kulib.kyoto-u.ac.jp/item/RB00005866")</f>
        <v>https://rmda.kulib.kyoto-u.ac.jp/item/RB00005866</v>
      </c>
      <c r="G149" s="6" t="s">
        <v>791</v>
      </c>
      <c r="H149" s="6"/>
      <c r="I149" s="6"/>
    </row>
    <row r="150" spans="1:9" x14ac:dyDescent="0.15">
      <c r="A150" s="5"/>
      <c r="B150" s="6"/>
      <c r="C150" s="6"/>
      <c r="D150" s="6" t="s">
        <v>792</v>
      </c>
      <c r="E150" s="6" t="s">
        <v>790</v>
      </c>
      <c r="F150" s="17" t="str">
        <f>HYPERLINK("https://rmda.kulib.kyoto-u.ac.jp/item/RB00005867")</f>
        <v>https://rmda.kulib.kyoto-u.ac.jp/item/RB00005867</v>
      </c>
      <c r="G150" s="6" t="s">
        <v>791</v>
      </c>
      <c r="H150" s="6"/>
      <c r="I150" s="6"/>
    </row>
    <row r="151" spans="1:9" x14ac:dyDescent="0.15">
      <c r="A151" s="5" t="s">
        <v>485</v>
      </c>
      <c r="B151" s="6" t="s">
        <v>22</v>
      </c>
      <c r="C151" s="6" t="s">
        <v>396</v>
      </c>
      <c r="D151" s="6" t="s">
        <v>787</v>
      </c>
      <c r="E151" s="6" t="s">
        <v>785</v>
      </c>
      <c r="F151" s="17" t="str">
        <f>HYPERLINK("https://rmda.kulib.kyoto-u.ac.jp/item/RB00000637")</f>
        <v>https://rmda.kulib.kyoto-u.ac.jp/item/RB00000637</v>
      </c>
      <c r="G151" s="6" t="s">
        <v>788</v>
      </c>
      <c r="H151" s="6"/>
      <c r="I151" s="6"/>
    </row>
    <row r="152" spans="1:9" x14ac:dyDescent="0.15">
      <c r="A152" s="5"/>
      <c r="B152" s="6"/>
      <c r="C152" s="6" t="s">
        <v>397</v>
      </c>
      <c r="D152" s="6" t="s">
        <v>784</v>
      </c>
      <c r="E152" s="6" t="s">
        <v>785</v>
      </c>
      <c r="F152" s="17" t="str">
        <f>HYPERLINK("https://rmda.kulib.kyoto-u.ac.jp/item/RB00000631")</f>
        <v>https://rmda.kulib.kyoto-u.ac.jp/item/RB00000631</v>
      </c>
      <c r="G152" s="6" t="s">
        <v>786</v>
      </c>
      <c r="H152" s="6"/>
      <c r="I152" s="6"/>
    </row>
    <row r="153" spans="1:9" x14ac:dyDescent="0.15">
      <c r="A153" s="5" t="s">
        <v>486</v>
      </c>
      <c r="B153" s="6" t="s">
        <v>23</v>
      </c>
      <c r="C153" s="6" t="s">
        <v>398</v>
      </c>
      <c r="D153" s="6" t="s">
        <v>772</v>
      </c>
      <c r="E153" s="6" t="s">
        <v>773</v>
      </c>
      <c r="F153" s="17" t="str">
        <f>HYPERLINK("https://rmda.kulib.kyoto-u.ac.jp/item/RB00000554")</f>
        <v>https://rmda.kulib.kyoto-u.ac.jp/item/RB00000554</v>
      </c>
      <c r="G153" s="6" t="s">
        <v>774</v>
      </c>
      <c r="H153" s="6"/>
      <c r="I153" s="6"/>
    </row>
    <row r="154" spans="1:9" x14ac:dyDescent="0.15">
      <c r="A154" s="5"/>
      <c r="B154" s="6"/>
      <c r="C154" s="6"/>
      <c r="D154" s="6" t="s">
        <v>772</v>
      </c>
      <c r="E154" s="6" t="s">
        <v>773</v>
      </c>
      <c r="F154" s="17" t="str">
        <f>HYPERLINK("https://rmda.kulib.kyoto-u.ac.jp/item/RB00001829")</f>
        <v>https://rmda.kulib.kyoto-u.ac.jp/item/RB00001829</v>
      </c>
      <c r="G154" s="6" t="s">
        <v>774</v>
      </c>
      <c r="H154" s="6"/>
      <c r="I154" s="6"/>
    </row>
    <row r="155" spans="1:9" x14ac:dyDescent="0.15">
      <c r="A155" s="5"/>
      <c r="B155" s="6"/>
      <c r="C155" s="6" t="s">
        <v>399</v>
      </c>
      <c r="D155" s="6" t="s">
        <v>775</v>
      </c>
      <c r="E155" s="6" t="s">
        <v>744</v>
      </c>
      <c r="F155" s="17" t="str">
        <f>HYPERLINK("https://rmda.kulib.kyoto-u.ac.jp/item/RB00003909")</f>
        <v>https://rmda.kulib.kyoto-u.ac.jp/item/RB00003909</v>
      </c>
      <c r="G155" s="6" t="s">
        <v>776</v>
      </c>
      <c r="H155" s="6"/>
      <c r="I155" s="6"/>
    </row>
    <row r="156" spans="1:9" x14ac:dyDescent="0.15">
      <c r="A156" s="5"/>
      <c r="B156" s="6"/>
      <c r="C156" s="6"/>
      <c r="D156" s="6" t="s">
        <v>775</v>
      </c>
      <c r="E156" s="6" t="s">
        <v>744</v>
      </c>
      <c r="F156" s="17" t="str">
        <f>HYPERLINK("https://rmda.kulib.kyoto-u.ac.jp/item/RB00003910")</f>
        <v>https://rmda.kulib.kyoto-u.ac.jp/item/RB00003910</v>
      </c>
      <c r="G156" s="6" t="s">
        <v>776</v>
      </c>
      <c r="H156" s="6"/>
      <c r="I156" s="6"/>
    </row>
    <row r="157" spans="1:9" x14ac:dyDescent="0.15">
      <c r="A157" s="5"/>
      <c r="B157" s="6"/>
      <c r="C157" s="6" t="s">
        <v>400</v>
      </c>
      <c r="D157" s="6" t="s">
        <v>777</v>
      </c>
      <c r="E157" s="6" t="s">
        <v>773</v>
      </c>
      <c r="F157" s="17" t="str">
        <f>HYPERLINK("https://rmda.kulib.kyoto-u.ac.jp/item/RB00001115")</f>
        <v>https://rmda.kulib.kyoto-u.ac.jp/item/RB00001115</v>
      </c>
      <c r="G157" s="6" t="s">
        <v>778</v>
      </c>
      <c r="H157" s="6"/>
      <c r="I157" s="6"/>
    </row>
    <row r="158" spans="1:9" x14ac:dyDescent="0.15">
      <c r="A158" s="5"/>
      <c r="B158" s="6"/>
      <c r="C158" s="31" t="s">
        <v>401</v>
      </c>
      <c r="D158" s="6"/>
      <c r="E158" s="6"/>
      <c r="F158" s="6"/>
      <c r="G158" s="6"/>
      <c r="H158" s="6"/>
      <c r="I158" s="6"/>
    </row>
    <row r="159" spans="1:9" ht="27" x14ac:dyDescent="0.15">
      <c r="A159" s="5"/>
      <c r="B159" s="6"/>
      <c r="C159" s="30" t="s">
        <v>402</v>
      </c>
      <c r="D159" s="30" t="s">
        <v>402</v>
      </c>
      <c r="E159" s="50" t="s">
        <v>906</v>
      </c>
      <c r="F159" s="47" t="s">
        <v>907</v>
      </c>
      <c r="G159" s="6"/>
      <c r="H159" s="6"/>
      <c r="I159" s="6"/>
    </row>
    <row r="160" spans="1:9" ht="27" x14ac:dyDescent="0.15">
      <c r="A160" s="5"/>
      <c r="B160" s="6"/>
      <c r="C160" s="30"/>
      <c r="D160" s="30" t="s">
        <v>402</v>
      </c>
      <c r="E160" s="50" t="s">
        <v>906</v>
      </c>
      <c r="F160" s="47" t="s">
        <v>908</v>
      </c>
      <c r="G160" s="6"/>
      <c r="H160" s="6"/>
      <c r="I160" s="6"/>
    </row>
    <row r="161" spans="1:9" x14ac:dyDescent="0.15">
      <c r="A161" s="5"/>
      <c r="B161" s="6"/>
      <c r="C161" s="6" t="s">
        <v>403</v>
      </c>
      <c r="D161" s="6" t="s">
        <v>779</v>
      </c>
      <c r="E161" s="6" t="s">
        <v>780</v>
      </c>
      <c r="F161" s="17" t="str">
        <f>HYPERLINK("https://rmda.kulib.kyoto-u.ac.jp/item/RB00000295")</f>
        <v>https://rmda.kulib.kyoto-u.ac.jp/item/RB00000295</v>
      </c>
      <c r="G161" s="6" t="s">
        <v>781</v>
      </c>
      <c r="H161" s="30" t="s">
        <v>767</v>
      </c>
      <c r="I161" s="6"/>
    </row>
    <row r="162" spans="1:9" x14ac:dyDescent="0.15">
      <c r="A162" s="5"/>
      <c r="B162" s="6"/>
      <c r="C162" s="6" t="s">
        <v>404</v>
      </c>
      <c r="D162" s="6" t="s">
        <v>743</v>
      </c>
      <c r="E162" s="6" t="s">
        <v>744</v>
      </c>
      <c r="F162" s="17" t="str">
        <f>HYPERLINK("https://rmda.kulib.kyoto-u.ac.jp/item/RB00002381")</f>
        <v>https://rmda.kulib.kyoto-u.ac.jp/item/RB00002381</v>
      </c>
      <c r="G162" s="6" t="s">
        <v>745</v>
      </c>
      <c r="H162" s="30" t="s">
        <v>767</v>
      </c>
      <c r="I162" s="6"/>
    </row>
    <row r="163" spans="1:9" x14ac:dyDescent="0.15">
      <c r="A163" s="5"/>
      <c r="B163" s="6"/>
      <c r="C163" s="6" t="s">
        <v>405</v>
      </c>
      <c r="D163" s="6" t="s">
        <v>405</v>
      </c>
      <c r="E163" s="6" t="s">
        <v>782</v>
      </c>
      <c r="F163" s="17" t="str">
        <f>HYPERLINK("https://rmda.kulib.kyoto-u.ac.jp/item/RB00000568")</f>
        <v>https://rmda.kulib.kyoto-u.ac.jp/item/RB00000568</v>
      </c>
      <c r="G163" s="6" t="s">
        <v>783</v>
      </c>
      <c r="H163" s="6"/>
      <c r="I163" s="6"/>
    </row>
    <row r="164" spans="1:9" x14ac:dyDescent="0.15">
      <c r="A164" s="5"/>
      <c r="B164" s="6"/>
      <c r="C164" s="6" t="s">
        <v>406</v>
      </c>
      <c r="D164" s="6" t="s">
        <v>405</v>
      </c>
      <c r="E164" s="6" t="s">
        <v>782</v>
      </c>
      <c r="F164" s="17" t="str">
        <f>HYPERLINK("https://rmda.kulib.kyoto-u.ac.jp/item/RB00000569")</f>
        <v>https://rmda.kulib.kyoto-u.ac.jp/item/RB00000569</v>
      </c>
      <c r="G164" s="6" t="s">
        <v>783</v>
      </c>
      <c r="H164" s="6"/>
      <c r="I164" s="6"/>
    </row>
    <row r="165" spans="1:9" x14ac:dyDescent="0.15">
      <c r="A165" s="5"/>
      <c r="B165" s="6"/>
      <c r="C165" s="6"/>
      <c r="D165" s="6" t="s">
        <v>405</v>
      </c>
      <c r="E165" s="6" t="s">
        <v>782</v>
      </c>
      <c r="F165" s="17" t="str">
        <f>HYPERLINK("https://rmda.kulib.kyoto-u.ac.jp/item/RB00000570")</f>
        <v>https://rmda.kulib.kyoto-u.ac.jp/item/RB00000570</v>
      </c>
      <c r="G165" s="6" t="s">
        <v>783</v>
      </c>
      <c r="H165" s="6"/>
      <c r="I165" s="6"/>
    </row>
    <row r="166" spans="1:9" x14ac:dyDescent="0.15">
      <c r="A166" s="5"/>
      <c r="B166" s="6"/>
      <c r="C166" s="6"/>
      <c r="D166" s="6" t="s">
        <v>405</v>
      </c>
      <c r="E166" s="6" t="s">
        <v>782</v>
      </c>
      <c r="F166" s="17" t="str">
        <f>HYPERLINK("https://rmda.kulib.kyoto-u.ac.jp/item/RB00000571")</f>
        <v>https://rmda.kulib.kyoto-u.ac.jp/item/RB00000571</v>
      </c>
      <c r="G166" s="6" t="s">
        <v>783</v>
      </c>
      <c r="H166" s="6"/>
      <c r="I166" s="6"/>
    </row>
    <row r="167" spans="1:9" x14ac:dyDescent="0.15">
      <c r="A167" s="5"/>
      <c r="B167" s="6"/>
      <c r="C167" s="6"/>
      <c r="D167" s="6" t="s">
        <v>405</v>
      </c>
      <c r="E167" s="6" t="s">
        <v>782</v>
      </c>
      <c r="F167" s="17" t="str">
        <f>HYPERLINK("https://rmda.kulib.kyoto-u.ac.jp/item/RB00000572")</f>
        <v>https://rmda.kulib.kyoto-u.ac.jp/item/RB00000572</v>
      </c>
      <c r="G167" s="6" t="s">
        <v>783</v>
      </c>
      <c r="H167" s="6"/>
      <c r="I167" s="6"/>
    </row>
    <row r="168" spans="1:9" x14ac:dyDescent="0.15">
      <c r="A168" s="5">
        <v>39</v>
      </c>
      <c r="B168" s="6" t="s">
        <v>24</v>
      </c>
      <c r="C168" s="6" t="s">
        <v>407</v>
      </c>
      <c r="D168" s="6" t="s">
        <v>554</v>
      </c>
      <c r="E168" s="6" t="s">
        <v>555</v>
      </c>
      <c r="F168" s="17" t="str">
        <f>HYPERLINK("https://rmda.kulib.kyoto-u.ac.jp/item/RB00002788")</f>
        <v>https://rmda.kulib.kyoto-u.ac.jp/item/RB00002788</v>
      </c>
      <c r="G168" s="6" t="s">
        <v>556</v>
      </c>
      <c r="H168" s="6"/>
      <c r="I168" s="6"/>
    </row>
    <row r="169" spans="1:9" x14ac:dyDescent="0.15">
      <c r="A169" s="5"/>
      <c r="B169" s="6"/>
      <c r="C169" s="30" t="s">
        <v>911</v>
      </c>
      <c r="D169" s="6" t="s">
        <v>912</v>
      </c>
      <c r="E169" s="6" t="s">
        <v>555</v>
      </c>
      <c r="F169" s="47" t="s">
        <v>909</v>
      </c>
      <c r="G169" s="6"/>
      <c r="H169" s="6" t="s">
        <v>910</v>
      </c>
      <c r="I169" s="6" t="s">
        <v>893</v>
      </c>
    </row>
    <row r="170" spans="1:9" x14ac:dyDescent="0.15">
      <c r="A170" s="5">
        <v>40</v>
      </c>
      <c r="B170" s="6" t="s">
        <v>25</v>
      </c>
      <c r="C170" s="6" t="s">
        <v>408</v>
      </c>
      <c r="D170" s="6" t="s">
        <v>557</v>
      </c>
      <c r="E170" s="6" t="s">
        <v>558</v>
      </c>
      <c r="F170" s="17" t="str">
        <f>HYPERLINK("https://rmda.kulib.kyoto-u.ac.jp/item/RB00000370")</f>
        <v>https://rmda.kulib.kyoto-u.ac.jp/item/RB00000370</v>
      </c>
      <c r="G170" s="6" t="s">
        <v>559</v>
      </c>
      <c r="H170" s="6"/>
      <c r="I170" s="6"/>
    </row>
    <row r="171" spans="1:9" x14ac:dyDescent="0.15">
      <c r="A171" s="5"/>
      <c r="B171" s="6"/>
      <c r="C171" s="6" t="s">
        <v>409</v>
      </c>
      <c r="D171" s="6" t="s">
        <v>409</v>
      </c>
      <c r="E171" s="6" t="s">
        <v>514</v>
      </c>
      <c r="F171" s="17" t="str">
        <f>HYPERLINK("https://rmda.kulib.kyoto-u.ac.jp/item/RB00005181")</f>
        <v>https://rmda.kulib.kyoto-u.ac.jp/item/RB00005181</v>
      </c>
      <c r="G171" s="6" t="s">
        <v>560</v>
      </c>
      <c r="H171" s="6"/>
      <c r="I171" s="6"/>
    </row>
    <row r="172" spans="1:9" x14ac:dyDescent="0.15">
      <c r="A172" s="5"/>
      <c r="B172" s="6"/>
      <c r="C172" s="6" t="s">
        <v>410</v>
      </c>
      <c r="D172" s="6" t="s">
        <v>561</v>
      </c>
      <c r="E172" s="6" t="s">
        <v>562</v>
      </c>
      <c r="F172" s="17" t="str">
        <f>HYPERLINK("https://rmda.kulib.kyoto-u.ac.jp/item/RB00000738")</f>
        <v>https://rmda.kulib.kyoto-u.ac.jp/item/RB00000738</v>
      </c>
      <c r="G172" s="6"/>
      <c r="H172" s="30" t="s">
        <v>915</v>
      </c>
      <c r="I172" s="6"/>
    </row>
    <row r="173" spans="1:9" x14ac:dyDescent="0.15">
      <c r="A173" s="5"/>
      <c r="B173" s="6"/>
      <c r="C173" s="30" t="s">
        <v>916</v>
      </c>
      <c r="D173" s="6" t="s">
        <v>410</v>
      </c>
      <c r="E173" s="6" t="s">
        <v>562</v>
      </c>
      <c r="F173" s="47" t="s">
        <v>914</v>
      </c>
      <c r="G173" s="6"/>
      <c r="H173" s="30" t="s">
        <v>915</v>
      </c>
      <c r="I173" s="6"/>
    </row>
    <row r="174" spans="1:9" x14ac:dyDescent="0.15">
      <c r="A174" s="5"/>
      <c r="B174" s="6"/>
      <c r="C174" s="30"/>
      <c r="D174" s="6" t="s">
        <v>917</v>
      </c>
      <c r="E174" s="6" t="s">
        <v>562</v>
      </c>
      <c r="F174" s="47" t="s">
        <v>913</v>
      </c>
      <c r="G174" s="6"/>
      <c r="H174" s="6" t="s">
        <v>918</v>
      </c>
      <c r="I174" s="6"/>
    </row>
    <row r="175" spans="1:9" x14ac:dyDescent="0.15">
      <c r="A175" s="5" t="s">
        <v>487</v>
      </c>
      <c r="B175" s="6" t="s">
        <v>26</v>
      </c>
      <c r="C175" s="6" t="s">
        <v>411</v>
      </c>
      <c r="D175" s="6" t="s">
        <v>563</v>
      </c>
      <c r="E175" s="6" t="s">
        <v>564</v>
      </c>
      <c r="F175" s="17" t="str">
        <f>HYPERLINK("https://rmda.kulib.kyoto-u.ac.jp/item/RB00003152")</f>
        <v>https://rmda.kulib.kyoto-u.ac.jp/item/RB00003152</v>
      </c>
      <c r="G175" s="6" t="s">
        <v>565</v>
      </c>
      <c r="H175" s="6"/>
      <c r="I175" s="6"/>
    </row>
    <row r="176" spans="1:9" x14ac:dyDescent="0.15">
      <c r="A176" s="5"/>
      <c r="B176" s="6"/>
      <c r="C176" s="31" t="s">
        <v>973</v>
      </c>
      <c r="D176" s="6" t="s">
        <v>993</v>
      </c>
      <c r="E176" s="6"/>
      <c r="F176" s="6"/>
      <c r="G176" s="6"/>
      <c r="H176" s="6"/>
      <c r="I176" s="6"/>
    </row>
    <row r="177" spans="1:9" x14ac:dyDescent="0.15">
      <c r="A177" s="5"/>
      <c r="B177" s="6"/>
      <c r="C177" s="6" t="s">
        <v>412</v>
      </c>
      <c r="D177" s="6"/>
      <c r="E177" s="6"/>
      <c r="F177" s="46" t="s">
        <v>880</v>
      </c>
      <c r="G177" s="6"/>
      <c r="H177" s="6" t="s">
        <v>881</v>
      </c>
      <c r="I177" s="6"/>
    </row>
    <row r="178" spans="1:9" x14ac:dyDescent="0.15">
      <c r="A178" s="5"/>
      <c r="B178" s="6"/>
      <c r="C178" s="6"/>
      <c r="D178" s="6" t="s">
        <v>412</v>
      </c>
      <c r="E178" s="6" t="s">
        <v>564</v>
      </c>
      <c r="F178" s="47" t="s">
        <v>919</v>
      </c>
      <c r="G178" s="6"/>
      <c r="H178" s="6" t="s">
        <v>920</v>
      </c>
      <c r="I178" s="6"/>
    </row>
    <row r="179" spans="1:9" x14ac:dyDescent="0.15">
      <c r="A179" s="5"/>
      <c r="B179" s="6"/>
      <c r="C179" s="6"/>
      <c r="D179" s="6" t="s">
        <v>923</v>
      </c>
      <c r="E179" s="6" t="s">
        <v>564</v>
      </c>
      <c r="F179" s="47" t="s">
        <v>921</v>
      </c>
      <c r="G179" s="6"/>
      <c r="H179" s="6" t="s">
        <v>922</v>
      </c>
      <c r="I179" s="6"/>
    </row>
    <row r="180" spans="1:9" x14ac:dyDescent="0.15">
      <c r="A180" s="5" t="s">
        <v>488</v>
      </c>
      <c r="B180" s="6" t="s">
        <v>27</v>
      </c>
      <c r="C180" s="6" t="s">
        <v>413</v>
      </c>
      <c r="D180" s="6" t="s">
        <v>566</v>
      </c>
      <c r="E180" s="6" t="s">
        <v>567</v>
      </c>
      <c r="F180" s="17" t="str">
        <f>HYPERLINK("https://rmda.kulib.kyoto-u.ac.jp/item/RB00000583")</f>
        <v>https://rmda.kulib.kyoto-u.ac.jp/item/RB00000583</v>
      </c>
      <c r="G180" s="6" t="s">
        <v>568</v>
      </c>
      <c r="H180" s="6"/>
      <c r="I180" s="6"/>
    </row>
    <row r="181" spans="1:9" x14ac:dyDescent="0.15">
      <c r="A181" s="5"/>
      <c r="B181" s="6"/>
      <c r="C181" s="6"/>
      <c r="D181" s="6" t="s">
        <v>569</v>
      </c>
      <c r="E181" s="6" t="s">
        <v>570</v>
      </c>
      <c r="F181" s="17" t="str">
        <f>HYPERLINK("https://rmda.kulib.kyoto-u.ac.jp/item/RB00002677")</f>
        <v>https://rmda.kulib.kyoto-u.ac.jp/item/RB00002677</v>
      </c>
      <c r="G181" s="6" t="s">
        <v>571</v>
      </c>
      <c r="H181" s="6"/>
      <c r="I181" s="6"/>
    </row>
    <row r="182" spans="1:9" x14ac:dyDescent="0.15">
      <c r="A182" s="5"/>
      <c r="B182" s="6"/>
      <c r="C182" s="6" t="s">
        <v>414</v>
      </c>
      <c r="D182" s="6" t="s">
        <v>572</v>
      </c>
      <c r="E182" s="6" t="s">
        <v>573</v>
      </c>
      <c r="F182" s="17" t="str">
        <f>HYPERLINK("https://rmda.kulib.kyoto-u.ac.jp/item/RB00000615")</f>
        <v>https://rmda.kulib.kyoto-u.ac.jp/item/RB00000615</v>
      </c>
      <c r="G182" s="6" t="s">
        <v>574</v>
      </c>
      <c r="H182" s="6"/>
      <c r="I182" s="6"/>
    </row>
    <row r="183" spans="1:9" x14ac:dyDescent="0.15">
      <c r="A183" s="5"/>
      <c r="B183" s="6"/>
      <c r="C183" s="6"/>
      <c r="D183" s="6" t="s">
        <v>414</v>
      </c>
      <c r="E183" s="6" t="s">
        <v>573</v>
      </c>
      <c r="F183" s="45" t="s">
        <v>976</v>
      </c>
      <c r="G183" s="6"/>
      <c r="H183" s="30" t="s">
        <v>977</v>
      </c>
      <c r="I183" s="6"/>
    </row>
    <row r="184" spans="1:9" x14ac:dyDescent="0.15">
      <c r="A184" s="5"/>
      <c r="B184" s="6"/>
      <c r="C184" s="6"/>
      <c r="D184" s="51" t="s">
        <v>980</v>
      </c>
      <c r="E184" s="51" t="s">
        <v>983</v>
      </c>
      <c r="F184" s="45" t="s">
        <v>979</v>
      </c>
      <c r="G184" s="30"/>
      <c r="H184" s="6"/>
      <c r="I184" s="6"/>
    </row>
    <row r="185" spans="1:9" x14ac:dyDescent="0.15">
      <c r="A185" s="5"/>
      <c r="B185" s="6"/>
      <c r="C185" s="6"/>
      <c r="D185" s="51" t="s">
        <v>982</v>
      </c>
      <c r="E185" s="51" t="s">
        <v>983</v>
      </c>
      <c r="F185" s="45" t="s">
        <v>981</v>
      </c>
      <c r="G185" s="30"/>
      <c r="H185" s="6"/>
      <c r="I185" s="6"/>
    </row>
    <row r="186" spans="1:9" x14ac:dyDescent="0.15">
      <c r="A186" s="5"/>
      <c r="B186" s="6"/>
      <c r="C186" s="6"/>
      <c r="D186" s="51" t="s">
        <v>985</v>
      </c>
      <c r="E186" s="51" t="s">
        <v>986</v>
      </c>
      <c r="F186" s="45" t="s">
        <v>984</v>
      </c>
      <c r="G186" s="30"/>
      <c r="H186" s="6"/>
      <c r="I186" s="6"/>
    </row>
    <row r="187" spans="1:9" x14ac:dyDescent="0.15">
      <c r="A187" s="5"/>
      <c r="B187" s="6"/>
      <c r="C187" s="30" t="s">
        <v>415</v>
      </c>
      <c r="D187" s="6"/>
      <c r="E187" s="6"/>
      <c r="F187" s="45" t="s">
        <v>978</v>
      </c>
      <c r="G187" s="6"/>
      <c r="H187" s="6"/>
      <c r="I187" s="6"/>
    </row>
    <row r="188" spans="1:9" x14ac:dyDescent="0.15">
      <c r="A188" s="5">
        <v>53</v>
      </c>
      <c r="B188" s="6" t="s">
        <v>28</v>
      </c>
      <c r="C188" s="6" t="s">
        <v>416</v>
      </c>
      <c r="D188" s="6" t="s">
        <v>416</v>
      </c>
      <c r="E188" s="6" t="s">
        <v>575</v>
      </c>
      <c r="F188" s="17" t="str">
        <f>HYPERLINK("https://rmda.kulib.kyoto-u.ac.jp/item/RB00003569")</f>
        <v>https://rmda.kulib.kyoto-u.ac.jp/item/RB00003569</v>
      </c>
      <c r="G188" s="6" t="s">
        <v>576</v>
      </c>
      <c r="H188" s="6"/>
      <c r="I188" s="6"/>
    </row>
    <row r="189" spans="1:9" x14ac:dyDescent="0.15">
      <c r="A189" s="5"/>
      <c r="B189" s="6"/>
      <c r="C189" s="6"/>
      <c r="D189" s="6" t="s">
        <v>577</v>
      </c>
      <c r="E189" s="6" t="s">
        <v>575</v>
      </c>
      <c r="F189" s="17" t="str">
        <f>HYPERLINK("https://rmda.kulib.kyoto-u.ac.jp/item/RB00003570")</f>
        <v>https://rmda.kulib.kyoto-u.ac.jp/item/RB00003570</v>
      </c>
      <c r="G189" s="6" t="s">
        <v>576</v>
      </c>
      <c r="H189" s="6"/>
      <c r="I189" s="6"/>
    </row>
    <row r="190" spans="1:9" x14ac:dyDescent="0.15">
      <c r="A190" s="5"/>
      <c r="B190" s="6"/>
      <c r="C190" s="6"/>
      <c r="D190" s="6" t="s">
        <v>578</v>
      </c>
      <c r="E190" s="6" t="s">
        <v>575</v>
      </c>
      <c r="F190" s="17" t="str">
        <f>HYPERLINK("https://rmda.kulib.kyoto-u.ac.jp/item/RB00003571")</f>
        <v>https://rmda.kulib.kyoto-u.ac.jp/item/RB00003571</v>
      </c>
      <c r="G190" s="6" t="s">
        <v>576</v>
      </c>
      <c r="H190" s="6"/>
      <c r="I190" s="6"/>
    </row>
    <row r="191" spans="1:9" x14ac:dyDescent="0.15">
      <c r="A191" s="5"/>
      <c r="B191" s="6"/>
      <c r="C191" s="6" t="s">
        <v>417</v>
      </c>
      <c r="D191" s="6" t="s">
        <v>417</v>
      </c>
      <c r="E191" s="6" t="s">
        <v>579</v>
      </c>
      <c r="F191" s="17" t="str">
        <f>HYPERLINK("https://rmda.kulib.kyoto-u.ac.jp/item/RB00005515")</f>
        <v>https://rmda.kulib.kyoto-u.ac.jp/item/RB00005515</v>
      </c>
      <c r="G191" s="6" t="s">
        <v>580</v>
      </c>
      <c r="H191" s="6"/>
      <c r="I191" s="6"/>
    </row>
    <row r="192" spans="1:9" x14ac:dyDescent="0.15">
      <c r="A192" s="5"/>
      <c r="B192" s="6"/>
      <c r="C192" s="6"/>
      <c r="D192" s="6" t="s">
        <v>417</v>
      </c>
      <c r="E192" s="6" t="s">
        <v>579</v>
      </c>
      <c r="F192" s="17" t="str">
        <f>HYPERLINK("https://rmda.kulib.kyoto-u.ac.jp/item/RB00005516")</f>
        <v>https://rmda.kulib.kyoto-u.ac.jp/item/RB00005516</v>
      </c>
      <c r="G192" s="6" t="s">
        <v>580</v>
      </c>
      <c r="H192" s="6"/>
      <c r="I192" s="6"/>
    </row>
    <row r="193" spans="1:9" x14ac:dyDescent="0.15">
      <c r="A193" s="5"/>
      <c r="B193" s="6"/>
      <c r="C193" s="30" t="s">
        <v>418</v>
      </c>
      <c r="D193" s="6"/>
      <c r="E193" s="6"/>
      <c r="F193" s="45" t="s">
        <v>964</v>
      </c>
      <c r="G193" s="6"/>
      <c r="H193" s="6"/>
      <c r="I193" s="6"/>
    </row>
    <row r="194" spans="1:9" x14ac:dyDescent="0.15">
      <c r="A194" s="5"/>
      <c r="B194" s="6"/>
      <c r="C194" s="30"/>
      <c r="D194" s="6"/>
      <c r="E194" s="9"/>
      <c r="F194" s="45" t="s">
        <v>963</v>
      </c>
      <c r="G194" s="6"/>
      <c r="H194" s="6"/>
      <c r="I194" s="6"/>
    </row>
    <row r="195" spans="1:9" x14ac:dyDescent="0.15">
      <c r="A195" s="5">
        <v>54</v>
      </c>
      <c r="B195" s="6" t="s">
        <v>29</v>
      </c>
      <c r="C195" s="6" t="s">
        <v>30</v>
      </c>
      <c r="D195" s="6" t="s">
        <v>581</v>
      </c>
      <c r="E195" s="6" t="s">
        <v>582</v>
      </c>
      <c r="F195" s="17" t="str">
        <f>HYPERLINK("https://rmda.kulib.kyoto-u.ac.jp/item/RB00000367")</f>
        <v>https://rmda.kulib.kyoto-u.ac.jp/item/RB00000367</v>
      </c>
      <c r="G195" s="6" t="s">
        <v>583</v>
      </c>
      <c r="H195" s="6"/>
      <c r="I195" s="6"/>
    </row>
    <row r="196" spans="1:9" x14ac:dyDescent="0.15">
      <c r="A196" s="5">
        <v>55</v>
      </c>
      <c r="B196" s="6" t="s">
        <v>31</v>
      </c>
      <c r="C196" s="6" t="s">
        <v>419</v>
      </c>
      <c r="D196" s="6" t="s">
        <v>591</v>
      </c>
      <c r="E196" s="6" t="s">
        <v>588</v>
      </c>
      <c r="F196" s="17" t="str">
        <f>HYPERLINK("https://rmda.kulib.kyoto-u.ac.jp/item/RB00000384")</f>
        <v>https://rmda.kulib.kyoto-u.ac.jp/item/RB00000384</v>
      </c>
      <c r="G196" s="6" t="s">
        <v>589</v>
      </c>
      <c r="H196" s="6"/>
      <c r="I196" s="6"/>
    </row>
    <row r="197" spans="1:9" x14ac:dyDescent="0.15">
      <c r="A197" s="5"/>
      <c r="B197" s="6"/>
      <c r="C197" s="6"/>
      <c r="D197" s="6" t="s">
        <v>592</v>
      </c>
      <c r="E197" s="6" t="s">
        <v>588</v>
      </c>
      <c r="F197" s="17" t="str">
        <f>HYPERLINK("https://rmda.kulib.kyoto-u.ac.jp/item/RB00005654")</f>
        <v>https://rmda.kulib.kyoto-u.ac.jp/item/RB00005654</v>
      </c>
      <c r="G197" s="6" t="s">
        <v>589</v>
      </c>
      <c r="H197" s="6"/>
      <c r="I197" s="6"/>
    </row>
    <row r="198" spans="1:9" x14ac:dyDescent="0.15">
      <c r="A198" s="5"/>
      <c r="B198" s="6"/>
      <c r="C198" s="6" t="s">
        <v>584</v>
      </c>
      <c r="D198" s="6" t="s">
        <v>590</v>
      </c>
      <c r="E198" s="6" t="s">
        <v>588</v>
      </c>
      <c r="F198" s="17" t="str">
        <f>HYPERLINK("https://rmda.kulib.kyoto-u.ac.jp/item/RB00005655")</f>
        <v>https://rmda.kulib.kyoto-u.ac.jp/item/RB00005655</v>
      </c>
      <c r="G198" s="6" t="s">
        <v>589</v>
      </c>
      <c r="H198" s="6"/>
      <c r="I198" s="6"/>
    </row>
    <row r="199" spans="1:9" x14ac:dyDescent="0.15">
      <c r="A199" s="5"/>
      <c r="B199" s="6"/>
      <c r="C199" s="30" t="s">
        <v>585</v>
      </c>
      <c r="D199" s="51" t="s">
        <v>988</v>
      </c>
      <c r="E199" s="51" t="s">
        <v>989</v>
      </c>
      <c r="F199" s="45" t="s">
        <v>987</v>
      </c>
      <c r="G199" s="6"/>
      <c r="H199" s="6"/>
      <c r="I199" s="6"/>
    </row>
    <row r="200" spans="1:9" x14ac:dyDescent="0.15">
      <c r="A200" s="5"/>
      <c r="B200" s="6"/>
      <c r="C200" s="6" t="s">
        <v>586</v>
      </c>
      <c r="D200" s="6" t="s">
        <v>587</v>
      </c>
      <c r="E200" s="6" t="s">
        <v>588</v>
      </c>
      <c r="F200" s="17" t="str">
        <f>HYPERLINK("https://rmda.kulib.kyoto-u.ac.jp/item/RB00000755")</f>
        <v>https://rmda.kulib.kyoto-u.ac.jp/item/RB00000755</v>
      </c>
      <c r="G200" s="6" t="s">
        <v>589</v>
      </c>
      <c r="H200" s="6"/>
      <c r="I200" s="6"/>
    </row>
    <row r="201" spans="1:9" x14ac:dyDescent="0.15">
      <c r="A201" s="5"/>
      <c r="B201" s="6"/>
      <c r="C201" s="6"/>
      <c r="D201" s="6" t="s">
        <v>587</v>
      </c>
      <c r="E201" s="6" t="s">
        <v>588</v>
      </c>
      <c r="F201" s="17" t="str">
        <f>HYPERLINK("https://rmda.kulib.kyoto-u.ac.jp/item/RB00005656")</f>
        <v>https://rmda.kulib.kyoto-u.ac.jp/item/RB00005656</v>
      </c>
      <c r="G201" s="6" t="s">
        <v>589</v>
      </c>
      <c r="H201" s="6"/>
      <c r="I201" s="6"/>
    </row>
    <row r="202" spans="1:9" x14ac:dyDescent="0.15">
      <c r="A202" s="6">
        <v>56</v>
      </c>
      <c r="B202" s="6" t="s">
        <v>32</v>
      </c>
      <c r="C202" s="6" t="s">
        <v>33</v>
      </c>
      <c r="D202" s="6" t="s">
        <v>593</v>
      </c>
      <c r="E202" s="6" t="s">
        <v>594</v>
      </c>
      <c r="F202" s="17" t="str">
        <f>HYPERLINK("https://rmda.kulib.kyoto-u.ac.jp/item/RB00000229")</f>
        <v>https://rmda.kulib.kyoto-u.ac.jp/item/RB00000229</v>
      </c>
      <c r="G202" s="6" t="s">
        <v>595</v>
      </c>
      <c r="H202" s="6"/>
      <c r="I202" s="6"/>
    </row>
    <row r="203" spans="1:9" x14ac:dyDescent="0.15">
      <c r="A203" s="6"/>
      <c r="B203" s="6"/>
      <c r="C203" s="6"/>
      <c r="D203" s="6" t="s">
        <v>596</v>
      </c>
      <c r="E203" s="6" t="s">
        <v>594</v>
      </c>
      <c r="F203" s="17" t="str">
        <f>HYPERLINK("https://rmda.kulib.kyoto-u.ac.jp/item/RB00002581")</f>
        <v>https://rmda.kulib.kyoto-u.ac.jp/item/RB00002581</v>
      </c>
      <c r="G203" s="6" t="s">
        <v>595</v>
      </c>
      <c r="H203" s="6"/>
      <c r="I203" s="6"/>
    </row>
    <row r="204" spans="1:9" x14ac:dyDescent="0.15">
      <c r="A204" s="5" t="s">
        <v>489</v>
      </c>
      <c r="B204" s="6" t="s">
        <v>34</v>
      </c>
      <c r="C204" s="6" t="s">
        <v>420</v>
      </c>
      <c r="D204" s="6" t="s">
        <v>420</v>
      </c>
      <c r="E204" s="6" t="s">
        <v>765</v>
      </c>
      <c r="F204" s="17" t="str">
        <f>HYPERLINK("https://rmda.kulib.kyoto-u.ac.jp/item/RB00005779")</f>
        <v>https://rmda.kulib.kyoto-u.ac.jp/item/RB00005779</v>
      </c>
      <c r="G204" s="6" t="s">
        <v>766</v>
      </c>
      <c r="H204" s="6"/>
      <c r="I204" s="6"/>
    </row>
    <row r="205" spans="1:9" x14ac:dyDescent="0.15">
      <c r="A205" s="5"/>
      <c r="B205" s="6"/>
      <c r="C205" s="30" t="s">
        <v>421</v>
      </c>
      <c r="D205" s="6" t="s">
        <v>761</v>
      </c>
      <c r="E205" s="52" t="s">
        <v>765</v>
      </c>
      <c r="F205" s="17" t="str">
        <f>HYPERLINK("https://rmda.kulib.kyoto-u.ac.jp/item/RB00001853")</f>
        <v>https://rmda.kulib.kyoto-u.ac.jp/item/RB00001853</v>
      </c>
      <c r="G205" s="6" t="s">
        <v>760</v>
      </c>
      <c r="H205" s="6"/>
      <c r="I205" s="6"/>
    </row>
    <row r="206" spans="1:9" x14ac:dyDescent="0.15">
      <c r="A206" s="5"/>
      <c r="B206" s="6"/>
      <c r="C206" s="6" t="s">
        <v>422</v>
      </c>
      <c r="D206" s="6" t="s">
        <v>768</v>
      </c>
      <c r="E206" s="6" t="s">
        <v>765</v>
      </c>
      <c r="F206" s="17" t="str">
        <f>HYPERLINK("https://rmda.kulib.kyoto-u.ac.jp/item/RB00005056")</f>
        <v>https://rmda.kulib.kyoto-u.ac.jp/item/RB00005056</v>
      </c>
      <c r="G206" s="6" t="s">
        <v>769</v>
      </c>
      <c r="H206" s="6"/>
      <c r="I206" s="6"/>
    </row>
    <row r="207" spans="1:9" x14ac:dyDescent="0.15">
      <c r="A207" s="5"/>
      <c r="B207" s="6"/>
      <c r="C207" s="31" t="s">
        <v>423</v>
      </c>
      <c r="D207" s="6"/>
      <c r="E207" s="6"/>
      <c r="F207" s="6"/>
      <c r="G207" s="6"/>
      <c r="H207" s="6"/>
      <c r="I207" s="6"/>
    </row>
    <row r="208" spans="1:9" x14ac:dyDescent="0.15">
      <c r="A208" s="5"/>
      <c r="B208" s="6"/>
      <c r="C208" s="6" t="s">
        <v>424</v>
      </c>
      <c r="D208" s="6" t="s">
        <v>770</v>
      </c>
      <c r="E208" s="6" t="s">
        <v>765</v>
      </c>
      <c r="F208" s="17" t="str">
        <f>HYPERLINK("https://rmda.kulib.kyoto-u.ac.jp/item/RB00001191")</f>
        <v>https://rmda.kulib.kyoto-u.ac.jp/item/RB00001191</v>
      </c>
      <c r="G208" s="6" t="s">
        <v>771</v>
      </c>
      <c r="H208" s="6"/>
      <c r="I208" s="6"/>
    </row>
    <row r="209" spans="1:9" x14ac:dyDescent="0.15">
      <c r="A209" s="5">
        <v>60</v>
      </c>
      <c r="B209" s="6" t="s">
        <v>35</v>
      </c>
      <c r="C209" s="6" t="s">
        <v>421</v>
      </c>
      <c r="D209" s="6" t="s">
        <v>421</v>
      </c>
      <c r="E209" s="6" t="s">
        <v>759</v>
      </c>
      <c r="F209" s="17" t="str">
        <f>HYPERLINK("https://rmda.kulib.kyoto-u.ac.jp/item/RB00001852")</f>
        <v>https://rmda.kulib.kyoto-u.ac.jp/item/RB00001852</v>
      </c>
      <c r="G209" s="6" t="s">
        <v>760</v>
      </c>
      <c r="H209" s="6"/>
      <c r="I209" s="6"/>
    </row>
    <row r="210" spans="1:9" x14ac:dyDescent="0.15">
      <c r="A210" s="5"/>
      <c r="B210" s="6"/>
      <c r="C210" s="6" t="s">
        <v>425</v>
      </c>
      <c r="D210" s="6" t="s">
        <v>762</v>
      </c>
      <c r="E210" s="6" t="s">
        <v>763</v>
      </c>
      <c r="F210" s="17" t="str">
        <f>HYPERLINK("https://rmda.kulib.kyoto-u.ac.jp/item/RB00000379")</f>
        <v>https://rmda.kulib.kyoto-u.ac.jp/item/RB00000379</v>
      </c>
      <c r="G210" s="6" t="s">
        <v>764</v>
      </c>
      <c r="H210" s="6"/>
      <c r="I210" s="6"/>
    </row>
    <row r="211" spans="1:9" x14ac:dyDescent="0.15">
      <c r="A211" s="5"/>
      <c r="B211" s="6"/>
      <c r="C211" s="6" t="s">
        <v>1338</v>
      </c>
      <c r="D211" s="6" t="s">
        <v>1338</v>
      </c>
      <c r="E211" s="6" t="s">
        <v>1339</v>
      </c>
      <c r="F211" s="46" t="s">
        <v>1337</v>
      </c>
      <c r="G211" s="6" t="s">
        <v>1340</v>
      </c>
      <c r="H211" s="6"/>
      <c r="I211" s="6"/>
    </row>
    <row r="212" spans="1:9" x14ac:dyDescent="0.15">
      <c r="A212" s="32" t="s">
        <v>36</v>
      </c>
      <c r="B212" s="34" t="s">
        <v>37</v>
      </c>
      <c r="C212" s="34"/>
      <c r="D212" s="34"/>
      <c r="E212" s="34"/>
      <c r="F212" s="34"/>
      <c r="G212" s="34"/>
      <c r="H212" s="34"/>
      <c r="I212" s="6"/>
    </row>
    <row r="213" spans="1:9" x14ac:dyDescent="0.15">
      <c r="A213" s="5" t="s">
        <v>490</v>
      </c>
      <c r="B213" s="6" t="s">
        <v>38</v>
      </c>
      <c r="C213" s="6" t="s">
        <v>426</v>
      </c>
      <c r="D213" s="6" t="s">
        <v>597</v>
      </c>
      <c r="E213" s="6" t="s">
        <v>598</v>
      </c>
      <c r="F213" s="17" t="str">
        <f>HYPERLINK("https://rmda.kulib.kyoto-u.ac.jp/item/RB00001924")</f>
        <v>https://rmda.kulib.kyoto-u.ac.jp/item/RB00001924</v>
      </c>
      <c r="G213" s="6" t="s">
        <v>599</v>
      </c>
      <c r="H213" s="6"/>
      <c r="I213" s="6"/>
    </row>
    <row r="214" spans="1:9" x14ac:dyDescent="0.15">
      <c r="A214" s="5"/>
      <c r="B214" s="6"/>
      <c r="C214" s="6"/>
      <c r="D214" s="6" t="s">
        <v>597</v>
      </c>
      <c r="E214" s="6" t="s">
        <v>598</v>
      </c>
      <c r="F214" s="17" t="str">
        <f>HYPERLINK("https://rmda.kulib.kyoto-u.ac.jp/item/RB00001925")</f>
        <v>https://rmda.kulib.kyoto-u.ac.jp/item/RB00001925</v>
      </c>
      <c r="G214" s="6" t="s">
        <v>599</v>
      </c>
      <c r="H214" s="6"/>
      <c r="I214" s="6"/>
    </row>
    <row r="215" spans="1:9" x14ac:dyDescent="0.15">
      <c r="A215" s="5"/>
      <c r="B215" s="6"/>
      <c r="C215" s="6" t="s">
        <v>427</v>
      </c>
      <c r="D215" s="6" t="s">
        <v>600</v>
      </c>
      <c r="E215" s="6" t="s">
        <v>598</v>
      </c>
      <c r="F215" s="17" t="str">
        <f>HYPERLINK("https://rmda.kulib.kyoto-u.ac.jp/item/RB00001922")</f>
        <v>https://rmda.kulib.kyoto-u.ac.jp/item/RB00001922</v>
      </c>
      <c r="G215" s="6" t="s">
        <v>601</v>
      </c>
      <c r="H215" s="6"/>
      <c r="I215" s="6"/>
    </row>
    <row r="216" spans="1:9" x14ac:dyDescent="0.15">
      <c r="A216" s="5"/>
      <c r="B216" s="6"/>
      <c r="C216" s="6" t="s">
        <v>428</v>
      </c>
      <c r="D216" s="6" t="s">
        <v>602</v>
      </c>
      <c r="E216" s="6" t="s">
        <v>603</v>
      </c>
      <c r="F216" s="17" t="str">
        <f>HYPERLINK("https://rmda.kulib.kyoto-u.ac.jp/item/RB00005494")</f>
        <v>https://rmda.kulib.kyoto-u.ac.jp/item/RB00005494</v>
      </c>
      <c r="G216" s="6" t="s">
        <v>604</v>
      </c>
      <c r="H216" s="6"/>
      <c r="I216" s="6"/>
    </row>
    <row r="217" spans="1:9" x14ac:dyDescent="0.15">
      <c r="A217" s="5">
        <v>63</v>
      </c>
      <c r="B217" s="6" t="s">
        <v>39</v>
      </c>
      <c r="C217" s="30" t="s">
        <v>40</v>
      </c>
      <c r="D217" s="6"/>
      <c r="E217" s="6"/>
      <c r="F217" s="46" t="s">
        <v>882</v>
      </c>
      <c r="G217" s="6"/>
      <c r="H217" s="30" t="s">
        <v>883</v>
      </c>
      <c r="I217" s="6"/>
    </row>
    <row r="218" spans="1:9" x14ac:dyDescent="0.15">
      <c r="A218" s="5"/>
      <c r="B218" s="6"/>
      <c r="C218" s="30"/>
      <c r="D218" s="6"/>
      <c r="E218" s="6"/>
      <c r="F218" s="47" t="s">
        <v>924</v>
      </c>
      <c r="G218" s="30"/>
      <c r="H218" s="6"/>
      <c r="I218" s="6"/>
    </row>
    <row r="219" spans="1:9" x14ac:dyDescent="0.15">
      <c r="A219" s="5"/>
      <c r="B219" s="6"/>
      <c r="C219" s="30"/>
      <c r="D219" s="6"/>
      <c r="E219" s="6"/>
      <c r="F219" s="47" t="s">
        <v>925</v>
      </c>
      <c r="G219" s="30"/>
      <c r="H219" s="6"/>
      <c r="I219" s="6"/>
    </row>
    <row r="220" spans="1:9" x14ac:dyDescent="0.15">
      <c r="A220" s="5"/>
      <c r="B220" s="6"/>
      <c r="C220" s="30"/>
      <c r="D220" s="6"/>
      <c r="E220" s="6"/>
      <c r="F220" s="47" t="s">
        <v>926</v>
      </c>
      <c r="G220" s="6"/>
      <c r="H220" s="30" t="s">
        <v>927</v>
      </c>
      <c r="I220" s="6" t="s">
        <v>928</v>
      </c>
    </row>
    <row r="221" spans="1:9" x14ac:dyDescent="0.15">
      <c r="A221" s="5">
        <v>64</v>
      </c>
      <c r="B221" s="6" t="s">
        <v>41</v>
      </c>
      <c r="C221" s="30" t="s">
        <v>42</v>
      </c>
      <c r="D221" s="30" t="s">
        <v>42</v>
      </c>
      <c r="E221" s="48" t="s">
        <v>929</v>
      </c>
      <c r="F221" s="47" t="s">
        <v>930</v>
      </c>
      <c r="G221" s="6"/>
      <c r="H221" s="6"/>
      <c r="I221" s="6"/>
    </row>
    <row r="222" spans="1:9" x14ac:dyDescent="0.15">
      <c r="A222" s="5" t="s">
        <v>491</v>
      </c>
      <c r="B222" s="6" t="s">
        <v>43</v>
      </c>
      <c r="C222" s="30" t="s">
        <v>429</v>
      </c>
      <c r="D222" s="6" t="s">
        <v>429</v>
      </c>
      <c r="E222" s="6" t="s">
        <v>932</v>
      </c>
      <c r="F222" s="47" t="s">
        <v>931</v>
      </c>
      <c r="G222" s="6" t="s">
        <v>933</v>
      </c>
      <c r="H222" s="6" t="s">
        <v>889</v>
      </c>
      <c r="I222" s="6"/>
    </row>
    <row r="223" spans="1:9" x14ac:dyDescent="0.15">
      <c r="A223" s="5"/>
      <c r="B223" s="6"/>
      <c r="C223" s="6" t="s">
        <v>430</v>
      </c>
      <c r="D223" s="6" t="s">
        <v>605</v>
      </c>
      <c r="E223" s="6" t="s">
        <v>606</v>
      </c>
      <c r="F223" s="17" t="str">
        <f>HYPERLINK("https://rmda.kulib.kyoto-u.ac.jp/item/RB00000468")</f>
        <v>https://rmda.kulib.kyoto-u.ac.jp/item/RB00000468</v>
      </c>
      <c r="G223" s="6" t="s">
        <v>607</v>
      </c>
      <c r="H223" s="6"/>
      <c r="I223" s="6"/>
    </row>
    <row r="224" spans="1:9" x14ac:dyDescent="0.15">
      <c r="A224" s="5"/>
      <c r="B224" s="6"/>
      <c r="C224" s="6"/>
      <c r="D224" s="6" t="s">
        <v>605</v>
      </c>
      <c r="E224" s="6" t="s">
        <v>606</v>
      </c>
      <c r="F224" s="17" t="str">
        <f>HYPERLINK("https://rmda.kulib.kyoto-u.ac.jp/item/RB00001100")</f>
        <v>https://rmda.kulib.kyoto-u.ac.jp/item/RB00001100</v>
      </c>
      <c r="G224" s="6" t="s">
        <v>607</v>
      </c>
      <c r="H224" s="6"/>
      <c r="I224" s="6"/>
    </row>
    <row r="225" spans="1:9" x14ac:dyDescent="0.15">
      <c r="A225" s="5" t="s">
        <v>492</v>
      </c>
      <c r="B225" s="6" t="s">
        <v>44</v>
      </c>
      <c r="C225" s="6" t="s">
        <v>431</v>
      </c>
      <c r="D225" s="6" t="s">
        <v>608</v>
      </c>
      <c r="E225" s="6" t="s">
        <v>609</v>
      </c>
      <c r="F225" s="17" t="str">
        <f>HYPERLINK("https://rmda.kulib.kyoto-u.ac.jp/item/RB00000451")</f>
        <v>https://rmda.kulib.kyoto-u.ac.jp/item/RB00000451</v>
      </c>
      <c r="G225" s="6" t="s">
        <v>610</v>
      </c>
      <c r="H225" s="6"/>
      <c r="I225" s="6"/>
    </row>
    <row r="226" spans="1:9" x14ac:dyDescent="0.15">
      <c r="A226" s="5"/>
      <c r="B226" s="6"/>
      <c r="C226" s="6"/>
      <c r="D226" s="6" t="s">
        <v>611</v>
      </c>
      <c r="E226" s="6" t="s">
        <v>609</v>
      </c>
      <c r="F226" s="17" t="str">
        <f>HYPERLINK("https://rmda.kulib.kyoto-u.ac.jp/item/RB00000943")</f>
        <v>https://rmda.kulib.kyoto-u.ac.jp/item/RB00000943</v>
      </c>
      <c r="G226" s="6" t="s">
        <v>610</v>
      </c>
      <c r="H226" s="6"/>
      <c r="I226" s="6"/>
    </row>
    <row r="227" spans="1:9" x14ac:dyDescent="0.15">
      <c r="A227" s="5"/>
      <c r="B227" s="6"/>
      <c r="C227" s="6" t="s">
        <v>1344</v>
      </c>
      <c r="D227" s="6" t="s">
        <v>1344</v>
      </c>
      <c r="E227" s="6" t="s">
        <v>1343</v>
      </c>
      <c r="F227" s="46" t="s">
        <v>1341</v>
      </c>
      <c r="G227" s="6" t="s">
        <v>1342</v>
      </c>
      <c r="H227" s="6"/>
      <c r="I227" s="6"/>
    </row>
    <row r="228" spans="1:9" x14ac:dyDescent="0.15">
      <c r="A228" s="5" t="s">
        <v>493</v>
      </c>
      <c r="B228" s="6" t="s">
        <v>45</v>
      </c>
      <c r="C228" s="6" t="s">
        <v>432</v>
      </c>
      <c r="D228" s="6" t="s">
        <v>612</v>
      </c>
      <c r="E228" s="6" t="s">
        <v>613</v>
      </c>
      <c r="F228" s="17" t="str">
        <f>HYPERLINK("https://rmda.kulib.kyoto-u.ac.jp/item/RB00005752")</f>
        <v>https://rmda.kulib.kyoto-u.ac.jp/item/RB00005752</v>
      </c>
      <c r="G228" s="6" t="s">
        <v>614</v>
      </c>
      <c r="H228" s="6"/>
      <c r="I228" s="6"/>
    </row>
    <row r="229" spans="1:9" x14ac:dyDescent="0.15">
      <c r="A229" s="5"/>
      <c r="B229" s="6"/>
      <c r="C229" s="6"/>
      <c r="D229" s="6" t="s">
        <v>615</v>
      </c>
      <c r="E229" s="6" t="s">
        <v>613</v>
      </c>
      <c r="F229" s="17" t="str">
        <f>HYPERLINK("https://rmda.kulib.kyoto-u.ac.jp/item/RB00005753")</f>
        <v>https://rmda.kulib.kyoto-u.ac.jp/item/RB00005753</v>
      </c>
      <c r="G229" s="6" t="s">
        <v>614</v>
      </c>
      <c r="H229" s="6"/>
      <c r="I229" s="6"/>
    </row>
    <row r="230" spans="1:9" x14ac:dyDescent="0.15">
      <c r="A230" s="5"/>
      <c r="B230" s="6"/>
      <c r="C230" s="6"/>
      <c r="D230" s="6" t="s">
        <v>616</v>
      </c>
      <c r="E230" s="6" t="s">
        <v>613</v>
      </c>
      <c r="F230" s="17" t="str">
        <f>HYPERLINK("https://rmda.kulib.kyoto-u.ac.jp/item/RB00005754")</f>
        <v>https://rmda.kulib.kyoto-u.ac.jp/item/RB00005754</v>
      </c>
      <c r="G230" s="6" t="s">
        <v>617</v>
      </c>
      <c r="H230" s="6"/>
      <c r="I230" s="6"/>
    </row>
    <row r="231" spans="1:9" x14ac:dyDescent="0.15">
      <c r="A231" s="5"/>
      <c r="B231" s="6"/>
      <c r="C231" s="6" t="s">
        <v>433</v>
      </c>
      <c r="D231" s="6" t="s">
        <v>618</v>
      </c>
      <c r="E231" s="6" t="s">
        <v>619</v>
      </c>
      <c r="F231" s="17" t="str">
        <f>HYPERLINK("https://rmda.kulib.kyoto-u.ac.jp/item/RB00005750")</f>
        <v>https://rmda.kulib.kyoto-u.ac.jp/item/RB00005750</v>
      </c>
      <c r="G231" s="6" t="s">
        <v>620</v>
      </c>
      <c r="H231" s="6"/>
      <c r="I231" s="6"/>
    </row>
    <row r="232" spans="1:9" x14ac:dyDescent="0.15">
      <c r="A232" s="5" t="s">
        <v>494</v>
      </c>
      <c r="B232" s="6" t="s">
        <v>46</v>
      </c>
      <c r="C232" s="30" t="s">
        <v>434</v>
      </c>
      <c r="D232" s="6" t="s">
        <v>434</v>
      </c>
      <c r="E232" s="6" t="s">
        <v>937</v>
      </c>
      <c r="F232" s="47" t="s">
        <v>934</v>
      </c>
      <c r="G232" s="6"/>
      <c r="H232" s="6" t="s">
        <v>889</v>
      </c>
      <c r="I232" s="6"/>
    </row>
    <row r="233" spans="1:9" x14ac:dyDescent="0.15">
      <c r="A233" s="5"/>
      <c r="B233" s="6"/>
      <c r="C233" s="30"/>
      <c r="D233" s="6" t="s">
        <v>434</v>
      </c>
      <c r="E233" s="6" t="s">
        <v>937</v>
      </c>
      <c r="F233" s="47" t="s">
        <v>935</v>
      </c>
      <c r="G233" s="6"/>
      <c r="H233" s="6" t="s">
        <v>889</v>
      </c>
      <c r="I233" s="6"/>
    </row>
    <row r="234" spans="1:9" x14ac:dyDescent="0.15">
      <c r="A234" s="5"/>
      <c r="B234" s="6"/>
      <c r="C234" s="30"/>
      <c r="D234" s="6" t="s">
        <v>434</v>
      </c>
      <c r="E234" s="6" t="s">
        <v>937</v>
      </c>
      <c r="F234" s="47" t="s">
        <v>936</v>
      </c>
      <c r="G234" s="6"/>
      <c r="H234" s="6" t="s">
        <v>889</v>
      </c>
      <c r="I234" s="6"/>
    </row>
    <row r="235" spans="1:9" x14ac:dyDescent="0.15">
      <c r="A235" s="5"/>
      <c r="B235" s="6"/>
      <c r="C235" s="6" t="s">
        <v>435</v>
      </c>
      <c r="D235" s="6" t="s">
        <v>435</v>
      </c>
      <c r="E235" s="6" t="s">
        <v>621</v>
      </c>
      <c r="F235" s="17" t="str">
        <f>HYPERLINK("https://rmda.kulib.kyoto-u.ac.jp/item/RB00003085")</f>
        <v>https://rmda.kulib.kyoto-u.ac.jp/item/RB00003085</v>
      </c>
      <c r="G235" s="6" t="s">
        <v>622</v>
      </c>
      <c r="H235" s="6"/>
      <c r="I235" s="6"/>
    </row>
    <row r="236" spans="1:9" x14ac:dyDescent="0.15">
      <c r="A236" s="5"/>
      <c r="B236" s="6"/>
      <c r="C236" s="6"/>
      <c r="D236" s="6" t="s">
        <v>435</v>
      </c>
      <c r="E236" s="6" t="s">
        <v>621</v>
      </c>
      <c r="F236" s="17" t="str">
        <f>HYPERLINK("https://rmda.kulib.kyoto-u.ac.jp/item/RB00003086")</f>
        <v>https://rmda.kulib.kyoto-u.ac.jp/item/RB00003086</v>
      </c>
      <c r="G236" s="6" t="s">
        <v>622</v>
      </c>
      <c r="H236" s="6"/>
      <c r="I236" s="6"/>
    </row>
    <row r="237" spans="1:9" x14ac:dyDescent="0.15">
      <c r="A237" s="5"/>
      <c r="B237" s="6"/>
      <c r="C237" s="6"/>
      <c r="D237" s="6" t="s">
        <v>435</v>
      </c>
      <c r="E237" s="6" t="s">
        <v>621</v>
      </c>
      <c r="F237" s="17" t="str">
        <f>HYPERLINK("https://rmda.kulib.kyoto-u.ac.jp/item/RB00003087")</f>
        <v>https://rmda.kulib.kyoto-u.ac.jp/item/RB00003087</v>
      </c>
      <c r="G237" s="6" t="s">
        <v>622</v>
      </c>
      <c r="H237" s="6"/>
      <c r="I237" s="6"/>
    </row>
    <row r="238" spans="1:9" x14ac:dyDescent="0.15">
      <c r="A238" s="5"/>
      <c r="B238" s="6"/>
      <c r="C238" s="6"/>
      <c r="D238" s="6" t="s">
        <v>435</v>
      </c>
      <c r="E238" s="6" t="s">
        <v>621</v>
      </c>
      <c r="F238" s="17" t="str">
        <f>HYPERLINK("https://rmda.kulib.kyoto-u.ac.jp/item/RB00004497")</f>
        <v>https://rmda.kulib.kyoto-u.ac.jp/item/RB00004497</v>
      </c>
      <c r="G238" s="6" t="s">
        <v>622</v>
      </c>
      <c r="H238" s="6"/>
      <c r="I238" s="6"/>
    </row>
    <row r="239" spans="1:9" x14ac:dyDescent="0.15">
      <c r="A239" s="5">
        <v>76</v>
      </c>
      <c r="B239" s="6" t="s">
        <v>47</v>
      </c>
      <c r="C239" s="30" t="s">
        <v>48</v>
      </c>
      <c r="D239" s="6" t="s">
        <v>1346</v>
      </c>
      <c r="E239" s="6" t="s">
        <v>1347</v>
      </c>
      <c r="F239" s="9" t="s">
        <v>1345</v>
      </c>
      <c r="G239" s="6"/>
      <c r="H239" s="6" t="s">
        <v>1348</v>
      </c>
      <c r="I239" s="6"/>
    </row>
    <row r="240" spans="1:9" x14ac:dyDescent="0.15">
      <c r="A240" s="5" t="s">
        <v>495</v>
      </c>
      <c r="B240" s="6" t="s">
        <v>49</v>
      </c>
      <c r="C240" s="6" t="s">
        <v>50</v>
      </c>
      <c r="D240" s="6" t="s">
        <v>50</v>
      </c>
      <c r="E240" s="6" t="s">
        <v>623</v>
      </c>
      <c r="F240" s="17" t="str">
        <f>HYPERLINK("https://rmda.kulib.kyoto-u.ac.jp/item/RB00005039")</f>
        <v>https://rmda.kulib.kyoto-u.ac.jp/item/RB00005039</v>
      </c>
      <c r="G240" s="6" t="s">
        <v>624</v>
      </c>
      <c r="H240" s="6"/>
      <c r="I240" s="6"/>
    </row>
    <row r="241" spans="1:9" x14ac:dyDescent="0.15">
      <c r="A241" s="5" t="s">
        <v>496</v>
      </c>
      <c r="B241" s="6" t="s">
        <v>51</v>
      </c>
      <c r="C241" s="6" t="s">
        <v>436</v>
      </c>
      <c r="D241" s="6" t="s">
        <v>625</v>
      </c>
      <c r="E241" s="6" t="s">
        <v>626</v>
      </c>
      <c r="F241" s="17" t="str">
        <f>HYPERLINK("https://rmda.kulib.kyoto-u.ac.jp/item/RB00004239")</f>
        <v>https://rmda.kulib.kyoto-u.ac.jp/item/RB00004239</v>
      </c>
      <c r="G241" s="6" t="s">
        <v>627</v>
      </c>
      <c r="H241" s="6"/>
      <c r="I241" s="6"/>
    </row>
    <row r="242" spans="1:9" x14ac:dyDescent="0.15">
      <c r="A242" s="5"/>
      <c r="B242" s="6"/>
      <c r="C242" s="30" t="s">
        <v>938</v>
      </c>
      <c r="D242" s="6" t="s">
        <v>1352</v>
      </c>
      <c r="E242" t="s">
        <v>1354</v>
      </c>
      <c r="F242" s="9" t="s">
        <v>1353</v>
      </c>
      <c r="G242" s="6" t="s">
        <v>1355</v>
      </c>
      <c r="H242" s="6" t="s">
        <v>1356</v>
      </c>
      <c r="I242" s="6"/>
    </row>
    <row r="243" spans="1:9" x14ac:dyDescent="0.15">
      <c r="A243" s="5" t="s">
        <v>497</v>
      </c>
      <c r="B243" s="6" t="s">
        <v>52</v>
      </c>
      <c r="C243" s="6" t="s">
        <v>437</v>
      </c>
      <c r="D243" s="6" t="s">
        <v>628</v>
      </c>
      <c r="E243" s="6" t="s">
        <v>629</v>
      </c>
      <c r="F243" s="17" t="str">
        <f>HYPERLINK("https://rmda.kulib.kyoto-u.ac.jp/item/RB00000294")</f>
        <v>https://rmda.kulib.kyoto-u.ac.jp/item/RB00000294</v>
      </c>
      <c r="G243" s="6" t="s">
        <v>630</v>
      </c>
      <c r="H243" s="6"/>
      <c r="I243" s="6"/>
    </row>
    <row r="244" spans="1:9" x14ac:dyDescent="0.15">
      <c r="A244" s="5"/>
      <c r="B244" s="6"/>
      <c r="C244" s="6" t="s">
        <v>438</v>
      </c>
      <c r="D244" s="6" t="s">
        <v>631</v>
      </c>
      <c r="E244" s="6" t="s">
        <v>629</v>
      </c>
      <c r="F244" s="17" t="str">
        <f>HYPERLINK("https://rmda.kulib.kyoto-u.ac.jp/item/RB00003680")</f>
        <v>https://rmda.kulib.kyoto-u.ac.jp/item/RB00003680</v>
      </c>
      <c r="G244" s="6" t="s">
        <v>632</v>
      </c>
      <c r="H244" s="6"/>
      <c r="I244" s="6"/>
    </row>
    <row r="245" spans="1:9" x14ac:dyDescent="0.15">
      <c r="A245" s="5"/>
      <c r="B245" s="6"/>
      <c r="C245" s="6"/>
      <c r="D245" s="6" t="s">
        <v>631</v>
      </c>
      <c r="E245" s="6" t="s">
        <v>629</v>
      </c>
      <c r="F245" s="17" t="str">
        <f>HYPERLINK("https://rmda.kulib.kyoto-u.ac.jp/item/RB00003681")</f>
        <v>https://rmda.kulib.kyoto-u.ac.jp/item/RB00003681</v>
      </c>
      <c r="G245" s="6" t="s">
        <v>632</v>
      </c>
      <c r="H245" s="6"/>
      <c r="I245" s="6"/>
    </row>
    <row r="246" spans="1:9" x14ac:dyDescent="0.15">
      <c r="A246" s="5"/>
      <c r="B246" s="6"/>
      <c r="C246" s="6" t="s">
        <v>439</v>
      </c>
      <c r="D246" s="6" t="s">
        <v>633</v>
      </c>
      <c r="E246" s="6" t="s">
        <v>629</v>
      </c>
      <c r="F246" s="17" t="str">
        <f>HYPERLINK("https://rmda.kulib.kyoto-u.ac.jp/item/RB00000731")</f>
        <v>https://rmda.kulib.kyoto-u.ac.jp/item/RB00000731</v>
      </c>
      <c r="G246" s="6" t="s">
        <v>634</v>
      </c>
      <c r="H246" s="6"/>
      <c r="I246" s="6"/>
    </row>
    <row r="247" spans="1:9" x14ac:dyDescent="0.15">
      <c r="A247" s="5"/>
      <c r="B247" s="6"/>
      <c r="C247" s="6"/>
      <c r="D247" s="6" t="s">
        <v>633</v>
      </c>
      <c r="E247" s="6" t="s">
        <v>629</v>
      </c>
      <c r="F247" s="17" t="str">
        <f>HYPERLINK("https://rmda.kulib.kyoto-u.ac.jp/item/RB00005123")</f>
        <v>https://rmda.kulib.kyoto-u.ac.jp/item/RB00005123</v>
      </c>
      <c r="G247" s="6" t="s">
        <v>634</v>
      </c>
      <c r="H247" s="6"/>
      <c r="I247" s="6"/>
    </row>
    <row r="248" spans="1:9" x14ac:dyDescent="0.15">
      <c r="A248" s="5"/>
      <c r="B248" s="6"/>
      <c r="C248" s="6"/>
      <c r="D248" s="6" t="s">
        <v>635</v>
      </c>
      <c r="E248" s="6" t="s">
        <v>629</v>
      </c>
      <c r="F248" s="17" t="str">
        <f>HYPERLINK("https://rmda.kulib.kyoto-u.ac.jp/item/RB00005124")</f>
        <v>https://rmda.kulib.kyoto-u.ac.jp/item/RB00005124</v>
      </c>
      <c r="G248" s="6" t="s">
        <v>634</v>
      </c>
      <c r="H248" s="6"/>
      <c r="I248" s="6"/>
    </row>
    <row r="249" spans="1:9" x14ac:dyDescent="0.15">
      <c r="A249" s="5"/>
      <c r="B249" s="6"/>
      <c r="C249" s="6"/>
      <c r="D249" s="6" t="s">
        <v>635</v>
      </c>
      <c r="E249" s="6" t="s">
        <v>629</v>
      </c>
      <c r="F249" s="17" t="str">
        <f>HYPERLINK("https://rmda.kulib.kyoto-u.ac.jp/item/RB00005125")</f>
        <v>https://rmda.kulib.kyoto-u.ac.jp/item/RB00005125</v>
      </c>
      <c r="G249" s="6" t="s">
        <v>634</v>
      </c>
      <c r="H249" s="6"/>
      <c r="I249" s="6"/>
    </row>
    <row r="250" spans="1:9" x14ac:dyDescent="0.15">
      <c r="A250" s="5"/>
      <c r="B250" s="6"/>
      <c r="C250" s="6" t="s">
        <v>440</v>
      </c>
      <c r="D250" s="6" t="s">
        <v>636</v>
      </c>
      <c r="E250" s="6" t="s">
        <v>629</v>
      </c>
      <c r="F250" s="17" t="str">
        <f>HYPERLINK("https://rmda.kulib.kyoto-u.ac.jp/item/RB00000595")</f>
        <v>https://rmda.kulib.kyoto-u.ac.jp/item/RB00000595</v>
      </c>
      <c r="G250" s="6" t="s">
        <v>637</v>
      </c>
      <c r="H250" s="6"/>
      <c r="I250" s="6"/>
    </row>
    <row r="251" spans="1:9" x14ac:dyDescent="0.15">
      <c r="A251" s="5"/>
      <c r="B251" s="6"/>
      <c r="C251" s="6"/>
      <c r="D251" s="6" t="s">
        <v>638</v>
      </c>
      <c r="E251" s="6" t="s">
        <v>629</v>
      </c>
      <c r="F251" s="17" t="str">
        <f>HYPERLINK("https://rmda.kulib.kyoto-u.ac.jp/item/RB00002752")</f>
        <v>https://rmda.kulib.kyoto-u.ac.jp/item/RB00002752</v>
      </c>
      <c r="G251" s="6" t="s">
        <v>637</v>
      </c>
      <c r="H251" s="6"/>
      <c r="I251" s="6"/>
    </row>
    <row r="252" spans="1:9" x14ac:dyDescent="0.15">
      <c r="A252" s="5" t="s">
        <v>498</v>
      </c>
      <c r="B252" s="6" t="s">
        <v>53</v>
      </c>
      <c r="C252" s="6" t="s">
        <v>441</v>
      </c>
      <c r="D252" s="6" t="s">
        <v>753</v>
      </c>
      <c r="E252" s="6" t="s">
        <v>754</v>
      </c>
      <c r="F252" s="17" t="str">
        <f>HYPERLINK("https://rmda.kulib.kyoto-u.ac.jp/item/RB00004913")</f>
        <v>https://rmda.kulib.kyoto-u.ac.jp/item/RB00004913</v>
      </c>
      <c r="G252" s="6" t="s">
        <v>755</v>
      </c>
      <c r="H252" s="6"/>
      <c r="I252" s="6"/>
    </row>
    <row r="253" spans="1:9" x14ac:dyDescent="0.15">
      <c r="A253" s="5"/>
      <c r="B253" s="6"/>
      <c r="C253" s="6"/>
      <c r="D253" s="6" t="s">
        <v>756</v>
      </c>
      <c r="E253" s="6" t="s">
        <v>754</v>
      </c>
      <c r="F253" s="17" t="str">
        <f>HYPERLINK("https://rmda.kulib.kyoto-u.ac.jp/item/RB00004914")</f>
        <v>https://rmda.kulib.kyoto-u.ac.jp/item/RB00004914</v>
      </c>
      <c r="G253" s="6" t="s">
        <v>755</v>
      </c>
      <c r="H253" s="6"/>
      <c r="I253" s="6"/>
    </row>
    <row r="254" spans="1:9" x14ac:dyDescent="0.15">
      <c r="A254" s="5"/>
      <c r="B254" s="6"/>
      <c r="C254" s="6"/>
      <c r="D254" s="6" t="s">
        <v>756</v>
      </c>
      <c r="E254" s="6" t="s">
        <v>754</v>
      </c>
      <c r="F254" s="17" t="str">
        <f>HYPERLINK("https://rmda.kulib.kyoto-u.ac.jp/item/RB00004915")</f>
        <v>https://rmda.kulib.kyoto-u.ac.jp/item/RB00004915</v>
      </c>
      <c r="G254" s="6" t="s">
        <v>755</v>
      </c>
      <c r="H254" s="6"/>
      <c r="I254" s="6"/>
    </row>
    <row r="255" spans="1:9" x14ac:dyDescent="0.15">
      <c r="A255" s="5"/>
      <c r="B255" s="6"/>
      <c r="C255" s="6"/>
      <c r="D255" s="6" t="s">
        <v>757</v>
      </c>
      <c r="E255" s="6" t="s">
        <v>754</v>
      </c>
      <c r="F255" s="17" t="str">
        <f>HYPERLINK("https://rmda.kulib.kyoto-u.ac.jp/item/RB00004916")</f>
        <v>https://rmda.kulib.kyoto-u.ac.jp/item/RB00004916</v>
      </c>
      <c r="G255" s="6" t="s">
        <v>755</v>
      </c>
      <c r="H255" s="6"/>
      <c r="I255" s="6"/>
    </row>
    <row r="256" spans="1:9" x14ac:dyDescent="0.15">
      <c r="A256" s="5"/>
      <c r="B256" s="6"/>
      <c r="C256" s="6"/>
      <c r="D256" s="6" t="s">
        <v>758</v>
      </c>
      <c r="E256" s="6" t="s">
        <v>754</v>
      </c>
      <c r="F256" s="17" t="str">
        <f>HYPERLINK("https://rmda.kulib.kyoto-u.ac.jp/item/RB00004917")</f>
        <v>https://rmda.kulib.kyoto-u.ac.jp/item/RB00004917</v>
      </c>
      <c r="G256" s="6" t="s">
        <v>755</v>
      </c>
      <c r="H256" s="6"/>
      <c r="I256" s="6"/>
    </row>
    <row r="257" spans="1:9" x14ac:dyDescent="0.15">
      <c r="A257" s="5"/>
      <c r="B257" s="6"/>
      <c r="C257" s="6"/>
      <c r="D257" s="6" t="s">
        <v>758</v>
      </c>
      <c r="E257" s="6" t="s">
        <v>754</v>
      </c>
      <c r="F257" s="17" t="str">
        <f>HYPERLINK("https://rmda.kulib.kyoto-u.ac.jp/item/RB00004918")</f>
        <v>https://rmda.kulib.kyoto-u.ac.jp/item/RB00004918</v>
      </c>
      <c r="G257" s="6" t="s">
        <v>755</v>
      </c>
      <c r="H257" s="6"/>
      <c r="I257" s="6"/>
    </row>
    <row r="258" spans="1:9" x14ac:dyDescent="0.15">
      <c r="A258" s="5"/>
      <c r="B258" s="6"/>
      <c r="C258" s="6" t="s">
        <v>442</v>
      </c>
      <c r="D258" s="6" t="s">
        <v>749</v>
      </c>
      <c r="E258" s="6" t="s">
        <v>750</v>
      </c>
      <c r="F258" s="17" t="str">
        <f>HYPERLINK("https://rmda.kulib.kyoto-u.ac.jp/item/RB00004921")</f>
        <v>https://rmda.kulib.kyoto-u.ac.jp/item/RB00004921</v>
      </c>
      <c r="G258" s="6" t="s">
        <v>751</v>
      </c>
      <c r="H258" s="6"/>
      <c r="I258" s="6"/>
    </row>
    <row r="259" spans="1:9" x14ac:dyDescent="0.15">
      <c r="A259" s="5"/>
      <c r="B259" s="6"/>
      <c r="C259" s="6"/>
      <c r="D259" s="6" t="s">
        <v>752</v>
      </c>
      <c r="E259" s="6" t="s">
        <v>750</v>
      </c>
      <c r="F259" s="17" t="str">
        <f>HYPERLINK("https://rmda.kulib.kyoto-u.ac.jp/item/RB00004922")</f>
        <v>https://rmda.kulib.kyoto-u.ac.jp/item/RB00004922</v>
      </c>
      <c r="G259" s="6" t="s">
        <v>751</v>
      </c>
      <c r="H259" s="6"/>
      <c r="I259" s="6"/>
    </row>
    <row r="260" spans="1:9" x14ac:dyDescent="0.15">
      <c r="A260" s="5" t="s">
        <v>499</v>
      </c>
      <c r="B260" s="6" t="s">
        <v>54</v>
      </c>
      <c r="C260" s="6" t="s">
        <v>55</v>
      </c>
      <c r="D260" s="6" t="s">
        <v>743</v>
      </c>
      <c r="E260" s="6" t="s">
        <v>744</v>
      </c>
      <c r="F260" s="17" t="str">
        <f>HYPERLINK("https://rmda.kulib.kyoto-u.ac.jp/item/RB00002381")</f>
        <v>https://rmda.kulib.kyoto-u.ac.jp/item/RB00002381</v>
      </c>
      <c r="G260" s="6" t="s">
        <v>745</v>
      </c>
      <c r="H260" s="6"/>
      <c r="I260" s="6"/>
    </row>
    <row r="261" spans="1:9" x14ac:dyDescent="0.15">
      <c r="A261" s="5"/>
      <c r="B261" s="6"/>
      <c r="C261" s="6"/>
      <c r="D261" s="6" t="s">
        <v>746</v>
      </c>
      <c r="E261" s="6" t="s">
        <v>747</v>
      </c>
      <c r="F261" s="17" t="str">
        <f>HYPERLINK("https://rmda.kulib.kyoto-u.ac.jp/item/RB00002382")</f>
        <v>https://rmda.kulib.kyoto-u.ac.jp/item/RB00002382</v>
      </c>
      <c r="G261" s="6" t="s">
        <v>748</v>
      </c>
      <c r="H261" s="6"/>
      <c r="I261" s="6"/>
    </row>
    <row r="262" spans="1:9" x14ac:dyDescent="0.15">
      <c r="A262" s="5" t="s">
        <v>500</v>
      </c>
      <c r="B262" s="6" t="s">
        <v>56</v>
      </c>
      <c r="C262" s="6" t="s">
        <v>443</v>
      </c>
      <c r="D262" s="6" t="s">
        <v>740</v>
      </c>
      <c r="E262" s="6" t="s">
        <v>741</v>
      </c>
      <c r="F262" s="17" t="str">
        <f>HYPERLINK("https://rmda.kulib.kyoto-u.ac.jp/item/RB00003164")</f>
        <v>https://rmda.kulib.kyoto-u.ac.jp/item/RB00003164</v>
      </c>
      <c r="G262" s="6" t="s">
        <v>742</v>
      </c>
      <c r="H262" s="6"/>
      <c r="I262" s="6"/>
    </row>
    <row r="263" spans="1:9" x14ac:dyDescent="0.15">
      <c r="A263" s="5"/>
      <c r="B263" s="6"/>
      <c r="C263" s="31" t="s">
        <v>444</v>
      </c>
      <c r="D263" s="6"/>
      <c r="E263" s="6"/>
      <c r="F263" s="6"/>
      <c r="G263" s="6"/>
      <c r="H263" s="6" t="s">
        <v>994</v>
      </c>
      <c r="I263" s="6"/>
    </row>
    <row r="264" spans="1:9" x14ac:dyDescent="0.15">
      <c r="A264" s="5" t="s">
        <v>501</v>
      </c>
      <c r="B264" s="6" t="s">
        <v>57</v>
      </c>
      <c r="C264" s="31" t="s">
        <v>445</v>
      </c>
      <c r="D264" s="6"/>
      <c r="E264" s="6"/>
      <c r="F264" s="6"/>
      <c r="G264" s="6"/>
      <c r="H264" s="6"/>
      <c r="I264" s="6"/>
    </row>
    <row r="265" spans="1:9" x14ac:dyDescent="0.15">
      <c r="A265" s="5"/>
      <c r="B265" s="6"/>
      <c r="C265" s="31" t="s">
        <v>446</v>
      </c>
      <c r="D265" s="6"/>
      <c r="E265" s="6"/>
      <c r="F265" s="6"/>
      <c r="G265" s="6"/>
      <c r="H265" s="6"/>
      <c r="I265" s="6"/>
    </row>
    <row r="266" spans="1:9" x14ac:dyDescent="0.15">
      <c r="A266" s="5"/>
      <c r="B266" s="6"/>
      <c r="C266" s="6" t="s">
        <v>447</v>
      </c>
      <c r="D266" s="6" t="s">
        <v>639</v>
      </c>
      <c r="E266" s="6" t="s">
        <v>640</v>
      </c>
      <c r="F266" s="17" t="str">
        <f>HYPERLINK("https://rmda.kulib.kyoto-u.ac.jp/item/RB00004232")</f>
        <v>https://rmda.kulib.kyoto-u.ac.jp/item/RB00004232</v>
      </c>
      <c r="G266" s="6" t="s">
        <v>641</v>
      </c>
      <c r="H266" s="6"/>
      <c r="I266" s="6"/>
    </row>
    <row r="267" spans="1:9" x14ac:dyDescent="0.15">
      <c r="A267" s="5"/>
      <c r="B267" s="6"/>
      <c r="C267" s="6"/>
      <c r="D267" s="6" t="s">
        <v>447</v>
      </c>
      <c r="E267" s="6" t="s">
        <v>640</v>
      </c>
      <c r="F267" s="45" t="s">
        <v>975</v>
      </c>
      <c r="G267" s="6"/>
      <c r="H267" s="6"/>
      <c r="I267" s="6"/>
    </row>
    <row r="268" spans="1:9" x14ac:dyDescent="0.15">
      <c r="A268" s="5" t="s">
        <v>502</v>
      </c>
      <c r="B268" s="6" t="s">
        <v>58</v>
      </c>
      <c r="C268" s="6" t="s">
        <v>448</v>
      </c>
      <c r="D268" s="6" t="s">
        <v>716</v>
      </c>
      <c r="E268" s="6" t="s">
        <v>717</v>
      </c>
      <c r="F268" s="17" t="str">
        <f>HYPERLINK("https://rmda.kulib.kyoto-u.ac.jp/item/RB00002543")</f>
        <v>https://rmda.kulib.kyoto-u.ac.jp/item/RB00002543</v>
      </c>
      <c r="G268" s="6" t="s">
        <v>718</v>
      </c>
      <c r="H268" s="6"/>
      <c r="I268" s="6"/>
    </row>
    <row r="269" spans="1:9" x14ac:dyDescent="0.15">
      <c r="A269" s="5"/>
      <c r="B269" s="6"/>
      <c r="C269" s="6" t="s">
        <v>449</v>
      </c>
      <c r="D269" s="6" t="s">
        <v>449</v>
      </c>
      <c r="E269" s="6" t="s">
        <v>719</v>
      </c>
      <c r="F269" s="17" t="str">
        <f>HYPERLINK("https://rmda.kulib.kyoto-u.ac.jp/item/RB00002544")</f>
        <v>https://rmda.kulib.kyoto-u.ac.jp/item/RB00002544</v>
      </c>
      <c r="G269" s="6" t="s">
        <v>720</v>
      </c>
      <c r="H269" s="6"/>
      <c r="I269" s="6"/>
    </row>
    <row r="270" spans="1:9" x14ac:dyDescent="0.15">
      <c r="A270" s="5"/>
      <c r="B270" s="6"/>
      <c r="C270" s="6" t="s">
        <v>450</v>
      </c>
      <c r="D270" s="6" t="s">
        <v>721</v>
      </c>
      <c r="E270" s="6" t="s">
        <v>722</v>
      </c>
      <c r="F270" s="17" t="str">
        <f>HYPERLINK("https://rmda.kulib.kyoto-u.ac.jp/item/RB00000632")</f>
        <v>https://rmda.kulib.kyoto-u.ac.jp/item/RB00000632</v>
      </c>
      <c r="G270" s="6" t="s">
        <v>723</v>
      </c>
      <c r="H270" s="6"/>
      <c r="I270" s="6"/>
    </row>
    <row r="271" spans="1:9" x14ac:dyDescent="0.15">
      <c r="A271" s="5"/>
      <c r="B271" s="6"/>
      <c r="C271" s="30" t="s">
        <v>451</v>
      </c>
      <c r="D271" s="6"/>
      <c r="E271" s="6" t="s">
        <v>941</v>
      </c>
      <c r="F271" s="47" t="s">
        <v>939</v>
      </c>
      <c r="G271" s="6"/>
      <c r="H271" s="6" t="s">
        <v>893</v>
      </c>
      <c r="I271" s="6"/>
    </row>
    <row r="272" spans="1:9" x14ac:dyDescent="0.15">
      <c r="A272" s="5"/>
      <c r="B272" s="6"/>
      <c r="C272" s="30"/>
      <c r="D272" s="6"/>
      <c r="E272" s="6" t="s">
        <v>941</v>
      </c>
      <c r="F272" s="47" t="s">
        <v>940</v>
      </c>
      <c r="G272" s="6"/>
      <c r="H272" s="6" t="s">
        <v>942</v>
      </c>
      <c r="I272" s="6"/>
    </row>
    <row r="273" spans="1:9" x14ac:dyDescent="0.15">
      <c r="A273" s="5"/>
      <c r="B273" s="6"/>
      <c r="C273" s="30" t="s">
        <v>452</v>
      </c>
      <c r="D273" s="6" t="s">
        <v>944</v>
      </c>
      <c r="E273" s="6" t="s">
        <v>941</v>
      </c>
      <c r="F273" s="47" t="s">
        <v>943</v>
      </c>
      <c r="G273" s="6"/>
      <c r="H273" s="6" t="s">
        <v>918</v>
      </c>
      <c r="I273" s="6"/>
    </row>
    <row r="274" spans="1:9" x14ac:dyDescent="0.15">
      <c r="A274" s="5"/>
      <c r="B274" s="6"/>
      <c r="C274" s="30"/>
      <c r="D274" s="6" t="s">
        <v>952</v>
      </c>
      <c r="E274" s="6" t="s">
        <v>946</v>
      </c>
      <c r="F274" s="47" t="s">
        <v>945</v>
      </c>
      <c r="G274" s="6"/>
      <c r="H274" s="6" t="s">
        <v>947</v>
      </c>
      <c r="I274" s="6"/>
    </row>
    <row r="275" spans="1:9" x14ac:dyDescent="0.15">
      <c r="A275" s="5"/>
      <c r="B275" s="6"/>
      <c r="C275" s="30"/>
      <c r="D275" s="6" t="s">
        <v>950</v>
      </c>
      <c r="E275" s="6" t="s">
        <v>941</v>
      </c>
      <c r="F275" s="47" t="s">
        <v>949</v>
      </c>
      <c r="G275" s="6"/>
      <c r="H275" s="6" t="s">
        <v>947</v>
      </c>
      <c r="I275" s="6"/>
    </row>
    <row r="276" spans="1:9" x14ac:dyDescent="0.15">
      <c r="A276" s="5"/>
      <c r="B276" s="6"/>
      <c r="C276" s="30"/>
      <c r="D276" s="6" t="s">
        <v>951</v>
      </c>
      <c r="E276" s="6" t="s">
        <v>941</v>
      </c>
      <c r="F276" s="47" t="s">
        <v>948</v>
      </c>
      <c r="G276" s="6"/>
      <c r="H276" s="6" t="s">
        <v>947</v>
      </c>
      <c r="I276" s="6"/>
    </row>
    <row r="277" spans="1:9" x14ac:dyDescent="0.15">
      <c r="A277" s="5"/>
      <c r="B277" s="6"/>
      <c r="C277" s="6" t="s">
        <v>453</v>
      </c>
      <c r="D277" s="6" t="s">
        <v>724</v>
      </c>
      <c r="E277" s="6" t="s">
        <v>722</v>
      </c>
      <c r="F277" s="17" t="str">
        <f>HYPERLINK("https://rmda.kulib.kyoto-u.ac.jp/item/RB00000654")</f>
        <v>https://rmda.kulib.kyoto-u.ac.jp/item/RB00000654</v>
      </c>
      <c r="G277" s="6" t="s">
        <v>725</v>
      </c>
      <c r="H277" s="6"/>
      <c r="I277" s="6"/>
    </row>
    <row r="278" spans="1:9" x14ac:dyDescent="0.15">
      <c r="A278" s="5"/>
      <c r="B278" s="6"/>
      <c r="C278" s="6"/>
      <c r="D278" s="6" t="s">
        <v>724</v>
      </c>
      <c r="E278" s="6" t="s">
        <v>722</v>
      </c>
      <c r="F278" s="17" t="str">
        <f>HYPERLINK("https://rmda.kulib.kyoto-u.ac.jp/item/RB00003855")</f>
        <v>https://rmda.kulib.kyoto-u.ac.jp/item/RB00003855</v>
      </c>
      <c r="G278" s="6" t="s">
        <v>725</v>
      </c>
      <c r="H278" s="6"/>
      <c r="I278" s="6"/>
    </row>
    <row r="279" spans="1:9" x14ac:dyDescent="0.15">
      <c r="A279" s="5"/>
      <c r="B279" s="6"/>
      <c r="C279" s="6" t="s">
        <v>454</v>
      </c>
      <c r="D279" s="6" t="s">
        <v>726</v>
      </c>
      <c r="E279" s="6" t="s">
        <v>722</v>
      </c>
      <c r="F279" s="17" t="str">
        <f>HYPERLINK("https://rmda.kulib.kyoto-u.ac.jp/item/RB00000534")</f>
        <v>https://rmda.kulib.kyoto-u.ac.jp/item/RB00000534</v>
      </c>
      <c r="G279" s="6" t="s">
        <v>727</v>
      </c>
      <c r="H279" s="6"/>
      <c r="I279" s="6"/>
    </row>
    <row r="280" spans="1:9" x14ac:dyDescent="0.15">
      <c r="A280" s="5"/>
      <c r="B280" s="6"/>
      <c r="C280" s="6" t="s">
        <v>455</v>
      </c>
      <c r="D280" s="6" t="s">
        <v>455</v>
      </c>
      <c r="E280" s="6" t="s">
        <v>722</v>
      </c>
      <c r="F280" s="17" t="str">
        <f>HYPERLINK("https://rmda.kulib.kyoto-u.ac.jp/item/RB00000739")</f>
        <v>https://rmda.kulib.kyoto-u.ac.jp/item/RB00000739</v>
      </c>
      <c r="G280" s="6" t="s">
        <v>728</v>
      </c>
      <c r="H280" s="6"/>
      <c r="I280" s="6"/>
    </row>
    <row r="281" spans="1:9" x14ac:dyDescent="0.15">
      <c r="A281" s="32" t="s">
        <v>59</v>
      </c>
      <c r="B281" s="34" t="s">
        <v>60</v>
      </c>
      <c r="C281" s="34"/>
      <c r="D281" s="34"/>
      <c r="E281" s="34"/>
      <c r="F281" s="34"/>
      <c r="G281" s="34"/>
      <c r="H281" s="34"/>
      <c r="I281" s="6"/>
    </row>
    <row r="282" spans="1:9" x14ac:dyDescent="0.15">
      <c r="A282" s="5">
        <v>101</v>
      </c>
      <c r="B282" s="6" t="s">
        <v>61</v>
      </c>
      <c r="C282" s="6" t="s">
        <v>456</v>
      </c>
      <c r="D282" s="6" t="s">
        <v>456</v>
      </c>
      <c r="E282" s="6" t="s">
        <v>801</v>
      </c>
      <c r="F282" s="17" t="str">
        <f>HYPERLINK("https://rmda.kulib.kyoto-u.ac.jp/item/RB00002331")</f>
        <v>https://rmda.kulib.kyoto-u.ac.jp/item/RB00002331</v>
      </c>
      <c r="G282" s="6" t="s">
        <v>803</v>
      </c>
      <c r="H282" s="6"/>
      <c r="I282" s="6"/>
    </row>
    <row r="283" spans="1:9" x14ac:dyDescent="0.15">
      <c r="A283" s="5"/>
      <c r="B283" s="6"/>
      <c r="C283" s="6"/>
      <c r="D283" s="6" t="s">
        <v>456</v>
      </c>
      <c r="E283" s="6" t="s">
        <v>801</v>
      </c>
      <c r="F283" s="17" t="str">
        <f>HYPERLINK("https://rmda.kulib.kyoto-u.ac.jp/item/RB00002332")</f>
        <v>https://rmda.kulib.kyoto-u.ac.jp/item/RB00002332</v>
      </c>
      <c r="G283" s="6" t="s">
        <v>803</v>
      </c>
      <c r="H283" s="6"/>
      <c r="I283" s="6"/>
    </row>
    <row r="284" spans="1:9" x14ac:dyDescent="0.15">
      <c r="A284" s="5"/>
      <c r="B284" s="6"/>
      <c r="C284" s="6"/>
      <c r="D284" s="6" t="s">
        <v>456</v>
      </c>
      <c r="E284" s="6" t="s">
        <v>801</v>
      </c>
      <c r="F284" s="17" t="str">
        <f>HYPERLINK("https://rmda.kulib.kyoto-u.ac.jp/item/RB00002333")</f>
        <v>https://rmda.kulib.kyoto-u.ac.jp/item/RB00002333</v>
      </c>
      <c r="G284" s="6" t="s">
        <v>803</v>
      </c>
      <c r="H284" s="6"/>
      <c r="I284" s="6"/>
    </row>
    <row r="285" spans="1:9" x14ac:dyDescent="0.15">
      <c r="A285" s="5"/>
      <c r="B285" s="6"/>
      <c r="C285" s="6" t="s">
        <v>457</v>
      </c>
      <c r="D285" s="6" t="s">
        <v>800</v>
      </c>
      <c r="E285" s="6" t="s">
        <v>801</v>
      </c>
      <c r="F285" s="17" t="str">
        <f>HYPERLINK("https://rmda.kulib.kyoto-u.ac.jp/item/RB00002328")</f>
        <v>https://rmda.kulib.kyoto-u.ac.jp/item/RB00002328</v>
      </c>
      <c r="G285" s="6" t="s">
        <v>802</v>
      </c>
      <c r="H285" s="6"/>
      <c r="I285" s="6"/>
    </row>
    <row r="286" spans="1:9" x14ac:dyDescent="0.15">
      <c r="A286" s="5"/>
      <c r="B286" s="6"/>
      <c r="C286" s="6"/>
      <c r="D286" s="6" t="s">
        <v>800</v>
      </c>
      <c r="E286" s="6" t="s">
        <v>801</v>
      </c>
      <c r="F286" s="17" t="str">
        <f>HYPERLINK("https://rmda.kulib.kyoto-u.ac.jp/item/RB00002329")</f>
        <v>https://rmda.kulib.kyoto-u.ac.jp/item/RB00002329</v>
      </c>
      <c r="G286" s="6" t="s">
        <v>802</v>
      </c>
      <c r="H286" s="6"/>
      <c r="I286" s="6"/>
    </row>
    <row r="287" spans="1:9" x14ac:dyDescent="0.15">
      <c r="A287" s="5" t="s">
        <v>62</v>
      </c>
      <c r="B287" s="6" t="s">
        <v>63</v>
      </c>
      <c r="C287" s="6" t="s">
        <v>458</v>
      </c>
      <c r="D287" s="6" t="s">
        <v>458</v>
      </c>
      <c r="E287" s="6" t="s">
        <v>710</v>
      </c>
      <c r="F287" s="17" t="str">
        <f>HYPERLINK("https://rmda.kulib.kyoto-u.ac.jp/item/RB00001167")</f>
        <v>https://rmda.kulib.kyoto-u.ac.jp/item/RB00001167</v>
      </c>
      <c r="G287" s="6" t="s">
        <v>711</v>
      </c>
      <c r="H287" s="6"/>
      <c r="I287" s="6"/>
    </row>
    <row r="288" spans="1:9" x14ac:dyDescent="0.15">
      <c r="A288" s="5"/>
      <c r="B288" s="6"/>
      <c r="C288" s="6" t="s">
        <v>459</v>
      </c>
      <c r="D288" s="6" t="s">
        <v>712</v>
      </c>
      <c r="E288" s="6" t="s">
        <v>710</v>
      </c>
      <c r="F288" s="17" t="str">
        <f>HYPERLINK("https://rmda.kulib.kyoto-u.ac.jp/item/RB00000470")</f>
        <v>https://rmda.kulib.kyoto-u.ac.jp/item/RB00000470</v>
      </c>
      <c r="G288" s="6" t="s">
        <v>713</v>
      </c>
      <c r="H288" s="6"/>
      <c r="I288" s="6"/>
    </row>
    <row r="289" spans="1:9" x14ac:dyDescent="0.15">
      <c r="A289" s="5"/>
      <c r="B289" s="6"/>
      <c r="C289" s="6" t="s">
        <v>460</v>
      </c>
      <c r="D289" s="6" t="s">
        <v>712</v>
      </c>
      <c r="E289" s="6" t="s">
        <v>710</v>
      </c>
      <c r="F289" s="17" t="str">
        <f>HYPERLINK("https://rmda.kulib.kyoto-u.ac.jp/item/RB00000470")</f>
        <v>https://rmda.kulib.kyoto-u.ac.jp/item/RB00000470</v>
      </c>
      <c r="G289" s="6" t="s">
        <v>713</v>
      </c>
      <c r="H289" s="6" t="s">
        <v>884</v>
      </c>
      <c r="I289" s="6"/>
    </row>
    <row r="290" spans="1:9" x14ac:dyDescent="0.15">
      <c r="A290" s="5"/>
      <c r="B290" s="6"/>
      <c r="C290" s="30" t="s">
        <v>954</v>
      </c>
      <c r="D290" s="6" t="s">
        <v>461</v>
      </c>
      <c r="E290" s="6" t="s">
        <v>63</v>
      </c>
      <c r="F290" s="47" t="s">
        <v>953</v>
      </c>
      <c r="G290" s="6"/>
      <c r="H290" s="6" t="s">
        <v>947</v>
      </c>
      <c r="I290" s="6"/>
    </row>
    <row r="291" spans="1:9" x14ac:dyDescent="0.15">
      <c r="A291" s="5"/>
      <c r="B291" s="6"/>
      <c r="C291" s="6" t="s">
        <v>462</v>
      </c>
      <c r="D291" s="6" t="s">
        <v>714</v>
      </c>
      <c r="E291" s="6" t="s">
        <v>710</v>
      </c>
      <c r="F291" s="17" t="str">
        <f>HYPERLINK("https://rmda.kulib.kyoto-u.ac.jp/item/RB00000445")</f>
        <v>https://rmda.kulib.kyoto-u.ac.jp/item/RB00000445</v>
      </c>
      <c r="G291" s="6" t="s">
        <v>715</v>
      </c>
      <c r="H291" s="6"/>
      <c r="I291" s="6"/>
    </row>
    <row r="292" spans="1:9" x14ac:dyDescent="0.15">
      <c r="A292" s="5">
        <v>106</v>
      </c>
      <c r="B292" s="6" t="s">
        <v>64</v>
      </c>
      <c r="C292" s="6" t="s">
        <v>463</v>
      </c>
      <c r="D292" s="6" t="s">
        <v>1357</v>
      </c>
      <c r="E292" s="6" t="s">
        <v>1358</v>
      </c>
      <c r="F292" s="9" t="s">
        <v>1359</v>
      </c>
      <c r="G292" s="6"/>
      <c r="H292" s="6"/>
      <c r="I292" s="6"/>
    </row>
    <row r="293" spans="1:9" x14ac:dyDescent="0.15">
      <c r="A293" s="5"/>
      <c r="B293" s="6"/>
      <c r="C293" s="6"/>
      <c r="D293" s="6" t="s">
        <v>1357</v>
      </c>
      <c r="E293" s="6" t="s">
        <v>1358</v>
      </c>
      <c r="F293" s="9" t="s">
        <v>1360</v>
      </c>
      <c r="G293" s="6" t="s">
        <v>1361</v>
      </c>
      <c r="H293" s="6" t="s">
        <v>1348</v>
      </c>
      <c r="I293" s="6"/>
    </row>
    <row r="294" spans="1:9" x14ac:dyDescent="0.15">
      <c r="A294" s="5"/>
      <c r="B294" s="6"/>
      <c r="C294" s="6"/>
      <c r="D294" s="6" t="s">
        <v>729</v>
      </c>
      <c r="E294" s="6" t="s">
        <v>730</v>
      </c>
      <c r="F294" s="17" t="str">
        <f>HYPERLINK("https://rmda.kulib.kyoto-u.ac.jp/item/RB00000239")</f>
        <v>https://rmda.kulib.kyoto-u.ac.jp/item/RB00000239</v>
      </c>
      <c r="G294" s="6" t="s">
        <v>731</v>
      </c>
      <c r="H294" s="6"/>
      <c r="I294" s="6"/>
    </row>
    <row r="295" spans="1:9" x14ac:dyDescent="0.15">
      <c r="A295" s="5"/>
      <c r="B295" s="6"/>
      <c r="C295" s="6" t="s">
        <v>464</v>
      </c>
      <c r="D295" s="6" t="s">
        <v>732</v>
      </c>
      <c r="E295" s="6" t="s">
        <v>733</v>
      </c>
      <c r="F295" s="17" t="str">
        <f>HYPERLINK("https://rmda.kulib.kyoto-u.ac.jp/item/RB00000614")</f>
        <v>https://rmda.kulib.kyoto-u.ac.jp/item/RB00000614</v>
      </c>
      <c r="G295" s="6" t="s">
        <v>734</v>
      </c>
      <c r="H295" s="6"/>
      <c r="I295" s="6"/>
    </row>
    <row r="296" spans="1:9" x14ac:dyDescent="0.15">
      <c r="A296" s="5"/>
      <c r="B296" s="6"/>
      <c r="C296" s="6"/>
      <c r="D296" s="6" t="s">
        <v>735</v>
      </c>
      <c r="E296" s="6" t="s">
        <v>736</v>
      </c>
      <c r="F296" s="17" t="str">
        <f>HYPERLINK("https://rmda.kulib.kyoto-u.ac.jp/item/RB00002832")</f>
        <v>https://rmda.kulib.kyoto-u.ac.jp/item/RB00002832</v>
      </c>
      <c r="G296" s="6" t="s">
        <v>734</v>
      </c>
      <c r="H296" s="6"/>
      <c r="I296" s="6"/>
    </row>
    <row r="297" spans="1:9" x14ac:dyDescent="0.15">
      <c r="A297" s="5"/>
      <c r="B297" s="6"/>
      <c r="C297" s="6" t="s">
        <v>465</v>
      </c>
      <c r="D297" s="6" t="s">
        <v>465</v>
      </c>
      <c r="E297" s="6" t="s">
        <v>737</v>
      </c>
      <c r="F297" s="17" t="str">
        <f>HYPERLINK("https://rmda.kulib.kyoto-u.ac.jp/item/RB00001959")</f>
        <v>https://rmda.kulib.kyoto-u.ac.jp/item/RB00001959</v>
      </c>
      <c r="G297" s="6" t="s">
        <v>738</v>
      </c>
      <c r="H297" s="30" t="s">
        <v>739</v>
      </c>
      <c r="I297" s="6"/>
    </row>
    <row r="298" spans="1:9" x14ac:dyDescent="0.15">
      <c r="A298" s="5"/>
      <c r="B298" s="6"/>
      <c r="C298" s="31" t="s">
        <v>466</v>
      </c>
      <c r="D298" s="6"/>
      <c r="E298" s="6"/>
      <c r="F298" s="6"/>
      <c r="G298" s="6"/>
      <c r="H298" s="6"/>
      <c r="I298" s="6"/>
    </row>
    <row r="299" spans="1:9" x14ac:dyDescent="0.15">
      <c r="A299" s="5">
        <v>107</v>
      </c>
      <c r="B299" s="6" t="s">
        <v>65</v>
      </c>
      <c r="C299" s="6" t="s">
        <v>467</v>
      </c>
      <c r="D299" s="6" t="s">
        <v>665</v>
      </c>
      <c r="E299" s="6" t="s">
        <v>666</v>
      </c>
      <c r="F299" s="17" t="str">
        <f>HYPERLINK("https://rmda.kulib.kyoto-u.ac.jp/item/RB00002726")</f>
        <v>https://rmda.kulib.kyoto-u.ac.jp/item/RB00002726</v>
      </c>
      <c r="G299" s="6" t="s">
        <v>667</v>
      </c>
      <c r="H299" s="6"/>
      <c r="I299" s="6"/>
    </row>
    <row r="300" spans="1:9" x14ac:dyDescent="0.15">
      <c r="A300" s="5"/>
      <c r="B300" s="6"/>
      <c r="C300" s="6" t="s">
        <v>468</v>
      </c>
      <c r="D300" s="6" t="s">
        <v>468</v>
      </c>
      <c r="E300" s="6" t="s">
        <v>668</v>
      </c>
      <c r="F300" s="17" t="str">
        <f>HYPERLINK("https://rmda.kulib.kyoto-u.ac.jp/item/RB00000385")</f>
        <v>https://rmda.kulib.kyoto-u.ac.jp/item/RB00000385</v>
      </c>
      <c r="G300" s="6" t="s">
        <v>669</v>
      </c>
      <c r="H300" s="6"/>
      <c r="I300" s="6"/>
    </row>
    <row r="301" spans="1:9" x14ac:dyDescent="0.15">
      <c r="A301" s="5"/>
      <c r="B301" s="6"/>
      <c r="C301" s="31" t="s">
        <v>469</v>
      </c>
      <c r="D301" s="6"/>
      <c r="E301" s="6"/>
      <c r="F301" s="6"/>
      <c r="G301" s="6"/>
      <c r="H301" s="6"/>
      <c r="I301" s="6"/>
    </row>
    <row r="302" spans="1:9" x14ac:dyDescent="0.15">
      <c r="A302" s="5" t="s">
        <v>66</v>
      </c>
      <c r="B302" s="6" t="s">
        <v>26</v>
      </c>
      <c r="C302" s="30" t="s">
        <v>470</v>
      </c>
      <c r="D302" s="6"/>
      <c r="E302" s="6"/>
      <c r="F302" s="47" t="s">
        <v>955</v>
      </c>
      <c r="G302" s="6" t="s">
        <v>957</v>
      </c>
      <c r="H302" s="6" t="s">
        <v>956</v>
      </c>
      <c r="I302" s="6"/>
    </row>
    <row r="303" spans="1:9" x14ac:dyDescent="0.15">
      <c r="A303" s="5"/>
      <c r="B303" s="6"/>
      <c r="C303" s="6" t="s">
        <v>471</v>
      </c>
      <c r="D303" s="6" t="s">
        <v>659</v>
      </c>
      <c r="E303" s="6" t="s">
        <v>660</v>
      </c>
      <c r="F303" s="17" t="str">
        <f>HYPERLINK("https://rmda.kulib.kyoto-u.ac.jp/item/RB00005298")</f>
        <v>https://rmda.kulib.kyoto-u.ac.jp/item/RB00005298</v>
      </c>
      <c r="G303" s="6" t="s">
        <v>661</v>
      </c>
      <c r="H303" s="6"/>
      <c r="I303" s="6"/>
    </row>
    <row r="304" spans="1:9" x14ac:dyDescent="0.15">
      <c r="A304" s="5"/>
      <c r="B304" s="6"/>
      <c r="C304" s="6"/>
      <c r="D304" s="6" t="s">
        <v>659</v>
      </c>
      <c r="E304" s="6" t="s">
        <v>660</v>
      </c>
      <c r="F304" s="17" t="str">
        <f>HYPERLINK("https://rmda.kulib.kyoto-u.ac.jp/item/RB00005299")</f>
        <v>https://rmda.kulib.kyoto-u.ac.jp/item/RB00005299</v>
      </c>
      <c r="G304" s="6" t="s">
        <v>661</v>
      </c>
      <c r="H304" s="6"/>
      <c r="I304" s="6"/>
    </row>
    <row r="305" spans="1:9" x14ac:dyDescent="0.15">
      <c r="A305" s="5"/>
      <c r="B305" s="6"/>
      <c r="C305" s="6" t="s">
        <v>472</v>
      </c>
      <c r="D305" s="6" t="s">
        <v>662</v>
      </c>
      <c r="E305" s="6" t="s">
        <v>663</v>
      </c>
      <c r="F305" s="17" t="str">
        <f>HYPERLINK("https://rmda.kulib.kyoto-u.ac.jp/item/RB00002357")</f>
        <v>https://rmda.kulib.kyoto-u.ac.jp/item/RB00002357</v>
      </c>
      <c r="G305" s="6" t="s">
        <v>664</v>
      </c>
      <c r="H305" s="6"/>
      <c r="I305" s="6"/>
    </row>
    <row r="306" spans="1:9" x14ac:dyDescent="0.15">
      <c r="A306" s="5" t="s">
        <v>67</v>
      </c>
      <c r="B306" s="6" t="s">
        <v>27</v>
      </c>
      <c r="C306" s="6" t="s">
        <v>473</v>
      </c>
      <c r="D306" s="6" t="s">
        <v>654</v>
      </c>
      <c r="E306" s="6" t="s">
        <v>573</v>
      </c>
      <c r="F306" s="17" t="str">
        <f>HYPERLINK("https://rmda.kulib.kyoto-u.ac.jp/item/RB00000634")</f>
        <v>https://rmda.kulib.kyoto-u.ac.jp/item/RB00000634</v>
      </c>
      <c r="G306" s="6" t="s">
        <v>655</v>
      </c>
      <c r="H306" s="6"/>
      <c r="I306" s="6"/>
    </row>
    <row r="307" spans="1:9" x14ac:dyDescent="0.15">
      <c r="A307" s="5"/>
      <c r="B307" s="6"/>
      <c r="C307" s="6" t="s">
        <v>474</v>
      </c>
      <c r="D307" s="6" t="s">
        <v>886</v>
      </c>
      <c r="E307" s="6" t="s">
        <v>573</v>
      </c>
      <c r="F307" s="46" t="s">
        <v>885</v>
      </c>
      <c r="G307" s="6"/>
      <c r="H307" s="6" t="s">
        <v>887</v>
      </c>
      <c r="I307" s="6"/>
    </row>
    <row r="308" spans="1:9" x14ac:dyDescent="0.15">
      <c r="A308" s="5"/>
      <c r="B308" s="6"/>
      <c r="C308" s="6"/>
      <c r="D308" s="6" t="s">
        <v>886</v>
      </c>
      <c r="E308" s="6" t="s">
        <v>573</v>
      </c>
      <c r="F308" s="45" t="s">
        <v>974</v>
      </c>
      <c r="G308" s="6"/>
      <c r="H308" s="6"/>
      <c r="I308" s="6"/>
    </row>
    <row r="309" spans="1:9" x14ac:dyDescent="0.15">
      <c r="A309" s="5"/>
      <c r="B309" s="6"/>
      <c r="C309" s="6" t="s">
        <v>475</v>
      </c>
      <c r="D309" s="6" t="s">
        <v>656</v>
      </c>
      <c r="E309" s="6" t="s">
        <v>657</v>
      </c>
      <c r="F309" s="17" t="str">
        <f>HYPERLINK("https://rmda.kulib.kyoto-u.ac.jp/item/RB00000377")</f>
        <v>https://rmda.kulib.kyoto-u.ac.jp/item/RB00000377</v>
      </c>
      <c r="G309" s="6" t="s">
        <v>658</v>
      </c>
      <c r="H309" s="6"/>
      <c r="I309" s="6"/>
    </row>
    <row r="310" spans="1:9" x14ac:dyDescent="0.15">
      <c r="A310" s="5">
        <v>112</v>
      </c>
      <c r="B310" s="6" t="s">
        <v>68</v>
      </c>
      <c r="C310" s="6" t="s">
        <v>476</v>
      </c>
      <c r="D310" s="6" t="s">
        <v>650</v>
      </c>
      <c r="E310" s="6" t="s">
        <v>651</v>
      </c>
      <c r="F310" s="17" t="str">
        <f>HYPERLINK("https://rmda.kulib.kyoto-u.ac.jp/item/RB00000485")</f>
        <v>https://rmda.kulib.kyoto-u.ac.jp/item/RB00000485</v>
      </c>
      <c r="G310" s="6" t="s">
        <v>652</v>
      </c>
      <c r="H310" s="6"/>
      <c r="I310" s="6"/>
    </row>
    <row r="311" spans="1:9" x14ac:dyDescent="0.15">
      <c r="A311" s="5"/>
      <c r="B311" s="6"/>
      <c r="C311" s="31" t="s">
        <v>477</v>
      </c>
      <c r="D311" s="6"/>
      <c r="E311" s="6"/>
      <c r="F311" s="6"/>
      <c r="G311" s="6"/>
      <c r="H311" s="6"/>
      <c r="I311" s="6"/>
    </row>
    <row r="312" spans="1:9" x14ac:dyDescent="0.15">
      <c r="A312" s="5"/>
      <c r="B312" s="6"/>
      <c r="C312" s="6" t="s">
        <v>478</v>
      </c>
      <c r="D312" s="6" t="s">
        <v>478</v>
      </c>
      <c r="E312" s="6" t="s">
        <v>651</v>
      </c>
      <c r="F312" s="17" t="str">
        <f>HYPERLINK("https://rmda.kulib.kyoto-u.ac.jp/item/RB00000469")</f>
        <v>https://rmda.kulib.kyoto-u.ac.jp/item/RB00000469</v>
      </c>
      <c r="G312" s="6" t="s">
        <v>653</v>
      </c>
      <c r="H312" s="6"/>
      <c r="I312" s="6"/>
    </row>
    <row r="313" spans="1:9" x14ac:dyDescent="0.15">
      <c r="A313" s="5"/>
      <c r="B313" s="6"/>
      <c r="C313" s="6"/>
      <c r="D313" s="6" t="s">
        <v>478</v>
      </c>
      <c r="E313" s="6" t="s">
        <v>651</v>
      </c>
      <c r="F313" s="17" t="str">
        <f>HYPERLINK("https://rmda.kulib.kyoto-u.ac.jp/item/RB00001103")</f>
        <v>https://rmda.kulib.kyoto-u.ac.jp/item/RB00001103</v>
      </c>
      <c r="G313" s="6" t="s">
        <v>653</v>
      </c>
      <c r="H313" s="6"/>
      <c r="I313" s="6"/>
    </row>
    <row r="314" spans="1:9" x14ac:dyDescent="0.15">
      <c r="A314" s="5">
        <v>113</v>
      </c>
      <c r="B314" s="6" t="s">
        <v>69</v>
      </c>
      <c r="C314" s="30" t="s">
        <v>479</v>
      </c>
      <c r="D314" s="6"/>
      <c r="E314" s="6"/>
      <c r="F314" s="47" t="s">
        <v>958</v>
      </c>
      <c r="G314" s="6" t="s">
        <v>959</v>
      </c>
      <c r="H314" s="6" t="s">
        <v>893</v>
      </c>
      <c r="I314" s="6"/>
    </row>
    <row r="315" spans="1:9" x14ac:dyDescent="0.15">
      <c r="A315" s="5"/>
      <c r="B315" s="6"/>
      <c r="C315" s="30" t="s">
        <v>480</v>
      </c>
      <c r="D315" s="6"/>
      <c r="E315" s="6"/>
      <c r="F315" s="9" t="s">
        <v>990</v>
      </c>
      <c r="G315" s="9" t="s">
        <v>991</v>
      </c>
      <c r="H315" s="53" t="s">
        <v>856</v>
      </c>
      <c r="I315" s="9" t="s">
        <v>992</v>
      </c>
    </row>
    <row r="316" spans="1:9" x14ac:dyDescent="0.15">
      <c r="A316" s="5"/>
      <c r="B316" s="6"/>
      <c r="C316" s="31" t="s">
        <v>481</v>
      </c>
      <c r="D316" s="6"/>
      <c r="E316" s="6"/>
      <c r="F316" s="6"/>
      <c r="G316" s="6"/>
      <c r="H316" s="6"/>
      <c r="I316" s="6"/>
    </row>
    <row r="317" spans="1:9" x14ac:dyDescent="0.15">
      <c r="A317" s="5" t="s">
        <v>70</v>
      </c>
      <c r="B317" s="6" t="s">
        <v>16</v>
      </c>
      <c r="C317" s="6" t="s">
        <v>482</v>
      </c>
      <c r="D317" s="6" t="s">
        <v>645</v>
      </c>
      <c r="E317" s="6" t="s">
        <v>646</v>
      </c>
      <c r="F317" s="17" t="str">
        <f>HYPERLINK("https://rmda.kulib.kyoto-u.ac.jp/item/RB00000754")</f>
        <v>https://rmda.kulib.kyoto-u.ac.jp/item/RB00000754</v>
      </c>
      <c r="G317" s="6" t="s">
        <v>644</v>
      </c>
      <c r="H317" s="6"/>
      <c r="I317" s="6"/>
    </row>
    <row r="318" spans="1:9" x14ac:dyDescent="0.15">
      <c r="A318" s="5"/>
      <c r="B318" s="6"/>
      <c r="C318" s="6"/>
      <c r="D318" s="6" t="s">
        <v>647</v>
      </c>
      <c r="E318" s="6" t="s">
        <v>648</v>
      </c>
      <c r="F318" s="17" t="str">
        <f>HYPERLINK("https://rmda.kulib.kyoto-u.ac.jp/item/RB00005573")</f>
        <v>https://rmda.kulib.kyoto-u.ac.jp/item/RB00005573</v>
      </c>
      <c r="G318" s="6" t="s">
        <v>649</v>
      </c>
      <c r="H318" s="6"/>
      <c r="I318" s="6"/>
    </row>
    <row r="319" spans="1:9" x14ac:dyDescent="0.15">
      <c r="A319" s="5"/>
      <c r="B319" s="6"/>
      <c r="C319" s="6" t="s">
        <v>483</v>
      </c>
      <c r="D319" s="6" t="s">
        <v>642</v>
      </c>
      <c r="E319" s="6" t="s">
        <v>643</v>
      </c>
      <c r="F319" s="17" t="str">
        <f>HYPERLINK("https://rmda.kulib.kyoto-u.ac.jp/item/RB00005571")</f>
        <v>https://rmda.kulib.kyoto-u.ac.jp/item/RB00005571</v>
      </c>
      <c r="G319" s="6" t="s">
        <v>644</v>
      </c>
      <c r="H319" s="6"/>
      <c r="I319" s="6"/>
    </row>
    <row r="321" spans="3:3" x14ac:dyDescent="0.15">
      <c r="C321" s="54" t="s">
        <v>1362</v>
      </c>
    </row>
    <row r="323" spans="3:3" x14ac:dyDescent="0.15">
      <c r="C323" t="s">
        <v>1220</v>
      </c>
    </row>
  </sheetData>
  <autoFilter ref="A1:I319"/>
  <phoneticPr fontId="2"/>
  <hyperlinks>
    <hyperlink ref="F106" r:id="rId1"/>
    <hyperlink ref="F107" r:id="rId2"/>
    <hyperlink ref="F108" r:id="rId3"/>
    <hyperlink ref="F109" r:id="rId4"/>
    <hyperlink ref="F110" r:id="rId5"/>
    <hyperlink ref="F16" r:id="rId6"/>
    <hyperlink ref="F28" r:id="rId7"/>
    <hyperlink ref="F77" r:id="rId8"/>
    <hyperlink ref="F111" r:id="rId9"/>
    <hyperlink ref="F177" r:id="rId10"/>
    <hyperlink ref="F217" r:id="rId11"/>
    <hyperlink ref="F307" r:id="rId12"/>
    <hyperlink ref="F22" r:id="rId13"/>
    <hyperlink ref="F69" r:id="rId14"/>
    <hyperlink ref="F96" r:id="rId15"/>
    <hyperlink ref="F97" r:id="rId16"/>
    <hyperlink ref="F122" r:id="rId17"/>
    <hyperlink ref="F148" r:id="rId18"/>
    <hyperlink ref="F159" r:id="rId19"/>
    <hyperlink ref="F169" r:id="rId20"/>
    <hyperlink ref="F174" r:id="rId21"/>
    <hyperlink ref="F221" r:id="rId22"/>
    <hyperlink ref="F222" r:id="rId23"/>
    <hyperlink ref="F232" r:id="rId24"/>
    <hyperlink ref="F271" r:id="rId25"/>
    <hyperlink ref="F272" r:id="rId26"/>
    <hyperlink ref="F273" r:id="rId27"/>
    <hyperlink ref="F274" r:id="rId28"/>
    <hyperlink ref="F276" r:id="rId29"/>
    <hyperlink ref="F275" r:id="rId30"/>
    <hyperlink ref="F290" r:id="rId31"/>
    <hyperlink ref="F302" r:id="rId32"/>
    <hyperlink ref="F314" r:id="rId33"/>
    <hyperlink ref="F64" r:id="rId34"/>
    <hyperlink ref="F63" r:id="rId35"/>
    <hyperlink ref="F194" r:id="rId36"/>
    <hyperlink ref="F193" r:id="rId37"/>
    <hyperlink ref="F17" r:id="rId38"/>
    <hyperlink ref="F10" r:id="rId39"/>
    <hyperlink ref="F104" r:id="rId40"/>
    <hyperlink ref="F105" r:id="rId41"/>
    <hyperlink ref="F308" r:id="rId42"/>
    <hyperlink ref="F267" r:id="rId43"/>
    <hyperlink ref="F183" r:id="rId44"/>
    <hyperlink ref="F187" r:id="rId45"/>
    <hyperlink ref="F184" r:id="rId46"/>
    <hyperlink ref="F185" r:id="rId47"/>
    <hyperlink ref="F186" r:id="rId48"/>
    <hyperlink ref="F199" r:id="rId49"/>
    <hyperlink ref="F315" r:id="rId50"/>
    <hyperlink ref="G315" r:id="rId51"/>
    <hyperlink ref="I315" r:id="rId52"/>
    <hyperlink ref="F98" r:id="rId53"/>
    <hyperlink ref="F211" r:id="rId54"/>
    <hyperlink ref="F227" r:id="rId55"/>
    <hyperlink ref="F239" r:id="rId56"/>
    <hyperlink ref="F242" r:id="rId57"/>
    <hyperlink ref="F292" r:id="rId58"/>
    <hyperlink ref="F293" r:id="rId59"/>
  </hyperlinks>
  <pageMargins left="0.7" right="0.7" top="0.75" bottom="0.75" header="0.3" footer="0.3"/>
  <pageSetup paperSize="9" orientation="portrait" horizontalDpi="4294967293" verticalDpi="0" r:id="rId6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C30"/>
  <sheetViews>
    <sheetView zoomScale="190" zoomScaleNormal="190" workbookViewId="0"/>
  </sheetViews>
  <sheetFormatPr defaultRowHeight="13.5" x14ac:dyDescent="0.15"/>
  <cols>
    <col min="2" max="2" width="35.5" customWidth="1"/>
    <col min="3" max="3" width="49.25" customWidth="1"/>
  </cols>
  <sheetData>
    <row r="1" spans="1:3" x14ac:dyDescent="0.15">
      <c r="A1" s="15" t="s">
        <v>827</v>
      </c>
      <c r="B1" s="19" t="s">
        <v>828</v>
      </c>
      <c r="C1" s="18" t="s">
        <v>829</v>
      </c>
    </row>
    <row r="2" spans="1:3" x14ac:dyDescent="0.15">
      <c r="A2" s="20" t="s">
        <v>827</v>
      </c>
      <c r="B2" s="21" t="s">
        <v>830</v>
      </c>
      <c r="C2" s="18" t="s">
        <v>831</v>
      </c>
    </row>
    <row r="3" spans="1:3" x14ac:dyDescent="0.15">
      <c r="A3" s="15" t="s">
        <v>827</v>
      </c>
      <c r="B3" s="19" t="s">
        <v>832</v>
      </c>
      <c r="C3" s="18" t="s">
        <v>833</v>
      </c>
    </row>
    <row r="4" spans="1:3" x14ac:dyDescent="0.15">
      <c r="A4" s="15" t="s">
        <v>827</v>
      </c>
      <c r="B4" s="19" t="s">
        <v>834</v>
      </c>
      <c r="C4" s="18" t="s">
        <v>835</v>
      </c>
    </row>
    <row r="5" spans="1:3" x14ac:dyDescent="0.15">
      <c r="A5" s="15" t="s">
        <v>827</v>
      </c>
      <c r="B5" s="22" t="s">
        <v>836</v>
      </c>
      <c r="C5" s="23" t="s">
        <v>837</v>
      </c>
    </row>
    <row r="6" spans="1:3" x14ac:dyDescent="0.15">
      <c r="A6" s="15"/>
      <c r="C6" s="18"/>
    </row>
    <row r="7" spans="1:3" x14ac:dyDescent="0.15">
      <c r="A7" s="20" t="s">
        <v>827</v>
      </c>
      <c r="B7" s="24" t="s">
        <v>838</v>
      </c>
      <c r="C7" s="23" t="s">
        <v>839</v>
      </c>
    </row>
    <row r="8" spans="1:3" x14ac:dyDescent="0.15">
      <c r="A8" s="15"/>
    </row>
    <row r="9" spans="1:3" x14ac:dyDescent="0.15">
      <c r="A9" s="15" t="s">
        <v>827</v>
      </c>
      <c r="B9" s="19" t="s">
        <v>840</v>
      </c>
      <c r="C9" s="18" t="s">
        <v>841</v>
      </c>
    </row>
    <row r="10" spans="1:3" x14ac:dyDescent="0.15">
      <c r="A10" s="15"/>
    </row>
    <row r="11" spans="1:3" x14ac:dyDescent="0.15">
      <c r="A11" s="15" t="s">
        <v>827</v>
      </c>
      <c r="B11" s="25" t="s">
        <v>842</v>
      </c>
      <c r="C11" s="23" t="s">
        <v>843</v>
      </c>
    </row>
    <row r="12" spans="1:3" x14ac:dyDescent="0.15">
      <c r="A12" s="20" t="s">
        <v>844</v>
      </c>
      <c r="B12" s="24" t="s">
        <v>845</v>
      </c>
      <c r="C12" s="23" t="s">
        <v>846</v>
      </c>
    </row>
    <row r="13" spans="1:3" x14ac:dyDescent="0.15">
      <c r="A13" s="15"/>
      <c r="B13" s="26"/>
      <c r="C13" s="23" t="s">
        <v>847</v>
      </c>
    </row>
    <row r="14" spans="1:3" x14ac:dyDescent="0.15">
      <c r="A14" s="20" t="s">
        <v>827</v>
      </c>
      <c r="B14" s="27" t="s">
        <v>848</v>
      </c>
      <c r="C14" s="18" t="s">
        <v>849</v>
      </c>
    </row>
    <row r="15" spans="1:3" x14ac:dyDescent="0.15">
      <c r="A15" s="20"/>
      <c r="B15" s="27"/>
      <c r="C15" s="18"/>
    </row>
    <row r="16" spans="1:3" x14ac:dyDescent="0.15">
      <c r="A16" s="15" t="s">
        <v>827</v>
      </c>
      <c r="B16" s="28" t="s">
        <v>850</v>
      </c>
      <c r="C16" s="18" t="s">
        <v>851</v>
      </c>
    </row>
    <row r="17" spans="1:3" x14ac:dyDescent="0.15">
      <c r="A17" s="15"/>
      <c r="B17" s="29" t="s">
        <v>852</v>
      </c>
      <c r="C17" s="18" t="s">
        <v>853</v>
      </c>
    </row>
    <row r="18" spans="1:3" x14ac:dyDescent="0.15">
      <c r="A18" s="15"/>
      <c r="B18" s="29"/>
      <c r="C18" s="18"/>
    </row>
    <row r="19" spans="1:3" x14ac:dyDescent="0.15">
      <c r="A19" s="15"/>
      <c r="B19" s="29" t="s">
        <v>854</v>
      </c>
      <c r="C19" s="18" t="s">
        <v>855</v>
      </c>
    </row>
    <row r="20" spans="1:3" x14ac:dyDescent="0.15">
      <c r="A20" s="15"/>
      <c r="B20" s="29"/>
      <c r="C20" s="18"/>
    </row>
    <row r="21" spans="1:3" x14ac:dyDescent="0.15">
      <c r="A21" s="20" t="s">
        <v>827</v>
      </c>
      <c r="B21" s="19" t="s">
        <v>856</v>
      </c>
      <c r="C21" s="23" t="s">
        <v>857</v>
      </c>
    </row>
    <row r="22" spans="1:3" x14ac:dyDescent="0.15">
      <c r="A22" s="15"/>
    </row>
    <row r="23" spans="1:3" x14ac:dyDescent="0.15">
      <c r="A23" s="15" t="s">
        <v>827</v>
      </c>
      <c r="B23" s="19" t="s">
        <v>858</v>
      </c>
      <c r="C23" s="18" t="s">
        <v>859</v>
      </c>
    </row>
    <row r="24" spans="1:3" x14ac:dyDescent="0.15">
      <c r="A24" s="15"/>
      <c r="B24" s="19" t="s">
        <v>860</v>
      </c>
      <c r="C24" s="18"/>
    </row>
    <row r="25" spans="1:3" x14ac:dyDescent="0.15">
      <c r="A25" s="20" t="s">
        <v>827</v>
      </c>
      <c r="B25" s="19" t="s">
        <v>861</v>
      </c>
      <c r="C25" s="23" t="s">
        <v>862</v>
      </c>
    </row>
    <row r="26" spans="1:3" x14ac:dyDescent="0.15">
      <c r="A26" s="15"/>
    </row>
    <row r="27" spans="1:3" x14ac:dyDescent="0.15">
      <c r="A27" s="15" t="s">
        <v>827</v>
      </c>
      <c r="B27" s="19" t="s">
        <v>863</v>
      </c>
      <c r="C27" s="18" t="s">
        <v>864</v>
      </c>
    </row>
    <row r="28" spans="1:3" x14ac:dyDescent="0.15">
      <c r="A28" s="15"/>
      <c r="B28" s="19" t="s">
        <v>6514</v>
      </c>
      <c r="C28" s="18" t="s">
        <v>865</v>
      </c>
    </row>
    <row r="29" spans="1:3" x14ac:dyDescent="0.15">
      <c r="A29" s="15"/>
    </row>
    <row r="30" spans="1:3" x14ac:dyDescent="0.15">
      <c r="A30" s="15" t="s">
        <v>1351</v>
      </c>
      <c r="B30" t="s">
        <v>1350</v>
      </c>
      <c r="C30" s="18" t="s">
        <v>1349</v>
      </c>
    </row>
  </sheetData>
  <phoneticPr fontId="2"/>
  <hyperlinks>
    <hyperlink ref="C2" r:id="rId1"/>
    <hyperlink ref="C3" r:id="rId2"/>
    <hyperlink ref="C5" r:id="rId3"/>
    <hyperlink ref="C7" r:id="rId4"/>
    <hyperlink ref="C11" r:id="rId5"/>
    <hyperlink ref="C13" r:id="rId6"/>
    <hyperlink ref="C12" r:id="rId7"/>
    <hyperlink ref="C9" r:id="rId8"/>
    <hyperlink ref="C23" r:id="rId9"/>
    <hyperlink ref="C25" r:id="rId10"/>
    <hyperlink ref="C27" r:id="rId11"/>
    <hyperlink ref="C21" r:id="rId12"/>
    <hyperlink ref="C4" r:id="rId13"/>
    <hyperlink ref="C1" r:id="rId14"/>
    <hyperlink ref="C16" r:id="rId15"/>
    <hyperlink ref="C14" r:id="rId16"/>
    <hyperlink ref="C17" r:id="rId17"/>
    <hyperlink ref="C19" r:id="rId18"/>
    <hyperlink ref="C28" r:id="rId19"/>
    <hyperlink ref="C30" r:id="rId20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2"/>
  <sheetViews>
    <sheetView zoomScale="205" zoomScaleNormal="205" workbookViewId="0">
      <selection activeCell="A7" sqref="A7"/>
    </sheetView>
  </sheetViews>
  <sheetFormatPr defaultRowHeight="13.5" x14ac:dyDescent="0.15"/>
  <sheetData>
    <row r="1" spans="1:3" x14ac:dyDescent="0.15">
      <c r="A1" s="16" t="s">
        <v>866</v>
      </c>
    </row>
    <row r="2" spans="1:3" x14ac:dyDescent="0.15">
      <c r="A2" s="16" t="s">
        <v>1</v>
      </c>
    </row>
    <row r="3" spans="1:3" x14ac:dyDescent="0.15">
      <c r="A3" s="16" t="s">
        <v>997</v>
      </c>
    </row>
    <row r="4" spans="1:3" x14ac:dyDescent="0.15">
      <c r="A4" s="16" t="s">
        <v>2</v>
      </c>
      <c r="C4" s="16" t="s">
        <v>995</v>
      </c>
    </row>
    <row r="7" spans="1:3" x14ac:dyDescent="0.15">
      <c r="A7" t="s">
        <v>1336</v>
      </c>
    </row>
    <row r="8" spans="1:3" x14ac:dyDescent="0.15">
      <c r="A8" t="s">
        <v>1221</v>
      </c>
    </row>
    <row r="9" spans="1:3" x14ac:dyDescent="0.15">
      <c r="A9" t="s">
        <v>1222</v>
      </c>
    </row>
    <row r="10" spans="1:3" x14ac:dyDescent="0.15">
      <c r="A10" t="s">
        <v>1223</v>
      </c>
    </row>
    <row r="11" spans="1:3" x14ac:dyDescent="0.15">
      <c r="A11" t="s">
        <v>1224</v>
      </c>
    </row>
    <row r="12" spans="1:3" x14ac:dyDescent="0.15">
      <c r="A12" t="s">
        <v>1225</v>
      </c>
    </row>
    <row r="13" spans="1:3" x14ac:dyDescent="0.15">
      <c r="A13" t="s">
        <v>1226</v>
      </c>
    </row>
    <row r="14" spans="1:3" x14ac:dyDescent="0.15">
      <c r="A14" t="s">
        <v>1227</v>
      </c>
    </row>
    <row r="15" spans="1:3" x14ac:dyDescent="0.15">
      <c r="A15" t="s">
        <v>1228</v>
      </c>
    </row>
    <row r="16" spans="1:3" x14ac:dyDescent="0.15">
      <c r="A16" t="s">
        <v>1229</v>
      </c>
    </row>
    <row r="17" spans="1:1" x14ac:dyDescent="0.15">
      <c r="A17" t="s">
        <v>1230</v>
      </c>
    </row>
    <row r="18" spans="1:1" x14ac:dyDescent="0.15">
      <c r="A18" t="s">
        <v>1231</v>
      </c>
    </row>
    <row r="19" spans="1:1" x14ac:dyDescent="0.15">
      <c r="A19" t="s">
        <v>1232</v>
      </c>
    </row>
    <row r="20" spans="1:1" x14ac:dyDescent="0.15">
      <c r="A20" t="s">
        <v>1233</v>
      </c>
    </row>
    <row r="21" spans="1:1" x14ac:dyDescent="0.15">
      <c r="A21" t="s">
        <v>1234</v>
      </c>
    </row>
    <row r="22" spans="1:1" x14ac:dyDescent="0.15">
      <c r="A22" t="s">
        <v>1235</v>
      </c>
    </row>
    <row r="23" spans="1:1" x14ac:dyDescent="0.15">
      <c r="A23" t="s">
        <v>1236</v>
      </c>
    </row>
    <row r="24" spans="1:1" x14ac:dyDescent="0.15">
      <c r="A24" t="s">
        <v>1237</v>
      </c>
    </row>
    <row r="25" spans="1:1" x14ac:dyDescent="0.15">
      <c r="A25" t="s">
        <v>1238</v>
      </c>
    </row>
    <row r="26" spans="1:1" x14ac:dyDescent="0.15">
      <c r="A26" t="s">
        <v>1239</v>
      </c>
    </row>
    <row r="27" spans="1:1" x14ac:dyDescent="0.15">
      <c r="A27" t="s">
        <v>1240</v>
      </c>
    </row>
    <row r="28" spans="1:1" x14ac:dyDescent="0.15">
      <c r="A28" t="s">
        <v>1241</v>
      </c>
    </row>
    <row r="29" spans="1:1" x14ac:dyDescent="0.15">
      <c r="A29" t="s">
        <v>1242</v>
      </c>
    </row>
    <row r="30" spans="1:1" x14ac:dyDescent="0.15">
      <c r="A30" t="s">
        <v>1243</v>
      </c>
    </row>
    <row r="31" spans="1:1" x14ac:dyDescent="0.15">
      <c r="A31" t="s">
        <v>1244</v>
      </c>
    </row>
    <row r="32" spans="1:1" x14ac:dyDescent="0.15">
      <c r="A32" t="s">
        <v>1245</v>
      </c>
    </row>
    <row r="33" spans="1:1" x14ac:dyDescent="0.15">
      <c r="A33" t="s">
        <v>1246</v>
      </c>
    </row>
    <row r="34" spans="1:1" x14ac:dyDescent="0.15">
      <c r="A34" t="s">
        <v>1247</v>
      </c>
    </row>
    <row r="35" spans="1:1" x14ac:dyDescent="0.15">
      <c r="A35" t="s">
        <v>1248</v>
      </c>
    </row>
    <row r="36" spans="1:1" x14ac:dyDescent="0.15">
      <c r="A36" t="s">
        <v>1249</v>
      </c>
    </row>
    <row r="37" spans="1:1" x14ac:dyDescent="0.15">
      <c r="A37" t="s">
        <v>1250</v>
      </c>
    </row>
    <row r="38" spans="1:1" x14ac:dyDescent="0.15">
      <c r="A38" t="s">
        <v>1251</v>
      </c>
    </row>
    <row r="39" spans="1:1" x14ac:dyDescent="0.15">
      <c r="A39" t="s">
        <v>1252</v>
      </c>
    </row>
    <row r="40" spans="1:1" x14ac:dyDescent="0.15">
      <c r="A40" t="s">
        <v>1253</v>
      </c>
    </row>
    <row r="41" spans="1:1" x14ac:dyDescent="0.15">
      <c r="A41" t="s">
        <v>1254</v>
      </c>
    </row>
    <row r="42" spans="1:1" x14ac:dyDescent="0.15">
      <c r="A42" t="s">
        <v>1255</v>
      </c>
    </row>
    <row r="43" spans="1:1" x14ac:dyDescent="0.15">
      <c r="A43" t="s">
        <v>1256</v>
      </c>
    </row>
    <row r="44" spans="1:1" x14ac:dyDescent="0.15">
      <c r="A44" t="s">
        <v>1257</v>
      </c>
    </row>
    <row r="45" spans="1:1" x14ac:dyDescent="0.15">
      <c r="A45" t="s">
        <v>1258</v>
      </c>
    </row>
    <row r="46" spans="1:1" x14ac:dyDescent="0.15">
      <c r="A46" t="s">
        <v>1259</v>
      </c>
    </row>
    <row r="47" spans="1:1" x14ac:dyDescent="0.15">
      <c r="A47" t="s">
        <v>1260</v>
      </c>
    </row>
    <row r="48" spans="1:1" x14ac:dyDescent="0.15">
      <c r="A48" t="s">
        <v>1261</v>
      </c>
    </row>
    <row r="49" spans="1:1" x14ac:dyDescent="0.15">
      <c r="A49" t="s">
        <v>1262</v>
      </c>
    </row>
    <row r="50" spans="1:1" x14ac:dyDescent="0.15">
      <c r="A50" t="s">
        <v>1263</v>
      </c>
    </row>
    <row r="51" spans="1:1" x14ac:dyDescent="0.15">
      <c r="A51" t="s">
        <v>1264</v>
      </c>
    </row>
    <row r="52" spans="1:1" x14ac:dyDescent="0.15">
      <c r="A52" t="s">
        <v>1265</v>
      </c>
    </row>
    <row r="53" spans="1:1" x14ac:dyDescent="0.15">
      <c r="A53" t="s">
        <v>1266</v>
      </c>
    </row>
    <row r="54" spans="1:1" x14ac:dyDescent="0.15">
      <c r="A54" t="s">
        <v>1267</v>
      </c>
    </row>
    <row r="55" spans="1:1" x14ac:dyDescent="0.15">
      <c r="A55" t="s">
        <v>1268</v>
      </c>
    </row>
    <row r="56" spans="1:1" x14ac:dyDescent="0.15">
      <c r="A56" t="s">
        <v>1269</v>
      </c>
    </row>
    <row r="57" spans="1:1" x14ac:dyDescent="0.15">
      <c r="A57" t="s">
        <v>1270</v>
      </c>
    </row>
    <row r="58" spans="1:1" x14ac:dyDescent="0.15">
      <c r="A58" t="s">
        <v>1271</v>
      </c>
    </row>
    <row r="59" spans="1:1" x14ac:dyDescent="0.15">
      <c r="A59" t="s">
        <v>1272</v>
      </c>
    </row>
    <row r="60" spans="1:1" x14ac:dyDescent="0.15">
      <c r="A60" t="s">
        <v>1273</v>
      </c>
    </row>
    <row r="61" spans="1:1" x14ac:dyDescent="0.15">
      <c r="A61" t="s">
        <v>1274</v>
      </c>
    </row>
    <row r="62" spans="1:1" x14ac:dyDescent="0.15">
      <c r="A62" t="s">
        <v>1275</v>
      </c>
    </row>
    <row r="63" spans="1:1" x14ac:dyDescent="0.15">
      <c r="A63" t="s">
        <v>1276</v>
      </c>
    </row>
    <row r="64" spans="1:1" x14ac:dyDescent="0.15">
      <c r="A64" t="s">
        <v>1277</v>
      </c>
    </row>
    <row r="65" spans="1:1" x14ac:dyDescent="0.15">
      <c r="A65" t="s">
        <v>1278</v>
      </c>
    </row>
    <row r="66" spans="1:1" x14ac:dyDescent="0.15">
      <c r="A66" t="s">
        <v>1279</v>
      </c>
    </row>
    <row r="67" spans="1:1" x14ac:dyDescent="0.15">
      <c r="A67" t="s">
        <v>1280</v>
      </c>
    </row>
    <row r="68" spans="1:1" x14ac:dyDescent="0.15">
      <c r="A68" t="s">
        <v>1281</v>
      </c>
    </row>
    <row r="69" spans="1:1" x14ac:dyDescent="0.15">
      <c r="A69" t="s">
        <v>1282</v>
      </c>
    </row>
    <row r="70" spans="1:1" x14ac:dyDescent="0.15">
      <c r="A70" t="s">
        <v>1283</v>
      </c>
    </row>
    <row r="71" spans="1:1" x14ac:dyDescent="0.15">
      <c r="A71" t="s">
        <v>1284</v>
      </c>
    </row>
    <row r="72" spans="1:1" x14ac:dyDescent="0.15">
      <c r="A72" t="s">
        <v>1285</v>
      </c>
    </row>
    <row r="73" spans="1:1" x14ac:dyDescent="0.15">
      <c r="A73" t="s">
        <v>1286</v>
      </c>
    </row>
    <row r="74" spans="1:1" x14ac:dyDescent="0.15">
      <c r="A74" t="s">
        <v>1287</v>
      </c>
    </row>
    <row r="75" spans="1:1" x14ac:dyDescent="0.15">
      <c r="A75" t="s">
        <v>1288</v>
      </c>
    </row>
    <row r="76" spans="1:1" x14ac:dyDescent="0.15">
      <c r="A76" t="s">
        <v>1289</v>
      </c>
    </row>
    <row r="77" spans="1:1" x14ac:dyDescent="0.15">
      <c r="A77" t="s">
        <v>1290</v>
      </c>
    </row>
    <row r="78" spans="1:1" x14ac:dyDescent="0.15">
      <c r="A78" t="s">
        <v>1291</v>
      </c>
    </row>
    <row r="79" spans="1:1" x14ac:dyDescent="0.15">
      <c r="A79" t="s">
        <v>1292</v>
      </c>
    </row>
    <row r="80" spans="1:1" x14ac:dyDescent="0.15">
      <c r="A80" t="s">
        <v>1293</v>
      </c>
    </row>
    <row r="81" spans="1:1" x14ac:dyDescent="0.15">
      <c r="A81" t="s">
        <v>1294</v>
      </c>
    </row>
    <row r="82" spans="1:1" x14ac:dyDescent="0.15">
      <c r="A82" t="s">
        <v>1295</v>
      </c>
    </row>
    <row r="83" spans="1:1" x14ac:dyDescent="0.15">
      <c r="A83" t="s">
        <v>1296</v>
      </c>
    </row>
    <row r="84" spans="1:1" x14ac:dyDescent="0.15">
      <c r="A84" t="s">
        <v>1297</v>
      </c>
    </row>
    <row r="85" spans="1:1" x14ac:dyDescent="0.15">
      <c r="A85" t="s">
        <v>1298</v>
      </c>
    </row>
    <row r="86" spans="1:1" x14ac:dyDescent="0.15">
      <c r="A86" t="s">
        <v>1299</v>
      </c>
    </row>
    <row r="87" spans="1:1" x14ac:dyDescent="0.15">
      <c r="A87" t="s">
        <v>1300</v>
      </c>
    </row>
    <row r="88" spans="1:1" x14ac:dyDescent="0.15">
      <c r="A88" t="s">
        <v>1301</v>
      </c>
    </row>
    <row r="89" spans="1:1" x14ac:dyDescent="0.15">
      <c r="A89" t="s">
        <v>1302</v>
      </c>
    </row>
    <row r="90" spans="1:1" x14ac:dyDescent="0.15">
      <c r="A90" t="s">
        <v>1303</v>
      </c>
    </row>
    <row r="91" spans="1:1" x14ac:dyDescent="0.15">
      <c r="A91" t="s">
        <v>1304</v>
      </c>
    </row>
    <row r="92" spans="1:1" x14ac:dyDescent="0.15">
      <c r="A92" t="s">
        <v>1305</v>
      </c>
    </row>
    <row r="93" spans="1:1" x14ac:dyDescent="0.15">
      <c r="A93" t="s">
        <v>1306</v>
      </c>
    </row>
    <row r="94" spans="1:1" x14ac:dyDescent="0.15">
      <c r="A94" t="s">
        <v>1307</v>
      </c>
    </row>
    <row r="95" spans="1:1" x14ac:dyDescent="0.15">
      <c r="A95" t="s">
        <v>1308</v>
      </c>
    </row>
    <row r="96" spans="1:1" x14ac:dyDescent="0.15">
      <c r="A96" t="s">
        <v>1309</v>
      </c>
    </row>
    <row r="97" spans="1:1" x14ac:dyDescent="0.15">
      <c r="A97" t="s">
        <v>1310</v>
      </c>
    </row>
    <row r="98" spans="1:1" x14ac:dyDescent="0.15">
      <c r="A98" t="s">
        <v>1311</v>
      </c>
    </row>
    <row r="99" spans="1:1" x14ac:dyDescent="0.15">
      <c r="A99" t="s">
        <v>1312</v>
      </c>
    </row>
    <row r="100" spans="1:1" x14ac:dyDescent="0.15">
      <c r="A100" t="s">
        <v>1313</v>
      </c>
    </row>
    <row r="101" spans="1:1" x14ac:dyDescent="0.15">
      <c r="A101" t="s">
        <v>1314</v>
      </c>
    </row>
    <row r="102" spans="1:1" x14ac:dyDescent="0.15">
      <c r="A102" t="s">
        <v>1315</v>
      </c>
    </row>
    <row r="103" spans="1:1" x14ac:dyDescent="0.15">
      <c r="A103" t="s">
        <v>1316</v>
      </c>
    </row>
    <row r="104" spans="1:1" x14ac:dyDescent="0.15">
      <c r="A104" t="s">
        <v>1317</v>
      </c>
    </row>
    <row r="105" spans="1:1" x14ac:dyDescent="0.15">
      <c r="A105" t="s">
        <v>1318</v>
      </c>
    </row>
    <row r="106" spans="1:1" x14ac:dyDescent="0.15">
      <c r="A106" t="s">
        <v>1319</v>
      </c>
    </row>
    <row r="107" spans="1:1" x14ac:dyDescent="0.15">
      <c r="A107" t="s">
        <v>1320</v>
      </c>
    </row>
    <row r="108" spans="1:1" x14ac:dyDescent="0.15">
      <c r="A108" t="s">
        <v>1321</v>
      </c>
    </row>
    <row r="109" spans="1:1" x14ac:dyDescent="0.15">
      <c r="A109" t="s">
        <v>1322</v>
      </c>
    </row>
    <row r="110" spans="1:1" x14ac:dyDescent="0.15">
      <c r="A110" t="s">
        <v>1323</v>
      </c>
    </row>
    <row r="111" spans="1:1" x14ac:dyDescent="0.15">
      <c r="A111" t="s">
        <v>1324</v>
      </c>
    </row>
    <row r="112" spans="1:1" x14ac:dyDescent="0.15">
      <c r="A112" t="s">
        <v>1325</v>
      </c>
    </row>
    <row r="113" spans="1:1" x14ac:dyDescent="0.15">
      <c r="A113" t="s">
        <v>1326</v>
      </c>
    </row>
    <row r="114" spans="1:1" x14ac:dyDescent="0.15">
      <c r="A114" t="s">
        <v>1327</v>
      </c>
    </row>
    <row r="115" spans="1:1" x14ac:dyDescent="0.15">
      <c r="A115" t="s">
        <v>1328</v>
      </c>
    </row>
    <row r="116" spans="1:1" x14ac:dyDescent="0.15">
      <c r="A116" t="s">
        <v>1329</v>
      </c>
    </row>
    <row r="117" spans="1:1" x14ac:dyDescent="0.15">
      <c r="A117" t="s">
        <v>1330</v>
      </c>
    </row>
    <row r="118" spans="1:1" x14ac:dyDescent="0.15">
      <c r="A118" t="s">
        <v>1331</v>
      </c>
    </row>
    <row r="119" spans="1:1" x14ac:dyDescent="0.15">
      <c r="A119" t="s">
        <v>1332</v>
      </c>
    </row>
    <row r="120" spans="1:1" x14ac:dyDescent="0.15">
      <c r="A120" t="s">
        <v>1333</v>
      </c>
    </row>
    <row r="121" spans="1:1" x14ac:dyDescent="0.15">
      <c r="A121" t="s">
        <v>1334</v>
      </c>
    </row>
    <row r="122" spans="1:1" x14ac:dyDescent="0.15">
      <c r="A122" t="s">
        <v>1335</v>
      </c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7"/>
  <sheetViews>
    <sheetView zoomScale="190" zoomScaleNormal="190" workbookViewId="0">
      <selection activeCell="A22" sqref="A22"/>
    </sheetView>
  </sheetViews>
  <sheetFormatPr defaultRowHeight="13.5" x14ac:dyDescent="0.15"/>
  <cols>
    <col min="1" max="1" width="66.5" customWidth="1"/>
    <col min="2" max="2" width="16.375" customWidth="1"/>
  </cols>
  <sheetData>
    <row r="1" spans="1:2" x14ac:dyDescent="0.15">
      <c r="A1" t="s">
        <v>1010</v>
      </c>
      <c r="B1" s="35" t="s">
        <v>0</v>
      </c>
    </row>
    <row r="9" spans="1:2" x14ac:dyDescent="0.15">
      <c r="A9" t="s">
        <v>1057</v>
      </c>
    </row>
    <row r="15" spans="1:2" x14ac:dyDescent="0.15">
      <c r="A15" t="s">
        <v>1058</v>
      </c>
    </row>
    <row r="16" spans="1:2" x14ac:dyDescent="0.15">
      <c r="A16" t="s">
        <v>1059</v>
      </c>
    </row>
    <row r="18" spans="1:1" x14ac:dyDescent="0.15">
      <c r="A18" t="s">
        <v>1072</v>
      </c>
    </row>
    <row r="19" spans="1:1" x14ac:dyDescent="0.15">
      <c r="A19" t="s">
        <v>1073</v>
      </c>
    </row>
    <row r="20" spans="1:1" x14ac:dyDescent="0.15">
      <c r="A20" t="s">
        <v>1011</v>
      </c>
    </row>
    <row r="23" spans="1:1" x14ac:dyDescent="0.15">
      <c r="A23" t="s">
        <v>1012</v>
      </c>
    </row>
    <row r="24" spans="1:1" x14ac:dyDescent="0.15">
      <c r="A24" t="s">
        <v>1060</v>
      </c>
    </row>
    <row r="25" spans="1:1" x14ac:dyDescent="0.15">
      <c r="A25" t="s">
        <v>1061</v>
      </c>
    </row>
    <row r="26" spans="1:1" x14ac:dyDescent="0.15">
      <c r="A26" t="s">
        <v>1062</v>
      </c>
    </row>
    <row r="27" spans="1:1" x14ac:dyDescent="0.15">
      <c r="A27" t="s">
        <v>1063</v>
      </c>
    </row>
    <row r="28" spans="1:1" x14ac:dyDescent="0.15">
      <c r="A28" t="s">
        <v>1064</v>
      </c>
    </row>
    <row r="31" spans="1:1" x14ac:dyDescent="0.15">
      <c r="A31" t="s">
        <v>1013</v>
      </c>
    </row>
    <row r="32" spans="1:1" x14ac:dyDescent="0.15">
      <c r="A32" t="s">
        <v>1014</v>
      </c>
    </row>
    <row r="33" spans="1:1" x14ac:dyDescent="0.15">
      <c r="A33" t="s">
        <v>1015</v>
      </c>
    </row>
    <row r="39" spans="1:1" x14ac:dyDescent="0.15">
      <c r="A39" t="s">
        <v>1016</v>
      </c>
    </row>
    <row r="40" spans="1:1" x14ac:dyDescent="0.15">
      <c r="A40" t="s">
        <v>1017</v>
      </c>
    </row>
    <row r="41" spans="1:1" x14ac:dyDescent="0.15">
      <c r="A41" t="s">
        <v>1065</v>
      </c>
    </row>
    <row r="43" spans="1:1" x14ac:dyDescent="0.15">
      <c r="A43" t="s">
        <v>1066</v>
      </c>
    </row>
    <row r="45" spans="1:1" x14ac:dyDescent="0.15">
      <c r="A45" t="s">
        <v>1018</v>
      </c>
    </row>
    <row r="47" spans="1:1" x14ac:dyDescent="0.15">
      <c r="A47" t="s">
        <v>1019</v>
      </c>
    </row>
    <row r="48" spans="1:1" x14ac:dyDescent="0.15">
      <c r="A48" t="s">
        <v>1020</v>
      </c>
    </row>
    <row r="50" spans="1:1" x14ac:dyDescent="0.15">
      <c r="A50" t="s">
        <v>1021</v>
      </c>
    </row>
    <row r="51" spans="1:1" x14ac:dyDescent="0.15">
      <c r="A51" t="s">
        <v>1022</v>
      </c>
    </row>
    <row r="52" spans="1:1" x14ac:dyDescent="0.15">
      <c r="A52" t="s">
        <v>1023</v>
      </c>
    </row>
    <row r="53" spans="1:1" x14ac:dyDescent="0.15">
      <c r="A53" t="s">
        <v>1056</v>
      </c>
    </row>
    <row r="55" spans="1:1" x14ac:dyDescent="0.15">
      <c r="A55" t="s">
        <v>1024</v>
      </c>
    </row>
    <row r="56" spans="1:1" x14ac:dyDescent="0.15">
      <c r="A56" t="s">
        <v>1067</v>
      </c>
    </row>
    <row r="58" spans="1:1" x14ac:dyDescent="0.15">
      <c r="A58" t="s">
        <v>1068</v>
      </c>
    </row>
    <row r="59" spans="1:1" x14ac:dyDescent="0.15">
      <c r="A59" t="s">
        <v>1025</v>
      </c>
    </row>
    <row r="60" spans="1:1" x14ac:dyDescent="0.15">
      <c r="A60" t="s">
        <v>1074</v>
      </c>
    </row>
    <row r="61" spans="1:1" x14ac:dyDescent="0.15">
      <c r="A61" t="s">
        <v>1069</v>
      </c>
    </row>
    <row r="63" spans="1:1" x14ac:dyDescent="0.15">
      <c r="A63" t="s">
        <v>1026</v>
      </c>
    </row>
    <row r="65" spans="1:1" x14ac:dyDescent="0.15">
      <c r="A65" t="s">
        <v>1027</v>
      </c>
    </row>
    <row r="66" spans="1:1" x14ac:dyDescent="0.15">
      <c r="A66" t="s">
        <v>1028</v>
      </c>
    </row>
    <row r="67" spans="1:1" x14ac:dyDescent="0.15">
      <c r="A67" t="s">
        <v>1029</v>
      </c>
    </row>
    <row r="68" spans="1:1" x14ac:dyDescent="0.15">
      <c r="A68" t="s">
        <v>1030</v>
      </c>
    </row>
    <row r="69" spans="1:1" x14ac:dyDescent="0.15">
      <c r="A69" t="s">
        <v>1031</v>
      </c>
    </row>
    <row r="70" spans="1:1" x14ac:dyDescent="0.15">
      <c r="A70" t="s">
        <v>1070</v>
      </c>
    </row>
    <row r="71" spans="1:1" x14ac:dyDescent="0.15">
      <c r="A71" t="s">
        <v>1071</v>
      </c>
    </row>
    <row r="72" spans="1:1" x14ac:dyDescent="0.15">
      <c r="A72" t="s">
        <v>1032</v>
      </c>
    </row>
    <row r="73" spans="1:1" x14ac:dyDescent="0.15">
      <c r="A73" t="s">
        <v>1033</v>
      </c>
    </row>
    <row r="74" spans="1:1" x14ac:dyDescent="0.15">
      <c r="A74" t="s">
        <v>1034</v>
      </c>
    </row>
    <row r="75" spans="1:1" x14ac:dyDescent="0.15">
      <c r="A75" t="s">
        <v>1035</v>
      </c>
    </row>
    <row r="76" spans="1:1" x14ac:dyDescent="0.15">
      <c r="A76" t="s">
        <v>1036</v>
      </c>
    </row>
    <row r="77" spans="1:1" x14ac:dyDescent="0.15">
      <c r="A77" t="s">
        <v>1075</v>
      </c>
    </row>
    <row r="78" spans="1:1" x14ac:dyDescent="0.15">
      <c r="A78" t="s">
        <v>1076</v>
      </c>
    </row>
    <row r="79" spans="1:1" x14ac:dyDescent="0.15">
      <c r="A79" t="s">
        <v>1037</v>
      </c>
    </row>
    <row r="80" spans="1:1" x14ac:dyDescent="0.15">
      <c r="A80" t="s">
        <v>1038</v>
      </c>
    </row>
    <row r="81" spans="1:1" x14ac:dyDescent="0.15">
      <c r="A81" t="s">
        <v>1039</v>
      </c>
    </row>
    <row r="82" spans="1:1" x14ac:dyDescent="0.15">
      <c r="A82" t="s">
        <v>1040</v>
      </c>
    </row>
    <row r="83" spans="1:1" x14ac:dyDescent="0.15">
      <c r="A83" t="s">
        <v>1041</v>
      </c>
    </row>
    <row r="84" spans="1:1" x14ac:dyDescent="0.15">
      <c r="A84" t="s">
        <v>1042</v>
      </c>
    </row>
    <row r="86" spans="1:1" x14ac:dyDescent="0.15">
      <c r="A86" t="s">
        <v>1043</v>
      </c>
    </row>
    <row r="87" spans="1:1" x14ac:dyDescent="0.15">
      <c r="A87" t="s">
        <v>1044</v>
      </c>
    </row>
    <row r="89" spans="1:1" x14ac:dyDescent="0.15">
      <c r="A89" t="s">
        <v>1045</v>
      </c>
    </row>
    <row r="90" spans="1:1" x14ac:dyDescent="0.15">
      <c r="A90" t="s">
        <v>1046</v>
      </c>
    </row>
    <row r="91" spans="1:1" x14ac:dyDescent="0.15">
      <c r="A91" t="s">
        <v>1047</v>
      </c>
    </row>
    <row r="92" spans="1:1" x14ac:dyDescent="0.15">
      <c r="A92" t="s">
        <v>1048</v>
      </c>
    </row>
    <row r="93" spans="1:1" x14ac:dyDescent="0.15">
      <c r="A93" t="s">
        <v>1049</v>
      </c>
    </row>
    <row r="94" spans="1:1" x14ac:dyDescent="0.15">
      <c r="A94" t="s">
        <v>1050</v>
      </c>
    </row>
    <row r="95" spans="1:1" x14ac:dyDescent="0.15">
      <c r="A95" t="s">
        <v>1051</v>
      </c>
    </row>
    <row r="96" spans="1:1" x14ac:dyDescent="0.15">
      <c r="A96" t="s">
        <v>1052</v>
      </c>
    </row>
    <row r="97" spans="1:1" x14ac:dyDescent="0.15">
      <c r="A97" t="s">
        <v>1053</v>
      </c>
    </row>
    <row r="98" spans="1:1" x14ac:dyDescent="0.15">
      <c r="A98" t="s">
        <v>1054</v>
      </c>
    </row>
    <row r="99" spans="1:1" x14ac:dyDescent="0.15">
      <c r="A99" t="s">
        <v>1055</v>
      </c>
    </row>
    <row r="107" spans="1:1" x14ac:dyDescent="0.15">
      <c r="A107" t="s">
        <v>1077</v>
      </c>
    </row>
  </sheetData>
  <sortState ref="A1:A62">
    <sortCondition ref="A1"/>
  </sortState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30" zoomScaleNormal="130" workbookViewId="0">
      <selection activeCell="A2" sqref="A2"/>
    </sheetView>
  </sheetViews>
  <sheetFormatPr defaultRowHeight="13.5" x14ac:dyDescent="0.15"/>
  <sheetData/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284"/>
  <sheetViews>
    <sheetView zoomScale="190" zoomScaleNormal="190" workbookViewId="0"/>
  </sheetViews>
  <sheetFormatPr defaultRowHeight="13.5" x14ac:dyDescent="0.15"/>
  <cols>
    <col min="1" max="1" width="11.625" customWidth="1"/>
    <col min="2" max="2" width="31" customWidth="1"/>
    <col min="3" max="3" width="5.625" customWidth="1"/>
    <col min="4" max="4" width="58.625" customWidth="1"/>
  </cols>
  <sheetData>
    <row r="2" spans="1:3" x14ac:dyDescent="0.15">
      <c r="A2" t="s">
        <v>5691</v>
      </c>
    </row>
    <row r="5" spans="1:3" x14ac:dyDescent="0.15">
      <c r="A5" s="102" t="s">
        <v>5692</v>
      </c>
    </row>
    <row r="6" spans="1:3" x14ac:dyDescent="0.15">
      <c r="A6" s="18" t="s">
        <v>5765</v>
      </c>
    </row>
    <row r="7" spans="1:3" x14ac:dyDescent="0.15">
      <c r="A7" s="102" t="s">
        <v>5693</v>
      </c>
    </row>
    <row r="8" spans="1:3" x14ac:dyDescent="0.15">
      <c r="A8" s="18" t="s">
        <v>5764</v>
      </c>
    </row>
    <row r="10" spans="1:3" x14ac:dyDescent="0.15">
      <c r="A10" s="102" t="s">
        <v>5694</v>
      </c>
    </row>
    <row r="11" spans="1:3" x14ac:dyDescent="0.15">
      <c r="A11" s="18" t="s">
        <v>5759</v>
      </c>
    </row>
    <row r="12" spans="1:3" x14ac:dyDescent="0.15">
      <c r="A12" s="61" t="s">
        <v>5760</v>
      </c>
      <c r="C12" t="s">
        <v>5961</v>
      </c>
    </row>
    <row r="13" spans="1:3" x14ac:dyDescent="0.15">
      <c r="A13" s="18" t="s">
        <v>5761</v>
      </c>
    </row>
    <row r="14" spans="1:3" x14ac:dyDescent="0.15">
      <c r="A14" s="18" t="s">
        <v>5762</v>
      </c>
    </row>
    <row r="15" spans="1:3" x14ac:dyDescent="0.15">
      <c r="A15" s="18"/>
    </row>
    <row r="16" spans="1:3" x14ac:dyDescent="0.15">
      <c r="A16" s="102" t="s">
        <v>3562</v>
      </c>
    </row>
    <row r="17" spans="1:4" x14ac:dyDescent="0.15">
      <c r="A17" s="18" t="s">
        <v>5763</v>
      </c>
    </row>
    <row r="18" spans="1:4" x14ac:dyDescent="0.15">
      <c r="A18" t="s">
        <v>5962</v>
      </c>
    </row>
    <row r="20" spans="1:4" x14ac:dyDescent="0.15">
      <c r="A20" s="6"/>
      <c r="B20" s="99" t="s">
        <v>5952</v>
      </c>
      <c r="C20" s="6"/>
      <c r="D20" s="79" t="s">
        <v>5695</v>
      </c>
    </row>
    <row r="21" spans="1:4" x14ac:dyDescent="0.15">
      <c r="A21" s="6"/>
      <c r="B21" s="71" t="s">
        <v>5953</v>
      </c>
      <c r="C21" s="6"/>
      <c r="D21" s="66"/>
    </row>
    <row r="22" spans="1:4" x14ac:dyDescent="0.15">
      <c r="A22" s="6"/>
      <c r="B22" s="71" t="s">
        <v>5954</v>
      </c>
      <c r="C22" s="6"/>
      <c r="D22" s="6"/>
    </row>
    <row r="23" spans="1:4" x14ac:dyDescent="0.15">
      <c r="A23" s="6"/>
      <c r="B23" s="71" t="s">
        <v>5955</v>
      </c>
      <c r="C23" s="6"/>
      <c r="D23" s="6"/>
    </row>
    <row r="24" spans="1:4" x14ac:dyDescent="0.15">
      <c r="A24" s="6"/>
      <c r="B24" s="71" t="s">
        <v>5956</v>
      </c>
      <c r="C24" s="6"/>
      <c r="D24" s="6"/>
    </row>
    <row r="25" spans="1:4" x14ac:dyDescent="0.15">
      <c r="A25" s="6"/>
      <c r="B25" s="71" t="s">
        <v>5957</v>
      </c>
      <c r="C25" s="6"/>
      <c r="D25" s="6"/>
    </row>
    <row r="26" spans="1:4" x14ac:dyDescent="0.15">
      <c r="A26" s="6"/>
      <c r="B26" s="71" t="s">
        <v>5958</v>
      </c>
      <c r="C26" s="6"/>
      <c r="D26" s="6"/>
    </row>
    <row r="27" spans="1:4" x14ac:dyDescent="0.15">
      <c r="A27" s="6"/>
      <c r="B27" s="71" t="s">
        <v>5959</v>
      </c>
      <c r="C27" s="6"/>
      <c r="D27" s="6"/>
    </row>
    <row r="28" spans="1:4" x14ac:dyDescent="0.15">
      <c r="A28" s="6"/>
      <c r="B28" s="71" t="s">
        <v>5960</v>
      </c>
      <c r="C28" s="6"/>
      <c r="D28" s="6"/>
    </row>
    <row r="29" spans="1:4" x14ac:dyDescent="0.15">
      <c r="A29" s="6"/>
      <c r="B29" s="99" t="s">
        <v>5522</v>
      </c>
      <c r="C29" s="6"/>
      <c r="D29" s="6"/>
    </row>
    <row r="30" spans="1:4" x14ac:dyDescent="0.15">
      <c r="A30" s="6"/>
      <c r="B30" s="71" t="s">
        <v>5695</v>
      </c>
      <c r="C30" s="6"/>
      <c r="D30" s="6"/>
    </row>
    <row r="31" spans="1:4" x14ac:dyDescent="0.15">
      <c r="A31" s="6" t="s">
        <v>5691</v>
      </c>
      <c r="B31" s="6"/>
      <c r="C31" s="66"/>
      <c r="D31" s="79" t="s">
        <v>5695</v>
      </c>
    </row>
    <row r="32" spans="1:4" x14ac:dyDescent="0.15">
      <c r="A32" s="6" t="s">
        <v>5691</v>
      </c>
      <c r="B32" s="6" t="s">
        <v>2098</v>
      </c>
      <c r="C32" s="101">
        <v>5</v>
      </c>
      <c r="D32" s="66" t="str">
        <f>HYPERLINK("https://rmda.kulib.kyoto-u.ac.jp/item/rb00003539#?c=0&amp;m=0&amp;s=0&amp;cv=4")</f>
        <v>https://rmda.kulib.kyoto-u.ac.jp/item/rb00003539#?c=0&amp;m=0&amp;s=0&amp;cv=4</v>
      </c>
    </row>
    <row r="33" spans="1:4" x14ac:dyDescent="0.15">
      <c r="A33" s="6" t="s">
        <v>5691</v>
      </c>
      <c r="B33" s="72" t="s">
        <v>1372</v>
      </c>
      <c r="C33" s="66">
        <v>6</v>
      </c>
      <c r="D33" s="66" t="str">
        <f>HYPERLINK("https://rmda.kulib.kyoto-u.ac.jp/item/rb00003539#?c=0&amp;m=0&amp;s=0&amp;cv=5")</f>
        <v>https://rmda.kulib.kyoto-u.ac.jp/item/rb00003539#?c=0&amp;m=0&amp;s=0&amp;cv=5</v>
      </c>
    </row>
    <row r="34" spans="1:4" x14ac:dyDescent="0.15">
      <c r="A34" s="6" t="s">
        <v>5691</v>
      </c>
      <c r="B34" s="6" t="s">
        <v>5696</v>
      </c>
      <c r="C34" s="66">
        <v>12</v>
      </c>
      <c r="D34" s="66" t="str">
        <f>HYPERLINK("https://rmda.kulib.kyoto-u.ac.jp/item/rb00003539#?c=0&amp;m=0&amp;s=0&amp;cv=11")</f>
        <v>https://rmda.kulib.kyoto-u.ac.jp/item/rb00003539#?c=0&amp;m=0&amp;s=0&amp;cv=11</v>
      </c>
    </row>
    <row r="35" spans="1:4" x14ac:dyDescent="0.15">
      <c r="A35" s="6" t="s">
        <v>5691</v>
      </c>
      <c r="B35" s="6" t="s">
        <v>5697</v>
      </c>
      <c r="C35" s="66">
        <v>13</v>
      </c>
      <c r="D35" s="66" t="str">
        <f>HYPERLINK("https://rmda.kulib.kyoto-u.ac.jp/item/rb00003539#?c=0&amp;m=0&amp;s=0&amp;cv=12")</f>
        <v>https://rmda.kulib.kyoto-u.ac.jp/item/rb00003539#?c=0&amp;m=0&amp;s=0&amp;cv=12</v>
      </c>
    </row>
    <row r="36" spans="1:4" x14ac:dyDescent="0.15">
      <c r="A36" s="6" t="s">
        <v>5691</v>
      </c>
      <c r="B36" s="6" t="s">
        <v>5698</v>
      </c>
      <c r="C36" s="66">
        <v>13</v>
      </c>
      <c r="D36" s="66" t="str">
        <f>HYPERLINK("https://rmda.kulib.kyoto-u.ac.jp/item/rb00003539#?c=0&amp;m=0&amp;s=0&amp;cv=12")</f>
        <v>https://rmda.kulib.kyoto-u.ac.jp/item/rb00003539#?c=0&amp;m=0&amp;s=0&amp;cv=12</v>
      </c>
    </row>
    <row r="37" spans="1:4" x14ac:dyDescent="0.15">
      <c r="A37" s="6" t="s">
        <v>5691</v>
      </c>
      <c r="B37" s="6" t="s">
        <v>5699</v>
      </c>
      <c r="C37" s="66">
        <v>13</v>
      </c>
      <c r="D37" s="66" t="str">
        <f>HYPERLINK("https://rmda.kulib.kyoto-u.ac.jp/item/rb00003539#?c=0&amp;m=0&amp;s=0&amp;cv=12")</f>
        <v>https://rmda.kulib.kyoto-u.ac.jp/item/rb00003539#?c=0&amp;m=0&amp;s=0&amp;cv=12</v>
      </c>
    </row>
    <row r="38" spans="1:4" x14ac:dyDescent="0.15">
      <c r="A38" s="6" t="s">
        <v>5691</v>
      </c>
      <c r="B38" s="6" t="s">
        <v>5700</v>
      </c>
      <c r="C38" s="66">
        <v>14</v>
      </c>
      <c r="D38" s="66" t="str">
        <f>HYPERLINK("https://rmda.kulib.kyoto-u.ac.jp/item/rb00003539#?c=0&amp;m=0&amp;s=0&amp;cv=13")</f>
        <v>https://rmda.kulib.kyoto-u.ac.jp/item/rb00003539#?c=0&amp;m=0&amp;s=0&amp;cv=13</v>
      </c>
    </row>
    <row r="39" spans="1:4" x14ac:dyDescent="0.15">
      <c r="A39" s="6" t="s">
        <v>5691</v>
      </c>
      <c r="B39" s="72" t="s">
        <v>5766</v>
      </c>
      <c r="C39" s="66">
        <v>14</v>
      </c>
      <c r="D39" s="66" t="str">
        <f>HYPERLINK("https://rmda.kulib.kyoto-u.ac.jp/item/rb00003539#?c=0&amp;m=0&amp;s=0&amp;cv=13")</f>
        <v>https://rmda.kulib.kyoto-u.ac.jp/item/rb00003539#?c=0&amp;m=0&amp;s=0&amp;cv=13</v>
      </c>
    </row>
    <row r="40" spans="1:4" x14ac:dyDescent="0.15">
      <c r="A40" s="6" t="s">
        <v>5691</v>
      </c>
      <c r="B40" s="6" t="s">
        <v>5701</v>
      </c>
      <c r="C40" s="66">
        <v>14</v>
      </c>
      <c r="D40" s="66" t="str">
        <f>HYPERLINK("https://rmda.kulib.kyoto-u.ac.jp/item/rb00003539#?c=0&amp;m=0&amp;s=0&amp;cv=13")</f>
        <v>https://rmda.kulib.kyoto-u.ac.jp/item/rb00003539#?c=0&amp;m=0&amp;s=0&amp;cv=13</v>
      </c>
    </row>
    <row r="41" spans="1:4" x14ac:dyDescent="0.15">
      <c r="A41" s="6" t="s">
        <v>5691</v>
      </c>
      <c r="B41" s="6" t="s">
        <v>5767</v>
      </c>
      <c r="C41" s="66">
        <v>14</v>
      </c>
      <c r="D41" s="66" t="str">
        <f>HYPERLINK("https://rmda.kulib.kyoto-u.ac.jp/item/rb00003539#?c=0&amp;m=0&amp;s=0&amp;cv=13")</f>
        <v>https://rmda.kulib.kyoto-u.ac.jp/item/rb00003539#?c=0&amp;m=0&amp;s=0&amp;cv=13</v>
      </c>
    </row>
    <row r="42" spans="1:4" x14ac:dyDescent="0.15">
      <c r="A42" s="6" t="s">
        <v>5691</v>
      </c>
      <c r="B42" s="6" t="s">
        <v>5768</v>
      </c>
      <c r="C42" s="66">
        <v>14</v>
      </c>
      <c r="D42" s="66" t="str">
        <f>HYPERLINK("https://rmda.kulib.kyoto-u.ac.jp/item/rb00003539#?c=0&amp;m=0&amp;s=0&amp;cv=13")</f>
        <v>https://rmda.kulib.kyoto-u.ac.jp/item/rb00003539#?c=0&amp;m=0&amp;s=0&amp;cv=13</v>
      </c>
    </row>
    <row r="43" spans="1:4" x14ac:dyDescent="0.15">
      <c r="A43" s="6" t="s">
        <v>5691</v>
      </c>
      <c r="B43" s="6" t="s">
        <v>5702</v>
      </c>
      <c r="C43" s="66">
        <v>15</v>
      </c>
      <c r="D43" s="66" t="str">
        <f>HYPERLINK("https://rmda.kulib.kyoto-u.ac.jp/item/rb00003539#?c=0&amp;m=0&amp;s=0&amp;cv=14")</f>
        <v>https://rmda.kulib.kyoto-u.ac.jp/item/rb00003539#?c=0&amp;m=0&amp;s=0&amp;cv=14</v>
      </c>
    </row>
    <row r="44" spans="1:4" x14ac:dyDescent="0.15">
      <c r="A44" s="6" t="s">
        <v>5691</v>
      </c>
      <c r="B44" s="6" t="s">
        <v>5769</v>
      </c>
      <c r="C44" s="66">
        <v>16</v>
      </c>
      <c r="D44" s="66" t="str">
        <f>HYPERLINK("https://rmda.kulib.kyoto-u.ac.jp/item/rb00003539#?c=0&amp;m=0&amp;s=0&amp;cv=15")</f>
        <v>https://rmda.kulib.kyoto-u.ac.jp/item/rb00003539#?c=0&amp;m=0&amp;s=0&amp;cv=15</v>
      </c>
    </row>
    <row r="45" spans="1:4" x14ac:dyDescent="0.15">
      <c r="A45" s="6" t="s">
        <v>5691</v>
      </c>
      <c r="B45" s="6" t="s">
        <v>5703</v>
      </c>
      <c r="C45" s="66">
        <v>16</v>
      </c>
      <c r="D45" s="66" t="str">
        <f>HYPERLINK("https://rmda.kulib.kyoto-u.ac.jp/item/rb00003539#?c=0&amp;m=0&amp;s=0&amp;cv=15")</f>
        <v>https://rmda.kulib.kyoto-u.ac.jp/item/rb00003539#?c=0&amp;m=0&amp;s=0&amp;cv=15</v>
      </c>
    </row>
    <row r="46" spans="1:4" x14ac:dyDescent="0.15">
      <c r="A46" s="6" t="s">
        <v>5691</v>
      </c>
      <c r="B46" s="6" t="s">
        <v>5704</v>
      </c>
      <c r="C46" s="66">
        <v>18</v>
      </c>
      <c r="D46" s="66" t="str">
        <f>HYPERLINK("https://rmda.kulib.kyoto-u.ac.jp/item/rb00003539#?c=0&amp;m=0&amp;s=0&amp;cv=17")</f>
        <v>https://rmda.kulib.kyoto-u.ac.jp/item/rb00003539#?c=0&amp;m=0&amp;s=0&amp;cv=17</v>
      </c>
    </row>
    <row r="47" spans="1:4" x14ac:dyDescent="0.15">
      <c r="A47" s="6" t="s">
        <v>5691</v>
      </c>
      <c r="B47" s="6" t="s">
        <v>5770</v>
      </c>
      <c r="C47" s="66">
        <v>19</v>
      </c>
      <c r="D47" s="66" t="str">
        <f>HYPERLINK("https://rmda.kulib.kyoto-u.ac.jp/item/rb00003539#?c=0&amp;m=0&amp;s=0&amp;cv=18")</f>
        <v>https://rmda.kulib.kyoto-u.ac.jp/item/rb00003539#?c=0&amp;m=0&amp;s=0&amp;cv=18</v>
      </c>
    </row>
    <row r="48" spans="1:4" x14ac:dyDescent="0.15">
      <c r="A48" s="6" t="s">
        <v>5691</v>
      </c>
      <c r="B48" s="6" t="s">
        <v>5771</v>
      </c>
      <c r="C48" s="66">
        <v>19</v>
      </c>
      <c r="D48" s="66" t="str">
        <f>HYPERLINK("https://rmda.kulib.kyoto-u.ac.jp/item/rb00003539#?c=0&amp;m=0&amp;s=0&amp;cv=18")</f>
        <v>https://rmda.kulib.kyoto-u.ac.jp/item/rb00003539#?c=0&amp;m=0&amp;s=0&amp;cv=18</v>
      </c>
    </row>
    <row r="49" spans="1:4" x14ac:dyDescent="0.15">
      <c r="A49" s="6" t="s">
        <v>5691</v>
      </c>
      <c r="B49" s="6" t="s">
        <v>5705</v>
      </c>
      <c r="C49" s="66">
        <v>19</v>
      </c>
      <c r="D49" s="66" t="str">
        <f>HYPERLINK("https://rmda.kulib.kyoto-u.ac.jp/item/rb00003539#?c=0&amp;m=0&amp;s=0&amp;cv=18")</f>
        <v>https://rmda.kulib.kyoto-u.ac.jp/item/rb00003539#?c=0&amp;m=0&amp;s=0&amp;cv=18</v>
      </c>
    </row>
    <row r="50" spans="1:4" x14ac:dyDescent="0.15">
      <c r="A50" s="6" t="s">
        <v>5691</v>
      </c>
      <c r="B50" s="6" t="s">
        <v>5706</v>
      </c>
      <c r="C50" s="66">
        <v>20</v>
      </c>
      <c r="D50" s="66" t="str">
        <f>HYPERLINK("https://rmda.kulib.kyoto-u.ac.jp/item/rb00003539#?c=0&amp;m=0&amp;s=0&amp;cv=19")</f>
        <v>https://rmda.kulib.kyoto-u.ac.jp/item/rb00003539#?c=0&amp;m=0&amp;s=0&amp;cv=19</v>
      </c>
    </row>
    <row r="51" spans="1:4" x14ac:dyDescent="0.15">
      <c r="A51" s="6" t="s">
        <v>5691</v>
      </c>
      <c r="B51" s="6" t="s">
        <v>5843</v>
      </c>
      <c r="C51" s="66">
        <v>21</v>
      </c>
      <c r="D51" s="66" t="str">
        <f>HYPERLINK("https://rmda.kulib.kyoto-u.ac.jp/item/rb00003539#?c=0&amp;m=0&amp;s=0&amp;cv=20")</f>
        <v>https://rmda.kulib.kyoto-u.ac.jp/item/rb00003539#?c=0&amp;m=0&amp;s=0&amp;cv=20</v>
      </c>
    </row>
    <row r="52" spans="1:4" x14ac:dyDescent="0.15">
      <c r="A52" s="6" t="s">
        <v>5691</v>
      </c>
      <c r="B52" s="6" t="s">
        <v>5707</v>
      </c>
      <c r="C52" s="66">
        <v>21</v>
      </c>
      <c r="D52" s="66" t="str">
        <f>HYPERLINK("https://rmda.kulib.kyoto-u.ac.jp/item/rb00003539#?c=0&amp;m=0&amp;s=0&amp;cv=20")</f>
        <v>https://rmda.kulib.kyoto-u.ac.jp/item/rb00003539#?c=0&amp;m=0&amp;s=0&amp;cv=20</v>
      </c>
    </row>
    <row r="53" spans="1:4" x14ac:dyDescent="0.15">
      <c r="A53" s="6" t="s">
        <v>5691</v>
      </c>
      <c r="B53" s="6" t="s">
        <v>5708</v>
      </c>
      <c r="C53" s="66">
        <v>22</v>
      </c>
      <c r="D53" s="66" t="str">
        <f>HYPERLINK("https://rmda.kulib.kyoto-u.ac.jp/item/rb00003539#?c=0&amp;m=0&amp;s=0&amp;cv=21")</f>
        <v>https://rmda.kulib.kyoto-u.ac.jp/item/rb00003539#?c=0&amp;m=0&amp;s=0&amp;cv=21</v>
      </c>
    </row>
    <row r="54" spans="1:4" x14ac:dyDescent="0.15">
      <c r="A54" s="6" t="s">
        <v>5691</v>
      </c>
      <c r="B54" s="6" t="s">
        <v>5709</v>
      </c>
      <c r="C54" s="66">
        <v>23</v>
      </c>
      <c r="D54" s="66" t="str">
        <f>HYPERLINK("https://rmda.kulib.kyoto-u.ac.jp/item/rb00003539#?c=0&amp;m=0&amp;s=0&amp;cv=22")</f>
        <v>https://rmda.kulib.kyoto-u.ac.jp/item/rb00003539#?c=0&amp;m=0&amp;s=0&amp;cv=22</v>
      </c>
    </row>
    <row r="55" spans="1:4" x14ac:dyDescent="0.15">
      <c r="A55" s="6" t="s">
        <v>5691</v>
      </c>
      <c r="B55" s="6" t="s">
        <v>5772</v>
      </c>
      <c r="C55" s="66">
        <v>23</v>
      </c>
      <c r="D55" s="66" t="str">
        <f>HYPERLINK("https://rmda.kulib.kyoto-u.ac.jp/item/rb00003539#?c=0&amp;m=0&amp;s=0&amp;cv=22")</f>
        <v>https://rmda.kulib.kyoto-u.ac.jp/item/rb00003539#?c=0&amp;m=0&amp;s=0&amp;cv=22</v>
      </c>
    </row>
    <row r="56" spans="1:4" x14ac:dyDescent="0.15">
      <c r="A56" s="6" t="s">
        <v>5691</v>
      </c>
      <c r="B56" s="6" t="s">
        <v>5773</v>
      </c>
      <c r="C56" s="66">
        <v>24</v>
      </c>
      <c r="D56" s="66" t="str">
        <f>HYPERLINK("https://rmda.kulib.kyoto-u.ac.jp/item/rb00003539#?c=0&amp;m=0&amp;s=0&amp;cv=23")</f>
        <v>https://rmda.kulib.kyoto-u.ac.jp/item/rb00003539#?c=0&amp;m=0&amp;s=0&amp;cv=23</v>
      </c>
    </row>
    <row r="57" spans="1:4" x14ac:dyDescent="0.15">
      <c r="A57" s="6" t="s">
        <v>5691</v>
      </c>
      <c r="B57" s="6" t="s">
        <v>5774</v>
      </c>
      <c r="C57" s="66">
        <v>24</v>
      </c>
      <c r="D57" s="66" t="str">
        <f>HYPERLINK("https://rmda.kulib.kyoto-u.ac.jp/item/rb00003539#?c=0&amp;m=0&amp;s=0&amp;cv=23")</f>
        <v>https://rmda.kulib.kyoto-u.ac.jp/item/rb00003539#?c=0&amp;m=0&amp;s=0&amp;cv=23</v>
      </c>
    </row>
    <row r="58" spans="1:4" x14ac:dyDescent="0.15">
      <c r="A58" s="6" t="s">
        <v>5691</v>
      </c>
      <c r="B58" s="6" t="s">
        <v>5710</v>
      </c>
      <c r="C58" s="66">
        <v>26</v>
      </c>
      <c r="D58" s="66" t="str">
        <f>HYPERLINK("https://rmda.kulib.kyoto-u.ac.jp/item/rb00003539#?c=0&amp;m=0&amp;s=0&amp;cv=25")</f>
        <v>https://rmda.kulib.kyoto-u.ac.jp/item/rb00003539#?c=0&amp;m=0&amp;s=0&amp;cv=25</v>
      </c>
    </row>
    <row r="59" spans="1:4" x14ac:dyDescent="0.15">
      <c r="A59" s="6" t="s">
        <v>5691</v>
      </c>
      <c r="B59" s="6" t="s">
        <v>5711</v>
      </c>
      <c r="C59" s="66">
        <v>27</v>
      </c>
      <c r="D59" s="66" t="str">
        <f>HYPERLINK("https://rmda.kulib.kyoto-u.ac.jp/item/rb00003539#?c=0&amp;m=0&amp;s=0&amp;cv=26")</f>
        <v>https://rmda.kulib.kyoto-u.ac.jp/item/rb00003539#?c=0&amp;m=0&amp;s=0&amp;cv=26</v>
      </c>
    </row>
    <row r="60" spans="1:4" x14ac:dyDescent="0.15">
      <c r="A60" s="6" t="s">
        <v>5691</v>
      </c>
      <c r="B60" s="6" t="s">
        <v>5775</v>
      </c>
      <c r="C60" s="66">
        <v>27</v>
      </c>
      <c r="D60" s="66" t="str">
        <f>HYPERLINK("https://rmda.kulib.kyoto-u.ac.jp/item/rb00003539#?c=0&amp;m=0&amp;s=0&amp;cv=26")</f>
        <v>https://rmda.kulib.kyoto-u.ac.jp/item/rb00003539#?c=0&amp;m=0&amp;s=0&amp;cv=26</v>
      </c>
    </row>
    <row r="61" spans="1:4" x14ac:dyDescent="0.15">
      <c r="A61" s="6" t="s">
        <v>5691</v>
      </c>
      <c r="B61" s="6" t="s">
        <v>5712</v>
      </c>
      <c r="C61" s="66">
        <v>28</v>
      </c>
      <c r="D61" s="66" t="str">
        <f>HYPERLINK("https://rmda.kulib.kyoto-u.ac.jp/item/rb00003539#?c=0&amp;m=0&amp;s=0&amp;cv=27")</f>
        <v>https://rmda.kulib.kyoto-u.ac.jp/item/rb00003539#?c=0&amp;m=0&amp;s=0&amp;cv=27</v>
      </c>
    </row>
    <row r="62" spans="1:4" x14ac:dyDescent="0.15">
      <c r="A62" s="6" t="s">
        <v>5691</v>
      </c>
      <c r="B62" s="6" t="s">
        <v>5776</v>
      </c>
      <c r="C62" s="66">
        <v>29</v>
      </c>
      <c r="D62" s="66" t="str">
        <f>HYPERLINK("https://rmda.kulib.kyoto-u.ac.jp/item/rb00003539#?c=0&amp;m=0&amp;s=0&amp;cv=28")</f>
        <v>https://rmda.kulib.kyoto-u.ac.jp/item/rb00003539#?c=0&amp;m=0&amp;s=0&amp;cv=28</v>
      </c>
    </row>
    <row r="63" spans="1:4" x14ac:dyDescent="0.15">
      <c r="A63" s="6" t="s">
        <v>5691</v>
      </c>
      <c r="B63" s="6" t="s">
        <v>5777</v>
      </c>
      <c r="C63" s="66">
        <v>30</v>
      </c>
      <c r="D63" s="66" t="str">
        <f>HYPERLINK("https://rmda.kulib.kyoto-u.ac.jp/item/rb00003539#?c=0&amp;m=0&amp;s=0&amp;cv=29")</f>
        <v>https://rmda.kulib.kyoto-u.ac.jp/item/rb00003539#?c=0&amp;m=0&amp;s=0&amp;cv=29</v>
      </c>
    </row>
    <row r="64" spans="1:4" x14ac:dyDescent="0.15">
      <c r="A64" s="6" t="s">
        <v>5691</v>
      </c>
      <c r="B64" s="6" t="s">
        <v>5778</v>
      </c>
      <c r="C64" s="66">
        <v>30</v>
      </c>
      <c r="D64" s="66" t="str">
        <f>HYPERLINK("https://rmda.kulib.kyoto-u.ac.jp/item/rb00003539#?c=0&amp;m=0&amp;s=0&amp;cv=29")</f>
        <v>https://rmda.kulib.kyoto-u.ac.jp/item/rb00003539#?c=0&amp;m=0&amp;s=0&amp;cv=29</v>
      </c>
    </row>
    <row r="65" spans="1:4" x14ac:dyDescent="0.15">
      <c r="A65" s="6" t="s">
        <v>5691</v>
      </c>
      <c r="B65" s="6" t="s">
        <v>5713</v>
      </c>
      <c r="C65" s="66">
        <v>30</v>
      </c>
      <c r="D65" s="66" t="str">
        <f>HYPERLINK("https://rmda.kulib.kyoto-u.ac.jp/item/rb00003539#?c=0&amp;m=0&amp;s=0&amp;cv=29")</f>
        <v>https://rmda.kulib.kyoto-u.ac.jp/item/rb00003539#?c=0&amp;m=0&amp;s=0&amp;cv=29</v>
      </c>
    </row>
    <row r="66" spans="1:4" x14ac:dyDescent="0.15">
      <c r="A66" s="6" t="s">
        <v>5691</v>
      </c>
      <c r="B66" s="6" t="s">
        <v>5714</v>
      </c>
      <c r="C66" s="66">
        <v>32</v>
      </c>
      <c r="D66" s="66" t="str">
        <f>HYPERLINK("https://rmda.kulib.kyoto-u.ac.jp/item/rb00003539#?c=0&amp;m=0&amp;s=0&amp;cv=31")</f>
        <v>https://rmda.kulib.kyoto-u.ac.jp/item/rb00003539#?c=0&amp;m=0&amp;s=0&amp;cv=31</v>
      </c>
    </row>
    <row r="67" spans="1:4" x14ac:dyDescent="0.15">
      <c r="A67" s="6" t="s">
        <v>5691</v>
      </c>
      <c r="B67" s="6" t="s">
        <v>5779</v>
      </c>
      <c r="C67" s="66">
        <v>32</v>
      </c>
      <c r="D67" s="66" t="str">
        <f>HYPERLINK("https://rmda.kulib.kyoto-u.ac.jp/item/rb00003539#?c=0&amp;m=0&amp;s=0&amp;cv=31")</f>
        <v>https://rmda.kulib.kyoto-u.ac.jp/item/rb00003539#?c=0&amp;m=0&amp;s=0&amp;cv=31</v>
      </c>
    </row>
    <row r="68" spans="1:4" x14ac:dyDescent="0.15">
      <c r="A68" s="6" t="s">
        <v>5691</v>
      </c>
      <c r="B68" s="6" t="s">
        <v>5715</v>
      </c>
      <c r="C68" s="66">
        <v>32</v>
      </c>
      <c r="D68" s="66" t="str">
        <f>HYPERLINK("https://rmda.kulib.kyoto-u.ac.jp/item/rb00003539#?c=0&amp;m=0&amp;s=0&amp;cv=31")</f>
        <v>https://rmda.kulib.kyoto-u.ac.jp/item/rb00003539#?c=0&amp;m=0&amp;s=0&amp;cv=31</v>
      </c>
    </row>
    <row r="69" spans="1:4" x14ac:dyDescent="0.15">
      <c r="A69" s="6" t="s">
        <v>5691</v>
      </c>
      <c r="B69" s="6" t="s">
        <v>5716</v>
      </c>
      <c r="C69" s="66">
        <v>33</v>
      </c>
      <c r="D69" s="66" t="str">
        <f>HYPERLINK("https://rmda.kulib.kyoto-u.ac.jp/item/rb00003539#?c=0&amp;m=0&amp;s=0&amp;cv=32")</f>
        <v>https://rmda.kulib.kyoto-u.ac.jp/item/rb00003539#?c=0&amp;m=0&amp;s=0&amp;cv=32</v>
      </c>
    </row>
    <row r="70" spans="1:4" x14ac:dyDescent="0.15">
      <c r="A70" s="6" t="s">
        <v>5691</v>
      </c>
      <c r="B70" s="6" t="s">
        <v>5717</v>
      </c>
      <c r="C70" s="66">
        <v>34</v>
      </c>
      <c r="D70" s="66" t="str">
        <f>HYPERLINK("https://rmda.kulib.kyoto-u.ac.jp/item/rb00003539#?c=0&amp;m=0&amp;s=0&amp;cv=33")</f>
        <v>https://rmda.kulib.kyoto-u.ac.jp/item/rb00003539#?c=0&amp;m=0&amp;s=0&amp;cv=33</v>
      </c>
    </row>
    <row r="71" spans="1:4" x14ac:dyDescent="0.15">
      <c r="A71" s="6" t="s">
        <v>5691</v>
      </c>
      <c r="B71" s="6" t="s">
        <v>5780</v>
      </c>
      <c r="C71" s="66">
        <v>35</v>
      </c>
      <c r="D71" s="66" t="str">
        <f>HYPERLINK("https://rmda.kulib.kyoto-u.ac.jp/item/rb00003539#?c=0&amp;m=0&amp;s=0&amp;cv=34")</f>
        <v>https://rmda.kulib.kyoto-u.ac.jp/item/rb00003539#?c=0&amp;m=0&amp;s=0&amp;cv=34</v>
      </c>
    </row>
    <row r="72" spans="1:4" x14ac:dyDescent="0.15">
      <c r="A72" s="6" t="s">
        <v>5691</v>
      </c>
      <c r="B72" s="6" t="s">
        <v>5781</v>
      </c>
      <c r="C72" s="66">
        <v>35</v>
      </c>
      <c r="D72" s="66" t="str">
        <f>HYPERLINK("https://rmda.kulib.kyoto-u.ac.jp/item/rb00003539#?c=0&amp;m=0&amp;s=0&amp;cv=34")</f>
        <v>https://rmda.kulib.kyoto-u.ac.jp/item/rb00003539#?c=0&amp;m=0&amp;s=0&amp;cv=34</v>
      </c>
    </row>
    <row r="73" spans="1:4" x14ac:dyDescent="0.15">
      <c r="A73" s="6" t="s">
        <v>5691</v>
      </c>
      <c r="B73" s="6" t="s">
        <v>5782</v>
      </c>
      <c r="C73" s="66">
        <v>35</v>
      </c>
      <c r="D73" s="66" t="str">
        <f>HYPERLINK("https://rmda.kulib.kyoto-u.ac.jp/item/rb00003539#?c=0&amp;m=0&amp;s=0&amp;cv=34")</f>
        <v>https://rmda.kulib.kyoto-u.ac.jp/item/rb00003539#?c=0&amp;m=0&amp;s=0&amp;cv=34</v>
      </c>
    </row>
    <row r="74" spans="1:4" x14ac:dyDescent="0.15">
      <c r="A74" s="6" t="s">
        <v>5691</v>
      </c>
      <c r="B74" s="6" t="s">
        <v>5718</v>
      </c>
      <c r="C74" s="66">
        <v>36</v>
      </c>
      <c r="D74" s="66" t="str">
        <f>HYPERLINK("https://rmda.kulib.kyoto-u.ac.jp/item/rb00003539#?c=0&amp;m=0&amp;s=0&amp;cv=35")</f>
        <v>https://rmda.kulib.kyoto-u.ac.jp/item/rb00003539#?c=0&amp;m=0&amp;s=0&amp;cv=35</v>
      </c>
    </row>
    <row r="75" spans="1:4" x14ac:dyDescent="0.15">
      <c r="A75" s="6" t="s">
        <v>5691</v>
      </c>
      <c r="B75" s="72" t="s">
        <v>5719</v>
      </c>
      <c r="C75" s="66">
        <v>36</v>
      </c>
      <c r="D75" s="66" t="str">
        <f>HYPERLINK("https://rmda.kulib.kyoto-u.ac.jp/item/rb00003539#?c=0&amp;m=0&amp;s=0&amp;cv=35")</f>
        <v>https://rmda.kulib.kyoto-u.ac.jp/item/rb00003539#?c=0&amp;m=0&amp;s=0&amp;cv=35</v>
      </c>
    </row>
    <row r="76" spans="1:4" x14ac:dyDescent="0.15">
      <c r="A76" s="6" t="s">
        <v>5691</v>
      </c>
      <c r="B76" s="6" t="s">
        <v>5720</v>
      </c>
      <c r="C76" s="66">
        <v>36</v>
      </c>
      <c r="D76" s="66" t="str">
        <f>HYPERLINK("https://rmda.kulib.kyoto-u.ac.jp/item/rb00003539#?c=0&amp;m=0&amp;s=0&amp;cv=35")</f>
        <v>https://rmda.kulib.kyoto-u.ac.jp/item/rb00003539#?c=0&amp;m=0&amp;s=0&amp;cv=35</v>
      </c>
    </row>
    <row r="77" spans="1:4" x14ac:dyDescent="0.15">
      <c r="A77" s="6" t="s">
        <v>5691</v>
      </c>
      <c r="B77" s="6" t="s">
        <v>5951</v>
      </c>
      <c r="C77" s="66">
        <v>36</v>
      </c>
      <c r="D77" s="66" t="str">
        <f>HYPERLINK("https://rmda.kulib.kyoto-u.ac.jp/item/rb00003539#?c=0&amp;m=0&amp;s=0&amp;cv=35")</f>
        <v>https://rmda.kulib.kyoto-u.ac.jp/item/rb00003539#?c=0&amp;m=0&amp;s=0&amp;cv=35</v>
      </c>
    </row>
    <row r="78" spans="1:4" x14ac:dyDescent="0.15">
      <c r="A78" s="6" t="s">
        <v>5691</v>
      </c>
      <c r="B78" s="6" t="s">
        <v>5721</v>
      </c>
      <c r="C78" s="66">
        <v>38</v>
      </c>
      <c r="D78" s="66" t="str">
        <f>HYPERLINK("https://rmda.kulib.kyoto-u.ac.jp/item/rb00003539#?c=0&amp;m=0&amp;s=0&amp;cv=37")</f>
        <v>https://rmda.kulib.kyoto-u.ac.jp/item/rb00003539#?c=0&amp;m=0&amp;s=0&amp;cv=37</v>
      </c>
    </row>
    <row r="79" spans="1:4" x14ac:dyDescent="0.15">
      <c r="A79" s="6" t="s">
        <v>5691</v>
      </c>
      <c r="B79" s="6" t="s">
        <v>5722</v>
      </c>
      <c r="C79" s="66">
        <v>41</v>
      </c>
      <c r="D79" s="66" t="str">
        <f>HYPERLINK("https://rmda.kulib.kyoto-u.ac.jp/item/rb00003539#?c=0&amp;m=0&amp;s=0&amp;cv=40")</f>
        <v>https://rmda.kulib.kyoto-u.ac.jp/item/rb00003539#?c=0&amp;m=0&amp;s=0&amp;cv=40</v>
      </c>
    </row>
    <row r="80" spans="1:4" x14ac:dyDescent="0.15">
      <c r="A80" s="6" t="s">
        <v>5691</v>
      </c>
      <c r="B80" s="6" t="s">
        <v>5723</v>
      </c>
      <c r="C80" s="66">
        <v>41</v>
      </c>
      <c r="D80" s="66" t="str">
        <f>HYPERLINK("https://rmda.kulib.kyoto-u.ac.jp/item/rb00003539#?c=0&amp;m=0&amp;s=0&amp;cv=40")</f>
        <v>https://rmda.kulib.kyoto-u.ac.jp/item/rb00003539#?c=0&amp;m=0&amp;s=0&amp;cv=40</v>
      </c>
    </row>
    <row r="81" spans="1:4" x14ac:dyDescent="0.15">
      <c r="A81" s="6" t="s">
        <v>5691</v>
      </c>
      <c r="B81" s="6" t="s">
        <v>5724</v>
      </c>
      <c r="C81" s="66">
        <v>42</v>
      </c>
      <c r="D81" s="66" t="str">
        <f>HYPERLINK("https://rmda.kulib.kyoto-u.ac.jp/item/rb00003539#?c=0&amp;m=0&amp;s=0&amp;cv=41")</f>
        <v>https://rmda.kulib.kyoto-u.ac.jp/item/rb00003539#?c=0&amp;m=0&amp;s=0&amp;cv=41</v>
      </c>
    </row>
    <row r="82" spans="1:4" x14ac:dyDescent="0.15">
      <c r="A82" s="6" t="s">
        <v>5691</v>
      </c>
      <c r="B82" s="6" t="s">
        <v>5783</v>
      </c>
      <c r="C82" s="66">
        <v>42</v>
      </c>
      <c r="D82" s="66" t="str">
        <f>HYPERLINK("https://rmda.kulib.kyoto-u.ac.jp/item/rb00003539#?c=0&amp;m=0&amp;s=0&amp;cv=41")</f>
        <v>https://rmda.kulib.kyoto-u.ac.jp/item/rb00003539#?c=0&amp;m=0&amp;s=0&amp;cv=41</v>
      </c>
    </row>
    <row r="83" spans="1:4" x14ac:dyDescent="0.15">
      <c r="A83" s="6" t="s">
        <v>5691</v>
      </c>
      <c r="B83" s="6" t="s">
        <v>5725</v>
      </c>
      <c r="C83" s="66">
        <v>43</v>
      </c>
      <c r="D83" s="66" t="str">
        <f>HYPERLINK("https://rmda.kulib.kyoto-u.ac.jp/item/rb00003539#?c=0&amp;m=0&amp;s=0&amp;cv=42")</f>
        <v>https://rmda.kulib.kyoto-u.ac.jp/item/rb00003539#?c=0&amp;m=0&amp;s=0&amp;cv=42</v>
      </c>
    </row>
    <row r="84" spans="1:4" x14ac:dyDescent="0.15">
      <c r="A84" s="6" t="s">
        <v>5691</v>
      </c>
      <c r="B84" s="99" t="s">
        <v>5784</v>
      </c>
      <c r="C84" s="66">
        <v>45</v>
      </c>
      <c r="D84" s="66" t="str">
        <f>HYPERLINK("https://rmda.kulib.kyoto-u.ac.jp/item/rb00003539#?c=0&amp;m=0&amp;s=0&amp;cv=44")</f>
        <v>https://rmda.kulib.kyoto-u.ac.jp/item/rb00003539#?c=0&amp;m=0&amp;s=0&amp;cv=44</v>
      </c>
    </row>
    <row r="85" spans="1:4" x14ac:dyDescent="0.15">
      <c r="A85" s="6" t="s">
        <v>5691</v>
      </c>
      <c r="B85" s="71" t="s">
        <v>5845</v>
      </c>
      <c r="C85" s="66">
        <v>45</v>
      </c>
      <c r="D85" s="66" t="str">
        <f>HYPERLINK("https://rmda.kulib.kyoto-u.ac.jp/item/rb00003539#?c=0&amp;m=0&amp;s=0&amp;cv=44")</f>
        <v>https://rmda.kulib.kyoto-u.ac.jp/item/rb00003539#?c=0&amp;m=0&amp;s=0&amp;cv=44</v>
      </c>
    </row>
    <row r="86" spans="1:4" x14ac:dyDescent="0.15">
      <c r="A86" s="6" t="s">
        <v>5691</v>
      </c>
      <c r="B86" s="71" t="s">
        <v>5846</v>
      </c>
      <c r="C86" s="66">
        <v>45</v>
      </c>
      <c r="D86" s="66" t="str">
        <f>HYPERLINK("https://rmda.kulib.kyoto-u.ac.jp/item/rb00003539#?c=0&amp;m=0&amp;s=0&amp;cv=44")</f>
        <v>https://rmda.kulib.kyoto-u.ac.jp/item/rb00003539#?c=0&amp;m=0&amp;s=0&amp;cv=44</v>
      </c>
    </row>
    <row r="87" spans="1:4" x14ac:dyDescent="0.15">
      <c r="A87" s="6" t="s">
        <v>5691</v>
      </c>
      <c r="B87" s="71" t="s">
        <v>5847</v>
      </c>
      <c r="C87" s="66">
        <v>45</v>
      </c>
      <c r="D87" s="66" t="str">
        <f>HYPERLINK("https://rmda.kulib.kyoto-u.ac.jp/item/rb00003539#?c=0&amp;m=0&amp;s=0&amp;cv=44")</f>
        <v>https://rmda.kulib.kyoto-u.ac.jp/item/rb00003539#?c=0&amp;m=0&amp;s=0&amp;cv=44</v>
      </c>
    </row>
    <row r="88" spans="1:4" x14ac:dyDescent="0.15">
      <c r="A88" s="6" t="s">
        <v>5691</v>
      </c>
      <c r="B88" s="71" t="s">
        <v>5848</v>
      </c>
      <c r="C88" s="66">
        <v>46</v>
      </c>
      <c r="D88" s="79" t="str">
        <f>HYPERLINK("https://rmda.kulib.kyoto-u.ac.jp/item/rb00003539#?c=0&amp;m=0&amp;s=0&amp;cv=45")</f>
        <v>https://rmda.kulib.kyoto-u.ac.jp/item/rb00003539#?c=0&amp;m=0&amp;s=0&amp;cv=45</v>
      </c>
    </row>
    <row r="89" spans="1:4" x14ac:dyDescent="0.15">
      <c r="A89" s="6" t="s">
        <v>5691</v>
      </c>
      <c r="B89" s="71" t="s">
        <v>5849</v>
      </c>
      <c r="C89" s="66">
        <v>46</v>
      </c>
      <c r="D89" s="79" t="str">
        <f>HYPERLINK("https://rmda.kulib.kyoto-u.ac.jp/item/rb00003539#?c=0&amp;m=0&amp;s=0&amp;cv=45")</f>
        <v>https://rmda.kulib.kyoto-u.ac.jp/item/rb00003539#?c=0&amp;m=0&amp;s=0&amp;cv=45</v>
      </c>
    </row>
    <row r="90" spans="1:4" x14ac:dyDescent="0.15">
      <c r="A90" s="6" t="s">
        <v>5691</v>
      </c>
      <c r="B90" s="71" t="s">
        <v>5850</v>
      </c>
      <c r="C90" s="66">
        <v>46</v>
      </c>
      <c r="D90" s="79" t="str">
        <f>HYPERLINK("https://rmda.kulib.kyoto-u.ac.jp/item/rb00003539#?c=0&amp;m=0&amp;s=0&amp;cv=45")</f>
        <v>https://rmda.kulib.kyoto-u.ac.jp/item/rb00003539#?c=0&amp;m=0&amp;s=0&amp;cv=45</v>
      </c>
    </row>
    <row r="91" spans="1:4" x14ac:dyDescent="0.15">
      <c r="A91" s="6" t="s">
        <v>5691</v>
      </c>
      <c r="B91" s="71" t="s">
        <v>5851</v>
      </c>
      <c r="C91" s="66">
        <v>47</v>
      </c>
      <c r="D91" s="79" t="str">
        <f>HYPERLINK("https://rmda.kulib.kyoto-u.ac.jp/item/rb00003539#?c=0&amp;m=0&amp;s=0&amp;cv=46")</f>
        <v>https://rmda.kulib.kyoto-u.ac.jp/item/rb00003539#?c=0&amp;m=0&amp;s=0&amp;cv=46</v>
      </c>
    </row>
    <row r="92" spans="1:4" x14ac:dyDescent="0.15">
      <c r="A92" s="6" t="s">
        <v>5691</v>
      </c>
      <c r="B92" s="71" t="s">
        <v>5852</v>
      </c>
      <c r="C92" s="66">
        <v>47</v>
      </c>
      <c r="D92" s="79" t="str">
        <f>HYPERLINK("https://rmda.kulib.kyoto-u.ac.jp/item/rb00003539#?c=0&amp;m=0&amp;s=0&amp;cv=46")</f>
        <v>https://rmda.kulib.kyoto-u.ac.jp/item/rb00003539#?c=0&amp;m=0&amp;s=0&amp;cv=46</v>
      </c>
    </row>
    <row r="93" spans="1:4" x14ac:dyDescent="0.15">
      <c r="A93" s="6" t="s">
        <v>5691</v>
      </c>
      <c r="B93" s="71" t="s">
        <v>5853</v>
      </c>
      <c r="C93" s="66">
        <v>48</v>
      </c>
      <c r="D93" s="79" t="str">
        <f>HYPERLINK("https://rmda.kulib.kyoto-u.ac.jp/item/rb00003539#?c=0&amp;m=0&amp;s=0&amp;cv=47")</f>
        <v>https://rmda.kulib.kyoto-u.ac.jp/item/rb00003539#?c=0&amp;m=0&amp;s=0&amp;cv=47</v>
      </c>
    </row>
    <row r="94" spans="1:4" x14ac:dyDescent="0.15">
      <c r="A94" s="6" t="s">
        <v>5691</v>
      </c>
      <c r="B94" s="71" t="s">
        <v>5854</v>
      </c>
      <c r="C94" s="66">
        <v>48</v>
      </c>
      <c r="D94" s="79" t="str">
        <f>HYPERLINK("https://rmda.kulib.kyoto-u.ac.jp/item/rb00003539#?c=0&amp;m=0&amp;s=0&amp;cv=47")</f>
        <v>https://rmda.kulib.kyoto-u.ac.jp/item/rb00003539#?c=0&amp;m=0&amp;s=0&amp;cv=47</v>
      </c>
    </row>
    <row r="95" spans="1:4" x14ac:dyDescent="0.15">
      <c r="A95" s="6" t="s">
        <v>5691</v>
      </c>
      <c r="B95" s="71" t="s">
        <v>5855</v>
      </c>
      <c r="C95" s="66">
        <v>48</v>
      </c>
      <c r="D95" s="79" t="str">
        <f>HYPERLINK("https://rmda.kulib.kyoto-u.ac.jp/item/rb00003539#?c=0&amp;m=0&amp;s=0&amp;cv=47")</f>
        <v>https://rmda.kulib.kyoto-u.ac.jp/item/rb00003539#?c=0&amp;m=0&amp;s=0&amp;cv=47</v>
      </c>
    </row>
    <row r="96" spans="1:4" x14ac:dyDescent="0.15">
      <c r="A96" s="6" t="s">
        <v>5691</v>
      </c>
      <c r="B96" s="71" t="s">
        <v>5856</v>
      </c>
      <c r="C96" s="66">
        <v>48</v>
      </c>
      <c r="D96" s="79" t="str">
        <f>HYPERLINK("https://rmda.kulib.kyoto-u.ac.jp/item/rb00003539#?c=0&amp;m=0&amp;s=0&amp;cv=47")</f>
        <v>https://rmda.kulib.kyoto-u.ac.jp/item/rb00003539#?c=0&amp;m=0&amp;s=0&amp;cv=47</v>
      </c>
    </row>
    <row r="97" spans="1:4" x14ac:dyDescent="0.15">
      <c r="A97" s="6" t="s">
        <v>5691</v>
      </c>
      <c r="B97" s="71" t="s">
        <v>5857</v>
      </c>
      <c r="C97" s="66">
        <v>49</v>
      </c>
      <c r="D97" s="79" t="str">
        <f>HYPERLINK("https://rmda.kulib.kyoto-u.ac.jp/item/rb00003539#?c=0&amp;m=0&amp;s=0&amp;cv=48")</f>
        <v>https://rmda.kulib.kyoto-u.ac.jp/item/rb00003539#?c=0&amp;m=0&amp;s=0&amp;cv=48</v>
      </c>
    </row>
    <row r="98" spans="1:4" x14ac:dyDescent="0.15">
      <c r="A98" s="6" t="s">
        <v>5691</v>
      </c>
      <c r="B98" s="71" t="s">
        <v>5858</v>
      </c>
      <c r="C98" s="66">
        <v>49</v>
      </c>
      <c r="D98" s="79" t="str">
        <f>HYPERLINK("https://rmda.kulib.kyoto-u.ac.jp/item/rb00003539#?c=0&amp;m=0&amp;s=0&amp;cv=48")</f>
        <v>https://rmda.kulib.kyoto-u.ac.jp/item/rb00003539#?c=0&amp;m=0&amp;s=0&amp;cv=48</v>
      </c>
    </row>
    <row r="99" spans="1:4" x14ac:dyDescent="0.15">
      <c r="A99" s="6" t="s">
        <v>5691</v>
      </c>
      <c r="B99" s="71" t="s">
        <v>5859</v>
      </c>
      <c r="C99" s="66">
        <v>49</v>
      </c>
      <c r="D99" s="79" t="str">
        <f>HYPERLINK("https://rmda.kulib.kyoto-u.ac.jp/item/rb00003539#?c=0&amp;m=0&amp;s=0&amp;cv=48")</f>
        <v>https://rmda.kulib.kyoto-u.ac.jp/item/rb00003539#?c=0&amp;m=0&amp;s=0&amp;cv=48</v>
      </c>
    </row>
    <row r="100" spans="1:4" x14ac:dyDescent="0.15">
      <c r="A100" s="6" t="s">
        <v>5691</v>
      </c>
      <c r="B100" s="71" t="s">
        <v>5860</v>
      </c>
      <c r="C100" s="66">
        <v>50</v>
      </c>
      <c r="D100" s="79" t="str">
        <f>HYPERLINK("https://rmda.kulib.kyoto-u.ac.jp/item/rb00003539#?c=0&amp;m=0&amp;s=0&amp;cv=49")</f>
        <v>https://rmda.kulib.kyoto-u.ac.jp/item/rb00003539#?c=0&amp;m=0&amp;s=0&amp;cv=49</v>
      </c>
    </row>
    <row r="101" spans="1:4" x14ac:dyDescent="0.15">
      <c r="A101" s="6" t="s">
        <v>5691</v>
      </c>
      <c r="B101" s="71" t="s">
        <v>5862</v>
      </c>
      <c r="C101" s="66">
        <v>50</v>
      </c>
      <c r="D101" s="79" t="str">
        <f>HYPERLINK("https://rmda.kulib.kyoto-u.ac.jp/item/rb00003539#?c=0&amp;m=0&amp;s=0&amp;cv=49")</f>
        <v>https://rmda.kulib.kyoto-u.ac.jp/item/rb00003539#?c=0&amp;m=0&amp;s=0&amp;cv=49</v>
      </c>
    </row>
    <row r="102" spans="1:4" x14ac:dyDescent="0.15">
      <c r="A102" s="6" t="s">
        <v>5691</v>
      </c>
      <c r="B102" s="71" t="s">
        <v>5861</v>
      </c>
      <c r="C102" s="66">
        <v>51</v>
      </c>
      <c r="D102" s="79" t="str">
        <f>HYPERLINK("https://rmda.kulib.kyoto-u.ac.jp/item/rb00003539#?c=0&amp;m=0&amp;s=0&amp;cv=50")</f>
        <v>https://rmda.kulib.kyoto-u.ac.jp/item/rb00003539#?c=0&amp;m=0&amp;s=0&amp;cv=50</v>
      </c>
    </row>
    <row r="103" spans="1:4" x14ac:dyDescent="0.15">
      <c r="A103" s="6" t="s">
        <v>5691</v>
      </c>
      <c r="B103" s="71" t="s">
        <v>5870</v>
      </c>
      <c r="C103" s="66">
        <v>51</v>
      </c>
      <c r="D103" s="79" t="str">
        <f>HYPERLINK("https://rmda.kulib.kyoto-u.ac.jp/item/rb00003539#?c=0&amp;m=0&amp;s=0&amp;cv=50")</f>
        <v>https://rmda.kulib.kyoto-u.ac.jp/item/rb00003539#?c=0&amp;m=0&amp;s=0&amp;cv=50</v>
      </c>
    </row>
    <row r="104" spans="1:4" x14ac:dyDescent="0.15">
      <c r="A104" s="6" t="s">
        <v>5691</v>
      </c>
      <c r="B104" s="71" t="s">
        <v>5863</v>
      </c>
      <c r="C104" s="66">
        <v>51</v>
      </c>
      <c r="D104" s="79" t="str">
        <f>HYPERLINK("https://rmda.kulib.kyoto-u.ac.jp/item/rb00003539#?c=0&amp;m=0&amp;s=0&amp;cv=50")</f>
        <v>https://rmda.kulib.kyoto-u.ac.jp/item/rb00003539#?c=0&amp;m=0&amp;s=0&amp;cv=50</v>
      </c>
    </row>
    <row r="105" spans="1:4" x14ac:dyDescent="0.15">
      <c r="A105" s="6" t="s">
        <v>5691</v>
      </c>
      <c r="B105" s="71" t="s">
        <v>5864</v>
      </c>
      <c r="C105" s="66">
        <v>51</v>
      </c>
      <c r="D105" s="79" t="str">
        <f>HYPERLINK("https://rmda.kulib.kyoto-u.ac.jp/item/rb00003539#?c=0&amp;m=0&amp;s=0&amp;cv=50")</f>
        <v>https://rmda.kulib.kyoto-u.ac.jp/item/rb00003539#?c=0&amp;m=0&amp;s=0&amp;cv=50</v>
      </c>
    </row>
    <row r="106" spans="1:4" x14ac:dyDescent="0.15">
      <c r="A106" s="6" t="s">
        <v>5691</v>
      </c>
      <c r="B106" s="71" t="s">
        <v>5871</v>
      </c>
      <c r="C106" s="66">
        <v>52</v>
      </c>
      <c r="D106" s="79" t="str">
        <f>HYPERLINK("https://rmda.kulib.kyoto-u.ac.jp/item/rb00003539#?c=0&amp;m=0&amp;s=0&amp;cv=51")</f>
        <v>https://rmda.kulib.kyoto-u.ac.jp/item/rb00003539#?c=0&amp;m=0&amp;s=0&amp;cv=51</v>
      </c>
    </row>
    <row r="107" spans="1:4" x14ac:dyDescent="0.15">
      <c r="A107" s="6" t="s">
        <v>5691</v>
      </c>
      <c r="B107" s="71" t="s">
        <v>5865</v>
      </c>
      <c r="C107" s="66">
        <v>52</v>
      </c>
      <c r="D107" s="79" t="str">
        <f>HYPERLINK("https://rmda.kulib.kyoto-u.ac.jp/item/rb00003539#?c=0&amp;m=0&amp;s=0&amp;cv=51")</f>
        <v>https://rmda.kulib.kyoto-u.ac.jp/item/rb00003539#?c=0&amp;m=0&amp;s=0&amp;cv=51</v>
      </c>
    </row>
    <row r="108" spans="1:4" x14ac:dyDescent="0.15">
      <c r="A108" s="6" t="s">
        <v>5691</v>
      </c>
      <c r="B108" s="71" t="s">
        <v>5869</v>
      </c>
      <c r="C108" s="66">
        <v>52</v>
      </c>
      <c r="D108" s="79" t="str">
        <f>HYPERLINK("https://rmda.kulib.kyoto-u.ac.jp/item/rb00003539#?c=0&amp;m=0&amp;s=0&amp;cv=51")</f>
        <v>https://rmda.kulib.kyoto-u.ac.jp/item/rb00003539#?c=0&amp;m=0&amp;s=0&amp;cv=51</v>
      </c>
    </row>
    <row r="109" spans="1:4" x14ac:dyDescent="0.15">
      <c r="A109" s="6" t="s">
        <v>5691</v>
      </c>
      <c r="B109" s="71" t="s">
        <v>5866</v>
      </c>
      <c r="C109" s="66">
        <v>53</v>
      </c>
      <c r="D109" s="79" t="str">
        <f>HYPERLINK("https://rmda.kulib.kyoto-u.ac.jp/item/rb00003539#?c=0&amp;m=0&amp;s=0&amp;cv=52")</f>
        <v>https://rmda.kulib.kyoto-u.ac.jp/item/rb00003539#?c=0&amp;m=0&amp;s=0&amp;cv=52</v>
      </c>
    </row>
    <row r="110" spans="1:4" x14ac:dyDescent="0.15">
      <c r="A110" s="6" t="s">
        <v>5691</v>
      </c>
      <c r="B110" s="71" t="s">
        <v>5867</v>
      </c>
      <c r="C110" s="66">
        <v>53</v>
      </c>
      <c r="D110" s="79" t="str">
        <f>HYPERLINK("https://rmda.kulib.kyoto-u.ac.jp/item/rb00003539#?c=0&amp;m=0&amp;s=0&amp;cv=52")</f>
        <v>https://rmda.kulib.kyoto-u.ac.jp/item/rb00003539#?c=0&amp;m=0&amp;s=0&amp;cv=52</v>
      </c>
    </row>
    <row r="111" spans="1:4" x14ac:dyDescent="0.15">
      <c r="A111" s="6" t="s">
        <v>5691</v>
      </c>
      <c r="B111" s="71" t="s">
        <v>5868</v>
      </c>
      <c r="C111" s="66">
        <v>54</v>
      </c>
      <c r="D111" s="79" t="str">
        <f>HYPERLINK("https://rmda.kulib.kyoto-u.ac.jp/item/rb00003539#?c=0&amp;m=0&amp;s=0&amp;cv=53")</f>
        <v>https://rmda.kulib.kyoto-u.ac.jp/item/rb00003539#?c=0&amp;m=0&amp;s=0&amp;cv=53</v>
      </c>
    </row>
    <row r="112" spans="1:4" x14ac:dyDescent="0.15">
      <c r="A112" s="6" t="s">
        <v>5691</v>
      </c>
      <c r="B112" s="6" t="s">
        <v>5785</v>
      </c>
      <c r="C112" s="66">
        <v>54</v>
      </c>
      <c r="D112" s="66" t="str">
        <f>HYPERLINK("https://rmda.kulib.kyoto-u.ac.jp/item/rb00003539#?c=0&amp;m=0&amp;s=0&amp;cv=53")</f>
        <v>https://rmda.kulib.kyoto-u.ac.jp/item/rb00003539#?c=0&amp;m=0&amp;s=0&amp;cv=53</v>
      </c>
    </row>
    <row r="113" spans="1:4" x14ac:dyDescent="0.15">
      <c r="A113" s="6" t="s">
        <v>5691</v>
      </c>
      <c r="B113" s="6" t="s">
        <v>5726</v>
      </c>
      <c r="C113" s="66">
        <v>54</v>
      </c>
      <c r="D113" s="66" t="str">
        <f>HYPERLINK("https://rmda.kulib.kyoto-u.ac.jp/item/rb00003539#?c=0&amp;m=0&amp;s=0&amp;cv=53")</f>
        <v>https://rmda.kulib.kyoto-u.ac.jp/item/rb00003539#?c=0&amp;m=0&amp;s=0&amp;cv=53</v>
      </c>
    </row>
    <row r="114" spans="1:4" x14ac:dyDescent="0.15">
      <c r="A114" s="6" t="s">
        <v>5691</v>
      </c>
      <c r="B114" s="6" t="s">
        <v>5727</v>
      </c>
      <c r="C114" s="66">
        <v>55</v>
      </c>
      <c r="D114" s="66" t="str">
        <f>HYPERLINK("https://rmda.kulib.kyoto-u.ac.jp/item/rb00003539#?c=0&amp;m=0&amp;s=0&amp;cv=54")</f>
        <v>https://rmda.kulib.kyoto-u.ac.jp/item/rb00003539#?c=0&amp;m=0&amp;s=0&amp;cv=54</v>
      </c>
    </row>
    <row r="115" spans="1:4" x14ac:dyDescent="0.15">
      <c r="A115" s="6" t="s">
        <v>5691</v>
      </c>
      <c r="B115" s="6" t="s">
        <v>5728</v>
      </c>
      <c r="C115" s="66">
        <v>55</v>
      </c>
      <c r="D115" s="66" t="str">
        <f>HYPERLINK("https://rmda.kulib.kyoto-u.ac.jp/item/rb00003539#?c=0&amp;m=0&amp;s=0&amp;cv=54")</f>
        <v>https://rmda.kulib.kyoto-u.ac.jp/item/rb00003539#?c=0&amp;m=0&amp;s=0&amp;cv=54</v>
      </c>
    </row>
    <row r="116" spans="1:4" x14ac:dyDescent="0.15">
      <c r="A116" s="6" t="s">
        <v>5691</v>
      </c>
      <c r="B116" s="6" t="s">
        <v>5729</v>
      </c>
      <c r="C116" s="66">
        <v>56</v>
      </c>
      <c r="D116" s="66" t="str">
        <f t="shared" ref="D116:D122" si="0">HYPERLINK("https://rmda.kulib.kyoto-u.ac.jp/item/rb00003539#?c=0&amp;m=0&amp;s=0&amp;cv=55")</f>
        <v>https://rmda.kulib.kyoto-u.ac.jp/item/rb00003539#?c=0&amp;m=0&amp;s=0&amp;cv=55</v>
      </c>
    </row>
    <row r="117" spans="1:4" x14ac:dyDescent="0.15">
      <c r="A117" s="6" t="s">
        <v>5691</v>
      </c>
      <c r="B117" s="6" t="s">
        <v>5786</v>
      </c>
      <c r="C117" s="66">
        <v>56</v>
      </c>
      <c r="D117" s="66" t="str">
        <f t="shared" si="0"/>
        <v>https://rmda.kulib.kyoto-u.ac.jp/item/rb00003539#?c=0&amp;m=0&amp;s=0&amp;cv=55</v>
      </c>
    </row>
    <row r="118" spans="1:4" x14ac:dyDescent="0.15">
      <c r="A118" s="6" t="s">
        <v>5691</v>
      </c>
      <c r="B118" s="6" t="s">
        <v>5787</v>
      </c>
      <c r="C118" s="66">
        <v>56</v>
      </c>
      <c r="D118" s="66" t="str">
        <f t="shared" si="0"/>
        <v>https://rmda.kulib.kyoto-u.ac.jp/item/rb00003539#?c=0&amp;m=0&amp;s=0&amp;cv=55</v>
      </c>
    </row>
    <row r="119" spans="1:4" x14ac:dyDescent="0.15">
      <c r="A119" s="6" t="s">
        <v>5691</v>
      </c>
      <c r="B119" s="6" t="s">
        <v>5730</v>
      </c>
      <c r="C119" s="66">
        <v>56</v>
      </c>
      <c r="D119" s="66" t="str">
        <f t="shared" si="0"/>
        <v>https://rmda.kulib.kyoto-u.ac.jp/item/rb00003539#?c=0&amp;m=0&amp;s=0&amp;cv=55</v>
      </c>
    </row>
    <row r="120" spans="1:4" x14ac:dyDescent="0.15">
      <c r="A120" s="6" t="s">
        <v>5691</v>
      </c>
      <c r="B120" s="6" t="s">
        <v>5731</v>
      </c>
      <c r="C120" s="66">
        <v>56</v>
      </c>
      <c r="D120" s="66" t="str">
        <f t="shared" si="0"/>
        <v>https://rmda.kulib.kyoto-u.ac.jp/item/rb00003539#?c=0&amp;m=0&amp;s=0&amp;cv=55</v>
      </c>
    </row>
    <row r="121" spans="1:4" x14ac:dyDescent="0.15">
      <c r="A121" s="6" t="s">
        <v>5691</v>
      </c>
      <c r="B121" s="6" t="s">
        <v>5732</v>
      </c>
      <c r="C121" s="66">
        <v>56</v>
      </c>
      <c r="D121" s="66" t="str">
        <f t="shared" si="0"/>
        <v>https://rmda.kulib.kyoto-u.ac.jp/item/rb00003539#?c=0&amp;m=0&amp;s=0&amp;cv=55</v>
      </c>
    </row>
    <row r="122" spans="1:4" x14ac:dyDescent="0.15">
      <c r="A122" s="6" t="s">
        <v>5691</v>
      </c>
      <c r="B122" s="6" t="s">
        <v>5733</v>
      </c>
      <c r="C122" s="66">
        <v>56</v>
      </c>
      <c r="D122" s="66" t="str">
        <f t="shared" si="0"/>
        <v>https://rmda.kulib.kyoto-u.ac.jp/item/rb00003539#?c=0&amp;m=0&amp;s=0&amp;cv=55</v>
      </c>
    </row>
    <row r="123" spans="1:4" x14ac:dyDescent="0.15">
      <c r="A123" s="6" t="s">
        <v>5691</v>
      </c>
      <c r="B123" s="6" t="s">
        <v>5734</v>
      </c>
      <c r="C123" s="66">
        <v>57</v>
      </c>
      <c r="D123" s="66" t="str">
        <f>HYPERLINK("https://rmda.kulib.kyoto-u.ac.jp/item/rb00003539#?c=0&amp;m=0&amp;s=0&amp;cv=56")</f>
        <v>https://rmda.kulib.kyoto-u.ac.jp/item/rb00003539#?c=0&amp;m=0&amp;s=0&amp;cv=56</v>
      </c>
    </row>
    <row r="124" spans="1:4" x14ac:dyDescent="0.15">
      <c r="A124" s="6" t="s">
        <v>5691</v>
      </c>
      <c r="B124" s="6" t="s">
        <v>5735</v>
      </c>
      <c r="C124" s="66">
        <v>57</v>
      </c>
      <c r="D124" s="66" t="str">
        <f>HYPERLINK("https://rmda.kulib.kyoto-u.ac.jp/item/rb00003539#?c=0&amp;m=0&amp;s=0&amp;cv=56")</f>
        <v>https://rmda.kulib.kyoto-u.ac.jp/item/rb00003539#?c=0&amp;m=0&amp;s=0&amp;cv=56</v>
      </c>
    </row>
    <row r="125" spans="1:4" x14ac:dyDescent="0.15">
      <c r="A125" s="6" t="s">
        <v>5691</v>
      </c>
      <c r="B125" s="72" t="s">
        <v>5736</v>
      </c>
      <c r="C125" s="66">
        <v>59</v>
      </c>
      <c r="D125" s="66" t="str">
        <f>HYPERLINK("https://rmda.kulib.kyoto-u.ac.jp/item/rb00003539#?c=0&amp;m=0&amp;s=0&amp;cv=58")</f>
        <v>https://rmda.kulib.kyoto-u.ac.jp/item/rb00003539#?c=0&amp;m=0&amp;s=0&amp;cv=58</v>
      </c>
    </row>
    <row r="126" spans="1:4" x14ac:dyDescent="0.15">
      <c r="A126" s="6" t="s">
        <v>5691</v>
      </c>
      <c r="B126" s="71" t="s">
        <v>5737</v>
      </c>
      <c r="C126" s="66">
        <v>59</v>
      </c>
      <c r="D126" s="66" t="str">
        <f>HYPERLINK("https://rmda.kulib.kyoto-u.ac.jp/item/rb00003539#?c=0&amp;m=0&amp;s=0&amp;cv=58")</f>
        <v>https://rmda.kulib.kyoto-u.ac.jp/item/rb00003539#?c=0&amp;m=0&amp;s=0&amp;cv=58</v>
      </c>
    </row>
    <row r="127" spans="1:4" x14ac:dyDescent="0.15">
      <c r="A127" s="6" t="s">
        <v>5691</v>
      </c>
      <c r="B127" s="71" t="s">
        <v>5872</v>
      </c>
      <c r="C127" s="66">
        <v>59</v>
      </c>
      <c r="D127" s="66" t="str">
        <f>HYPERLINK("https://rmda.kulib.kyoto-u.ac.jp/item/rb00003539#?c=0&amp;m=0&amp;s=0&amp;cv=58")</f>
        <v>https://rmda.kulib.kyoto-u.ac.jp/item/rb00003539#?c=0&amp;m=0&amp;s=0&amp;cv=58</v>
      </c>
    </row>
    <row r="128" spans="1:4" x14ac:dyDescent="0.15">
      <c r="A128" s="6" t="s">
        <v>5691</v>
      </c>
      <c r="B128" s="71" t="s">
        <v>5874</v>
      </c>
      <c r="C128" s="66">
        <v>59</v>
      </c>
      <c r="D128" s="66" t="str">
        <f>HYPERLINK("https://rmda.kulib.kyoto-u.ac.jp/item/rb00003539#?c=0&amp;m=0&amp;s=0&amp;cv=58")</f>
        <v>https://rmda.kulib.kyoto-u.ac.jp/item/rb00003539#?c=0&amp;m=0&amp;s=0&amp;cv=58</v>
      </c>
    </row>
    <row r="129" spans="1:4" x14ac:dyDescent="0.15">
      <c r="A129" s="6" t="s">
        <v>5691</v>
      </c>
      <c r="B129" s="71" t="s">
        <v>5873</v>
      </c>
      <c r="C129" s="66">
        <v>60</v>
      </c>
      <c r="D129" s="79" t="str">
        <f>HYPERLINK("https://rmda.kulib.kyoto-u.ac.jp/item/rb00003539#?c=0&amp;m=0&amp;s=0&amp;cv=59")</f>
        <v>https://rmda.kulib.kyoto-u.ac.jp/item/rb00003539#?c=0&amp;m=0&amp;s=0&amp;cv=59</v>
      </c>
    </row>
    <row r="130" spans="1:4" x14ac:dyDescent="0.15">
      <c r="A130" s="6" t="s">
        <v>5691</v>
      </c>
      <c r="B130" s="71" t="s">
        <v>5875</v>
      </c>
      <c r="C130" s="66">
        <v>60</v>
      </c>
      <c r="D130" s="79" t="str">
        <f>HYPERLINK("https://rmda.kulib.kyoto-u.ac.jp/item/rb00003539#?c=0&amp;m=0&amp;s=0&amp;cv=59")</f>
        <v>https://rmda.kulib.kyoto-u.ac.jp/item/rb00003539#?c=0&amp;m=0&amp;s=0&amp;cv=59</v>
      </c>
    </row>
    <row r="131" spans="1:4" x14ac:dyDescent="0.15">
      <c r="A131" s="6" t="s">
        <v>5691</v>
      </c>
      <c r="B131" s="71" t="s">
        <v>5876</v>
      </c>
      <c r="C131" s="66">
        <v>60</v>
      </c>
      <c r="D131" s="79" t="str">
        <f>HYPERLINK("https://rmda.kulib.kyoto-u.ac.jp/item/rb00003539#?c=0&amp;m=0&amp;s=0&amp;cv=59")</f>
        <v>https://rmda.kulib.kyoto-u.ac.jp/item/rb00003539#?c=0&amp;m=0&amp;s=0&amp;cv=59</v>
      </c>
    </row>
    <row r="132" spans="1:4" x14ac:dyDescent="0.15">
      <c r="A132" s="6" t="s">
        <v>5691</v>
      </c>
      <c r="B132" s="71" t="s">
        <v>5877</v>
      </c>
      <c r="C132" s="66">
        <v>61</v>
      </c>
      <c r="D132" s="79" t="str">
        <f>HYPERLINK("https://rmda.kulib.kyoto-u.ac.jp/item/rb00003539#?c=0&amp;m=0&amp;s=0&amp;cv=60")</f>
        <v>https://rmda.kulib.kyoto-u.ac.jp/item/rb00003539#?c=0&amp;m=0&amp;s=0&amp;cv=60</v>
      </c>
    </row>
    <row r="133" spans="1:4" x14ac:dyDescent="0.15">
      <c r="A133" s="6" t="s">
        <v>5691</v>
      </c>
      <c r="B133" s="71" t="s">
        <v>5878</v>
      </c>
      <c r="C133" s="66">
        <v>61</v>
      </c>
      <c r="D133" s="79" t="str">
        <f>HYPERLINK("https://rmda.kulib.kyoto-u.ac.jp/item/rb00003539#?c=0&amp;m=0&amp;s=0&amp;cv=60")</f>
        <v>https://rmda.kulib.kyoto-u.ac.jp/item/rb00003539#?c=0&amp;m=0&amp;s=0&amp;cv=60</v>
      </c>
    </row>
    <row r="134" spans="1:4" x14ac:dyDescent="0.15">
      <c r="A134" s="6" t="s">
        <v>5691</v>
      </c>
      <c r="B134" s="6" t="s">
        <v>5738</v>
      </c>
      <c r="C134" s="66">
        <v>61</v>
      </c>
      <c r="D134" s="66" t="str">
        <f>HYPERLINK("https://rmda.kulib.kyoto-u.ac.jp/item/rb00003539#?c=0&amp;m=0&amp;s=0&amp;cv=60")</f>
        <v>https://rmda.kulib.kyoto-u.ac.jp/item/rb00003539#?c=0&amp;m=0&amp;s=0&amp;cv=60</v>
      </c>
    </row>
    <row r="135" spans="1:4" x14ac:dyDescent="0.15">
      <c r="A135" s="6" t="s">
        <v>5691</v>
      </c>
      <c r="B135" s="6" t="s">
        <v>5739</v>
      </c>
      <c r="C135" s="66">
        <v>62</v>
      </c>
      <c r="D135" s="66" t="str">
        <f>HYPERLINK("https://rmda.kulib.kyoto-u.ac.jp/item/rb00003539#?c=0&amp;m=0&amp;s=0&amp;cv=61")</f>
        <v>https://rmda.kulib.kyoto-u.ac.jp/item/rb00003539#?c=0&amp;m=0&amp;s=0&amp;cv=61</v>
      </c>
    </row>
    <row r="136" spans="1:4" x14ac:dyDescent="0.15">
      <c r="A136" s="6" t="s">
        <v>5691</v>
      </c>
      <c r="B136" s="6" t="s">
        <v>5740</v>
      </c>
      <c r="C136" s="6">
        <v>62</v>
      </c>
      <c r="D136" s="6" t="str">
        <f>HYPERLINK("https://rmda.kulib.kyoto-u.ac.jp/item/rb00003539#?c=0&amp;m=0&amp;s=0&amp;cv=61")</f>
        <v>https://rmda.kulib.kyoto-u.ac.jp/item/rb00003539#?c=0&amp;m=0&amp;s=0&amp;cv=61</v>
      </c>
    </row>
    <row r="137" spans="1:4" x14ac:dyDescent="0.15">
      <c r="A137" s="6" t="s">
        <v>5691</v>
      </c>
      <c r="B137" s="6" t="s">
        <v>5741</v>
      </c>
      <c r="C137" s="6">
        <v>63</v>
      </c>
      <c r="D137" s="6" t="str">
        <f>HYPERLINK("https://rmda.kulib.kyoto-u.ac.jp/item/rb00003539#?c=0&amp;m=0&amp;s=0&amp;cv=62")</f>
        <v>https://rmda.kulib.kyoto-u.ac.jp/item/rb00003539#?c=0&amp;m=0&amp;s=0&amp;cv=62</v>
      </c>
    </row>
    <row r="138" spans="1:4" x14ac:dyDescent="0.15">
      <c r="A138" s="6" t="s">
        <v>5691</v>
      </c>
      <c r="B138" s="6" t="s">
        <v>5742</v>
      </c>
      <c r="C138" s="6">
        <v>63</v>
      </c>
      <c r="D138" s="6" t="str">
        <f>HYPERLINK("https://rmda.kulib.kyoto-u.ac.jp/item/rb00003539#?c=0&amp;m=0&amp;s=0&amp;cv=62")</f>
        <v>https://rmda.kulib.kyoto-u.ac.jp/item/rb00003539#?c=0&amp;m=0&amp;s=0&amp;cv=62</v>
      </c>
    </row>
    <row r="139" spans="1:4" x14ac:dyDescent="0.15">
      <c r="A139" s="6" t="s">
        <v>5691</v>
      </c>
      <c r="B139" s="6" t="s">
        <v>5743</v>
      </c>
      <c r="C139" s="6">
        <v>64</v>
      </c>
      <c r="D139" s="6" t="str">
        <f>HYPERLINK("https://rmda.kulib.kyoto-u.ac.jp/item/rb00003539#?c=0&amp;m=0&amp;s=0&amp;cv=63")</f>
        <v>https://rmda.kulib.kyoto-u.ac.jp/item/rb00003539#?c=0&amp;m=0&amp;s=0&amp;cv=63</v>
      </c>
    </row>
    <row r="140" spans="1:4" x14ac:dyDescent="0.15">
      <c r="A140" s="6" t="s">
        <v>5691</v>
      </c>
      <c r="B140" s="63" t="s">
        <v>5744</v>
      </c>
      <c r="C140" s="6">
        <v>65</v>
      </c>
      <c r="D140" s="6" t="str">
        <f>HYPERLINK("https://rmda.kulib.kyoto-u.ac.jp/item/rb00003539#?c=0&amp;m=0&amp;s=0&amp;cv=64")</f>
        <v>https://rmda.kulib.kyoto-u.ac.jp/item/rb00003539#?c=0&amp;m=0&amp;s=0&amp;cv=64</v>
      </c>
    </row>
    <row r="141" spans="1:4" x14ac:dyDescent="0.15">
      <c r="A141" s="6" t="s">
        <v>5691</v>
      </c>
      <c r="B141" s="6" t="s">
        <v>5879</v>
      </c>
      <c r="C141" s="6">
        <v>65</v>
      </c>
      <c r="D141" s="6" t="str">
        <f>HYPERLINK("https://rmda.kulib.kyoto-u.ac.jp/item/rb00003539#?c=0&amp;m=0&amp;s=0&amp;cv=64")</f>
        <v>https://rmda.kulib.kyoto-u.ac.jp/item/rb00003539#?c=0&amp;m=0&amp;s=0&amp;cv=64</v>
      </c>
    </row>
    <row r="142" spans="1:4" x14ac:dyDescent="0.15">
      <c r="A142" s="6" t="s">
        <v>5691</v>
      </c>
      <c r="B142" s="6" t="s">
        <v>5880</v>
      </c>
      <c r="C142" s="6">
        <v>65</v>
      </c>
      <c r="D142" s="6" t="str">
        <f>HYPERLINK("https://rmda.kulib.kyoto-u.ac.jp/item/rb00003539#?c=0&amp;m=0&amp;s=0&amp;cv=64")</f>
        <v>https://rmda.kulib.kyoto-u.ac.jp/item/rb00003539#?c=0&amp;m=0&amp;s=0&amp;cv=64</v>
      </c>
    </row>
    <row r="143" spans="1:4" x14ac:dyDescent="0.15">
      <c r="A143" s="6" t="s">
        <v>5691</v>
      </c>
      <c r="B143" s="6" t="s">
        <v>5881</v>
      </c>
      <c r="C143" s="6">
        <v>66</v>
      </c>
      <c r="D143" s="6" t="str">
        <f>HYPERLINK("https://rmda.kulib.kyoto-u.ac.jp/item/rb00003539#?c=0&amp;m=0&amp;s=0&amp;cv=65")</f>
        <v>https://rmda.kulib.kyoto-u.ac.jp/item/rb00003539#?c=0&amp;m=0&amp;s=0&amp;cv=65</v>
      </c>
    </row>
    <row r="144" spans="1:4" x14ac:dyDescent="0.15">
      <c r="A144" s="6" t="s">
        <v>5691</v>
      </c>
      <c r="B144" s="6" t="s">
        <v>5882</v>
      </c>
      <c r="C144" s="6">
        <v>67</v>
      </c>
      <c r="D144" s="6" t="str">
        <f t="shared" ref="D144:D149" si="1">HYPERLINK("https://rmda.kulib.kyoto-u.ac.jp/item/rb00003539#?c=0&amp;m=0&amp;s=0&amp;cv=66")</f>
        <v>https://rmda.kulib.kyoto-u.ac.jp/item/rb00003539#?c=0&amp;m=0&amp;s=0&amp;cv=66</v>
      </c>
    </row>
    <row r="145" spans="1:4" x14ac:dyDescent="0.15">
      <c r="A145" s="6" t="s">
        <v>5691</v>
      </c>
      <c r="B145" s="6" t="s">
        <v>5883</v>
      </c>
      <c r="C145" s="6">
        <v>67</v>
      </c>
      <c r="D145" s="6" t="str">
        <f t="shared" si="1"/>
        <v>https://rmda.kulib.kyoto-u.ac.jp/item/rb00003539#?c=0&amp;m=0&amp;s=0&amp;cv=66</v>
      </c>
    </row>
    <row r="146" spans="1:4" x14ac:dyDescent="0.15">
      <c r="A146" s="6" t="s">
        <v>5691</v>
      </c>
      <c r="B146" s="6" t="s">
        <v>5884</v>
      </c>
      <c r="C146" s="6">
        <v>67</v>
      </c>
      <c r="D146" s="6" t="str">
        <f t="shared" si="1"/>
        <v>https://rmda.kulib.kyoto-u.ac.jp/item/rb00003539#?c=0&amp;m=0&amp;s=0&amp;cv=66</v>
      </c>
    </row>
    <row r="147" spans="1:4" x14ac:dyDescent="0.15">
      <c r="A147" s="6" t="s">
        <v>5691</v>
      </c>
      <c r="B147" s="6" t="s">
        <v>5885</v>
      </c>
      <c r="C147" s="6">
        <v>67</v>
      </c>
      <c r="D147" s="6" t="str">
        <f t="shared" si="1"/>
        <v>https://rmda.kulib.kyoto-u.ac.jp/item/rb00003539#?c=0&amp;m=0&amp;s=0&amp;cv=66</v>
      </c>
    </row>
    <row r="148" spans="1:4" x14ac:dyDescent="0.15">
      <c r="A148" s="6" t="s">
        <v>5691</v>
      </c>
      <c r="B148" s="6" t="s">
        <v>5886</v>
      </c>
      <c r="C148" s="6">
        <v>67</v>
      </c>
      <c r="D148" s="6" t="str">
        <f t="shared" si="1"/>
        <v>https://rmda.kulib.kyoto-u.ac.jp/item/rb00003539#?c=0&amp;m=0&amp;s=0&amp;cv=66</v>
      </c>
    </row>
    <row r="149" spans="1:4" x14ac:dyDescent="0.15">
      <c r="A149" s="6" t="s">
        <v>5691</v>
      </c>
      <c r="B149" s="6" t="s">
        <v>5887</v>
      </c>
      <c r="C149" s="6">
        <v>67</v>
      </c>
      <c r="D149" s="6" t="str">
        <f t="shared" si="1"/>
        <v>https://rmda.kulib.kyoto-u.ac.jp/item/rb00003539#?c=0&amp;m=0&amp;s=0&amp;cv=66</v>
      </c>
    </row>
    <row r="150" spans="1:4" x14ac:dyDescent="0.15">
      <c r="A150" s="6" t="s">
        <v>5691</v>
      </c>
      <c r="B150" s="6" t="s">
        <v>5888</v>
      </c>
      <c r="C150" s="6">
        <v>68</v>
      </c>
      <c r="D150" s="6" t="str">
        <f>HYPERLINK("https://rmda.kulib.kyoto-u.ac.jp/item/rb00003539#?c=0&amp;m=0&amp;s=0&amp;cv=67")</f>
        <v>https://rmda.kulib.kyoto-u.ac.jp/item/rb00003539#?c=0&amp;m=0&amp;s=0&amp;cv=67</v>
      </c>
    </row>
    <row r="151" spans="1:4" x14ac:dyDescent="0.15">
      <c r="A151" s="6" t="s">
        <v>5691</v>
      </c>
      <c r="B151" s="6" t="s">
        <v>5889</v>
      </c>
      <c r="C151" s="6">
        <v>68</v>
      </c>
      <c r="D151" s="6" t="str">
        <f>HYPERLINK("https://rmda.kulib.kyoto-u.ac.jp/item/rb00003539#?c=0&amp;m=0&amp;s=0&amp;cv=67")</f>
        <v>https://rmda.kulib.kyoto-u.ac.jp/item/rb00003539#?c=0&amp;m=0&amp;s=0&amp;cv=67</v>
      </c>
    </row>
    <row r="152" spans="1:4" x14ac:dyDescent="0.15">
      <c r="A152" s="6" t="s">
        <v>5691</v>
      </c>
      <c r="B152" s="6" t="s">
        <v>5890</v>
      </c>
      <c r="C152" s="6">
        <v>68</v>
      </c>
      <c r="D152" s="6" t="str">
        <f>HYPERLINK("https://rmda.kulib.kyoto-u.ac.jp/item/rb00003539#?c=0&amp;m=0&amp;s=0&amp;cv=67")</f>
        <v>https://rmda.kulib.kyoto-u.ac.jp/item/rb00003539#?c=0&amp;m=0&amp;s=0&amp;cv=67</v>
      </c>
    </row>
    <row r="153" spans="1:4" x14ac:dyDescent="0.15">
      <c r="A153" s="6" t="s">
        <v>5691</v>
      </c>
      <c r="B153" s="6" t="s">
        <v>5891</v>
      </c>
      <c r="C153" s="6">
        <v>68</v>
      </c>
      <c r="D153" s="6" t="str">
        <f>HYPERLINK("https://rmda.kulib.kyoto-u.ac.jp/item/rb00003539#?c=0&amp;m=0&amp;s=0&amp;cv=67")</f>
        <v>https://rmda.kulib.kyoto-u.ac.jp/item/rb00003539#?c=0&amp;m=0&amp;s=0&amp;cv=67</v>
      </c>
    </row>
    <row r="154" spans="1:4" x14ac:dyDescent="0.15">
      <c r="A154" s="6" t="s">
        <v>5691</v>
      </c>
      <c r="B154" s="6" t="s">
        <v>5892</v>
      </c>
      <c r="C154" s="6">
        <v>68</v>
      </c>
      <c r="D154" s="6" t="str">
        <f>HYPERLINK("https://rmda.kulib.kyoto-u.ac.jp/item/rb00003539#?c=0&amp;m=0&amp;s=0&amp;cv=67")</f>
        <v>https://rmda.kulib.kyoto-u.ac.jp/item/rb00003539#?c=0&amp;m=0&amp;s=0&amp;cv=67</v>
      </c>
    </row>
    <row r="155" spans="1:4" x14ac:dyDescent="0.15">
      <c r="A155" s="6" t="s">
        <v>5691</v>
      </c>
      <c r="B155" s="6" t="s">
        <v>5893</v>
      </c>
      <c r="C155" s="6">
        <v>69</v>
      </c>
      <c r="D155" s="6" t="str">
        <f>HYPERLINK("https://rmda.kulib.kyoto-u.ac.jp/item/rb00003539#?c=0&amp;m=0&amp;s=0&amp;cv=68")</f>
        <v>https://rmda.kulib.kyoto-u.ac.jp/item/rb00003539#?c=0&amp;m=0&amp;s=0&amp;cv=68</v>
      </c>
    </row>
    <row r="156" spans="1:4" x14ac:dyDescent="0.15">
      <c r="A156" s="6" t="s">
        <v>5691</v>
      </c>
      <c r="B156" s="6" t="s">
        <v>5894</v>
      </c>
      <c r="C156" s="6">
        <v>69</v>
      </c>
      <c r="D156" s="6" t="str">
        <f>HYPERLINK("https://rmda.kulib.kyoto-u.ac.jp/item/rb00003539#?c=0&amp;m=0&amp;s=0&amp;cv=68")</f>
        <v>https://rmda.kulib.kyoto-u.ac.jp/item/rb00003539#?c=0&amp;m=0&amp;s=0&amp;cv=68</v>
      </c>
    </row>
    <row r="157" spans="1:4" x14ac:dyDescent="0.15">
      <c r="A157" s="6" t="s">
        <v>5691</v>
      </c>
      <c r="B157" s="6" t="s">
        <v>5895</v>
      </c>
      <c r="C157" s="6">
        <v>69</v>
      </c>
      <c r="D157" s="6" t="str">
        <f>HYPERLINK("https://rmda.kulib.kyoto-u.ac.jp/item/rb00003539#?c=0&amp;m=0&amp;s=0&amp;cv=68")</f>
        <v>https://rmda.kulib.kyoto-u.ac.jp/item/rb00003539#?c=0&amp;m=0&amp;s=0&amp;cv=68</v>
      </c>
    </row>
    <row r="158" spans="1:4" x14ac:dyDescent="0.15">
      <c r="A158" s="6" t="s">
        <v>5691</v>
      </c>
      <c r="B158" s="6" t="s">
        <v>5896</v>
      </c>
      <c r="C158" s="6">
        <v>69</v>
      </c>
      <c r="D158" s="6" t="str">
        <f>HYPERLINK("https://rmda.kulib.kyoto-u.ac.jp/item/rb00003539#?c=0&amp;m=0&amp;s=0&amp;cv=68")</f>
        <v>https://rmda.kulib.kyoto-u.ac.jp/item/rb00003539#?c=0&amp;m=0&amp;s=0&amp;cv=68</v>
      </c>
    </row>
    <row r="159" spans="1:4" x14ac:dyDescent="0.15">
      <c r="A159" s="6" t="s">
        <v>5691</v>
      </c>
      <c r="B159" s="6" t="s">
        <v>5897</v>
      </c>
      <c r="C159" s="6">
        <v>70</v>
      </c>
      <c r="D159" s="6" t="str">
        <f t="shared" ref="D159:D165" si="2">HYPERLINK("https://rmda.kulib.kyoto-u.ac.jp/item/rb00003539#?c=0&amp;m=0&amp;s=0&amp;cv=69")</f>
        <v>https://rmda.kulib.kyoto-u.ac.jp/item/rb00003539#?c=0&amp;m=0&amp;s=0&amp;cv=69</v>
      </c>
    </row>
    <row r="160" spans="1:4" x14ac:dyDescent="0.15">
      <c r="A160" s="6" t="s">
        <v>5691</v>
      </c>
      <c r="B160" s="6" t="s">
        <v>5898</v>
      </c>
      <c r="C160" s="6">
        <v>70</v>
      </c>
      <c r="D160" s="6" t="str">
        <f t="shared" si="2"/>
        <v>https://rmda.kulib.kyoto-u.ac.jp/item/rb00003539#?c=0&amp;m=0&amp;s=0&amp;cv=69</v>
      </c>
    </row>
    <row r="161" spans="1:4" x14ac:dyDescent="0.15">
      <c r="A161" s="6" t="s">
        <v>5691</v>
      </c>
      <c r="B161" s="6" t="s">
        <v>5899</v>
      </c>
      <c r="C161" s="6">
        <v>70</v>
      </c>
      <c r="D161" s="6" t="str">
        <f t="shared" si="2"/>
        <v>https://rmda.kulib.kyoto-u.ac.jp/item/rb00003539#?c=0&amp;m=0&amp;s=0&amp;cv=69</v>
      </c>
    </row>
    <row r="162" spans="1:4" x14ac:dyDescent="0.15">
      <c r="A162" s="6" t="s">
        <v>5691</v>
      </c>
      <c r="B162" s="6" t="s">
        <v>5900</v>
      </c>
      <c r="C162" s="6">
        <v>70</v>
      </c>
      <c r="D162" s="6" t="str">
        <f t="shared" si="2"/>
        <v>https://rmda.kulib.kyoto-u.ac.jp/item/rb00003539#?c=0&amp;m=0&amp;s=0&amp;cv=69</v>
      </c>
    </row>
    <row r="163" spans="1:4" x14ac:dyDescent="0.15">
      <c r="A163" s="6" t="s">
        <v>5691</v>
      </c>
      <c r="B163" s="6" t="s">
        <v>5901</v>
      </c>
      <c r="C163" s="6">
        <v>70</v>
      </c>
      <c r="D163" s="6" t="str">
        <f t="shared" si="2"/>
        <v>https://rmda.kulib.kyoto-u.ac.jp/item/rb00003539#?c=0&amp;m=0&amp;s=0&amp;cv=69</v>
      </c>
    </row>
    <row r="164" spans="1:4" x14ac:dyDescent="0.15">
      <c r="A164" s="6" t="s">
        <v>5691</v>
      </c>
      <c r="B164" s="6" t="s">
        <v>5902</v>
      </c>
      <c r="C164" s="6">
        <v>70</v>
      </c>
      <c r="D164" s="6" t="str">
        <f t="shared" si="2"/>
        <v>https://rmda.kulib.kyoto-u.ac.jp/item/rb00003539#?c=0&amp;m=0&amp;s=0&amp;cv=69</v>
      </c>
    </row>
    <row r="165" spans="1:4" x14ac:dyDescent="0.15">
      <c r="A165" s="6" t="s">
        <v>5691</v>
      </c>
      <c r="B165" s="6" t="s">
        <v>5903</v>
      </c>
      <c r="C165" s="6">
        <v>70</v>
      </c>
      <c r="D165" s="6" t="str">
        <f t="shared" si="2"/>
        <v>https://rmda.kulib.kyoto-u.ac.jp/item/rb00003539#?c=0&amp;m=0&amp;s=0&amp;cv=69</v>
      </c>
    </row>
    <row r="166" spans="1:4" x14ac:dyDescent="0.15">
      <c r="A166" s="6" t="s">
        <v>5691</v>
      </c>
      <c r="B166" s="6" t="s">
        <v>5904</v>
      </c>
      <c r="C166" s="6">
        <v>71</v>
      </c>
      <c r="D166" s="6" t="str">
        <f t="shared" ref="D166:D173" si="3">HYPERLINK("https://rmda.kulib.kyoto-u.ac.jp/item/rb00003539#?c=0&amp;m=0&amp;s=0&amp;cv=70")</f>
        <v>https://rmda.kulib.kyoto-u.ac.jp/item/rb00003539#?c=0&amp;m=0&amp;s=0&amp;cv=70</v>
      </c>
    </row>
    <row r="167" spans="1:4" x14ac:dyDescent="0.15">
      <c r="A167" s="6" t="s">
        <v>5691</v>
      </c>
      <c r="B167" s="6" t="s">
        <v>5905</v>
      </c>
      <c r="C167" s="6">
        <v>71</v>
      </c>
      <c r="D167" s="6" t="str">
        <f t="shared" si="3"/>
        <v>https://rmda.kulib.kyoto-u.ac.jp/item/rb00003539#?c=0&amp;m=0&amp;s=0&amp;cv=70</v>
      </c>
    </row>
    <row r="168" spans="1:4" x14ac:dyDescent="0.15">
      <c r="A168" s="6" t="s">
        <v>5691</v>
      </c>
      <c r="B168" s="6" t="s">
        <v>5906</v>
      </c>
      <c r="C168" s="6">
        <v>71</v>
      </c>
      <c r="D168" s="6" t="str">
        <f t="shared" si="3"/>
        <v>https://rmda.kulib.kyoto-u.ac.jp/item/rb00003539#?c=0&amp;m=0&amp;s=0&amp;cv=70</v>
      </c>
    </row>
    <row r="169" spans="1:4" x14ac:dyDescent="0.15">
      <c r="A169" s="6" t="s">
        <v>5691</v>
      </c>
      <c r="B169" s="6" t="s">
        <v>5907</v>
      </c>
      <c r="C169" s="6">
        <v>71</v>
      </c>
      <c r="D169" s="6" t="str">
        <f t="shared" si="3"/>
        <v>https://rmda.kulib.kyoto-u.ac.jp/item/rb00003539#?c=0&amp;m=0&amp;s=0&amp;cv=70</v>
      </c>
    </row>
    <row r="170" spans="1:4" x14ac:dyDescent="0.15">
      <c r="A170" s="6" t="s">
        <v>5691</v>
      </c>
      <c r="B170" s="6" t="s">
        <v>5908</v>
      </c>
      <c r="C170" s="6">
        <v>71</v>
      </c>
      <c r="D170" s="6" t="str">
        <f t="shared" si="3"/>
        <v>https://rmda.kulib.kyoto-u.ac.jp/item/rb00003539#?c=0&amp;m=0&amp;s=0&amp;cv=70</v>
      </c>
    </row>
    <row r="171" spans="1:4" x14ac:dyDescent="0.15">
      <c r="A171" s="6" t="s">
        <v>5691</v>
      </c>
      <c r="B171" s="6" t="s">
        <v>5909</v>
      </c>
      <c r="C171" s="6">
        <v>71</v>
      </c>
      <c r="D171" s="6" t="str">
        <f t="shared" si="3"/>
        <v>https://rmda.kulib.kyoto-u.ac.jp/item/rb00003539#?c=0&amp;m=0&amp;s=0&amp;cv=70</v>
      </c>
    </row>
    <row r="172" spans="1:4" x14ac:dyDescent="0.15">
      <c r="A172" s="6" t="s">
        <v>5691</v>
      </c>
      <c r="B172" s="6" t="s">
        <v>5910</v>
      </c>
      <c r="C172" s="6">
        <v>71</v>
      </c>
      <c r="D172" s="6" t="str">
        <f t="shared" si="3"/>
        <v>https://rmda.kulib.kyoto-u.ac.jp/item/rb00003539#?c=0&amp;m=0&amp;s=0&amp;cv=70</v>
      </c>
    </row>
    <row r="173" spans="1:4" x14ac:dyDescent="0.15">
      <c r="A173" s="6" t="s">
        <v>5691</v>
      </c>
      <c r="B173" s="6" t="s">
        <v>5911</v>
      </c>
      <c r="C173" s="6">
        <v>71</v>
      </c>
      <c r="D173" s="6" t="str">
        <f t="shared" si="3"/>
        <v>https://rmda.kulib.kyoto-u.ac.jp/item/rb00003539#?c=0&amp;m=0&amp;s=0&amp;cv=70</v>
      </c>
    </row>
    <row r="174" spans="1:4" x14ac:dyDescent="0.15">
      <c r="A174" s="6" t="s">
        <v>5691</v>
      </c>
      <c r="B174" s="6" t="s">
        <v>5912</v>
      </c>
      <c r="C174" s="6">
        <v>72</v>
      </c>
      <c r="D174" s="6" t="str">
        <f t="shared" ref="D174:D180" si="4">HYPERLINK("https://rmda.kulib.kyoto-u.ac.jp/item/rb00003539#?c=0&amp;m=0&amp;s=0&amp;cv=71")</f>
        <v>https://rmda.kulib.kyoto-u.ac.jp/item/rb00003539#?c=0&amp;m=0&amp;s=0&amp;cv=71</v>
      </c>
    </row>
    <row r="175" spans="1:4" x14ac:dyDescent="0.15">
      <c r="A175" s="6" t="s">
        <v>5691</v>
      </c>
      <c r="B175" s="6" t="s">
        <v>5913</v>
      </c>
      <c r="C175" s="6">
        <v>72</v>
      </c>
      <c r="D175" s="6" t="str">
        <f t="shared" si="4"/>
        <v>https://rmda.kulib.kyoto-u.ac.jp/item/rb00003539#?c=0&amp;m=0&amp;s=0&amp;cv=71</v>
      </c>
    </row>
    <row r="176" spans="1:4" x14ac:dyDescent="0.15">
      <c r="A176" s="6" t="s">
        <v>5691</v>
      </c>
      <c r="B176" s="6" t="s">
        <v>5914</v>
      </c>
      <c r="C176" s="6">
        <v>72</v>
      </c>
      <c r="D176" s="6" t="str">
        <f t="shared" si="4"/>
        <v>https://rmda.kulib.kyoto-u.ac.jp/item/rb00003539#?c=0&amp;m=0&amp;s=0&amp;cv=71</v>
      </c>
    </row>
    <row r="177" spans="1:4" x14ac:dyDescent="0.15">
      <c r="A177" s="6" t="s">
        <v>5691</v>
      </c>
      <c r="B177" s="6" t="s">
        <v>5915</v>
      </c>
      <c r="C177" s="6">
        <v>72</v>
      </c>
      <c r="D177" s="6" t="str">
        <f t="shared" si="4"/>
        <v>https://rmda.kulib.kyoto-u.ac.jp/item/rb00003539#?c=0&amp;m=0&amp;s=0&amp;cv=71</v>
      </c>
    </row>
    <row r="178" spans="1:4" x14ac:dyDescent="0.15">
      <c r="A178" s="6" t="s">
        <v>5691</v>
      </c>
      <c r="B178" s="6" t="s">
        <v>5916</v>
      </c>
      <c r="C178" s="6">
        <v>72</v>
      </c>
      <c r="D178" s="6" t="str">
        <f t="shared" si="4"/>
        <v>https://rmda.kulib.kyoto-u.ac.jp/item/rb00003539#?c=0&amp;m=0&amp;s=0&amp;cv=71</v>
      </c>
    </row>
    <row r="179" spans="1:4" x14ac:dyDescent="0.15">
      <c r="A179" s="6" t="s">
        <v>5691</v>
      </c>
      <c r="B179" s="6" t="s">
        <v>5917</v>
      </c>
      <c r="C179" s="6">
        <v>72</v>
      </c>
      <c r="D179" s="6" t="str">
        <f t="shared" si="4"/>
        <v>https://rmda.kulib.kyoto-u.ac.jp/item/rb00003539#?c=0&amp;m=0&amp;s=0&amp;cv=71</v>
      </c>
    </row>
    <row r="180" spans="1:4" x14ac:dyDescent="0.15">
      <c r="A180" s="6" t="s">
        <v>5691</v>
      </c>
      <c r="B180" s="6" t="s">
        <v>5918</v>
      </c>
      <c r="C180" s="6">
        <v>72</v>
      </c>
      <c r="D180" s="6" t="str">
        <f t="shared" si="4"/>
        <v>https://rmda.kulib.kyoto-u.ac.jp/item/rb00003539#?c=0&amp;m=0&amp;s=0&amp;cv=71</v>
      </c>
    </row>
    <row r="181" spans="1:4" x14ac:dyDescent="0.15">
      <c r="A181" s="6" t="s">
        <v>5691</v>
      </c>
      <c r="B181" s="6" t="s">
        <v>5919</v>
      </c>
      <c r="C181" s="6">
        <v>73</v>
      </c>
      <c r="D181" s="6" t="str">
        <f>HYPERLINK("https://rmda.kulib.kyoto-u.ac.jp/item/rb00003539#?c=0&amp;m=0&amp;s=0&amp;cv=72")</f>
        <v>https://rmda.kulib.kyoto-u.ac.jp/item/rb00003539#?c=0&amp;m=0&amp;s=0&amp;cv=72</v>
      </c>
    </row>
    <row r="182" spans="1:4" x14ac:dyDescent="0.15">
      <c r="A182" s="6" t="s">
        <v>5691</v>
      </c>
      <c r="B182" s="6" t="s">
        <v>5920</v>
      </c>
      <c r="C182" s="6">
        <v>73</v>
      </c>
      <c r="D182" s="6" t="str">
        <f>HYPERLINK("https://rmda.kulib.kyoto-u.ac.jp/item/rb00003539#?c=0&amp;m=0&amp;s=0&amp;cv=72")</f>
        <v>https://rmda.kulib.kyoto-u.ac.jp/item/rb00003539#?c=0&amp;m=0&amp;s=0&amp;cv=72</v>
      </c>
    </row>
    <row r="183" spans="1:4" x14ac:dyDescent="0.15">
      <c r="A183" s="6" t="s">
        <v>5691</v>
      </c>
      <c r="B183" s="6" t="s">
        <v>5921</v>
      </c>
      <c r="C183" s="6">
        <v>73</v>
      </c>
      <c r="D183" s="6" t="str">
        <f>HYPERLINK("https://rmda.kulib.kyoto-u.ac.jp/item/rb00003539#?c=0&amp;m=0&amp;s=0&amp;cv=72")</f>
        <v>https://rmda.kulib.kyoto-u.ac.jp/item/rb00003539#?c=0&amp;m=0&amp;s=0&amp;cv=72</v>
      </c>
    </row>
    <row r="184" spans="1:4" x14ac:dyDescent="0.15">
      <c r="A184" s="6" t="s">
        <v>5691</v>
      </c>
      <c r="B184" s="6" t="s">
        <v>5922</v>
      </c>
      <c r="C184" s="6">
        <v>73</v>
      </c>
      <c r="D184" s="6" t="str">
        <f>HYPERLINK("https://rmda.kulib.kyoto-u.ac.jp/item/rb00003539#?c=0&amp;m=0&amp;s=0&amp;cv=72")</f>
        <v>https://rmda.kulib.kyoto-u.ac.jp/item/rb00003539#?c=0&amp;m=0&amp;s=0&amp;cv=72</v>
      </c>
    </row>
    <row r="185" spans="1:4" x14ac:dyDescent="0.15">
      <c r="A185" s="6" t="s">
        <v>5691</v>
      </c>
      <c r="B185" s="6" t="s">
        <v>5923</v>
      </c>
      <c r="C185" s="6">
        <v>74</v>
      </c>
      <c r="D185" s="6" t="str">
        <f t="shared" ref="D185:D190" si="5">HYPERLINK("https://rmda.kulib.kyoto-u.ac.jp/item/rb00003539#?c=0&amp;m=0&amp;s=0&amp;cv=73")</f>
        <v>https://rmda.kulib.kyoto-u.ac.jp/item/rb00003539#?c=0&amp;m=0&amp;s=0&amp;cv=73</v>
      </c>
    </row>
    <row r="186" spans="1:4" x14ac:dyDescent="0.15">
      <c r="A186" s="6" t="s">
        <v>5691</v>
      </c>
      <c r="B186" s="6" t="s">
        <v>5924</v>
      </c>
      <c r="C186" s="6">
        <v>74</v>
      </c>
      <c r="D186" s="6" t="str">
        <f t="shared" si="5"/>
        <v>https://rmda.kulib.kyoto-u.ac.jp/item/rb00003539#?c=0&amp;m=0&amp;s=0&amp;cv=73</v>
      </c>
    </row>
    <row r="187" spans="1:4" x14ac:dyDescent="0.15">
      <c r="A187" s="6" t="s">
        <v>5691</v>
      </c>
      <c r="B187" s="6" t="s">
        <v>5925</v>
      </c>
      <c r="C187" s="6">
        <v>74</v>
      </c>
      <c r="D187" s="6" t="str">
        <f t="shared" si="5"/>
        <v>https://rmda.kulib.kyoto-u.ac.jp/item/rb00003539#?c=0&amp;m=0&amp;s=0&amp;cv=73</v>
      </c>
    </row>
    <row r="188" spans="1:4" x14ac:dyDescent="0.15">
      <c r="A188" s="6" t="s">
        <v>5691</v>
      </c>
      <c r="B188" s="6" t="s">
        <v>5947</v>
      </c>
      <c r="C188" s="6">
        <v>74</v>
      </c>
      <c r="D188" s="6" t="str">
        <f t="shared" si="5"/>
        <v>https://rmda.kulib.kyoto-u.ac.jp/item/rb00003539#?c=0&amp;m=0&amp;s=0&amp;cv=73</v>
      </c>
    </row>
    <row r="189" spans="1:4" x14ac:dyDescent="0.15">
      <c r="A189" s="6" t="s">
        <v>5691</v>
      </c>
      <c r="B189" s="6" t="s">
        <v>5926</v>
      </c>
      <c r="C189" s="6">
        <v>74</v>
      </c>
      <c r="D189" s="6" t="str">
        <f t="shared" si="5"/>
        <v>https://rmda.kulib.kyoto-u.ac.jp/item/rb00003539#?c=0&amp;m=0&amp;s=0&amp;cv=73</v>
      </c>
    </row>
    <row r="190" spans="1:4" x14ac:dyDescent="0.15">
      <c r="A190" s="6" t="s">
        <v>5691</v>
      </c>
      <c r="B190" s="6" t="s">
        <v>5927</v>
      </c>
      <c r="C190" s="6">
        <v>74</v>
      </c>
      <c r="D190" s="6" t="str">
        <f t="shared" si="5"/>
        <v>https://rmda.kulib.kyoto-u.ac.jp/item/rb00003539#?c=0&amp;m=0&amp;s=0&amp;cv=73</v>
      </c>
    </row>
    <row r="191" spans="1:4" x14ac:dyDescent="0.15">
      <c r="A191" s="6" t="s">
        <v>5691</v>
      </c>
      <c r="B191" s="6" t="s">
        <v>5928</v>
      </c>
      <c r="C191" s="6">
        <v>75</v>
      </c>
      <c r="D191" s="6" t="str">
        <f>HYPERLINK("https://rmda.kulib.kyoto-u.ac.jp/item/rb00003539#?c=0&amp;m=0&amp;s=0&amp;cv=74")</f>
        <v>https://rmda.kulib.kyoto-u.ac.jp/item/rb00003539#?c=0&amp;m=0&amp;s=0&amp;cv=74</v>
      </c>
    </row>
    <row r="192" spans="1:4" x14ac:dyDescent="0.15">
      <c r="A192" s="6" t="s">
        <v>5691</v>
      </c>
      <c r="B192" s="6" t="s">
        <v>5929</v>
      </c>
      <c r="C192" s="6">
        <v>75</v>
      </c>
      <c r="D192" s="6" t="str">
        <f>HYPERLINK("https://rmda.kulib.kyoto-u.ac.jp/item/rb00003539#?c=0&amp;m=0&amp;s=0&amp;cv=74")</f>
        <v>https://rmda.kulib.kyoto-u.ac.jp/item/rb00003539#?c=0&amp;m=0&amp;s=0&amp;cv=74</v>
      </c>
    </row>
    <row r="193" spans="1:4" x14ac:dyDescent="0.15">
      <c r="A193" s="6" t="s">
        <v>5691</v>
      </c>
      <c r="B193" s="6" t="s">
        <v>5930</v>
      </c>
      <c r="C193" s="6">
        <v>75</v>
      </c>
      <c r="D193" s="6" t="str">
        <f>HYPERLINK("https://rmda.kulib.kyoto-u.ac.jp/item/rb00003539#?c=0&amp;m=0&amp;s=0&amp;cv=74")</f>
        <v>https://rmda.kulib.kyoto-u.ac.jp/item/rb00003539#?c=0&amp;m=0&amp;s=0&amp;cv=74</v>
      </c>
    </row>
    <row r="194" spans="1:4" x14ac:dyDescent="0.15">
      <c r="A194" s="6" t="s">
        <v>5691</v>
      </c>
      <c r="B194" s="6" t="s">
        <v>5931</v>
      </c>
      <c r="C194" s="6">
        <v>75</v>
      </c>
      <c r="D194" s="6" t="str">
        <f>HYPERLINK("https://rmda.kulib.kyoto-u.ac.jp/item/rb00003539#?c=0&amp;m=0&amp;s=0&amp;cv=74")</f>
        <v>https://rmda.kulib.kyoto-u.ac.jp/item/rb00003539#?c=0&amp;m=0&amp;s=0&amp;cv=74</v>
      </c>
    </row>
    <row r="195" spans="1:4" x14ac:dyDescent="0.15">
      <c r="A195" s="6" t="s">
        <v>5691</v>
      </c>
      <c r="B195" s="6" t="s">
        <v>5932</v>
      </c>
      <c r="C195" s="6">
        <v>76</v>
      </c>
      <c r="D195" s="6" t="str">
        <f>HYPERLINK("https://rmda.kulib.kyoto-u.ac.jp/item/rb00003539#?c=0&amp;m=0&amp;s=0&amp;cv=75")</f>
        <v>https://rmda.kulib.kyoto-u.ac.jp/item/rb00003539#?c=0&amp;m=0&amp;s=0&amp;cv=75</v>
      </c>
    </row>
    <row r="196" spans="1:4" x14ac:dyDescent="0.15">
      <c r="A196" s="6" t="s">
        <v>5691</v>
      </c>
      <c r="B196" s="6" t="s">
        <v>5933</v>
      </c>
      <c r="C196" s="6">
        <v>76</v>
      </c>
      <c r="D196" s="6" t="str">
        <f>HYPERLINK("https://rmda.kulib.kyoto-u.ac.jp/item/rb00003539#?c=0&amp;m=0&amp;s=0&amp;cv=75")</f>
        <v>https://rmda.kulib.kyoto-u.ac.jp/item/rb00003539#?c=0&amp;m=0&amp;s=0&amp;cv=75</v>
      </c>
    </row>
    <row r="197" spans="1:4" x14ac:dyDescent="0.15">
      <c r="A197" s="6" t="s">
        <v>5691</v>
      </c>
      <c r="B197" s="6" t="s">
        <v>5934</v>
      </c>
      <c r="C197" s="6">
        <v>76</v>
      </c>
      <c r="D197" s="6" t="str">
        <f>HYPERLINK("https://rmda.kulib.kyoto-u.ac.jp/item/rb00003539#?c=0&amp;m=0&amp;s=0&amp;cv=75")</f>
        <v>https://rmda.kulib.kyoto-u.ac.jp/item/rb00003539#?c=0&amp;m=0&amp;s=0&amp;cv=75</v>
      </c>
    </row>
    <row r="198" spans="1:4" x14ac:dyDescent="0.15">
      <c r="A198" s="6" t="s">
        <v>5691</v>
      </c>
      <c r="B198" s="6" t="s">
        <v>5935</v>
      </c>
      <c r="C198" s="6">
        <v>77</v>
      </c>
      <c r="D198" s="6" t="str">
        <f>HYPERLINK("https://rmda.kulib.kyoto-u.ac.jp/item/rb00003539#?c=0&amp;m=0&amp;s=0&amp;cv=76")</f>
        <v>https://rmda.kulib.kyoto-u.ac.jp/item/rb00003539#?c=0&amp;m=0&amp;s=0&amp;cv=76</v>
      </c>
    </row>
    <row r="199" spans="1:4" x14ac:dyDescent="0.15">
      <c r="A199" s="6" t="s">
        <v>5691</v>
      </c>
      <c r="B199" s="6" t="s">
        <v>5936</v>
      </c>
      <c r="C199" s="6">
        <v>77</v>
      </c>
      <c r="D199" s="6" t="str">
        <f>HYPERLINK("https://rmda.kulib.kyoto-u.ac.jp/item/rb00003539#?c=0&amp;m=0&amp;s=0&amp;cv=76")</f>
        <v>https://rmda.kulib.kyoto-u.ac.jp/item/rb00003539#?c=0&amp;m=0&amp;s=0&amp;cv=76</v>
      </c>
    </row>
    <row r="200" spans="1:4" x14ac:dyDescent="0.15">
      <c r="A200" s="6" t="s">
        <v>5691</v>
      </c>
      <c r="B200" s="6" t="s">
        <v>3872</v>
      </c>
      <c r="C200" s="6">
        <v>77</v>
      </c>
      <c r="D200" s="6" t="str">
        <f>HYPERLINK("https://rmda.kulib.kyoto-u.ac.jp/item/rb00003539#?c=0&amp;m=0&amp;s=0&amp;cv=76")</f>
        <v>https://rmda.kulib.kyoto-u.ac.jp/item/rb00003539#?c=0&amp;m=0&amp;s=0&amp;cv=76</v>
      </c>
    </row>
    <row r="201" spans="1:4" x14ac:dyDescent="0.15">
      <c r="A201" s="6" t="s">
        <v>5691</v>
      </c>
      <c r="B201" s="6" t="s">
        <v>5937</v>
      </c>
      <c r="C201" s="6">
        <v>77</v>
      </c>
      <c r="D201" s="6" t="str">
        <f>HYPERLINK("https://rmda.kulib.kyoto-u.ac.jp/item/rb00003539#?c=0&amp;m=0&amp;s=0&amp;cv=76")</f>
        <v>https://rmda.kulib.kyoto-u.ac.jp/item/rb00003539#?c=0&amp;m=0&amp;s=0&amp;cv=76</v>
      </c>
    </row>
    <row r="202" spans="1:4" x14ac:dyDescent="0.15">
      <c r="A202" s="6" t="s">
        <v>5691</v>
      </c>
      <c r="B202" s="6" t="s">
        <v>5938</v>
      </c>
      <c r="C202" s="6">
        <v>77</v>
      </c>
      <c r="D202" s="6" t="str">
        <f>HYPERLINK("https://rmda.kulib.kyoto-u.ac.jp/item/rb00003539#?c=0&amp;m=0&amp;s=0&amp;cv=76")</f>
        <v>https://rmda.kulib.kyoto-u.ac.jp/item/rb00003539#?c=0&amp;m=0&amp;s=0&amp;cv=76</v>
      </c>
    </row>
    <row r="203" spans="1:4" x14ac:dyDescent="0.15">
      <c r="A203" s="6" t="s">
        <v>5691</v>
      </c>
      <c r="B203" s="6" t="s">
        <v>5939</v>
      </c>
      <c r="C203" s="6">
        <v>78</v>
      </c>
      <c r="D203" s="6" t="str">
        <f>HYPERLINK("https://rmda.kulib.kyoto-u.ac.jp/item/rb00003539#?c=0&amp;m=0&amp;s=0&amp;cv=77")</f>
        <v>https://rmda.kulib.kyoto-u.ac.jp/item/rb00003539#?c=0&amp;m=0&amp;s=0&amp;cv=77</v>
      </c>
    </row>
    <row r="204" spans="1:4" x14ac:dyDescent="0.15">
      <c r="A204" s="6" t="s">
        <v>5691</v>
      </c>
      <c r="B204" s="6" t="s">
        <v>5940</v>
      </c>
      <c r="C204" s="6">
        <v>78</v>
      </c>
      <c r="D204" s="6" t="str">
        <f>HYPERLINK("https://rmda.kulib.kyoto-u.ac.jp/item/rb00003539#?c=0&amp;m=0&amp;s=0&amp;cv=77")</f>
        <v>https://rmda.kulib.kyoto-u.ac.jp/item/rb00003539#?c=0&amp;m=0&amp;s=0&amp;cv=77</v>
      </c>
    </row>
    <row r="205" spans="1:4" x14ac:dyDescent="0.15">
      <c r="A205" s="6" t="s">
        <v>5691</v>
      </c>
      <c r="B205" s="6" t="s">
        <v>5941</v>
      </c>
      <c r="C205" s="6">
        <v>78</v>
      </c>
      <c r="D205" s="6" t="str">
        <f>HYPERLINK("https://rmda.kulib.kyoto-u.ac.jp/item/rb00003539#?c=0&amp;m=0&amp;s=0&amp;cv=77")</f>
        <v>https://rmda.kulib.kyoto-u.ac.jp/item/rb00003539#?c=0&amp;m=0&amp;s=0&amp;cv=77</v>
      </c>
    </row>
    <row r="206" spans="1:4" x14ac:dyDescent="0.15">
      <c r="A206" s="6" t="s">
        <v>5691</v>
      </c>
      <c r="B206" s="6" t="s">
        <v>5942</v>
      </c>
      <c r="C206" s="6">
        <v>78</v>
      </c>
      <c r="D206" s="6" t="str">
        <f>HYPERLINK("https://rmda.kulib.kyoto-u.ac.jp/item/rb00003539#?c=0&amp;m=0&amp;s=0&amp;cv=77")</f>
        <v>https://rmda.kulib.kyoto-u.ac.jp/item/rb00003539#?c=0&amp;m=0&amp;s=0&amp;cv=77</v>
      </c>
    </row>
    <row r="207" spans="1:4" x14ac:dyDescent="0.15">
      <c r="A207" s="6" t="s">
        <v>5691</v>
      </c>
      <c r="B207" s="6" t="s">
        <v>5943</v>
      </c>
      <c r="C207" s="6">
        <v>78</v>
      </c>
      <c r="D207" s="6" t="str">
        <f>HYPERLINK("https://rmda.kulib.kyoto-u.ac.jp/item/rb00003539#?c=0&amp;m=0&amp;s=0&amp;cv=77")</f>
        <v>https://rmda.kulib.kyoto-u.ac.jp/item/rb00003539#?c=0&amp;m=0&amp;s=0&amp;cv=77</v>
      </c>
    </row>
    <row r="208" spans="1:4" x14ac:dyDescent="0.15">
      <c r="A208" s="6" t="s">
        <v>5691</v>
      </c>
      <c r="B208" s="6" t="s">
        <v>5944</v>
      </c>
      <c r="C208" s="6">
        <v>79</v>
      </c>
      <c r="D208" s="6" t="str">
        <f>HYPERLINK("https://rmda.kulib.kyoto-u.ac.jp/item/rb00003539#?c=0&amp;m=0&amp;s=0&amp;cv=78")</f>
        <v>https://rmda.kulib.kyoto-u.ac.jp/item/rb00003539#?c=0&amp;m=0&amp;s=0&amp;cv=78</v>
      </c>
    </row>
    <row r="209" spans="1:4" x14ac:dyDescent="0.15">
      <c r="A209" s="6" t="s">
        <v>5691</v>
      </c>
      <c r="B209" s="6" t="s">
        <v>5945</v>
      </c>
      <c r="C209" s="6">
        <v>79</v>
      </c>
      <c r="D209" s="6" t="str">
        <f>HYPERLINK("https://rmda.kulib.kyoto-u.ac.jp/item/rb00003539#?c=0&amp;m=0&amp;s=0&amp;cv=78")</f>
        <v>https://rmda.kulib.kyoto-u.ac.jp/item/rb00003539#?c=0&amp;m=0&amp;s=0&amp;cv=78</v>
      </c>
    </row>
    <row r="210" spans="1:4" x14ac:dyDescent="0.15">
      <c r="A210" s="6" t="s">
        <v>5691</v>
      </c>
      <c r="B210" s="6" t="s">
        <v>5946</v>
      </c>
      <c r="C210" s="6">
        <v>79</v>
      </c>
      <c r="D210" s="6" t="str">
        <f>HYPERLINK("https://rmda.kulib.kyoto-u.ac.jp/item/rb00003539#?c=0&amp;m=0&amp;s=0&amp;cv=78")</f>
        <v>https://rmda.kulib.kyoto-u.ac.jp/item/rb00003539#?c=0&amp;m=0&amp;s=0&amp;cv=78</v>
      </c>
    </row>
    <row r="211" spans="1:4" x14ac:dyDescent="0.15">
      <c r="A211" s="6" t="s">
        <v>5691</v>
      </c>
      <c r="B211" s="6" t="s">
        <v>5788</v>
      </c>
      <c r="C211" s="6">
        <v>79</v>
      </c>
      <c r="D211" s="6" t="str">
        <f>HYPERLINK("https://rmda.kulib.kyoto-u.ac.jp/item/rb00003539#?c=0&amp;m=0&amp;s=0&amp;cv=78")</f>
        <v>https://rmda.kulib.kyoto-u.ac.jp/item/rb00003539#?c=0&amp;m=0&amp;s=0&amp;cv=78</v>
      </c>
    </row>
    <row r="212" spans="1:4" x14ac:dyDescent="0.15">
      <c r="A212" s="6" t="s">
        <v>5691</v>
      </c>
      <c r="B212" s="72" t="s">
        <v>5745</v>
      </c>
      <c r="C212" s="6">
        <v>88</v>
      </c>
      <c r="D212" s="6" t="str">
        <f>HYPERLINK("https://rmda.kulib.kyoto-u.ac.jp/item/rb00003539#?c=0&amp;m=0&amp;s=0&amp;cv=87")</f>
        <v>https://rmda.kulib.kyoto-u.ac.jp/item/rb00003539#?c=0&amp;m=0&amp;s=0&amp;cv=87</v>
      </c>
    </row>
    <row r="213" spans="1:4" x14ac:dyDescent="0.15">
      <c r="A213" s="6" t="s">
        <v>5691</v>
      </c>
      <c r="B213" s="6" t="s">
        <v>5789</v>
      </c>
      <c r="C213" s="6">
        <v>88</v>
      </c>
      <c r="D213" s="6" t="str">
        <f>HYPERLINK("https://rmda.kulib.kyoto-u.ac.jp/item/rb00003539#?c=0&amp;m=0&amp;s=0&amp;cv=87")</f>
        <v>https://rmda.kulib.kyoto-u.ac.jp/item/rb00003539#?c=0&amp;m=0&amp;s=0&amp;cv=87</v>
      </c>
    </row>
    <row r="214" spans="1:4" x14ac:dyDescent="0.15">
      <c r="A214" s="6" t="s">
        <v>5691</v>
      </c>
      <c r="B214" s="6" t="s">
        <v>5790</v>
      </c>
      <c r="C214" s="6">
        <v>89</v>
      </c>
      <c r="D214" s="6" t="str">
        <f>HYPERLINK("https://rmda.kulib.kyoto-u.ac.jp/item/rb00003539#?c=0&amp;m=0&amp;s=0&amp;cv=88")</f>
        <v>https://rmda.kulib.kyoto-u.ac.jp/item/rb00003539#?c=0&amp;m=0&amp;s=0&amp;cv=88</v>
      </c>
    </row>
    <row r="215" spans="1:4" x14ac:dyDescent="0.15">
      <c r="A215" s="6" t="s">
        <v>5691</v>
      </c>
      <c r="B215" s="6" t="s">
        <v>5791</v>
      </c>
      <c r="C215" s="6">
        <v>89</v>
      </c>
      <c r="D215" s="6" t="str">
        <f>HYPERLINK("https://rmda.kulib.kyoto-u.ac.jp/item/rb00003539#?c=0&amp;m=0&amp;s=0&amp;cv=88")</f>
        <v>https://rmda.kulib.kyoto-u.ac.jp/item/rb00003539#?c=0&amp;m=0&amp;s=0&amp;cv=88</v>
      </c>
    </row>
    <row r="216" spans="1:4" x14ac:dyDescent="0.15">
      <c r="A216" s="6" t="s">
        <v>5691</v>
      </c>
      <c r="B216" s="6" t="s">
        <v>5792</v>
      </c>
      <c r="C216" s="6">
        <v>90</v>
      </c>
      <c r="D216" s="6" t="str">
        <f>HYPERLINK("https://rmda.kulib.kyoto-u.ac.jp/item/rb00003539#?c=0&amp;m=0&amp;s=0&amp;cv=89")</f>
        <v>https://rmda.kulib.kyoto-u.ac.jp/item/rb00003539#?c=0&amp;m=0&amp;s=0&amp;cv=89</v>
      </c>
    </row>
    <row r="217" spans="1:4" x14ac:dyDescent="0.15">
      <c r="A217" s="6" t="s">
        <v>5691</v>
      </c>
      <c r="B217" s="6" t="s">
        <v>5793</v>
      </c>
      <c r="C217" s="6">
        <v>92</v>
      </c>
      <c r="D217" s="6" t="str">
        <f>HYPERLINK("https://rmda.kulib.kyoto-u.ac.jp/item/rb00003539#?c=0&amp;m=0&amp;s=0&amp;cv=91")</f>
        <v>https://rmda.kulib.kyoto-u.ac.jp/item/rb00003539#?c=0&amp;m=0&amp;s=0&amp;cv=91</v>
      </c>
    </row>
    <row r="218" spans="1:4" x14ac:dyDescent="0.15">
      <c r="A218" s="6" t="s">
        <v>5691</v>
      </c>
      <c r="B218" s="6" t="s">
        <v>5746</v>
      </c>
      <c r="C218" s="6">
        <v>93</v>
      </c>
      <c r="D218" s="6" t="str">
        <f>HYPERLINK("https://rmda.kulib.kyoto-u.ac.jp/item/rb00003539#?c=0&amp;m=0&amp;s=0&amp;cv=92")</f>
        <v>https://rmda.kulib.kyoto-u.ac.jp/item/rb00003539#?c=0&amp;m=0&amp;s=0&amp;cv=92</v>
      </c>
    </row>
    <row r="219" spans="1:4" x14ac:dyDescent="0.15">
      <c r="A219" s="6" t="s">
        <v>5691</v>
      </c>
      <c r="B219" s="6" t="s">
        <v>5832</v>
      </c>
      <c r="C219" s="6">
        <v>93</v>
      </c>
      <c r="D219" s="6" t="str">
        <f>HYPERLINK("https://rmda.kulib.kyoto-u.ac.jp/item/rb00003539#?c=0&amp;m=0&amp;s=0&amp;cv=92")</f>
        <v>https://rmda.kulib.kyoto-u.ac.jp/item/rb00003539#?c=0&amp;m=0&amp;s=0&amp;cv=92</v>
      </c>
    </row>
    <row r="220" spans="1:4" x14ac:dyDescent="0.15">
      <c r="A220" s="6" t="s">
        <v>5691</v>
      </c>
      <c r="B220" s="6" t="s">
        <v>5794</v>
      </c>
      <c r="C220" s="6">
        <v>93</v>
      </c>
      <c r="D220" s="6" t="str">
        <f>HYPERLINK("https://rmda.kulib.kyoto-u.ac.jp/item/rb00003539#?c=0&amp;m=0&amp;s=0&amp;cv=92")</f>
        <v>https://rmda.kulib.kyoto-u.ac.jp/item/rb00003539#?c=0&amp;m=0&amp;s=0&amp;cv=92</v>
      </c>
    </row>
    <row r="221" spans="1:4" x14ac:dyDescent="0.15">
      <c r="A221" s="6" t="s">
        <v>5691</v>
      </c>
      <c r="B221" s="6" t="s">
        <v>5795</v>
      </c>
      <c r="C221" s="6">
        <v>94</v>
      </c>
      <c r="D221" s="6" t="str">
        <f>HYPERLINK("https://rmda.kulib.kyoto-u.ac.jp/item/rb00003539#?c=0&amp;m=0&amp;s=0&amp;cv=93")</f>
        <v>https://rmda.kulib.kyoto-u.ac.jp/item/rb00003539#?c=0&amp;m=0&amp;s=0&amp;cv=93</v>
      </c>
    </row>
    <row r="222" spans="1:4" x14ac:dyDescent="0.15">
      <c r="A222" s="6" t="s">
        <v>5691</v>
      </c>
      <c r="B222" s="6" t="s">
        <v>5950</v>
      </c>
      <c r="C222" s="6">
        <v>94</v>
      </c>
      <c r="D222" s="6" t="str">
        <f>HYPERLINK("https://rmda.kulib.kyoto-u.ac.jp/item/rb00003539#?c=0&amp;m=0&amp;s=0&amp;cv=93")</f>
        <v>https://rmda.kulib.kyoto-u.ac.jp/item/rb00003539#?c=0&amp;m=0&amp;s=0&amp;cv=93</v>
      </c>
    </row>
    <row r="223" spans="1:4" x14ac:dyDescent="0.15">
      <c r="A223" s="6" t="s">
        <v>5691</v>
      </c>
      <c r="B223" s="6" t="s">
        <v>5796</v>
      </c>
      <c r="C223" s="6">
        <v>95</v>
      </c>
      <c r="D223" s="6" t="str">
        <f>HYPERLINK("https://rmda.kulib.kyoto-u.ac.jp/item/rb00003539#?c=0&amp;m=0&amp;s=0&amp;cv=94")</f>
        <v>https://rmda.kulib.kyoto-u.ac.jp/item/rb00003539#?c=0&amp;m=0&amp;s=0&amp;cv=94</v>
      </c>
    </row>
    <row r="224" spans="1:4" x14ac:dyDescent="0.15">
      <c r="A224" s="6" t="s">
        <v>5691</v>
      </c>
      <c r="B224" s="6" t="s">
        <v>5797</v>
      </c>
      <c r="C224" s="6">
        <v>95</v>
      </c>
      <c r="D224" s="6" t="str">
        <f>HYPERLINK("https://rmda.kulib.kyoto-u.ac.jp/item/rb00003539#?c=0&amp;m=0&amp;s=0&amp;cv=94")</f>
        <v>https://rmda.kulib.kyoto-u.ac.jp/item/rb00003539#?c=0&amp;m=0&amp;s=0&amp;cv=94</v>
      </c>
    </row>
    <row r="225" spans="1:4" x14ac:dyDescent="0.15">
      <c r="A225" s="6" t="s">
        <v>5691</v>
      </c>
      <c r="B225" s="6" t="s">
        <v>5798</v>
      </c>
      <c r="C225" s="6">
        <v>96</v>
      </c>
      <c r="D225" s="6" t="str">
        <f>HYPERLINK("https://rmda.kulib.kyoto-u.ac.jp/item/rb00003539#?c=0&amp;m=0&amp;s=0&amp;cv=95")</f>
        <v>https://rmda.kulib.kyoto-u.ac.jp/item/rb00003539#?c=0&amp;m=0&amp;s=0&amp;cv=95</v>
      </c>
    </row>
    <row r="226" spans="1:4" x14ac:dyDescent="0.15">
      <c r="A226" s="6" t="s">
        <v>5691</v>
      </c>
      <c r="B226" s="6" t="s">
        <v>5833</v>
      </c>
      <c r="C226" s="6">
        <v>96</v>
      </c>
      <c r="D226" s="6" t="str">
        <f>HYPERLINK("https://rmda.kulib.kyoto-u.ac.jp/item/rb00003539#?c=0&amp;m=0&amp;s=0&amp;cv=95")</f>
        <v>https://rmda.kulib.kyoto-u.ac.jp/item/rb00003539#?c=0&amp;m=0&amp;s=0&amp;cv=95</v>
      </c>
    </row>
    <row r="227" spans="1:4" x14ac:dyDescent="0.15">
      <c r="A227" s="6" t="s">
        <v>5691</v>
      </c>
      <c r="B227" s="6" t="s">
        <v>5799</v>
      </c>
      <c r="C227" s="6">
        <v>97</v>
      </c>
      <c r="D227" s="6" t="str">
        <f>HYPERLINK("https://rmda.kulib.kyoto-u.ac.jp/item/rb00003539#?c=0&amp;m=0&amp;s=0&amp;cv=96")</f>
        <v>https://rmda.kulib.kyoto-u.ac.jp/item/rb00003539#?c=0&amp;m=0&amp;s=0&amp;cv=96</v>
      </c>
    </row>
    <row r="228" spans="1:4" x14ac:dyDescent="0.15">
      <c r="A228" s="6" t="s">
        <v>5691</v>
      </c>
      <c r="B228" s="6" t="s">
        <v>5831</v>
      </c>
      <c r="C228" s="6">
        <v>97</v>
      </c>
      <c r="D228" s="6" t="str">
        <f>HYPERLINK("https://rmda.kulib.kyoto-u.ac.jp/item/rb00003539#?c=0&amp;m=0&amp;s=0&amp;cv=96")</f>
        <v>https://rmda.kulib.kyoto-u.ac.jp/item/rb00003539#?c=0&amp;m=0&amp;s=0&amp;cv=96</v>
      </c>
    </row>
    <row r="229" spans="1:4" x14ac:dyDescent="0.15">
      <c r="A229" s="6" t="s">
        <v>5691</v>
      </c>
      <c r="B229" s="6" t="s">
        <v>5835</v>
      </c>
      <c r="C229" s="6">
        <v>98</v>
      </c>
      <c r="D229" s="6" t="str">
        <f>HYPERLINK("https://rmda.kulib.kyoto-u.ac.jp/item/rb00003539#?c=0&amp;m=0&amp;s=0&amp;cv=97")</f>
        <v>https://rmda.kulib.kyoto-u.ac.jp/item/rb00003539#?c=0&amp;m=0&amp;s=0&amp;cv=97</v>
      </c>
    </row>
    <row r="230" spans="1:4" x14ac:dyDescent="0.15">
      <c r="A230" s="6" t="s">
        <v>5691</v>
      </c>
      <c r="B230" s="6" t="s">
        <v>5800</v>
      </c>
      <c r="C230" s="6">
        <v>99</v>
      </c>
      <c r="D230" s="6" t="str">
        <f>HYPERLINK("https://rmda.kulib.kyoto-u.ac.jp/item/rb00003539#?c=0&amp;m=0&amp;s=0&amp;cv=98")</f>
        <v>https://rmda.kulib.kyoto-u.ac.jp/item/rb00003539#?c=0&amp;m=0&amp;s=0&amp;cv=98</v>
      </c>
    </row>
    <row r="231" spans="1:4" x14ac:dyDescent="0.15">
      <c r="A231" s="6" t="s">
        <v>5691</v>
      </c>
      <c r="B231" s="6" t="s">
        <v>5836</v>
      </c>
      <c r="C231" s="6">
        <v>100</v>
      </c>
      <c r="D231" s="6" t="str">
        <f>HYPERLINK("https://rmda.kulib.kyoto-u.ac.jp/item/rb00003539#?c=0&amp;m=0&amp;s=0&amp;cv=99")</f>
        <v>https://rmda.kulib.kyoto-u.ac.jp/item/rb00003539#?c=0&amp;m=0&amp;s=0&amp;cv=99</v>
      </c>
    </row>
    <row r="232" spans="1:4" x14ac:dyDescent="0.15">
      <c r="A232" s="6" t="s">
        <v>5691</v>
      </c>
      <c r="B232" s="6" t="s">
        <v>5837</v>
      </c>
      <c r="C232" s="6">
        <v>100</v>
      </c>
      <c r="D232" s="6" t="str">
        <f>HYPERLINK("https://rmda.kulib.kyoto-u.ac.jp/item/rb00003539#?c=0&amp;m=0&amp;s=0&amp;cv=99")</f>
        <v>https://rmda.kulib.kyoto-u.ac.jp/item/rb00003539#?c=0&amp;m=0&amp;s=0&amp;cv=99</v>
      </c>
    </row>
    <row r="233" spans="1:4" x14ac:dyDescent="0.15">
      <c r="A233" s="6" t="s">
        <v>5691</v>
      </c>
      <c r="B233" s="6" t="s">
        <v>5838</v>
      </c>
      <c r="C233" s="6">
        <v>100</v>
      </c>
      <c r="D233" s="6" t="str">
        <f>HYPERLINK("https://rmda.kulib.kyoto-u.ac.jp/item/rb00003539#?c=0&amp;m=0&amp;s=0&amp;cv=99")</f>
        <v>https://rmda.kulib.kyoto-u.ac.jp/item/rb00003539#?c=0&amp;m=0&amp;s=0&amp;cv=99</v>
      </c>
    </row>
    <row r="234" spans="1:4" x14ac:dyDescent="0.15">
      <c r="A234" s="6" t="s">
        <v>5691</v>
      </c>
      <c r="B234" s="6" t="s">
        <v>5839</v>
      </c>
      <c r="C234" s="6">
        <v>101</v>
      </c>
      <c r="D234" s="6" t="str">
        <f>HYPERLINK("https://rmda.kulib.kyoto-u.ac.jp/item/rb00003539#?c=0&amp;m=0&amp;s=0&amp;cv=100")</f>
        <v>https://rmda.kulib.kyoto-u.ac.jp/item/rb00003539#?c=0&amp;m=0&amp;s=0&amp;cv=100</v>
      </c>
    </row>
    <row r="235" spans="1:4" x14ac:dyDescent="0.15">
      <c r="A235" s="6" t="s">
        <v>5691</v>
      </c>
      <c r="B235" s="6" t="s">
        <v>5840</v>
      </c>
      <c r="C235" s="6">
        <v>101</v>
      </c>
      <c r="D235" s="6" t="str">
        <f>HYPERLINK("https://rmda.kulib.kyoto-u.ac.jp/item/rb00003539#?c=0&amp;m=0&amp;s=0&amp;cv=100")</f>
        <v>https://rmda.kulib.kyoto-u.ac.jp/item/rb00003539#?c=0&amp;m=0&amp;s=0&amp;cv=100</v>
      </c>
    </row>
    <row r="236" spans="1:4" x14ac:dyDescent="0.15">
      <c r="A236" s="6" t="s">
        <v>5691</v>
      </c>
      <c r="B236" s="6" t="s">
        <v>5841</v>
      </c>
      <c r="C236" s="6">
        <v>101</v>
      </c>
      <c r="D236" s="6" t="str">
        <f>HYPERLINK("https://rmda.kulib.kyoto-u.ac.jp/item/rb00003539#?c=0&amp;m=0&amp;s=0&amp;cv=100")</f>
        <v>https://rmda.kulib.kyoto-u.ac.jp/item/rb00003539#?c=0&amp;m=0&amp;s=0&amp;cv=100</v>
      </c>
    </row>
    <row r="237" spans="1:4" x14ac:dyDescent="0.15">
      <c r="A237" s="6" t="s">
        <v>5691</v>
      </c>
      <c r="B237" s="6" t="s">
        <v>5842</v>
      </c>
      <c r="C237" s="6">
        <v>101</v>
      </c>
      <c r="D237" s="6" t="str">
        <f>HYPERLINK("https://rmda.kulib.kyoto-u.ac.jp/item/rb00003539#?c=0&amp;m=0&amp;s=0&amp;cv=100")</f>
        <v>https://rmda.kulib.kyoto-u.ac.jp/item/rb00003539#?c=0&amp;m=0&amp;s=0&amp;cv=100</v>
      </c>
    </row>
    <row r="238" spans="1:4" x14ac:dyDescent="0.15">
      <c r="A238" s="6" t="s">
        <v>5691</v>
      </c>
      <c r="B238" s="6" t="s">
        <v>5801</v>
      </c>
      <c r="C238" s="6">
        <v>103</v>
      </c>
      <c r="D238" s="6" t="str">
        <f>HYPERLINK("https://rmda.kulib.kyoto-u.ac.jp/item/rb00003539#?c=0&amp;m=0&amp;s=0&amp;cv=102")</f>
        <v>https://rmda.kulib.kyoto-u.ac.jp/item/rb00003539#?c=0&amp;m=0&amp;s=0&amp;cv=102</v>
      </c>
    </row>
    <row r="239" spans="1:4" x14ac:dyDescent="0.15">
      <c r="A239" s="6" t="s">
        <v>5691</v>
      </c>
      <c r="B239" s="63" t="s">
        <v>5834</v>
      </c>
      <c r="C239" s="6">
        <v>104</v>
      </c>
      <c r="D239" s="6" t="str">
        <f>HYPERLINK("https://rmda.kulib.kyoto-u.ac.jp/item/rb00003539#?c=0&amp;m=0&amp;s=0&amp;cv=103")</f>
        <v>https://rmda.kulib.kyoto-u.ac.jp/item/rb00003539#?c=0&amp;m=0&amp;s=0&amp;cv=103</v>
      </c>
    </row>
    <row r="240" spans="1:4" x14ac:dyDescent="0.15">
      <c r="A240" s="6" t="s">
        <v>5691</v>
      </c>
      <c r="B240" s="6" t="s">
        <v>5802</v>
      </c>
      <c r="C240" s="6">
        <v>105</v>
      </c>
      <c r="D240" s="6" t="str">
        <f>HYPERLINK("https://rmda.kulib.kyoto-u.ac.jp/item/rb00003539#?c=0&amp;m=0&amp;s=0&amp;cv=104")</f>
        <v>https://rmda.kulib.kyoto-u.ac.jp/item/rb00003539#?c=0&amp;m=0&amp;s=0&amp;cv=104</v>
      </c>
    </row>
    <row r="241" spans="1:4" x14ac:dyDescent="0.15">
      <c r="A241" s="6" t="s">
        <v>5691</v>
      </c>
      <c r="B241" s="6" t="s">
        <v>5747</v>
      </c>
      <c r="C241" s="6">
        <v>106</v>
      </c>
      <c r="D241" s="6" t="str">
        <f>HYPERLINK("https://rmda.kulib.kyoto-u.ac.jp/item/rb00003539#?c=0&amp;m=0&amp;s=0&amp;cv=105")</f>
        <v>https://rmda.kulib.kyoto-u.ac.jp/item/rb00003539#?c=0&amp;m=0&amp;s=0&amp;cv=105</v>
      </c>
    </row>
    <row r="242" spans="1:4" x14ac:dyDescent="0.15">
      <c r="A242" s="6" t="s">
        <v>5691</v>
      </c>
      <c r="B242" s="6" t="s">
        <v>5748</v>
      </c>
      <c r="C242" s="6">
        <v>106</v>
      </c>
      <c r="D242" s="6" t="str">
        <f>HYPERLINK("https://rmda.kulib.kyoto-u.ac.jp/item/rb00003539#?c=0&amp;m=0&amp;s=0&amp;cv=105")</f>
        <v>https://rmda.kulib.kyoto-u.ac.jp/item/rb00003539#?c=0&amp;m=0&amp;s=0&amp;cv=105</v>
      </c>
    </row>
    <row r="243" spans="1:4" x14ac:dyDescent="0.15">
      <c r="A243" s="6" t="s">
        <v>5691</v>
      </c>
      <c r="B243" s="6" t="s">
        <v>5749</v>
      </c>
      <c r="C243" s="6">
        <v>108</v>
      </c>
      <c r="D243" s="6" t="str">
        <f>HYPERLINK("https://rmda.kulib.kyoto-u.ac.jp/item/rb00003539#?c=0&amp;m=0&amp;s=0&amp;cv=107")</f>
        <v>https://rmda.kulib.kyoto-u.ac.jp/item/rb00003539#?c=0&amp;m=0&amp;s=0&amp;cv=107</v>
      </c>
    </row>
    <row r="244" spans="1:4" x14ac:dyDescent="0.15">
      <c r="A244" s="6" t="s">
        <v>5691</v>
      </c>
      <c r="B244" s="6" t="s">
        <v>5948</v>
      </c>
      <c r="C244" s="6">
        <v>109</v>
      </c>
      <c r="D244" s="79" t="str">
        <f>HYPERLINK("https://rmda.kulib.kyoto-u.ac.jp/item/rb00003539#?c=0&amp;m=0&amp;s=0&amp;cv=108")</f>
        <v>https://rmda.kulib.kyoto-u.ac.jp/item/rb00003539#?c=0&amp;m=0&amp;s=0&amp;cv=108</v>
      </c>
    </row>
    <row r="245" spans="1:4" x14ac:dyDescent="0.15">
      <c r="A245" s="6" t="s">
        <v>5691</v>
      </c>
      <c r="B245" s="6" t="s">
        <v>5750</v>
      </c>
      <c r="C245" s="6">
        <v>110</v>
      </c>
      <c r="D245" s="6" t="str">
        <f>HYPERLINK("https://rmda.kulib.kyoto-u.ac.jp/item/rb00003539#?c=0&amp;m=0&amp;s=0&amp;cv=109")</f>
        <v>https://rmda.kulib.kyoto-u.ac.jp/item/rb00003539#?c=0&amp;m=0&amp;s=0&amp;cv=109</v>
      </c>
    </row>
    <row r="246" spans="1:4" x14ac:dyDescent="0.15">
      <c r="A246" s="6" t="s">
        <v>5691</v>
      </c>
      <c r="B246" s="6" t="s">
        <v>5803</v>
      </c>
      <c r="C246" s="6">
        <v>111</v>
      </c>
      <c r="D246" s="6" t="str">
        <f>HYPERLINK("https://rmda.kulib.kyoto-u.ac.jp/item/rb00003539#?c=0&amp;m=0&amp;s=0&amp;cv=110")</f>
        <v>https://rmda.kulib.kyoto-u.ac.jp/item/rb00003539#?c=0&amp;m=0&amp;s=0&amp;cv=110</v>
      </c>
    </row>
    <row r="247" spans="1:4" x14ac:dyDescent="0.15">
      <c r="A247" s="6" t="s">
        <v>5691</v>
      </c>
      <c r="B247" s="6" t="s">
        <v>5844</v>
      </c>
      <c r="C247" s="6">
        <v>111</v>
      </c>
      <c r="D247" s="6" t="str">
        <f>HYPERLINK("https://rmda.kulib.kyoto-u.ac.jp/item/rb00003539#?c=0&amp;m=0&amp;s=0&amp;cv=110")</f>
        <v>https://rmda.kulib.kyoto-u.ac.jp/item/rb00003539#?c=0&amp;m=0&amp;s=0&amp;cv=110</v>
      </c>
    </row>
    <row r="248" spans="1:4" x14ac:dyDescent="0.15">
      <c r="A248" s="6" t="s">
        <v>5691</v>
      </c>
      <c r="B248" s="6" t="s">
        <v>5804</v>
      </c>
      <c r="C248" s="6">
        <v>111</v>
      </c>
      <c r="D248" s="6" t="str">
        <f>HYPERLINK("https://rmda.kulib.kyoto-u.ac.jp/item/rb00003539#?c=0&amp;m=0&amp;s=0&amp;cv=110")</f>
        <v>https://rmda.kulib.kyoto-u.ac.jp/item/rb00003539#?c=0&amp;m=0&amp;s=0&amp;cv=110</v>
      </c>
    </row>
    <row r="249" spans="1:4" x14ac:dyDescent="0.15">
      <c r="A249" s="6" t="s">
        <v>5691</v>
      </c>
      <c r="B249" s="6" t="s">
        <v>5751</v>
      </c>
      <c r="C249" s="6">
        <v>112</v>
      </c>
      <c r="D249" s="6" t="str">
        <f>HYPERLINK("https://rmda.kulib.kyoto-u.ac.jp/item/rb00003539#?c=0&amp;m=0&amp;s=0&amp;cv=111")</f>
        <v>https://rmda.kulib.kyoto-u.ac.jp/item/rb00003539#?c=0&amp;m=0&amp;s=0&amp;cv=111</v>
      </c>
    </row>
    <row r="250" spans="1:4" x14ac:dyDescent="0.15">
      <c r="A250" s="6" t="s">
        <v>5691</v>
      </c>
      <c r="B250" s="72" t="s">
        <v>5752</v>
      </c>
      <c r="C250" s="6">
        <v>112</v>
      </c>
      <c r="D250" s="6" t="str">
        <f>HYPERLINK("https://rmda.kulib.kyoto-u.ac.jp/item/rb00003539#?c=0&amp;m=0&amp;s=0&amp;cv=111")</f>
        <v>https://rmda.kulib.kyoto-u.ac.jp/item/rb00003539#?c=0&amp;m=0&amp;s=0&amp;cv=111</v>
      </c>
    </row>
    <row r="251" spans="1:4" x14ac:dyDescent="0.15">
      <c r="A251" s="6" t="s">
        <v>5691</v>
      </c>
      <c r="B251" s="6" t="s">
        <v>5753</v>
      </c>
      <c r="C251" s="6">
        <v>112</v>
      </c>
      <c r="D251" s="6" t="str">
        <f>HYPERLINK("https://rmda.kulib.kyoto-u.ac.jp/item/rb00003539#?c=0&amp;m=0&amp;s=0&amp;cv=111")</f>
        <v>https://rmda.kulib.kyoto-u.ac.jp/item/rb00003539#?c=0&amp;m=0&amp;s=0&amp;cv=111</v>
      </c>
    </row>
    <row r="252" spans="1:4" x14ac:dyDescent="0.15">
      <c r="A252" s="6" t="s">
        <v>5691</v>
      </c>
      <c r="B252" s="6" t="s">
        <v>5805</v>
      </c>
      <c r="C252" s="6">
        <v>116</v>
      </c>
      <c r="D252" s="6" t="str">
        <f>HYPERLINK("https://rmda.kulib.kyoto-u.ac.jp/item/rb00003539#?c=0&amp;m=0&amp;s=0&amp;cv=115")</f>
        <v>https://rmda.kulib.kyoto-u.ac.jp/item/rb00003539#?c=0&amp;m=0&amp;s=0&amp;cv=115</v>
      </c>
    </row>
    <row r="253" spans="1:4" x14ac:dyDescent="0.15">
      <c r="A253" s="6" t="s">
        <v>5691</v>
      </c>
      <c r="B253" s="6" t="s">
        <v>5754</v>
      </c>
      <c r="C253" s="6">
        <v>116</v>
      </c>
      <c r="D253" s="6" t="str">
        <f>HYPERLINK("https://rmda.kulib.kyoto-u.ac.jp/item/rb00003539#?c=0&amp;m=0&amp;s=0&amp;cv=115")</f>
        <v>https://rmda.kulib.kyoto-u.ac.jp/item/rb00003539#?c=0&amp;m=0&amp;s=0&amp;cv=115</v>
      </c>
    </row>
    <row r="254" spans="1:4" x14ac:dyDescent="0.15">
      <c r="A254" s="6" t="s">
        <v>5691</v>
      </c>
      <c r="B254" s="6" t="s">
        <v>5806</v>
      </c>
      <c r="C254" s="6">
        <v>117</v>
      </c>
      <c r="D254" s="6" t="str">
        <f>HYPERLINK("https://rmda.kulib.kyoto-u.ac.jp/item/rb00003539#?c=0&amp;m=0&amp;s=0&amp;cv=116")</f>
        <v>https://rmda.kulib.kyoto-u.ac.jp/item/rb00003539#?c=0&amp;m=0&amp;s=0&amp;cv=116</v>
      </c>
    </row>
    <row r="255" spans="1:4" x14ac:dyDescent="0.15">
      <c r="A255" s="6" t="s">
        <v>5691</v>
      </c>
      <c r="B255" s="6" t="s">
        <v>5807</v>
      </c>
      <c r="C255" s="6">
        <v>118</v>
      </c>
      <c r="D255" s="6" t="str">
        <f>HYPERLINK("https://rmda.kulib.kyoto-u.ac.jp/item/rb00003539#?c=0&amp;m=0&amp;s=0&amp;cv=117")</f>
        <v>https://rmda.kulib.kyoto-u.ac.jp/item/rb00003539#?c=0&amp;m=0&amp;s=0&amp;cv=117</v>
      </c>
    </row>
    <row r="256" spans="1:4" x14ac:dyDescent="0.15">
      <c r="A256" s="6" t="s">
        <v>5691</v>
      </c>
      <c r="B256" s="6" t="s">
        <v>5949</v>
      </c>
      <c r="C256" s="6">
        <v>118</v>
      </c>
      <c r="D256" s="6" t="str">
        <f>HYPERLINK("https://rmda.kulib.kyoto-u.ac.jp/item/rb00003539#?c=0&amp;m=0&amp;s=0&amp;cv=117")</f>
        <v>https://rmda.kulib.kyoto-u.ac.jp/item/rb00003539#?c=0&amp;m=0&amp;s=0&amp;cv=117</v>
      </c>
    </row>
    <row r="257" spans="1:4" x14ac:dyDescent="0.15">
      <c r="A257" s="6" t="s">
        <v>5691</v>
      </c>
      <c r="B257" s="6" t="s">
        <v>5755</v>
      </c>
      <c r="C257" s="6">
        <v>119</v>
      </c>
      <c r="D257" s="6" t="str">
        <f>HYPERLINK("https://rmda.kulib.kyoto-u.ac.jp/item/rb00003539#?c=0&amp;m=0&amp;s=0&amp;cv=118")</f>
        <v>https://rmda.kulib.kyoto-u.ac.jp/item/rb00003539#?c=0&amp;m=0&amp;s=0&amp;cv=118</v>
      </c>
    </row>
    <row r="258" spans="1:4" x14ac:dyDescent="0.15">
      <c r="A258" s="6" t="s">
        <v>5691</v>
      </c>
      <c r="B258" s="6" t="s">
        <v>5756</v>
      </c>
      <c r="C258" s="6">
        <v>119</v>
      </c>
      <c r="D258" s="6" t="str">
        <f>HYPERLINK("https://rmda.kulib.kyoto-u.ac.jp/item/rb00003539#?c=0&amp;m=0&amp;s=0&amp;cv=118")</f>
        <v>https://rmda.kulib.kyoto-u.ac.jp/item/rb00003539#?c=0&amp;m=0&amp;s=0&amp;cv=118</v>
      </c>
    </row>
    <row r="259" spans="1:4" x14ac:dyDescent="0.15">
      <c r="A259" s="6" t="s">
        <v>5691</v>
      </c>
      <c r="B259" s="6" t="s">
        <v>5757</v>
      </c>
      <c r="C259" s="6">
        <v>119</v>
      </c>
      <c r="D259" s="6" t="str">
        <f>HYPERLINK("https://rmda.kulib.kyoto-u.ac.jp/item/rb00003539#?c=0&amp;m=0&amp;s=0&amp;cv=118")</f>
        <v>https://rmda.kulib.kyoto-u.ac.jp/item/rb00003539#?c=0&amp;m=0&amp;s=0&amp;cv=118</v>
      </c>
    </row>
    <row r="260" spans="1:4" x14ac:dyDescent="0.15">
      <c r="A260" s="6" t="s">
        <v>5691</v>
      </c>
      <c r="B260" s="6" t="s">
        <v>5758</v>
      </c>
      <c r="C260" s="6">
        <v>120</v>
      </c>
      <c r="D260" s="6" t="str">
        <f>HYPERLINK("https://rmda.kulib.kyoto-u.ac.jp/item/rb00003539#?c=0&amp;m=0&amp;s=0&amp;cv=119")</f>
        <v>https://rmda.kulib.kyoto-u.ac.jp/item/rb00003539#?c=0&amp;m=0&amp;s=0&amp;cv=119</v>
      </c>
    </row>
    <row r="261" spans="1:4" x14ac:dyDescent="0.15">
      <c r="A261" s="6" t="s">
        <v>5691</v>
      </c>
      <c r="B261" s="6" t="s">
        <v>5808</v>
      </c>
      <c r="C261" s="6">
        <v>122</v>
      </c>
      <c r="D261" s="6" t="str">
        <f>HYPERLINK("https://rmda.kulib.kyoto-u.ac.jp/item/rb00003539#?c=0&amp;m=0&amp;s=0&amp;cv=121")</f>
        <v>https://rmda.kulib.kyoto-u.ac.jp/item/rb00003539#?c=0&amp;m=0&amp;s=0&amp;cv=121</v>
      </c>
    </row>
    <row r="262" spans="1:4" x14ac:dyDescent="0.15">
      <c r="A262" s="6" t="s">
        <v>5691</v>
      </c>
      <c r="B262" s="6" t="s">
        <v>5809</v>
      </c>
      <c r="C262" s="6">
        <v>123</v>
      </c>
      <c r="D262" s="6" t="str">
        <f>HYPERLINK("https://rmda.kulib.kyoto-u.ac.jp/item/rb00003539#?c=0&amp;m=0&amp;s=0&amp;cv=122")</f>
        <v>https://rmda.kulib.kyoto-u.ac.jp/item/rb00003539#?c=0&amp;m=0&amp;s=0&amp;cv=122</v>
      </c>
    </row>
    <row r="263" spans="1:4" x14ac:dyDescent="0.15">
      <c r="A263" s="6" t="s">
        <v>5691</v>
      </c>
      <c r="B263" s="6" t="s">
        <v>5830</v>
      </c>
      <c r="C263" s="6">
        <v>123</v>
      </c>
      <c r="D263" s="6" t="str">
        <f>HYPERLINK("https://rmda.kulib.kyoto-u.ac.jp/item/rb00003539#?c=0&amp;m=0&amp;s=0&amp;cv=122")</f>
        <v>https://rmda.kulib.kyoto-u.ac.jp/item/rb00003539#?c=0&amp;m=0&amp;s=0&amp;cv=122</v>
      </c>
    </row>
    <row r="264" spans="1:4" x14ac:dyDescent="0.15">
      <c r="A264" s="6" t="s">
        <v>5691</v>
      </c>
      <c r="B264" s="6" t="s">
        <v>5810</v>
      </c>
      <c r="C264" s="6">
        <v>124</v>
      </c>
      <c r="D264" s="6" t="str">
        <f>HYPERLINK("https://rmda.kulib.kyoto-u.ac.jp/item/rb00003539#?c=0&amp;m=0&amp;s=0&amp;cv=123")</f>
        <v>https://rmda.kulib.kyoto-u.ac.jp/item/rb00003539#?c=0&amp;m=0&amp;s=0&amp;cv=123</v>
      </c>
    </row>
    <row r="265" spans="1:4" x14ac:dyDescent="0.15">
      <c r="A265" s="6" t="s">
        <v>5691</v>
      </c>
      <c r="B265" s="6" t="s">
        <v>5811</v>
      </c>
      <c r="C265" s="6">
        <v>124</v>
      </c>
      <c r="D265" s="6" t="str">
        <f>HYPERLINK("https://rmda.kulib.kyoto-u.ac.jp/item/rb00003539#?c=0&amp;m=0&amp;s=0&amp;cv=123")</f>
        <v>https://rmda.kulib.kyoto-u.ac.jp/item/rb00003539#?c=0&amp;m=0&amp;s=0&amp;cv=123</v>
      </c>
    </row>
    <row r="266" spans="1:4" x14ac:dyDescent="0.15">
      <c r="A266" s="6" t="s">
        <v>5691</v>
      </c>
      <c r="B266" s="6" t="s">
        <v>5812</v>
      </c>
      <c r="C266" s="6">
        <v>125</v>
      </c>
      <c r="D266" s="6" t="str">
        <f>HYPERLINK("https://rmda.kulib.kyoto-u.ac.jp/item/rb00003539#?c=0&amp;m=0&amp;s=0&amp;cv=124")</f>
        <v>https://rmda.kulib.kyoto-u.ac.jp/item/rb00003539#?c=0&amp;m=0&amp;s=0&amp;cv=124</v>
      </c>
    </row>
    <row r="267" spans="1:4" x14ac:dyDescent="0.15">
      <c r="A267" s="6" t="s">
        <v>5691</v>
      </c>
      <c r="B267" s="6" t="s">
        <v>5813</v>
      </c>
      <c r="C267" s="6">
        <v>125</v>
      </c>
      <c r="D267" s="6" t="str">
        <f>HYPERLINK("https://rmda.kulib.kyoto-u.ac.jp/item/rb00003539#?c=0&amp;m=0&amp;s=0&amp;cv=124")</f>
        <v>https://rmda.kulib.kyoto-u.ac.jp/item/rb00003539#?c=0&amp;m=0&amp;s=0&amp;cv=124</v>
      </c>
    </row>
    <row r="268" spans="1:4" x14ac:dyDescent="0.15">
      <c r="A268" s="6" t="s">
        <v>5691</v>
      </c>
      <c r="B268" s="6" t="s">
        <v>5814</v>
      </c>
      <c r="C268" s="6">
        <v>126</v>
      </c>
      <c r="D268" s="6" t="str">
        <f>HYPERLINK("https://rmda.kulib.kyoto-u.ac.jp/item/rb00003539#?c=0&amp;m=0&amp;s=0&amp;cv=125")</f>
        <v>https://rmda.kulib.kyoto-u.ac.jp/item/rb00003539#?c=0&amp;m=0&amp;s=0&amp;cv=125</v>
      </c>
    </row>
    <row r="269" spans="1:4" x14ac:dyDescent="0.15">
      <c r="A269" s="6" t="s">
        <v>5691</v>
      </c>
      <c r="B269" s="6" t="s">
        <v>5815</v>
      </c>
      <c r="C269" s="6">
        <v>126</v>
      </c>
      <c r="D269" s="6" t="str">
        <f>HYPERLINK("https://rmda.kulib.kyoto-u.ac.jp/item/rb00003539#?c=0&amp;m=0&amp;s=0&amp;cv=125")</f>
        <v>https://rmda.kulib.kyoto-u.ac.jp/item/rb00003539#?c=0&amp;m=0&amp;s=0&amp;cv=125</v>
      </c>
    </row>
    <row r="270" spans="1:4" x14ac:dyDescent="0.15">
      <c r="A270" s="6" t="s">
        <v>5691</v>
      </c>
      <c r="B270" s="6" t="s">
        <v>5816</v>
      </c>
      <c r="C270" s="6">
        <v>127</v>
      </c>
      <c r="D270" s="6" t="str">
        <f>HYPERLINK("https://rmda.kulib.kyoto-u.ac.jp/item/rb00003539#?c=0&amp;m=0&amp;s=0&amp;cv=126")</f>
        <v>https://rmda.kulib.kyoto-u.ac.jp/item/rb00003539#?c=0&amp;m=0&amp;s=0&amp;cv=126</v>
      </c>
    </row>
    <row r="271" spans="1:4" x14ac:dyDescent="0.15">
      <c r="A271" s="6" t="s">
        <v>5691</v>
      </c>
      <c r="B271" s="6" t="s">
        <v>5817</v>
      </c>
      <c r="C271" s="6">
        <v>128</v>
      </c>
      <c r="D271" s="6" t="str">
        <f>HYPERLINK("https://rmda.kulib.kyoto-u.ac.jp/item/rb00003539#?c=0&amp;m=0&amp;s=0&amp;cv=127")</f>
        <v>https://rmda.kulib.kyoto-u.ac.jp/item/rb00003539#?c=0&amp;m=0&amp;s=0&amp;cv=127</v>
      </c>
    </row>
    <row r="272" spans="1:4" x14ac:dyDescent="0.15">
      <c r="A272" s="6" t="s">
        <v>5691</v>
      </c>
      <c r="B272" s="6" t="s">
        <v>5818</v>
      </c>
      <c r="C272" s="6">
        <v>128</v>
      </c>
      <c r="D272" s="6" t="str">
        <f>HYPERLINK("https://rmda.kulib.kyoto-u.ac.jp/item/rb00003539#?c=0&amp;m=0&amp;s=0&amp;cv=127")</f>
        <v>https://rmda.kulib.kyoto-u.ac.jp/item/rb00003539#?c=0&amp;m=0&amp;s=0&amp;cv=127</v>
      </c>
    </row>
    <row r="273" spans="1:4" x14ac:dyDescent="0.15">
      <c r="A273" s="6" t="s">
        <v>5691</v>
      </c>
      <c r="B273" s="6" t="s">
        <v>5819</v>
      </c>
      <c r="C273" s="6">
        <v>128</v>
      </c>
      <c r="D273" s="6" t="str">
        <f>HYPERLINK("https://rmda.kulib.kyoto-u.ac.jp/item/rb00003539#?c=0&amp;m=0&amp;s=0&amp;cv=127")</f>
        <v>https://rmda.kulib.kyoto-u.ac.jp/item/rb00003539#?c=0&amp;m=0&amp;s=0&amp;cv=127</v>
      </c>
    </row>
    <row r="274" spans="1:4" x14ac:dyDescent="0.15">
      <c r="A274" s="6" t="s">
        <v>5691</v>
      </c>
      <c r="B274" s="6" t="s">
        <v>5820</v>
      </c>
      <c r="C274" s="6">
        <v>128</v>
      </c>
      <c r="D274" s="6" t="str">
        <f>HYPERLINK("https://rmda.kulib.kyoto-u.ac.jp/item/rb00003539#?c=0&amp;m=0&amp;s=0&amp;cv=127")</f>
        <v>https://rmda.kulib.kyoto-u.ac.jp/item/rb00003539#?c=0&amp;m=0&amp;s=0&amp;cv=127</v>
      </c>
    </row>
    <row r="275" spans="1:4" x14ac:dyDescent="0.15">
      <c r="A275" s="6" t="s">
        <v>5691</v>
      </c>
      <c r="B275" s="6" t="s">
        <v>5821</v>
      </c>
      <c r="C275" s="6">
        <v>129</v>
      </c>
      <c r="D275" s="6" t="str">
        <f>HYPERLINK("https://rmda.kulib.kyoto-u.ac.jp/item/rb00003539#?c=0&amp;m=0&amp;s=0&amp;cv=128")</f>
        <v>https://rmda.kulib.kyoto-u.ac.jp/item/rb00003539#?c=0&amp;m=0&amp;s=0&amp;cv=128</v>
      </c>
    </row>
    <row r="276" spans="1:4" x14ac:dyDescent="0.15">
      <c r="A276" s="6" t="s">
        <v>5691</v>
      </c>
      <c r="B276" s="6" t="s">
        <v>5822</v>
      </c>
      <c r="C276" s="6">
        <v>129</v>
      </c>
      <c r="D276" s="6" t="str">
        <f>HYPERLINK("https://rmda.kulib.kyoto-u.ac.jp/item/rb00003539#?c=0&amp;m=0&amp;s=0&amp;cv=128")</f>
        <v>https://rmda.kulib.kyoto-u.ac.jp/item/rb00003539#?c=0&amp;m=0&amp;s=0&amp;cv=128</v>
      </c>
    </row>
    <row r="277" spans="1:4" x14ac:dyDescent="0.15">
      <c r="A277" s="6" t="s">
        <v>5691</v>
      </c>
      <c r="B277" s="6" t="s">
        <v>5823</v>
      </c>
      <c r="C277" s="6">
        <v>129</v>
      </c>
      <c r="D277" s="6" t="str">
        <f>HYPERLINK("https://rmda.kulib.kyoto-u.ac.jp/item/rb00003539#?c=0&amp;m=0&amp;s=0&amp;cv=128")</f>
        <v>https://rmda.kulib.kyoto-u.ac.jp/item/rb00003539#?c=0&amp;m=0&amp;s=0&amp;cv=128</v>
      </c>
    </row>
    <row r="278" spans="1:4" x14ac:dyDescent="0.15">
      <c r="A278" s="6" t="s">
        <v>5691</v>
      </c>
      <c r="B278" s="99" t="s">
        <v>5824</v>
      </c>
      <c r="C278" s="6">
        <v>130</v>
      </c>
      <c r="D278" s="6" t="str">
        <f>HYPERLINK("https://rmda.kulib.kyoto-u.ac.jp/item/rb00003539#?c=0&amp;m=0&amp;s=0&amp;cv=129")</f>
        <v>https://rmda.kulib.kyoto-u.ac.jp/item/rb00003539#?c=0&amp;m=0&amp;s=0&amp;cv=129</v>
      </c>
    </row>
    <row r="279" spans="1:4" x14ac:dyDescent="0.15">
      <c r="A279" s="6" t="s">
        <v>5691</v>
      </c>
      <c r="B279" s="100" t="s">
        <v>5825</v>
      </c>
      <c r="C279" s="6">
        <v>136</v>
      </c>
      <c r="D279" s="6" t="str">
        <f>HYPERLINK("https://rmda.kulib.kyoto-u.ac.jp/item/rb00003539#?c=0&amp;m=0&amp;s=0&amp;cv=135")</f>
        <v>https://rmda.kulib.kyoto-u.ac.jp/item/rb00003539#?c=0&amp;m=0&amp;s=0&amp;cv=135</v>
      </c>
    </row>
    <row r="280" spans="1:4" x14ac:dyDescent="0.15">
      <c r="A280" s="6" t="s">
        <v>5691</v>
      </c>
      <c r="B280" s="6" t="s">
        <v>5828</v>
      </c>
      <c r="C280" s="6">
        <v>137</v>
      </c>
      <c r="D280" s="6" t="str">
        <f>HYPERLINK("https://rmda.kulib.kyoto-u.ac.jp/item/rb00003539#?c=0&amp;m=0&amp;s=0&amp;cv=136")</f>
        <v>https://rmda.kulib.kyoto-u.ac.jp/item/rb00003539#?c=0&amp;m=0&amp;s=0&amp;cv=136</v>
      </c>
    </row>
    <row r="281" spans="1:4" x14ac:dyDescent="0.15">
      <c r="A281" s="6" t="s">
        <v>5691</v>
      </c>
      <c r="B281" s="6" t="s">
        <v>5827</v>
      </c>
      <c r="C281" s="6">
        <v>137</v>
      </c>
      <c r="D281" s="6" t="str">
        <f>HYPERLINK("https://rmda.kulib.kyoto-u.ac.jp/item/rb00003539#?c=0&amp;m=0&amp;s=0&amp;cv=136")</f>
        <v>https://rmda.kulib.kyoto-u.ac.jp/item/rb00003539#?c=0&amp;m=0&amp;s=0&amp;cv=136</v>
      </c>
    </row>
    <row r="282" spans="1:4" x14ac:dyDescent="0.15">
      <c r="A282" s="6" t="s">
        <v>5691</v>
      </c>
      <c r="B282" s="6" t="s">
        <v>5826</v>
      </c>
      <c r="C282" s="6">
        <v>137</v>
      </c>
      <c r="D282" s="6" t="str">
        <f>HYPERLINK("https://rmda.kulib.kyoto-u.ac.jp/item/rb00003539#?c=0&amp;m=0&amp;s=0&amp;cv=136")</f>
        <v>https://rmda.kulib.kyoto-u.ac.jp/item/rb00003539#?c=0&amp;m=0&amp;s=0&amp;cv=136</v>
      </c>
    </row>
    <row r="283" spans="1:4" x14ac:dyDescent="0.15">
      <c r="A283" s="6" t="s">
        <v>5691</v>
      </c>
      <c r="B283" s="6" t="s">
        <v>5829</v>
      </c>
      <c r="C283" s="6">
        <v>137</v>
      </c>
      <c r="D283" s="6" t="str">
        <f>HYPERLINK("https://rmda.kulib.kyoto-u.ac.jp/item/rb00003539#?c=0&amp;m=0&amp;s=0&amp;cv=136")</f>
        <v>https://rmda.kulib.kyoto-u.ac.jp/item/rb00003539#?c=0&amp;m=0&amp;s=0&amp;cv=136</v>
      </c>
    </row>
    <row r="284" spans="1:4" x14ac:dyDescent="0.15">
      <c r="A284" s="6" t="s">
        <v>5691</v>
      </c>
      <c r="B284" s="6" t="s">
        <v>2100</v>
      </c>
      <c r="C284" s="6">
        <v>138</v>
      </c>
      <c r="D284" s="6" t="str">
        <f>HYPERLINK("https://rmda.kulib.kyoto-u.ac.jp/item/rb00003539#?c=0&amp;m=0&amp;s=0&amp;cv=137")</f>
        <v>https://rmda.kulib.kyoto-u.ac.jp/item/rb00003539#?c=0&amp;m=0&amp;s=0&amp;cv=137</v>
      </c>
    </row>
  </sheetData>
  <phoneticPr fontId="2"/>
  <hyperlinks>
    <hyperlink ref="A11" r:id="rId1"/>
    <hyperlink ref="A12" r:id="rId2"/>
    <hyperlink ref="A13" r:id="rId3"/>
    <hyperlink ref="A14" r:id="rId4"/>
    <hyperlink ref="A17" r:id="rId5"/>
    <hyperlink ref="A8" r:id="rId6"/>
    <hyperlink ref="A6" r:id="rId7"/>
    <hyperlink ref="D31" r:id="rId8"/>
    <hyperlink ref="B30" r:id="rId9"/>
    <hyperlink ref="D20" r:id="rId10"/>
  </hyperlinks>
  <pageMargins left="0.7" right="0.7" top="0.75" bottom="0.75" header="0.3" footer="0.3"/>
  <pageSetup paperSize="9" orientation="portrait" horizontalDpi="4294967293" verticalDpi="0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目次データ</vt:lpstr>
      <vt:lpstr>和刻漢籍医書集成</vt:lpstr>
      <vt:lpstr>近世漢方医学書集成</vt:lpstr>
      <vt:lpstr>Webサイト</vt:lpstr>
      <vt:lpstr>Sheet5</vt:lpstr>
      <vt:lpstr>Sheet6</vt:lpstr>
      <vt:lpstr>Sheet2</vt:lpstr>
      <vt:lpstr>脈論口訣</vt:lpstr>
    </vt:vector>
  </TitlesOfParts>
  <Company>iiyama 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KOBAYASHI</dc:creator>
  <cp:lastModifiedBy>KOBAYASHI</cp:lastModifiedBy>
  <dcterms:created xsi:type="dcterms:W3CDTF">2019-06-25T05:13:18Z</dcterms:created>
  <dcterms:modified xsi:type="dcterms:W3CDTF">2019-11-14T14:20:58Z</dcterms:modified>
</cp:coreProperties>
</file>