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電脳医学古典資料庫2024\★★★インターネットと鍼灸古典文献 2024年バージョン\"/>
    </mc:Choice>
  </mc:AlternateContent>
  <xr:revisionPtr revIDLastSave="0" documentId="13_ncr:1_{A829A907-18DA-4DCB-9071-B43CA147632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『難経古注集成』（全6巻）" sheetId="3" r:id="rId1"/>
    <sheet name="目次リンク" sheetId="4" r:id="rId2"/>
    <sheet name="富士川文庫資料" sheetId="1" r:id="rId3"/>
    <sheet name="Web資料" sheetId="2" r:id="rId4"/>
    <sheet name="参考　俗解　熊宗立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2" i="4" l="1"/>
  <c r="AV3" i="4"/>
  <c r="AV4" i="4"/>
  <c r="AV5" i="4"/>
  <c r="AV6" i="4"/>
  <c r="AV7" i="4"/>
  <c r="AV8" i="4"/>
  <c r="AV9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V43" i="4"/>
  <c r="AV44" i="4"/>
  <c r="AV45" i="4"/>
  <c r="AV46" i="4"/>
  <c r="AV47" i="4"/>
  <c r="AV48" i="4"/>
  <c r="AV49" i="4"/>
  <c r="AV50" i="4"/>
  <c r="AV51" i="4"/>
  <c r="AV52" i="4"/>
  <c r="AV53" i="4"/>
  <c r="AV54" i="4"/>
  <c r="AV55" i="4"/>
  <c r="AV56" i="4"/>
  <c r="AV57" i="4"/>
  <c r="AV58" i="4"/>
  <c r="AV59" i="4"/>
  <c r="AV60" i="4"/>
  <c r="AV61" i="4"/>
  <c r="AV62" i="4"/>
  <c r="AV63" i="4"/>
  <c r="AV64" i="4"/>
  <c r="AV65" i="4"/>
  <c r="AV66" i="4"/>
  <c r="AV67" i="4"/>
  <c r="AV68" i="4"/>
  <c r="AV69" i="4"/>
  <c r="AV70" i="4"/>
  <c r="AV71" i="4"/>
  <c r="AV72" i="4"/>
  <c r="AV73" i="4"/>
  <c r="AV74" i="4"/>
  <c r="AV75" i="4"/>
  <c r="AV76" i="4"/>
  <c r="AV77" i="4"/>
  <c r="AV78" i="4"/>
  <c r="AV79" i="4"/>
  <c r="AV80" i="4"/>
  <c r="AV81" i="4"/>
  <c r="AV82" i="4"/>
  <c r="AT68" i="4"/>
  <c r="AT19" i="4"/>
  <c r="AT4" i="4"/>
  <c r="AT3" i="4"/>
  <c r="AT2" i="4"/>
  <c r="AR82" i="4"/>
  <c r="AR81" i="4"/>
  <c r="AR80" i="4"/>
  <c r="AR79" i="4"/>
  <c r="AR78" i="4"/>
  <c r="AR77" i="4"/>
  <c r="AR76" i="4"/>
  <c r="AR75" i="4"/>
  <c r="AR74" i="4"/>
  <c r="AR73" i="4"/>
  <c r="AR72" i="4"/>
  <c r="AR71" i="4"/>
  <c r="AR70" i="4"/>
  <c r="AR69" i="4"/>
  <c r="AR68" i="4"/>
  <c r="AR67" i="4"/>
  <c r="AR66" i="4"/>
  <c r="AR65" i="4"/>
  <c r="AR64" i="4"/>
  <c r="AR63" i="4"/>
  <c r="AR62" i="4"/>
  <c r="AR61" i="4"/>
  <c r="AR60" i="4"/>
  <c r="AR59" i="4"/>
  <c r="AR58" i="4"/>
  <c r="AR57" i="4"/>
  <c r="AR56" i="4"/>
  <c r="AR55" i="4"/>
  <c r="AR54" i="4"/>
  <c r="AR53" i="4"/>
  <c r="AR52" i="4"/>
  <c r="AR51" i="4"/>
  <c r="AR50" i="4"/>
  <c r="AR49" i="4"/>
  <c r="AR48" i="4"/>
  <c r="AR47" i="4"/>
  <c r="AR46" i="4"/>
  <c r="AR45" i="4"/>
  <c r="AR44" i="4"/>
  <c r="AR43" i="4"/>
  <c r="AR42" i="4"/>
  <c r="AR41" i="4"/>
  <c r="AR40" i="4"/>
  <c r="AR39" i="4"/>
  <c r="AR38" i="4"/>
  <c r="AR37" i="4"/>
  <c r="AR36" i="4"/>
  <c r="AR35" i="4"/>
  <c r="AR34" i="4"/>
  <c r="AR33" i="4"/>
  <c r="AR32" i="4"/>
  <c r="AR31" i="4"/>
  <c r="AR30" i="4"/>
  <c r="AR29" i="4"/>
  <c r="AR28" i="4"/>
  <c r="AR27" i="4"/>
  <c r="AR26" i="4"/>
  <c r="AR25" i="4"/>
  <c r="AR24" i="4"/>
  <c r="AR23" i="4"/>
  <c r="AR22" i="4"/>
  <c r="AR21" i="4"/>
  <c r="AR20" i="4"/>
  <c r="AR19" i="4"/>
  <c r="AR18" i="4"/>
  <c r="AR17" i="4"/>
  <c r="AR16" i="4"/>
  <c r="AR15" i="4"/>
  <c r="AR14" i="4"/>
  <c r="AR13" i="4"/>
  <c r="AR12" i="4"/>
  <c r="AR11" i="4"/>
  <c r="AR10" i="4"/>
  <c r="AR9" i="4"/>
  <c r="AR8" i="4"/>
  <c r="AR7" i="4"/>
  <c r="AR6" i="4"/>
  <c r="AR5" i="4"/>
  <c r="AR4" i="4"/>
  <c r="AR3" i="4"/>
  <c r="AR2" i="4"/>
  <c r="U83" i="4"/>
  <c r="U84" i="4"/>
  <c r="U85" i="4"/>
  <c r="U86" i="4"/>
  <c r="U87" i="4"/>
  <c r="U88" i="4"/>
  <c r="U89" i="4"/>
  <c r="U90" i="4"/>
  <c r="U91" i="4"/>
  <c r="U92" i="4"/>
  <c r="U93" i="4"/>
  <c r="U94" i="4"/>
  <c r="U82" i="4"/>
  <c r="U81" i="4"/>
  <c r="U80" i="4"/>
  <c r="U79" i="4"/>
  <c r="U78" i="4"/>
  <c r="U77" i="4"/>
  <c r="U76" i="4"/>
  <c r="U75" i="4"/>
  <c r="U74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7" i="4"/>
  <c r="U6" i="4"/>
  <c r="U5" i="4"/>
  <c r="U4" i="4"/>
  <c r="U3" i="4"/>
  <c r="U2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6" i="4"/>
  <c r="G5" i="4"/>
  <c r="G4" i="4"/>
  <c r="G3" i="4"/>
  <c r="G2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R81" i="4"/>
  <c r="AG2" i="4"/>
  <c r="AG3" i="4"/>
  <c r="AG4" i="4"/>
  <c r="AG5" i="4"/>
  <c r="AG6" i="4"/>
  <c r="AG7" i="4"/>
  <c r="AG8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G35" i="4"/>
  <c r="AG36" i="4"/>
  <c r="AG37" i="4"/>
  <c r="AG38" i="4"/>
  <c r="AG39" i="4"/>
  <c r="AG40" i="4"/>
  <c r="AG41" i="4"/>
  <c r="AG42" i="4"/>
  <c r="AG43" i="4"/>
  <c r="AG44" i="4"/>
  <c r="AG45" i="4"/>
  <c r="AG46" i="4"/>
  <c r="AG47" i="4"/>
  <c r="AG48" i="4"/>
  <c r="AG49" i="4"/>
  <c r="AG50" i="4"/>
  <c r="AG51" i="4"/>
  <c r="AG52" i="4"/>
  <c r="AG53" i="4"/>
  <c r="AG54" i="4"/>
  <c r="AG55" i="4"/>
  <c r="AG56" i="4"/>
  <c r="AG57" i="4"/>
  <c r="AG58" i="4"/>
  <c r="AG59" i="4"/>
  <c r="AG60" i="4"/>
  <c r="AG61" i="4"/>
  <c r="AG62" i="4"/>
  <c r="AG63" i="4"/>
  <c r="AG64" i="4"/>
  <c r="AG65" i="4"/>
  <c r="AG66" i="4"/>
  <c r="AG67" i="4"/>
  <c r="AG68" i="4"/>
  <c r="AG69" i="4"/>
  <c r="AG70" i="4"/>
  <c r="AG71" i="4"/>
  <c r="AG72" i="4"/>
  <c r="AG73" i="4"/>
  <c r="AG74" i="4"/>
  <c r="AG75" i="4"/>
  <c r="AG76" i="4"/>
  <c r="AG77" i="4"/>
  <c r="AG78" i="4"/>
  <c r="AG79" i="4"/>
  <c r="AG80" i="4"/>
  <c r="AG81" i="4"/>
  <c r="AG82" i="4"/>
  <c r="AD2" i="4"/>
  <c r="AD3" i="4"/>
  <c r="AD4" i="4"/>
  <c r="AD5" i="4"/>
  <c r="AD6" i="4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8" i="4"/>
  <c r="AD39" i="4"/>
  <c r="AD40" i="4"/>
  <c r="AD41" i="4"/>
  <c r="AD42" i="4"/>
  <c r="AD43" i="4"/>
  <c r="AD44" i="4"/>
  <c r="AD45" i="4"/>
  <c r="AD46" i="4"/>
  <c r="AD47" i="4"/>
  <c r="AD48" i="4"/>
  <c r="AD49" i="4"/>
  <c r="AD50" i="4"/>
  <c r="AD51" i="4"/>
  <c r="AD52" i="4"/>
  <c r="AD53" i="4"/>
  <c r="AD54" i="4"/>
  <c r="AD55" i="4"/>
  <c r="AD56" i="4"/>
  <c r="AD57" i="4"/>
  <c r="AD58" i="4"/>
  <c r="AD59" i="4"/>
  <c r="AD60" i="4"/>
  <c r="AD61" i="4"/>
  <c r="AD62" i="4"/>
  <c r="AD63" i="4"/>
  <c r="AD64" i="4"/>
  <c r="AD65" i="4"/>
  <c r="AD66" i="4"/>
  <c r="AD67" i="4"/>
  <c r="AD68" i="4"/>
  <c r="AD69" i="4"/>
  <c r="AD70" i="4"/>
  <c r="AD71" i="4"/>
  <c r="AD72" i="4"/>
  <c r="AD73" i="4"/>
  <c r="AD74" i="4"/>
  <c r="AD75" i="4"/>
  <c r="AD76" i="4"/>
  <c r="AD77" i="4"/>
  <c r="AD78" i="4"/>
  <c r="AD79" i="4"/>
  <c r="AD80" i="4"/>
  <c r="AD81" i="4"/>
  <c r="AD82" i="4"/>
  <c r="AA2" i="4"/>
  <c r="AA3" i="4"/>
  <c r="AA4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3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58" i="4"/>
  <c r="AA59" i="4"/>
  <c r="AA60" i="4"/>
  <c r="AA61" i="4"/>
  <c r="AA62" i="4"/>
  <c r="AA63" i="4"/>
  <c r="AA64" i="4"/>
  <c r="AA65" i="4"/>
  <c r="AA66" i="4"/>
  <c r="AA67" i="4"/>
  <c r="AA68" i="4"/>
  <c r="AA69" i="4"/>
  <c r="AA70" i="4"/>
  <c r="AA71" i="4"/>
  <c r="AA72" i="4"/>
  <c r="AA73" i="4"/>
  <c r="AA74" i="4"/>
  <c r="AA75" i="4"/>
  <c r="AA76" i="4"/>
  <c r="AA77" i="4"/>
  <c r="AA78" i="4"/>
  <c r="AA79" i="4"/>
  <c r="AA80" i="4"/>
  <c r="AA81" i="4"/>
  <c r="AA82" i="4"/>
  <c r="X2" i="4"/>
  <c r="X3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R2" i="4"/>
  <c r="R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2" i="4"/>
  <c r="P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AJ76" i="4" l="1"/>
  <c r="AJ69" i="4"/>
  <c r="AJ68" i="4"/>
  <c r="AJ56" i="4"/>
  <c r="AJ50" i="4"/>
  <c r="AJ34" i="4"/>
  <c r="AJ32" i="4"/>
  <c r="AJ31" i="4"/>
  <c r="AJ29" i="4"/>
  <c r="AJ25" i="4"/>
  <c r="AJ24" i="4"/>
  <c r="AJ20" i="4"/>
  <c r="AJ19" i="4"/>
  <c r="AJ17" i="4"/>
  <c r="AJ16" i="4"/>
  <c r="AJ15" i="4"/>
  <c r="AJ14" i="4"/>
  <c r="AJ12" i="4"/>
  <c r="AJ11" i="4"/>
  <c r="AJ10" i="4"/>
  <c r="AJ8" i="4"/>
  <c r="AJ6" i="4"/>
  <c r="AJ5" i="4"/>
  <c r="AJ4" i="4"/>
  <c r="AJ3" i="4"/>
  <c r="AJ2" i="4"/>
  <c r="AK76" i="4"/>
  <c r="AK69" i="4"/>
  <c r="AN25" i="4"/>
  <c r="AN24" i="4"/>
  <c r="AN20" i="4"/>
  <c r="AN19" i="4"/>
  <c r="AN17" i="4"/>
  <c r="AN16" i="4"/>
  <c r="AN15" i="4"/>
  <c r="AN14" i="4"/>
  <c r="AN12" i="4"/>
  <c r="AN11" i="4"/>
  <c r="AN10" i="4"/>
  <c r="AN8" i="4"/>
  <c r="AN6" i="4"/>
  <c r="AN5" i="4"/>
  <c r="AN4" i="4"/>
  <c r="AN3" i="4"/>
  <c r="AN2" i="4"/>
  <c r="AN31" i="4"/>
  <c r="AN32" i="4"/>
  <c r="AN30" i="4"/>
  <c r="AN29" i="4"/>
  <c r="AN35" i="4"/>
  <c r="AN34" i="4"/>
  <c r="AN50" i="4"/>
  <c r="AN54" i="4"/>
  <c r="AN56" i="4"/>
  <c r="AN68" i="4"/>
  <c r="AN69" i="4"/>
  <c r="AN76" i="4"/>
  <c r="AO76" i="4"/>
  <c r="AO69" i="4"/>
</calcChain>
</file>

<file path=xl/sharedStrings.xml><?xml version="1.0" encoding="utf-8"?>
<sst xmlns="http://schemas.openxmlformats.org/spreadsheetml/2006/main" count="1695" uniqueCount="597">
  <si>
    <t>京都大学附属図書館　富士川　近衛</t>
  </si>
  <si>
    <t>難経抄</t>
  </si>
  <si>
    <t>仮名難経 3巻</t>
  </si>
  <si>
    <t>難経評林 6巻</t>
  </si>
  <si>
    <t>難経註疏 2巻</t>
  </si>
  <si>
    <t>難経篷菴抄</t>
  </si>
  <si>
    <t>難経達言 3巻</t>
  </si>
  <si>
    <t>難経雲庵抄</t>
  </si>
  <si>
    <t>難経文字攷 2巻</t>
  </si>
  <si>
    <t>難経 上巻のみ</t>
  </si>
  <si>
    <t>難経古義 2巻</t>
  </si>
  <si>
    <t>難経或問 2巻附1巻</t>
  </si>
  <si>
    <t>難経発揮</t>
  </si>
  <si>
    <t>難経蒼璧 2巻</t>
  </si>
  <si>
    <t>難経註疏 3巻</t>
  </si>
  <si>
    <t>難経経釈 2巻</t>
  </si>
  <si>
    <t>難経疏証 2巻</t>
  </si>
  <si>
    <t>難経本義</t>
  </si>
  <si>
    <t>難経滑義補正</t>
  </si>
  <si>
    <t>(由頤先生)難経考</t>
  </si>
  <si>
    <t>難経管窺精義</t>
  </si>
  <si>
    <t>難経韵語図解 2巻</t>
  </si>
  <si>
    <t>難経本義大鈔 20巻・序2巻・彙攷1巻</t>
  </si>
  <si>
    <t>(図註八十一)難経弁真 4巻</t>
  </si>
  <si>
    <t>(勿聴子俗解)八十一難経</t>
  </si>
  <si>
    <t>(新刊勿聴子俗解)八十一難経 6巻</t>
  </si>
  <si>
    <t>王叔和脉訣八十一難経</t>
  </si>
  <si>
    <t>黄帝八十一難経輯釈備考 3巻</t>
  </si>
  <si>
    <t>新編俗解八十一難経図要</t>
  </si>
  <si>
    <t>(勿聴子)俗解八十一難経 [正集] 6巻・図1巻</t>
  </si>
  <si>
    <t>新刊勿聴子俗解八十一難経 6巻纂図隠括</t>
  </si>
  <si>
    <t>三焦心包絡命門弁</t>
  </si>
  <si>
    <t>易学啓蒙通釈口義 存巻上ノ2</t>
  </si>
  <si>
    <t>https://rmda.kulib.kyoto-u.ac.jp/item/rb00008889</t>
    <phoneticPr fontId="2"/>
  </si>
  <si>
    <t>https://rmda.kulib.kyoto-u.ac.jp/item/rb00001651</t>
    <phoneticPr fontId="2"/>
  </si>
  <si>
    <t>https://rmda.kulib.kyoto-u.ac.jp/item/rb00004592</t>
    <phoneticPr fontId="2"/>
  </si>
  <si>
    <t>https://rmda.kulib.kyoto-u.ac.jp/item/rb00000698</t>
    <phoneticPr fontId="2"/>
  </si>
  <si>
    <t>https://rmda.kulib.kyoto-u.ac.jp/item/rb00004594</t>
    <phoneticPr fontId="2"/>
  </si>
  <si>
    <t>https://rmda.kulib.kyoto-u.ac.jp/item/rb00004589</t>
    <phoneticPr fontId="2"/>
  </si>
  <si>
    <t>https://rmda.kulib.kyoto-u.ac.jp/item/rb00004579</t>
    <phoneticPr fontId="2"/>
  </si>
  <si>
    <t>https://rmda.kulib.kyoto-u.ac.jp/item/rb00004598</t>
    <phoneticPr fontId="2"/>
  </si>
  <si>
    <t>https://rmda.kulib.kyoto-u.ac.jp/item/rb00004577</t>
    <phoneticPr fontId="2"/>
  </si>
  <si>
    <t>https://rmda.kulib.kyoto-u.ac.jp/item/rb00004585</t>
    <phoneticPr fontId="2"/>
  </si>
  <si>
    <t>https://rmda.kulib.kyoto-u.ac.jp/item/rb00004599</t>
    <phoneticPr fontId="2"/>
  </si>
  <si>
    <t>https://rmda.kulib.kyoto-u.ac.jp/item/rb00004591</t>
    <phoneticPr fontId="2"/>
  </si>
  <si>
    <t>https://rmda.kulib.kyoto-u.ac.jp/item/rb00004586</t>
    <phoneticPr fontId="2"/>
  </si>
  <si>
    <t>https://rmda.kulib.kyoto-u.ac.jp/item/rb00004590</t>
    <phoneticPr fontId="2"/>
  </si>
  <si>
    <t>https://rmda.kulib.kyoto-u.ac.jp/item/rb00004595</t>
    <phoneticPr fontId="2"/>
  </si>
  <si>
    <t>https://rmda.kulib.kyoto-u.ac.jp/item/rb00004596</t>
    <phoneticPr fontId="2"/>
  </si>
  <si>
    <t>https://rmda.kulib.kyoto-u.ac.jp/item/rb00004583</t>
    <phoneticPr fontId="2"/>
  </si>
  <si>
    <t>https://rmda.kulib.kyoto-u.ac.jp/item/rb00004587</t>
    <phoneticPr fontId="2"/>
  </si>
  <si>
    <t>https://rmda.kulib.kyoto-u.ac.jp/item/rb00013401</t>
    <phoneticPr fontId="2"/>
  </si>
  <si>
    <t>https://rmda.kulib.kyoto-u.ac.jp/item/rb00001652</t>
    <phoneticPr fontId="2"/>
  </si>
  <si>
    <t>https://rmda.kulib.kyoto-u.ac.jp/item/rb00004581</t>
    <phoneticPr fontId="2"/>
  </si>
  <si>
    <t>https://rmda.kulib.kyoto-u.ac.jp/item/rb00004584</t>
    <phoneticPr fontId="2"/>
  </si>
  <si>
    <t>https://rmda.kulib.kyoto-u.ac.jp/item/rb00004582</t>
    <phoneticPr fontId="2"/>
  </si>
  <si>
    <t>https://rmda.kulib.kyoto-u.ac.jp/item/rb00004578</t>
    <phoneticPr fontId="2"/>
  </si>
  <si>
    <t>https://rmda.kulib.kyoto-u.ac.jp/item/rb00004580</t>
    <phoneticPr fontId="2"/>
  </si>
  <si>
    <t>https://rmda.kulib.kyoto-u.ac.jp/item/rb00004597</t>
    <phoneticPr fontId="2"/>
  </si>
  <si>
    <t>https://rmda.kulib.kyoto-u.ac.jp/item/rb00004593</t>
    <phoneticPr fontId="2"/>
  </si>
  <si>
    <t>https://rmda.kulib.kyoto-u.ac.jp/item/rb00011986</t>
    <phoneticPr fontId="2"/>
  </si>
  <si>
    <t>https://rmda.kulib.kyoto-u.ac.jp/item/rb00011988</t>
    <phoneticPr fontId="2"/>
  </si>
  <si>
    <t>https://rmda.kulib.kyoto-u.ac.jp/item/rb00001349</t>
    <phoneticPr fontId="2"/>
  </si>
  <si>
    <t>https://rmda.kulib.kyoto-u.ac.jp/item/rb00002419</t>
    <phoneticPr fontId="2"/>
  </si>
  <si>
    <t>https://rmda.kulib.kyoto-u.ac.jp/item/rb00003590</t>
    <phoneticPr fontId="2"/>
  </si>
  <si>
    <t>https://rmda.kulib.kyoto-u.ac.jp/item/rb00008886</t>
    <phoneticPr fontId="2"/>
  </si>
  <si>
    <t>https://rmda.kulib.kyoto-u.ac.jp/item/rb00011987</t>
    <phoneticPr fontId="2"/>
  </si>
  <si>
    <t>https://rmda.kulib.kyoto-u.ac.jp/item/rb00003409</t>
    <phoneticPr fontId="2"/>
  </si>
  <si>
    <t>https://rmda.kulib.kyoto-u.ac.jp/item/rb00002782</t>
    <phoneticPr fontId="2"/>
  </si>
  <si>
    <t>https://rmda.kulib.kyoto-u.ac.jp/item/rb00007916</t>
    <phoneticPr fontId="2"/>
  </si>
  <si>
    <t>古註集成のNO</t>
    <rPh sb="0" eb="2">
      <t>コチュウ</t>
    </rPh>
    <rPh sb="2" eb="4">
      <t>シュウセイ</t>
    </rPh>
    <phoneticPr fontId="2"/>
  </si>
  <si>
    <t>通しNO</t>
    <rPh sb="0" eb="1">
      <t>トオ</t>
    </rPh>
    <phoneticPr fontId="2"/>
  </si>
  <si>
    <t>書名　URL</t>
    <rPh sb="0" eb="2">
      <t>ショメイ</t>
    </rPh>
    <phoneticPr fontId="2"/>
  </si>
  <si>
    <t>図書館</t>
    <rPh sb="0" eb="3">
      <t>トショカン</t>
    </rPh>
    <phoneticPr fontId="2"/>
  </si>
  <si>
    <t>（明・熊宗立[注]）</t>
  </si>
  <si>
    <t>（明・張世賢[注]）</t>
  </si>
  <si>
    <t>（明・王文潔[注]）</t>
  </si>
  <si>
    <t>（清・徐大椿[釈]）</t>
  </si>
  <si>
    <t>（森本玄閑[著]）</t>
  </si>
  <si>
    <t>（滕万卿[撰]）</t>
  </si>
  <si>
    <t>（多紀元胤[著]）</t>
  </si>
  <si>
    <t>（明・滑寿[著]）</t>
  </si>
  <si>
    <t>（百々綯[撰]）</t>
  </si>
  <si>
    <t>（岡田静安[著]）</t>
  </si>
  <si>
    <t>（名古屋玄医[著]）叢書・収録書: 難経註疏</t>
  </si>
  <si>
    <t>（名古屋玄医[著]）</t>
  </si>
  <si>
    <t>（高宮貞[著]）</t>
  </si>
  <si>
    <t>（伊藤馨[著]）</t>
  </si>
  <si>
    <t>（古林見宜(正温)[著]）</t>
  </si>
  <si>
    <t>（菅井倉常(文平)[著]）</t>
  </si>
  <si>
    <t>https://rmda.kulib.kyoto-u.ac.jp/item/rb00004588</t>
    <phoneticPr fontId="2"/>
  </si>
  <si>
    <t>（松井閲(材庵)口授・千賀真恒輯・松井義古等校）</t>
  </si>
  <si>
    <t>（杉本良[著]）</t>
  </si>
  <si>
    <t>（清川靄墩(吉人)[著]）</t>
  </si>
  <si>
    <t>京都大学附属図書館　清家文庫</t>
    <phoneticPr fontId="2"/>
  </si>
  <si>
    <t>●</t>
  </si>
  <si>
    <t>国文学研究資料館　</t>
    <rPh sb="0" eb="8">
      <t>コクブンガクケンキュウシリョウカン</t>
    </rPh>
    <phoneticPr fontId="2"/>
  </si>
  <si>
    <t>https://www.nijl.ac.jp/</t>
  </si>
  <si>
    <t>新日本古典籍総合データベース</t>
  </si>
  <si>
    <t>https://kotenseki.nijl.ac.jp/</t>
  </si>
  <si>
    <t>国文学研究資料館　日本古典籍総合目録データベース</t>
    <rPh sb="0" eb="8">
      <t>コクブンガクケンキュウシリョウカン</t>
    </rPh>
    <rPh sb="9" eb="11">
      <t>ニホン</t>
    </rPh>
    <rPh sb="11" eb="12">
      <t>コ</t>
    </rPh>
    <rPh sb="12" eb="14">
      <t>テンセキ</t>
    </rPh>
    <rPh sb="14" eb="16">
      <t>ソウゴウ</t>
    </rPh>
    <rPh sb="16" eb="18">
      <t>モクロク</t>
    </rPh>
    <phoneticPr fontId="2"/>
  </si>
  <si>
    <t>https://base1.nijl.ac.jp/~tkoten/</t>
  </si>
  <si>
    <t>国文学研究資料館 電子資料館 日本古典籍総合目録DB 館蔵和古書目録DB</t>
  </si>
  <si>
    <t>http://base1.nijl.ac.jp/infolib/meta_pub/G0001401KTG</t>
  </si>
  <si>
    <t>国文研・デジタル公開所蔵者一覧表</t>
  </si>
  <si>
    <t>http://base1.nijl.ac.jp/~tkoten/owners/syuusyuu_list.html</t>
  </si>
  <si>
    <t>国立国会図書館デジタルコレクション</t>
  </si>
  <si>
    <t>http://dl.ndl.go.jp/</t>
  </si>
  <si>
    <t>早稲田大学図書館　古典籍総合データベース</t>
    <rPh sb="0" eb="20">
      <t>ワセダ@</t>
    </rPh>
    <phoneticPr fontId="2"/>
  </si>
  <si>
    <t>http://www.wul.waseda.ac.jp/kotenseki/</t>
  </si>
  <si>
    <t>京都大学貴重資料デジタルアーカイブ</t>
  </si>
  <si>
    <t>https://rmda.kulib.kyoto-u.ac.jp/</t>
  </si>
  <si>
    <t>●●</t>
  </si>
  <si>
    <t>富士川文庫</t>
    <rPh sb="0" eb="3">
      <t>フジカワ</t>
    </rPh>
    <rPh sb="3" eb="5">
      <t>ブンコ</t>
    </rPh>
    <phoneticPr fontId="2"/>
  </si>
  <si>
    <t>https://rmda.kulib.kyoto-u.ac.jp/search</t>
  </si>
  <si>
    <t>https://rmda.kulib.kyoto-u.ac.jp/collection/fujikawa</t>
  </si>
  <si>
    <t>東大富士川文庫資料</t>
    <rPh sb="0" eb="2">
      <t>トウダイ</t>
    </rPh>
    <rPh sb="2" eb="9">
      <t>フジカワブンコシリョウ</t>
    </rPh>
    <phoneticPr fontId="2"/>
  </si>
  <si>
    <t>https://iiif.dl.itc.u-tokyo.ac.jp/repo/s/fujikawa/page/home</t>
  </si>
  <si>
    <t>慶應義塾大学メディアセンター デジタルコレクション</t>
  </si>
  <si>
    <t>http://dcollections.lib.keio.ac.jp/ja/koisho</t>
  </si>
  <si>
    <t>富士川文庫デジタル連携プロジェクト試行版</t>
  </si>
  <si>
    <t>http://www.kulib.kyoto-u.ac.jp/rdl/digital_fujikawa/</t>
  </si>
  <si>
    <t>九州大学</t>
    <rPh sb="0" eb="4">
      <t>キュウシュウダイガク</t>
    </rPh>
    <phoneticPr fontId="2"/>
  </si>
  <si>
    <t>https://catalog.lib.kyushu-u.ac.jp/opac_browse/rare/?lang=0</t>
  </si>
  <si>
    <t>国立公文書館デジタルアーカイブ　内閣文庫</t>
    <rPh sb="0" eb="2">
      <t>コクリツ</t>
    </rPh>
    <rPh sb="2" eb="6">
      <t>コウブンショカン</t>
    </rPh>
    <rPh sb="16" eb="20">
      <t>ナイカクブンコ</t>
    </rPh>
    <phoneticPr fontId="2"/>
  </si>
  <si>
    <t>https://www.digital.archives.go.jp/</t>
  </si>
  <si>
    <t>宮内庁書陵部収蔵漢籍集覧</t>
  </si>
  <si>
    <t>http://db.sido.keio.ac.jp/kanseki/T_bib_search.php</t>
  </si>
  <si>
    <t>　　　書誌書影・全文影像データベース</t>
  </si>
  <si>
    <t>書陵部所蔵資料目録・画像公開システム</t>
  </si>
  <si>
    <t>https://shoryobu.kunaicho.go.jp/</t>
  </si>
  <si>
    <t>国立博物館所蔵　国宝・重要文化財</t>
    <rPh sb="0" eb="2">
      <t>コクリツ</t>
    </rPh>
    <rPh sb="2" eb="5">
      <t>ハクブツカン</t>
    </rPh>
    <rPh sb="5" eb="7">
      <t>ショゾウ</t>
    </rPh>
    <rPh sb="8" eb="10">
      <t>コクホウ</t>
    </rPh>
    <rPh sb="11" eb="13">
      <t>ジュウヨウ</t>
    </rPh>
    <rPh sb="13" eb="16">
      <t>ブンカザイ</t>
    </rPh>
    <phoneticPr fontId="2"/>
  </si>
  <si>
    <t>http://www.emuseum.jp/</t>
  </si>
  <si>
    <t>国立博物館所蔵　デジタルライブラリー</t>
    <rPh sb="0" eb="2">
      <t>コクリツ</t>
    </rPh>
    <rPh sb="2" eb="5">
      <t>ハクブツカン</t>
    </rPh>
    <rPh sb="5" eb="7">
      <t>ショゾウ</t>
    </rPh>
    <phoneticPr fontId="2"/>
  </si>
  <si>
    <t>https://webarchives.tnm.jp/dlib/</t>
  </si>
  <si>
    <t>城西大学の漢方コレクション</t>
  </si>
  <si>
    <t>http://libir.josai.ac.jp/contents/josai/kanpou/</t>
  </si>
  <si>
    <t>（1554年(天文23)僧・道器[著]）　谷野一栢の門人・道器（1505？～？）</t>
    <rPh sb="21" eb="23">
      <t>タニノ</t>
    </rPh>
    <rPh sb="24" eb="25">
      <t>カシワ</t>
    </rPh>
    <phoneticPr fontId="2"/>
  </si>
  <si>
    <t>難経は無いが参考に</t>
    <rPh sb="0" eb="2">
      <t>ナ@</t>
    </rPh>
    <rPh sb="3" eb="4">
      <t>ナ</t>
    </rPh>
    <rPh sb="6" eb="8">
      <t>サンコウ</t>
    </rPh>
    <phoneticPr fontId="2"/>
  </si>
  <si>
    <t>（宋・胡方平撰, 一栢講, 月舟聞書）</t>
    <phoneticPr fontId="2"/>
  </si>
  <si>
    <t>京都大学附属図書館　近衛</t>
    <phoneticPr fontId="2"/>
  </si>
  <si>
    <t>（1559年(永禄2)、一栢現震（＝谷野雲庵）の門人・道器（1505？～？）が書き写した物）</t>
    <rPh sb="24" eb="26">
      <t>モンジン</t>
    </rPh>
    <rPh sb="27" eb="28">
      <t>ミチ</t>
    </rPh>
    <rPh sb="28" eb="29">
      <t>ウツワ</t>
    </rPh>
    <rPh sb="39" eb="40">
      <t>カ</t>
    </rPh>
    <rPh sb="41" eb="42">
      <t>ウツ</t>
    </rPh>
    <rPh sb="44" eb="45">
      <t>モノ</t>
    </rPh>
    <phoneticPr fontId="2"/>
  </si>
  <si>
    <t>　篠原孝市　（古典鍼灸研究会）</t>
  </si>
  <si>
    <t>　1982年（昭和57）11月</t>
  </si>
  <si>
    <t>　東洋医学研究会</t>
  </si>
  <si>
    <t>●04　新刊勿聴子俗解八十一難経　（明・熊宗立[注]）</t>
  </si>
  <si>
    <t>●05　図註八十一難経　（明・張世賢[注]）</t>
  </si>
  <si>
    <t>●06　鍥王氏秘伝図註八十一難経評林捷径統宗　（明・王文潔[注]）</t>
  </si>
  <si>
    <t>●07　難経経釈　　　（清・徐大椿[釈]）</t>
  </si>
  <si>
    <t>●08　難経本義大鈔　（森本玄閑[著]）</t>
  </si>
  <si>
    <t>●は京都大学貴重書アーカイブにあり</t>
  </si>
  <si>
    <t>▼09　難経鉄鑑　　　（広岡蘇仙[著]）</t>
    <phoneticPr fontId="2"/>
  </si>
  <si>
    <t>国立公文書館デジタルアーカイブ　内閣文庫</t>
  </si>
  <si>
    <t>https://www.digital.archives.go.jp/</t>
    <phoneticPr fontId="2"/>
  </si>
  <si>
    <t>※は国立公文書館デジタルアーカイブ　内閣文庫にあり</t>
    <phoneticPr fontId="2"/>
  </si>
  <si>
    <t>●10　難経古義　　　（滕万卿＝加藤章[撰]）</t>
    <rPh sb="16" eb="18">
      <t>カトウ</t>
    </rPh>
    <rPh sb="18" eb="19">
      <t>アキラ</t>
    </rPh>
    <phoneticPr fontId="2"/>
  </si>
  <si>
    <t>https://rmda.kulib.kyoto-u.ac.jp/item/rb00004592</t>
    <phoneticPr fontId="2"/>
  </si>
  <si>
    <t>https://rmda.kulib.kyoto-u.ac.jp/item/rb00004585</t>
    <phoneticPr fontId="2"/>
  </si>
  <si>
    <t>https://rmda.kulib.kyoto-u.ac.jp/item/rb00004583</t>
    <phoneticPr fontId="2"/>
  </si>
  <si>
    <t>https://rmda.kulib.kyoto-u.ac.jp/item/rb00004587</t>
    <phoneticPr fontId="2"/>
  </si>
  <si>
    <t>https://rmda.kulib.kyoto-u.ac.jp/item/rb00004597</t>
    <phoneticPr fontId="2"/>
  </si>
  <si>
    <t>https://rmda.kulib.kyoto-u.ac.jp/item/rb00004593</t>
    <phoneticPr fontId="2"/>
  </si>
  <si>
    <t>https://rmda.kulib.kyoto-u.ac.jp/item/rb00011986</t>
    <phoneticPr fontId="2"/>
  </si>
  <si>
    <t>https://rmda.kulib.kyoto-u.ac.jp/item/rb00011988</t>
    <phoneticPr fontId="2"/>
  </si>
  <si>
    <t>https://rmda.kulib.kyoto-u.ac.jp/item/rb00001349</t>
    <phoneticPr fontId="2"/>
  </si>
  <si>
    <t>以下はメモ</t>
    <rPh sb="0" eb="2">
      <t>イカ</t>
    </rPh>
    <phoneticPr fontId="2"/>
  </si>
  <si>
    <t>タイトル</t>
  </si>
  <si>
    <t>難経捷径 2巻. [1]</t>
  </si>
  <si>
    <t>著者　寿徳庵, 玄由[他]</t>
  </si>
  <si>
    <t>出版者　風月宗知</t>
  </si>
  <si>
    <t>出版年月日　寛永14刊　寛永14年(1637)</t>
  </si>
  <si>
    <t>中国医学書目. 続</t>
  </si>
  <si>
    <t>著者　東亜医学研究所 編</t>
  </si>
  <si>
    <t>出版者　東亜医学研究所</t>
  </si>
  <si>
    <t>出版年月日　昭和16</t>
  </si>
  <si>
    <t>新刊勿聽子俗解八十一難經卷1-3圖要1卷. [1]</t>
  </si>
  <si>
    <t>著者　明熊宗立撰</t>
  </si>
  <si>
    <t>出版者　朝倉孝景刊</t>
  </si>
  <si>
    <t>出版年月日　天文5　天文5年(1536)</t>
  </si>
  <si>
    <t>解題/抄録</t>
  </si>
  <si>
    <t>目次・巻号</t>
  </si>
  <si>
    <t>書誌情報</t>
  </si>
  <si>
    <t>新刊勿聽子俗解八十一難經卷1-3圖要1卷の解題/抄録</t>
  </si>
  <si>
    <t>中国古代の医書「八十一難経」の注解書。</t>
  </si>
  <si>
    <t>全6巻図要1巻。</t>
  </si>
  <si>
    <t>図要には古代思想に基づく医論の図解、経穴を示す人体図など28図を収録する。</t>
  </si>
  <si>
    <t>撰者の熊宗立は明初、建陽の人。字道軒、号鼇峰。医家で出版者でもあった。</t>
  </si>
  <si>
    <t>本版は、天文5年（1536）越前一乗谷において、越前国主日下氏朝倉孝景（法号宗淳）が刊行したもの。</t>
  </si>
  <si>
    <t>底本は成化8年（1472）鼇峰熊氏中和堂刊本。</t>
  </si>
  <si>
    <t>入明の名医、谷野一柏が文字と句読点に校正を加えた。</t>
  </si>
  <si>
    <t>一乗谷は当時、朝倉氏の城下として繁盛の地、文芸の一中心地でもあった。</t>
  </si>
  <si>
    <t>版刻精善、厚手上質の楮紙を用いた大型本。</t>
  </si>
  <si>
    <t>巻4－6を欠く。</t>
  </si>
  <si>
    <t>熊宗立の著書「医書大全」は日本で翻刻された最初の医書であり、次いで古いものが本書である。</t>
  </si>
  <si>
    <t>***********************************************</t>
  </si>
  <si>
    <t>早稲田大学図書館　古典籍総合データベース</t>
  </si>
  <si>
    <t>王翰林集註黄帝八十一難経. 巻之1-5 / 秦越人 撰 ; 王九思 [ほか]註解 ; 王惟一 校正附音釈</t>
  </si>
  <si>
    <t>オウ カンリン シッチュウ コウテイ ハチジュウイチ ナンケイ</t>
  </si>
  <si>
    <t>ō kanrin shitchū kōtei hachijūichi nankei</t>
  </si>
  <si>
    <t>秦 越人　シン, エツジン　shin, etsujin</t>
  </si>
  <si>
    <t>王 九思, 1468-1551　オウ, キュウシ　ō, kyūshi</t>
  </si>
  <si>
    <t>王 惟一　オウ, イイツ　ō, iitsu</t>
  </si>
  <si>
    <t>[京都] : 武村市兵衛, 慶安5[1652]　キョウト : タケムライチベエ　kyōto : takemuraichibee</t>
  </si>
  <si>
    <t>黄帝八十一難経疏証. 巻上,下 / 丹波元胤 学</t>
  </si>
  <si>
    <t>コウテイ ハチジュウイチ ナンケイ ソショウ</t>
  </si>
  <si>
    <t>kōtei hachijūichi nankei soshō</t>
  </si>
  <si>
    <t>多紀 元胤, 1789-1827　タキ, モトツグ　taki, mototsugu</t>
  </si>
  <si>
    <t>吉沢栄軒(写), 文政5[1822]　ヨシザワエイケン(シャ)※　yoshizawaeiken(sha)※</t>
  </si>
  <si>
    <t>新刊勿聴子俗解八十一難経. 巻之1-6,図 / 秦越人 著述 ; 熊宗立 俗解</t>
  </si>
  <si>
    <t>シンカン ブツチョウシ ゾッカイ ハチジュウイチ ナンケイ</t>
  </si>
  <si>
    <t>shinkan butsuchōshi zokkai hachijūichi nankei</t>
  </si>
  <si>
    <t>熊 宗立　ユウ, ソウリツ　yū, sōritsu</t>
  </si>
  <si>
    <t>[京都] : 岩田七兵衛, 寛永4[1627]　キョウト : イワタシチベエ※　kyōto : iwatashichibee</t>
  </si>
  <si>
    <t>素問解題 / 丹波元簡 著</t>
  </si>
  <si>
    <t>ソモン カイダイ　somon kaidai</t>
  </si>
  <si>
    <t>多紀 元簡, 1755-1810　タキ, モトヤス　taki, motoyasu　</t>
  </si>
  <si>
    <t>[江戸] : 宮商閣, 天明7[1787]</t>
  </si>
  <si>
    <t>エド : キュウショウカク　edo : kyūshōkaku</t>
  </si>
  <si>
    <t>難経経釈. 巻上,下 / 秦越人 著 ; 徐大椿 釈</t>
  </si>
  <si>
    <t>ナンケイ ケイシャク　nankei keishaku</t>
  </si>
  <si>
    <t>徐 大椿　ジョ, ダイチン　jo, daichin　</t>
  </si>
  <si>
    <t>[出版地不明] : 半松斎, [出版年不明]</t>
  </si>
  <si>
    <t>ハンショウサイ　hanshōsai</t>
  </si>
  <si>
    <t>東都(江戸) : 須原屋善五郎, 寛政12[1800]</t>
  </si>
  <si>
    <t>トウト(エド) : スハラヤゼンゴロウ　tōto(edo) : suharayazengorō</t>
  </si>
  <si>
    <t>難経小解. 1-6 /c高邦淑 著</t>
  </si>
  <si>
    <t>ナンケイ ショウカイ　nankei shōkai</t>
  </si>
  <si>
    <t>高井 晰斎, ※　タカイ, セキサイ　takai, sekisai　</t>
  </si>
  <si>
    <t>写, [書写年不明]　シャ　sha</t>
  </si>
  <si>
    <t>難経抄. 上,中,下</t>
  </si>
  <si>
    <t>ナンケイショウ　nankeishō</t>
  </si>
  <si>
    <t>[寺町(京)] : 中野市右衛門, 寛永7[1630]</t>
  </si>
  <si>
    <t>テラマチ(キョウ) : ナカノイチエモン</t>
  </si>
  <si>
    <t>teramachi(kyō) : nakanoichiemon</t>
  </si>
  <si>
    <t>難経鉄鑑. 巻之首,1-9 / 広岡蘇仙 著</t>
  </si>
  <si>
    <t>ナンケイ テツカガミ</t>
  </si>
  <si>
    <t>nankei tetsukagami</t>
  </si>
  <si>
    <t>広岡 蘇仙　ヒロオカ, ソセン　hirōka, sosen　</t>
  </si>
  <si>
    <t>深川(東都) : 松菴(写), 嘉永6[1853]</t>
  </si>
  <si>
    <t>フカガワ(トウト) : ショウアン(シャ)※　fukagawa(tōto) : shōan(sha)※</t>
  </si>
  <si>
    <t>難経本義. 下巻 / 滑寿 著 ; 薛己 校</t>
  </si>
  <si>
    <t>ナンケイ ホンギ</t>
  </si>
  <si>
    <t>nankei hongi</t>
  </si>
  <si>
    <t>滑 寿　カツ, ジュ　katsu, ju</t>
  </si>
  <si>
    <t>薛 己　セツ, キ　setsu, ki　</t>
  </si>
  <si>
    <t>[出版地不明] : 東渓堂, [出版年不明]</t>
  </si>
  <si>
    <t>トウケイドウ　tōkeidō</t>
  </si>
  <si>
    <t>古典籍 / 薛氏医按 / 医学－古方</t>
  </si>
  <si>
    <t>難経本義. 巻之上,下 / 滑寿 著</t>
  </si>
  <si>
    <t>ナンケイ ホンギ　nankei hongi</t>
  </si>
  <si>
    <t>滑 寿　カツ, ジュ　katsu, ju　</t>
  </si>
  <si>
    <t>[京都] : 吉野屋徳兵衛, 天和4[1684]</t>
  </si>
  <si>
    <t>キョウト : ヨシノヤトクベエ※　kyōto : yoshinoyatokubee※</t>
  </si>
  <si>
    <t>寺町(京) : 敦賀屋久兵衛, 正保5[1648]</t>
  </si>
  <si>
    <t>テラマチ(キョウ) : ツルガヤキュウベエ　teramachi(kyō) : tsurugayakyūbee</t>
  </si>
  <si>
    <t>三条通升屋町(京師) : 出雲寺和泉掾, [出版年不明]</t>
  </si>
  <si>
    <t>サンジョウドオリマスヤチョウ(ケイシ) : イズモジイズミノジョウ</t>
  </si>
  <si>
    <t>sanjōdōrimasuyachō(keishi) : izumojiizuminojō</t>
  </si>
  <si>
    <t>ナンケイ ホンギ ゲンカイ　nankei hongi genkai</t>
  </si>
  <si>
    <t>岡本 一抱, -1716　オカモト, イッポウ　okamoto, ippō　</t>
  </si>
  <si>
    <t>真斉橋筋呉服町角(大坂) : 池田屋三郎右衛門, 寳永3[1706]</t>
  </si>
  <si>
    <t>シンサイバシスジゴフクチョウカド(オオサカ) : イケダヤサブロウエモン※</t>
  </si>
  <si>
    <t>**********************</t>
  </si>
  <si>
    <t>黄帝八十一難経疏証</t>
  </si>
  <si>
    <t>内閣文庫和書和書(多聞櫓文書を除く）</t>
  </si>
  <si>
    <t>[請求番号]１９５－０１１０[保存場所] 本館 [人名]著者:多紀元胤[数量]2冊[書誌事項]刊本 , 聿修堂[旧蔵者]昌平坂学問所</t>
  </si>
  <si>
    <t>黄帝八十一難経愚得</t>
  </si>
  <si>
    <t>[請求番号]１９５－０１１２[保存場所] 本館 [人名]著者:服部良[数量]2冊[書誌事項]写本[旧蔵者]医学館</t>
  </si>
  <si>
    <t>難経或問</t>
  </si>
  <si>
    <t>[請求番号]１９５－０１１４[保存場所] 本館 [人名]著者:古林正禎[数量]5冊[書誌事項]刊本 ,正徳05年[旧蔵者]医学館</t>
  </si>
  <si>
    <t>難経本義之抄</t>
  </si>
  <si>
    <t>[請求番号]３００－０１９５[保存場所] 本館 [数量]5冊[書誌事項]刊本 ,江戸初[旧蔵者]医学館</t>
  </si>
  <si>
    <t>王翰林集註黄帝八十一難経</t>
  </si>
  <si>
    <t>内閣文庫漢書子の部</t>
  </si>
  <si>
    <t>[請求番号]子０２１－０００６[保存場所] 本館 [人名]選者:王惟一（宋）／注釈者:呂広（宋）[数量]5冊[書誌事項]刊本 ,文化01年 , 濯纓堂[旧蔵者]紅葉山文庫</t>
  </si>
  <si>
    <t>[請求番号]３００－０１７２[保存場所] 本館 [人名]選者:滑寿（元）／校訂者:呉中珩（明）[数量]2冊[書誌事項]刊本 ,江戸[旧蔵者]医学館</t>
  </si>
  <si>
    <t>図註八十一難経定本</t>
  </si>
  <si>
    <t>[請求番号]３００－０１７７[保存場所] 本館 [人名]編者:童養学（明）[数量]1冊[書誌事項]刊本 ,清[旧蔵者]医学館</t>
  </si>
  <si>
    <t>新刊太医院校正図註指南八十一難経</t>
  </si>
  <si>
    <t>[請求番号]３００－０１７８[保存場所] 本館 [人名]選者:張世賢（明）／注釈者:熊宗立（明）／校訂者:呉文炳（明）[数量]1冊[書誌事項]刊本 ,明万暦 , 熊冲宇[旧蔵者]医学館</t>
  </si>
  <si>
    <t>難経経釈</t>
  </si>
  <si>
    <t>[請求番号]３００－０１８５[保存場所] 本館 [人名]著者:徐大椿（清）[数量]2冊[書誌事項]刊本 ,寛政12年 , 聿脩堂[旧蔵者]医学</t>
  </si>
  <si>
    <t>図註八十一難経</t>
  </si>
  <si>
    <t>[請求番号]３００－０１８８[保存場所] 本館 [人名]選者:滑寿（元）／校訂者:薛己（明）[数量]1冊[書誌事項]刊本 ,明[旧蔵者]医学館</t>
  </si>
  <si>
    <t>[請求番号]３００－０１９０[保存場所] 本館 [人名]選者:王惟一（宋）／注釈者:呂広（宋）[数量]5冊[書誌事項]刊本 ,慶安05年[旧蔵者]医学館</t>
  </si>
  <si>
    <t>[請求番号]３００－０１９１[保存場所] 本館 [人名]選者:滑寿（元）／校訂者:呉勉学（明）[数量]5冊[書誌事項]刊本 ,万治03年[旧蔵者]医学館</t>
  </si>
  <si>
    <t>黄帝八十一難経纂図句解</t>
  </si>
  <si>
    <t>[請求番号]３００－０１９２[保存場所] 本館 [人名]著者:李駉（宋）[数量]7冊[書誌事項]写本 ,天保11年[旧蔵者]医学館</t>
  </si>
  <si>
    <t>[請求番号]３００－０１９４[保存場所] 本館 [人名]選者:滑寿（元）／校訂者:呉中珩（明）[数量]2冊[書誌事項]刊本 ,万治03年[旧蔵者]医学館</t>
  </si>
  <si>
    <t>鍥王氏秘伝図註八十一難経評林捷径統宗</t>
  </si>
  <si>
    <t>[請求番号]３００－０１９７[保存場所] 本館 [人名]著者:王文潔（明）[数量]1冊[書誌事項]刊本 ,明万暦 ,明万暦27年 , 劉氏安正堂[旧蔵者]医学館</t>
  </si>
  <si>
    <t>難経</t>
  </si>
  <si>
    <t>内閣文庫漢書子の部医種子</t>
  </si>
  <si>
    <t>[請求番号]３０１－００１８[冊次]2[保存場所] 本館 [人名]著者:扁鵲（盧）[書誌事項]刊本[旧蔵者]医学館</t>
  </si>
  <si>
    <t>図註八十一難経弁真</t>
  </si>
  <si>
    <t>[請求番号]子０２１－０００７[保存場所] 本館 [人名]注釈者:張世賢（明）／編者:張世賢（明）[数量]4冊[書誌事項]刊本 ,明[旧蔵者]紅葉山文庫</t>
  </si>
  <si>
    <t>新刊勿聴子俗解八十一難経</t>
  </si>
  <si>
    <t>[請求番号]子０２１－００１０[保存場所] 本館 [人名]著者:熊宗立（明）[数量]3冊[書誌事項]刊本 ,明成化 ,明成化08年 , 熊氏中和堂[旧蔵者]紅葉山文庫</t>
  </si>
  <si>
    <t>[請求番号]子０２２－００１５[保存場所] 本館 [人名]著者:王文潔（明）[数量]10冊[書誌事項]刊本 ,明万暦 ,明万暦27年 , 劉氏安正堂[旧蔵者]紅葉山文庫</t>
  </si>
  <si>
    <t>難経経釈２</t>
  </si>
  <si>
    <t>内閣文庫漢書子の部医書六種</t>
  </si>
  <si>
    <t>[請求番号]子０３７－０００２[冊次]3[保存場所] 本館 [書誌事項]刊本[旧蔵者]紅葉山文庫</t>
  </si>
  <si>
    <t>**********</t>
  </si>
  <si>
    <t>国立博物館所蔵　デジタルライブラリー</t>
  </si>
  <si>
    <t>扁鵲八十一難経弁正条例</t>
  </si>
  <si>
    <t>丹波廉夫（多紀元簡） 写</t>
  </si>
  <si>
    <t>［江戸］ 写</t>
  </si>
  <si>
    <t>QA-338</t>
  </si>
  <si>
    <t>国会図書館の近代デジタルライブラリー</t>
    <rPh sb="0" eb="5">
      <t>コッカイトショカン</t>
    </rPh>
    <rPh sb="6" eb="8">
      <t>キンダイ</t>
    </rPh>
    <phoneticPr fontId="2"/>
  </si>
  <si>
    <t>http://dl.ndl.go.jp/info:ndljp/pid/2544439</t>
    <phoneticPr fontId="2"/>
  </si>
  <si>
    <t>http://dl.ndl.go.jp/info:ndljp/pid/2544440</t>
    <phoneticPr fontId="2"/>
  </si>
  <si>
    <t>http://dl.ndl.go.jp/info:ndljp/pid/2543541</t>
    <phoneticPr fontId="2"/>
  </si>
  <si>
    <t>http://dl.ndl.go.jp/info:ndljp/pid/2543542</t>
    <phoneticPr fontId="2"/>
  </si>
  <si>
    <t>http://www.wul.waseda.ac.jp/kotenseki/html/ya09/ya09_00207/index.html</t>
    <phoneticPr fontId="2"/>
  </si>
  <si>
    <t>http://www.wul.waseda.ac.jp/kotenseki/html/ya09/ya09_00222/index.html</t>
    <phoneticPr fontId="2"/>
  </si>
  <si>
    <t>http://www.wul.waseda.ac.jp/kotenseki/html/ya09/ya09_00008/index.html</t>
    <phoneticPr fontId="2"/>
  </si>
  <si>
    <t>http://www.wul.waseda.ac.jp/kotenseki/html/ya09/ya09_00479/index.html</t>
    <phoneticPr fontId="2"/>
  </si>
  <si>
    <t>http://www.wul.waseda.ac.jp/kotenseki/html/ya09/ya09_00170_0001/index.html</t>
    <phoneticPr fontId="2"/>
  </si>
  <si>
    <t>http://www.wul.waseda.ac.jp/kotenseki/html/ya09/ya09_00428/index.html</t>
    <phoneticPr fontId="2"/>
  </si>
  <si>
    <t>http://www.wul.waseda.ac.jp/kotenseki/html/ya09/ya09_00358/index.html</t>
    <phoneticPr fontId="2"/>
  </si>
  <si>
    <t>http://www.wul.waseda.ac.jp/kotenseki/html/ya09/ya09_00218/index.html</t>
    <phoneticPr fontId="2"/>
  </si>
  <si>
    <t>http://www.wul.waseda.ac.jp/kotenseki/html/ya09/ya09_00955/index.html</t>
    <phoneticPr fontId="2"/>
  </si>
  <si>
    <t>http://www.wul.waseda.ac.jp/kotenseki/html/ya09/ya09_00584_0002/index.html</t>
    <phoneticPr fontId="2"/>
  </si>
  <si>
    <t>http://www.wul.waseda.ac.jp/kotenseki/html/bunko31/bunko31_e1472/index.html</t>
    <phoneticPr fontId="2"/>
  </si>
  <si>
    <t>http://www.wul.waseda.ac.jp/kotenseki/html/ya09/ya09_00490/index.html</t>
    <phoneticPr fontId="2"/>
  </si>
  <si>
    <t>http://www.wul.waseda.ac.jp/kotenseki/html/ya09/ya09_01096/index.html</t>
    <phoneticPr fontId="2"/>
  </si>
  <si>
    <t>shinsaibashisujigofukuchōkado(ōsaka) : ikedayasaburōemon※</t>
    <phoneticPr fontId="2"/>
  </si>
  <si>
    <t>http://www.wul.waseda.ac.jp/kotenseki/html/bunko31/bunko31_e1491/index.html</t>
    <phoneticPr fontId="2"/>
  </si>
  <si>
    <t>https://webarchives.tnm.jp/dlib/</t>
    <phoneticPr fontId="2"/>
  </si>
  <si>
    <t>https://webarchives.tnm.jp/dlib/search;jsessionid=18AA528C5BE07CB6BF9D8BB1F406FE77?q=%E9%9B%A3%E7%B5%8C</t>
    <phoneticPr fontId="2"/>
  </si>
  <si>
    <t>中国医学書目</t>
  </si>
  <si>
    <t>著者　[満洲医科大学]中国医学研究室 編</t>
  </si>
  <si>
    <t>出版者　黒田源次</t>
  </si>
  <si>
    <t>出版年月日　昭和6</t>
  </si>
  <si>
    <t>http://dl.ndl.go.jp/info:ndljp/pid/1050140/81</t>
    <phoneticPr fontId="2"/>
  </si>
  <si>
    <t>http://dl.ndl.go.jp/info:ndljp/pid/1046163/83</t>
    <phoneticPr fontId="2"/>
  </si>
  <si>
    <t>『難経古注集成』（全6巻）</t>
    <phoneticPr fontId="2"/>
  </si>
  <si>
    <t>※03　黄帝八十一難経纂図句解　（宋・李駉）</t>
    <phoneticPr fontId="2"/>
  </si>
  <si>
    <t xml:space="preserve"> 　02　新刊晞范句解八十一難経　（宋・李駉）</t>
    <phoneticPr fontId="2"/>
  </si>
  <si>
    <t>新刊八十一難經纂圖   (しんかんはちじゅういちなんきょうさんず)</t>
  </si>
  <si>
    <t>熊 宗立</t>
  </si>
  <si>
    <t>刊写：刊</t>
  </si>
  <si>
    <t>冊数：1冊</t>
  </si>
  <si>
    <t>著者：熊 宗立 纂図</t>
  </si>
  <si>
    <t>コレクション：研医会図書館 一般</t>
    <phoneticPr fontId="2"/>
  </si>
  <si>
    <t>http://archive.wul.waseda.ac.jp/kosho/ya09/ya09_00955/ya09_00955_0001/ya09_00955_0001_p0014.jpg</t>
    <phoneticPr fontId="2"/>
  </si>
  <si>
    <t>　澤田健　鍼灸真髄に出てくる有名な難経六十六難の図→</t>
    <rPh sb="1" eb="3">
      <t>サワダ</t>
    </rPh>
    <rPh sb="3" eb="4">
      <t>ケン</t>
    </rPh>
    <rPh sb="5" eb="7">
      <t>ハ</t>
    </rPh>
    <rPh sb="7" eb="9">
      <t>シンズイ</t>
    </rPh>
    <rPh sb="10" eb="11">
      <t>デ</t>
    </rPh>
    <rPh sb="14" eb="16">
      <t>ユウメイ</t>
    </rPh>
    <rPh sb="17" eb="19">
      <t>ナ@</t>
    </rPh>
    <rPh sb="19" eb="22">
      <t>66</t>
    </rPh>
    <rPh sb="22" eb="23">
      <t>ナン</t>
    </rPh>
    <rPh sb="24" eb="25">
      <t>ズ</t>
    </rPh>
    <phoneticPr fontId="2"/>
  </si>
  <si>
    <r>
      <t>[請求番号]３００－０１８７[保存場所] 本館 [人名]著者</t>
    </r>
    <r>
      <rPr>
        <sz val="11"/>
        <color rgb="FFFF0000"/>
        <rFont val="ＭＳ Ｐゴシック"/>
        <family val="3"/>
        <charset val="128"/>
        <scheme val="minor"/>
      </rPr>
      <t>:張世賢</t>
    </r>
    <r>
      <rPr>
        <sz val="11"/>
        <color theme="1"/>
        <rFont val="ＭＳ Ｐゴシック"/>
        <family val="2"/>
        <charset val="128"/>
        <scheme val="minor"/>
      </rPr>
      <t>（明）[数量]4冊[書誌事項]刊本 ,明嘉靖[旧蔵者]医学館</t>
    </r>
    <phoneticPr fontId="2"/>
  </si>
  <si>
    <t>難経本義諺解. 巻之11-12 / 岡本一抱子 編輯</t>
    <phoneticPr fontId="2"/>
  </si>
  <si>
    <t>難經諺解   (なんけいげんかい)</t>
  </si>
  <si>
    <t>神戸大学附属図書館</t>
  </si>
  <si>
    <t>著者：岡本 一抱子 編輯</t>
  </si>
  <si>
    <t>成立年：宝永三序</t>
  </si>
  <si>
    <t>●11　黄帝八十一難経疏証　（多紀元胤[著]）</t>
    <phoneticPr fontId="2"/>
  </si>
  <si>
    <t>疏証　多紀元胤</t>
    <phoneticPr fontId="2"/>
  </si>
  <si>
    <t>古義　滕万卿</t>
  </si>
  <si>
    <t>01難</t>
  </si>
  <si>
    <t>02難</t>
  </si>
  <si>
    <t>03難</t>
  </si>
  <si>
    <t>04難</t>
  </si>
  <si>
    <t>05難</t>
  </si>
  <si>
    <t>06難</t>
  </si>
  <si>
    <t>07難</t>
  </si>
  <si>
    <t>08難</t>
  </si>
  <si>
    <t>09難</t>
  </si>
  <si>
    <t>10難</t>
  </si>
  <si>
    <t>11難</t>
  </si>
  <si>
    <t>12難</t>
  </si>
  <si>
    <t>13難</t>
  </si>
  <si>
    <t>14難</t>
  </si>
  <si>
    <t>15難</t>
  </si>
  <si>
    <t>16難</t>
  </si>
  <si>
    <t>17難</t>
  </si>
  <si>
    <t>18難</t>
  </si>
  <si>
    <t>19難</t>
  </si>
  <si>
    <t>20難</t>
  </si>
  <si>
    <t>21難</t>
  </si>
  <si>
    <t>22難</t>
  </si>
  <si>
    <t>23難</t>
  </si>
  <si>
    <t>24難</t>
  </si>
  <si>
    <t>25難</t>
  </si>
  <si>
    <t>26難</t>
  </si>
  <si>
    <t>27難</t>
  </si>
  <si>
    <t>28難</t>
  </si>
  <si>
    <t>29難</t>
  </si>
  <si>
    <t>30難</t>
  </si>
  <si>
    <t>31難</t>
  </si>
  <si>
    <t>32難</t>
  </si>
  <si>
    <t>33難</t>
  </si>
  <si>
    <t>34難</t>
  </si>
  <si>
    <t>35難</t>
  </si>
  <si>
    <t>36難</t>
  </si>
  <si>
    <t>37難</t>
  </si>
  <si>
    <t>38難</t>
  </si>
  <si>
    <t>39難</t>
  </si>
  <si>
    <t>40難</t>
  </si>
  <si>
    <t>41難</t>
  </si>
  <si>
    <t>42難</t>
  </si>
  <si>
    <t>43難</t>
  </si>
  <si>
    <t>44難</t>
  </si>
  <si>
    <t>45難</t>
  </si>
  <si>
    <t>46難</t>
  </si>
  <si>
    <t>47難</t>
  </si>
  <si>
    <t>48難</t>
  </si>
  <si>
    <t>49難</t>
  </si>
  <si>
    <t>50難</t>
  </si>
  <si>
    <t>51難</t>
  </si>
  <si>
    <t>52難</t>
  </si>
  <si>
    <t>53難</t>
  </si>
  <si>
    <t>54難</t>
  </si>
  <si>
    <t>55難</t>
  </si>
  <si>
    <t>56難</t>
  </si>
  <si>
    <t>57難</t>
  </si>
  <si>
    <t>58難</t>
  </si>
  <si>
    <t>59難</t>
  </si>
  <si>
    <t>60難</t>
  </si>
  <si>
    <t>61難</t>
  </si>
  <si>
    <t>62難</t>
  </si>
  <si>
    <t>63難</t>
  </si>
  <si>
    <t>64難</t>
  </si>
  <si>
    <t>65難</t>
  </si>
  <si>
    <t>66難</t>
  </si>
  <si>
    <t>67難</t>
  </si>
  <si>
    <t>68難</t>
  </si>
  <si>
    <t>69難</t>
  </si>
  <si>
    <t>70難</t>
  </si>
  <si>
    <t>71難</t>
  </si>
  <si>
    <t>72難</t>
  </si>
  <si>
    <t>73難</t>
  </si>
  <si>
    <t>74難</t>
  </si>
  <si>
    <t>75難</t>
  </si>
  <si>
    <t>76難</t>
  </si>
  <si>
    <t>77難</t>
  </si>
  <si>
    <t>78難</t>
  </si>
  <si>
    <t>79難</t>
  </si>
  <si>
    <t>80難</t>
  </si>
  <si>
    <t>81難</t>
  </si>
  <si>
    <t>大鈔　森本玄閑</t>
  </si>
  <si>
    <t>経釈　徐大椿</t>
  </si>
  <si>
    <t>評林　王文潔</t>
  </si>
  <si>
    <t>図註　張世賢</t>
  </si>
  <si>
    <t>俗解　熊宗立</t>
  </si>
  <si>
    <t>図のみ　天文5（1536） 刊(明)熊宗立纂図 一柏老人校正</t>
  </si>
  <si>
    <t>https://rmda.kulib.kyoto-u.ac.jp/item/rb00011986</t>
    <phoneticPr fontId="2"/>
  </si>
  <si>
    <t>https://rmda.kulib.kyoto-u.ac.jp/item/rb00011988</t>
    <phoneticPr fontId="2"/>
  </si>
  <si>
    <t>https://rmda.kulib.kyoto-u.ac.jp/item/rb00003590</t>
    <phoneticPr fontId="2"/>
  </si>
  <si>
    <t>https://rmda.kulib.kyoto-u.ac.jp/item/rb00008886</t>
    <phoneticPr fontId="2"/>
  </si>
  <si>
    <t>https://rmda.kulib.kyoto-u.ac.jp/item/rb00011987</t>
    <phoneticPr fontId="2"/>
  </si>
  <si>
    <t>全　元和3（1617）刊</t>
  </si>
  <si>
    <t>図のみ　刊 和大</t>
  </si>
  <si>
    <t>全　寛永4（1627）　和刊 覆成化8熊氏中和堂刊本</t>
  </si>
  <si>
    <t>刊(古活字版)　図無し</t>
  </si>
  <si>
    <t>写本</t>
  </si>
  <si>
    <t>俗解　熊宗立</t>
    <phoneticPr fontId="2"/>
  </si>
  <si>
    <t>俗解　熊宗立（図）</t>
    <rPh sb="7" eb="8">
      <t>ズ</t>
    </rPh>
    <phoneticPr fontId="2"/>
  </si>
  <si>
    <t>図2</t>
    <rPh sb="0" eb="1">
      <t>ズ</t>
    </rPh>
    <phoneticPr fontId="2"/>
  </si>
  <si>
    <t>https://rmda.kulib.kyoto-u.ac.jp/item/rb00003409</t>
    <phoneticPr fontId="2"/>
  </si>
  <si>
    <t>1難</t>
  </si>
  <si>
    <t>2難</t>
  </si>
  <si>
    <t>4難</t>
  </si>
  <si>
    <t>6難</t>
  </si>
  <si>
    <t>9難</t>
  </si>
  <si>
    <t>5難</t>
  </si>
  <si>
    <t>7難</t>
  </si>
  <si>
    <t>3難</t>
  </si>
  <si>
    <t>8難</t>
  </si>
  <si>
    <t>古義　滕万卿（旧）</t>
  </si>
  <si>
    <t>国文研</t>
    <rPh sb="0" eb="3">
      <t>コクブンケン</t>
    </rPh>
    <phoneticPr fontId="2"/>
  </si>
  <si>
    <t>https://kokusho.nijl.ac.jp/biblio/100229683/</t>
    <phoneticPr fontId="2"/>
  </si>
  <si>
    <t>https://kokusho.nijl.ac.jp/biblio/100260418</t>
    <phoneticPr fontId="2"/>
  </si>
  <si>
    <t>https://www.digital.archives.go.jp/img/3990740</t>
    <phoneticPr fontId="2"/>
  </si>
  <si>
    <t>https://www.digital.archives.go.jp/img/3990741</t>
    <phoneticPr fontId="2"/>
  </si>
  <si>
    <t>https://www.digital.archives.go.jp/img/4137464</t>
    <phoneticPr fontId="2"/>
  </si>
  <si>
    <t>https://www.digital.archives.go.jp/img/4137465</t>
    <phoneticPr fontId="2"/>
  </si>
  <si>
    <t>https://www.digital.archives.go.jp/img/4136534</t>
    <phoneticPr fontId="2"/>
  </si>
  <si>
    <t>https://www.digital.archives.go.jp/img/4136535</t>
    <phoneticPr fontId="2"/>
  </si>
  <si>
    <t>https://www.digital.archives.go.jp/img/4136537</t>
    <phoneticPr fontId="2"/>
  </si>
  <si>
    <t>https://www.digital.archives.go.jp/img/4136538</t>
    <phoneticPr fontId="2"/>
  </si>
  <si>
    <t>https://www.digital.archives.go.jp/img/4136540</t>
    <phoneticPr fontId="2"/>
  </si>
  <si>
    <t>https://www.digital.archives.go.jp/img/4137145</t>
    <phoneticPr fontId="2"/>
  </si>
  <si>
    <t>https://www.digital.archives.go.jp/img/4137146</t>
    <phoneticPr fontId="2"/>
  </si>
  <si>
    <t>https://www.digital.archives.go.jp/img/4137147</t>
    <phoneticPr fontId="2"/>
  </si>
  <si>
    <t>https://www.digital.archives.go.jp/img/4138064</t>
    <phoneticPr fontId="2"/>
  </si>
  <si>
    <t>https://www.digital.archives.go.jp/img/4138065</t>
    <phoneticPr fontId="2"/>
  </si>
  <si>
    <t>https://www.digital.archives.go.jp/img/4498527</t>
    <phoneticPr fontId="2"/>
  </si>
  <si>
    <t>https://www.digital.archives.go.jp/img/4498613</t>
    <phoneticPr fontId="2"/>
  </si>
  <si>
    <t>https://www.digital.archives.go.jp/img/4498614</t>
    <phoneticPr fontId="2"/>
  </si>
  <si>
    <t>https://www.digital.archives.go.jp/img/4498615</t>
    <phoneticPr fontId="2"/>
  </si>
  <si>
    <t>https://www.digital.archives.go.jp/img/4498616</t>
    <phoneticPr fontId="2"/>
  </si>
  <si>
    <t>https://www.digital.archives.go.jp/img/1083631</t>
    <phoneticPr fontId="2"/>
  </si>
  <si>
    <t>https://www.digital.archives.go.jp/img/1079706</t>
    <phoneticPr fontId="2"/>
  </si>
  <si>
    <t>https://www.digital.archives.go.jp/img/4106116</t>
    <phoneticPr fontId="2"/>
  </si>
  <si>
    <t>https://www.digital.archives.go.jp/img/4217822</t>
    <phoneticPr fontId="2"/>
  </si>
  <si>
    <t>https://www.digital.archives.go.jp/img/4432304</t>
    <phoneticPr fontId="2"/>
  </si>
  <si>
    <t>https://www.digital.archives.go.jp/img/4495204</t>
    <phoneticPr fontId="2"/>
  </si>
  <si>
    <t>https://www.digital.archives.go.jp/img/4417999</t>
  </si>
  <si>
    <t>※01　王翰林集註黄帝八十一難経　（王九思 [ほか]註解 ; 王惟一 校正附音釈）</t>
    <phoneticPr fontId="2"/>
  </si>
  <si>
    <t>多紀元堅手跋本</t>
  </si>
  <si>
    <t>多紀元簡手跋本</t>
  </si>
  <si>
    <t>※01　文化01年 , 濯纓堂</t>
    <phoneticPr fontId="2"/>
  </si>
  <si>
    <t>▼は早稲田大学図書館にあり</t>
    <rPh sb="2" eb="5">
      <t>ワセダ</t>
    </rPh>
    <rPh sb="5" eb="7">
      <t>ダイガク</t>
    </rPh>
    <rPh sb="7" eb="10">
      <t>トショカン</t>
    </rPh>
    <phoneticPr fontId="2"/>
  </si>
  <si>
    <t>https://www.digital.archives.go.jp/img/4218740</t>
    <phoneticPr fontId="2"/>
  </si>
  <si>
    <t>https://www.digital.archives.go.jp/img/4218747</t>
    <phoneticPr fontId="2"/>
  </si>
  <si>
    <t>https://archive.wul.waseda.ac.jp/kosho/ya09/ya09_00955/</t>
    <phoneticPr fontId="2"/>
  </si>
  <si>
    <t>難経本義 2巻　刻本</t>
    <rPh sb="8" eb="10">
      <t>コクホン</t>
    </rPh>
    <phoneticPr fontId="2"/>
  </si>
  <si>
    <t>難経本義 2巻　</t>
    <phoneticPr fontId="2"/>
  </si>
  <si>
    <t>難経本義A</t>
    <phoneticPr fontId="2"/>
  </si>
  <si>
    <t>難経本義B</t>
    <phoneticPr fontId="2"/>
  </si>
  <si>
    <t>落丁</t>
  </si>
  <si>
    <t>No 25</t>
  </si>
  <si>
    <t>No 31</t>
  </si>
  <si>
    <t>No 33</t>
  </si>
  <si>
    <t>No 35</t>
  </si>
  <si>
    <t>No 40</t>
  </si>
  <si>
    <t>No 41</t>
  </si>
  <si>
    <t>No 43</t>
  </si>
  <si>
    <t>No 46</t>
  </si>
  <si>
    <t>No 50</t>
  </si>
  <si>
    <t>No 2</t>
  </si>
  <si>
    <t>No 4</t>
  </si>
  <si>
    <t>No 5</t>
  </si>
  <si>
    <t>No 7</t>
  </si>
  <si>
    <t>No 10</t>
  </si>
  <si>
    <t>No 18</t>
  </si>
  <si>
    <t>No 23</t>
  </si>
  <si>
    <t>No 29</t>
  </si>
  <si>
    <t>No 37</t>
  </si>
  <si>
    <t>No 44</t>
  </si>
  <si>
    <t>No 48</t>
  </si>
  <si>
    <t>No 54</t>
  </si>
  <si>
    <t>No 61</t>
  </si>
  <si>
    <t>No 63</t>
  </si>
  <si>
    <t>No 65</t>
  </si>
  <si>
    <t>No 9</t>
  </si>
  <si>
    <t>No 13</t>
  </si>
  <si>
    <t>No 15</t>
  </si>
  <si>
    <t>No 17</t>
  </si>
  <si>
    <t>No 28</t>
  </si>
  <si>
    <t>No 30</t>
  </si>
  <si>
    <t>No 32</t>
  </si>
  <si>
    <t>No 38</t>
  </si>
  <si>
    <t>No 42</t>
  </si>
  <si>
    <t>No 52</t>
  </si>
  <si>
    <t>No 6</t>
  </si>
  <si>
    <t>No 20</t>
  </si>
  <si>
    <t>No 21</t>
  </si>
  <si>
    <t>No 22</t>
  </si>
  <si>
    <t>No 26</t>
  </si>
  <si>
    <t>No 34</t>
  </si>
  <si>
    <t>No 49</t>
  </si>
  <si>
    <t>No 11</t>
  </si>
  <si>
    <t>No 24</t>
  </si>
  <si>
    <t>No 36</t>
  </si>
  <si>
    <t>【図の資料】</t>
  </si>
  <si>
    <t>No 5：図：1難から3難</t>
  </si>
  <si>
    <t>No 6：図：4～10</t>
  </si>
  <si>
    <t>No 7：図：11～14</t>
  </si>
  <si>
    <t>No 8：図：15～19</t>
  </si>
  <si>
    <t>No 9：図：20～26</t>
  </si>
  <si>
    <t>No 10：図：27～34</t>
  </si>
  <si>
    <t>No 11：図：35～42</t>
  </si>
  <si>
    <t>No 12：図：43～54</t>
  </si>
  <si>
    <t>No 13：図：55～63</t>
  </si>
  <si>
    <t>No 14：図：64～73</t>
  </si>
  <si>
    <t>No 15：図：74～81難</t>
  </si>
  <si>
    <t>　</t>
    <phoneticPr fontId="2"/>
  </si>
  <si>
    <t>句解</t>
  </si>
  <si>
    <t>句解【図】</t>
    <rPh sb="3" eb="4">
      <t>ズ</t>
    </rPh>
    <phoneticPr fontId="2"/>
  </si>
  <si>
    <t>https://www.digital.archives.go.jp/img/4219657</t>
  </si>
  <si>
    <t>難経集注</t>
    <rPh sb="0" eb="2">
      <t>ナ@</t>
    </rPh>
    <rPh sb="2" eb="4">
      <t>シッチュウ</t>
    </rPh>
    <phoneticPr fontId="2"/>
  </si>
  <si>
    <t>難経本義諺解　岡本一抱</t>
    <rPh sb="1" eb="2">
      <t>ケイ</t>
    </rPh>
    <rPh sb="7" eb="11">
      <t>オカモト</t>
    </rPh>
    <phoneticPr fontId="2"/>
  </si>
  <si>
    <t>難経鉄鑑　広岡蘇仙</t>
    <phoneticPr fontId="2"/>
  </si>
  <si>
    <t>　</t>
    <phoneticPr fontId="2"/>
  </si>
  <si>
    <t>https://dl.ndl.go.jp/ja/pid/12759449/1/3</t>
    <phoneticPr fontId="8"/>
  </si>
  <si>
    <t>晞范句解</t>
  </si>
  <si>
    <t>静嘉堂　未公開　→　オリエント出版本</t>
    <rPh sb="0" eb="3">
      <t>セイカドウ</t>
    </rPh>
    <rPh sb="4" eb="7">
      <t>ミコウカイ</t>
    </rPh>
    <rPh sb="15" eb="17">
      <t>シュッパン</t>
    </rPh>
    <rPh sb="17" eb="18">
      <t>ホン</t>
    </rPh>
    <phoneticPr fontId="2"/>
  </si>
  <si>
    <t>宋・李駉</t>
  </si>
  <si>
    <t>王翰林集註黄帝八十一難経(慶安本)(難経集註)</t>
  </si>
  <si>
    <t>難経古注集成 第1冊</t>
  </si>
  <si>
    <t>東洋医学研究会, 1982.11.</t>
  </si>
  <si>
    <t>附;重刊難経集註序</t>
  </si>
  <si>
    <t>新刊晞范句解八十一難経</t>
    <phoneticPr fontId="8"/>
  </si>
  <si>
    <t>難経古注集成 第2冊</t>
  </si>
  <si>
    <t>https://dl.ndl.go.jp/ja/pid/12760709/1/3</t>
    <phoneticPr fontId="8"/>
  </si>
  <si>
    <t>難経古注集成 第3冊</t>
  </si>
  <si>
    <t>https://dl.ndl.go.jp/ja/pid/12762366/1/3</t>
    <phoneticPr fontId="8"/>
  </si>
  <si>
    <t>難経本義大鈔</t>
  </si>
  <si>
    <t>難経古注集成 第4冊</t>
  </si>
  <si>
    <t>https://dl.ndl.go.jp/ja/pid/12759527/1/3</t>
    <phoneticPr fontId="8"/>
  </si>
  <si>
    <t>難経鉄鑑</t>
  </si>
  <si>
    <t>難経古注集成 第5冊</t>
  </si>
  <si>
    <t>https://dl.ndl.go.jp/ja/pid/12744017/1/3</t>
    <phoneticPr fontId="8"/>
  </si>
  <si>
    <t>難経古義</t>
  </si>
  <si>
    <t>難経古注集成 第6冊（解題　索引）</t>
  </si>
  <si>
    <t>https://dl.ndl.go.jp/ja/pid/12716822/1/3</t>
    <phoneticPr fontId="8"/>
  </si>
  <si>
    <t>難経経釈　附;翻刻難経経釈序</t>
    <phoneticPr fontId="2"/>
  </si>
  <si>
    <t>（解題　索引）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</si>
</sst>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3" fillId="0" borderId="0" xfId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center"/>
    </xf>
    <xf numFmtId="0" fontId="3" fillId="0" borderId="0" xfId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0" fillId="3" borderId="0" xfId="0" applyFill="1">
      <alignment vertical="center"/>
    </xf>
    <xf numFmtId="0" fontId="4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3" fillId="0" borderId="1" xfId="1" applyBorder="1">
      <alignment vertical="center"/>
    </xf>
    <xf numFmtId="0" fontId="0" fillId="2" borderId="1" xfId="0" applyFill="1" applyBorder="1">
      <alignment vertical="center"/>
    </xf>
    <xf numFmtId="0" fontId="1" fillId="2" borderId="1" xfId="0" applyFont="1" applyFill="1" applyBorder="1">
      <alignment vertical="center"/>
    </xf>
    <xf numFmtId="0" fontId="3" fillId="2" borderId="0" xfId="1" applyFill="1">
      <alignment vertical="center"/>
    </xf>
    <xf numFmtId="0" fontId="1" fillId="2" borderId="0" xfId="0" applyFont="1" applyFill="1">
      <alignment vertical="center"/>
    </xf>
    <xf numFmtId="0" fontId="0" fillId="4" borderId="0" xfId="0" applyFill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1" xfId="1" applyFont="1" applyBorder="1">
      <alignment vertical="center"/>
    </xf>
    <xf numFmtId="0" fontId="7" fillId="4" borderId="1" xfId="0" applyFont="1" applyFill="1" applyBorder="1">
      <alignment vertical="center"/>
    </xf>
    <xf numFmtId="0" fontId="7" fillId="0" borderId="1" xfId="0" applyFont="1" applyBorder="1">
      <alignment vertical="center"/>
    </xf>
    <xf numFmtId="0" fontId="7" fillId="0" borderId="1" xfId="1" applyFont="1" applyFill="1" applyBorder="1">
      <alignment vertical="center"/>
    </xf>
    <xf numFmtId="0" fontId="7" fillId="0" borderId="0" xfId="0" applyFont="1">
      <alignment vertical="center"/>
    </xf>
    <xf numFmtId="0" fontId="7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7" fillId="2" borderId="4" xfId="0" applyFont="1" applyFill="1" applyBorder="1">
      <alignment vertical="center"/>
    </xf>
    <xf numFmtId="0" fontId="7" fillId="4" borderId="5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0" borderId="8" xfId="0" applyFont="1" applyBorder="1">
      <alignment vertical="center"/>
    </xf>
    <xf numFmtId="0" fontId="7" fillId="0" borderId="8" xfId="1" applyFont="1" applyBorder="1">
      <alignment vertical="center"/>
    </xf>
    <xf numFmtId="0" fontId="7" fillId="2" borderId="9" xfId="0" applyFont="1" applyFill="1" applyBorder="1">
      <alignment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7" fillId="4" borderId="4" xfId="0" applyFont="1" applyFill="1" applyBorder="1">
      <alignment vertical="center"/>
    </xf>
    <xf numFmtId="0" fontId="7" fillId="0" borderId="7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1" xfId="1" applyFont="1" applyBorder="1">
      <alignment vertical="center"/>
    </xf>
    <xf numFmtId="0" fontId="7" fillId="0" borderId="6" xfId="1" applyFont="1" applyBorder="1">
      <alignment vertical="center"/>
    </xf>
    <xf numFmtId="0" fontId="7" fillId="2" borderId="3" xfId="0" applyFont="1" applyFill="1" applyBorder="1">
      <alignment vertical="center"/>
    </xf>
    <xf numFmtId="0" fontId="7" fillId="4" borderId="4" xfId="0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7" fillId="0" borderId="13" xfId="1" applyFont="1" applyBorder="1">
      <alignment vertical="center"/>
    </xf>
    <xf numFmtId="0" fontId="7" fillId="4" borderId="13" xfId="0" applyFont="1" applyFill="1" applyBorder="1">
      <alignment vertical="center"/>
    </xf>
    <xf numFmtId="0" fontId="7" fillId="3" borderId="13" xfId="1" applyFont="1" applyFill="1" applyBorder="1">
      <alignment vertical="center"/>
    </xf>
    <xf numFmtId="0" fontId="7" fillId="4" borderId="19" xfId="0" applyFont="1" applyFill="1" applyBorder="1">
      <alignment vertical="center"/>
    </xf>
    <xf numFmtId="0" fontId="7" fillId="0" borderId="19" xfId="0" applyFont="1" applyBorder="1">
      <alignment vertical="center"/>
    </xf>
    <xf numFmtId="0" fontId="7" fillId="3" borderId="19" xfId="1" applyFont="1" applyFill="1" applyBorder="1">
      <alignment vertical="center"/>
    </xf>
    <xf numFmtId="0" fontId="7" fillId="0" borderId="5" xfId="0" applyFont="1" applyBorder="1">
      <alignment vertical="center"/>
    </xf>
    <xf numFmtId="0" fontId="7" fillId="3" borderId="4" xfId="0" applyFont="1" applyFill="1" applyBorder="1">
      <alignment vertical="center"/>
    </xf>
    <xf numFmtId="0" fontId="7" fillId="3" borderId="7" xfId="0" applyFont="1" applyFill="1" applyBorder="1">
      <alignment vertical="center"/>
    </xf>
    <xf numFmtId="0" fontId="7" fillId="3" borderId="9" xfId="0" applyFont="1" applyFill="1" applyBorder="1">
      <alignment vertical="center"/>
    </xf>
    <xf numFmtId="0" fontId="3" fillId="0" borderId="0" xfId="1" applyAlignment="1" applyProtection="1"/>
    <xf numFmtId="0" fontId="6" fillId="4" borderId="4" xfId="0" applyFont="1" applyFill="1" applyBorder="1">
      <alignment vertical="center"/>
    </xf>
    <xf numFmtId="0" fontId="0" fillId="0" borderId="6" xfId="0" applyBorder="1">
      <alignment vertical="center"/>
    </xf>
    <xf numFmtId="0" fontId="6" fillId="0" borderId="7" xfId="0" applyFont="1" applyBorder="1">
      <alignment vertical="center"/>
    </xf>
    <xf numFmtId="0" fontId="3" fillId="0" borderId="8" xfId="1" applyBorder="1" applyAlignment="1" applyProtection="1"/>
    <xf numFmtId="0" fontId="6" fillId="0" borderId="9" xfId="0" applyFont="1" applyBorder="1">
      <alignment vertical="center"/>
    </xf>
    <xf numFmtId="0" fontId="3" fillId="0" borderId="11" xfId="1" applyBorder="1" applyAlignment="1" applyProtection="1"/>
    <xf numFmtId="49" fontId="0" fillId="0" borderId="1" xfId="0" applyNumberFormat="1" applyBorder="1" applyAlignment="1"/>
    <xf numFmtId="0" fontId="9" fillId="2" borderId="1" xfId="0" applyFont="1" applyFill="1" applyBorder="1" applyAlignment="1"/>
    <xf numFmtId="0" fontId="9" fillId="0" borderId="1" xfId="0" applyFont="1" applyBorder="1" applyAlignment="1"/>
    <xf numFmtId="0" fontId="3" fillId="0" borderId="1" xfId="1" applyBorder="1" applyAlignment="1" applyProtection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wul.waseda.ac.jp/kotenseki/html/ya09/ya09_01096/index.html" TargetMode="External"/><Relationship Id="rId21" Type="http://schemas.openxmlformats.org/officeDocument/2006/relationships/hyperlink" Target="http://www.wul.waseda.ac.jp/kotenseki/html/ya09/ya09_00218/index.html" TargetMode="External"/><Relationship Id="rId42" Type="http://schemas.openxmlformats.org/officeDocument/2006/relationships/hyperlink" Target="https://www.digital.archives.go.jp/img/4136537" TargetMode="External"/><Relationship Id="rId47" Type="http://schemas.openxmlformats.org/officeDocument/2006/relationships/hyperlink" Target="https://www.digital.archives.go.jp/img/4137147" TargetMode="External"/><Relationship Id="rId63" Type="http://schemas.openxmlformats.org/officeDocument/2006/relationships/hyperlink" Target="https://www.digital.archives.go.jp/img/4498527" TargetMode="External"/><Relationship Id="rId68" Type="http://schemas.openxmlformats.org/officeDocument/2006/relationships/hyperlink" Target="https://dl.ndl.go.jp/ja/pid/12760709/1/3" TargetMode="External"/><Relationship Id="rId16" Type="http://schemas.openxmlformats.org/officeDocument/2006/relationships/hyperlink" Target="http://www.wul.waseda.ac.jp/kotenseki/html/ya09/ya09_00008/index.html" TargetMode="External"/><Relationship Id="rId11" Type="http://schemas.openxmlformats.org/officeDocument/2006/relationships/hyperlink" Target="http://dl.ndl.go.jp/info:ndljp/pid/2544440" TargetMode="External"/><Relationship Id="rId24" Type="http://schemas.openxmlformats.org/officeDocument/2006/relationships/hyperlink" Target="http://www.wul.waseda.ac.jp/kotenseki/html/bunko31/bunko31_e1472/index.html" TargetMode="External"/><Relationship Id="rId32" Type="http://schemas.openxmlformats.org/officeDocument/2006/relationships/hyperlink" Target="http://dl.ndl.go.jp/info:ndljp/pid/1046163/83" TargetMode="External"/><Relationship Id="rId37" Type="http://schemas.openxmlformats.org/officeDocument/2006/relationships/hyperlink" Target="https://www.digital.archives.go.jp/img/3990741" TargetMode="External"/><Relationship Id="rId40" Type="http://schemas.openxmlformats.org/officeDocument/2006/relationships/hyperlink" Target="https://www.digital.archives.go.jp/img/4136534" TargetMode="External"/><Relationship Id="rId45" Type="http://schemas.openxmlformats.org/officeDocument/2006/relationships/hyperlink" Target="https://www.digital.archives.go.jp/img/4137145" TargetMode="External"/><Relationship Id="rId53" Type="http://schemas.openxmlformats.org/officeDocument/2006/relationships/hyperlink" Target="https://www.digital.archives.go.jp/img/4498615" TargetMode="External"/><Relationship Id="rId58" Type="http://schemas.openxmlformats.org/officeDocument/2006/relationships/hyperlink" Target="https://www.digital.archives.go.jp/img/4217822" TargetMode="External"/><Relationship Id="rId66" Type="http://schemas.openxmlformats.org/officeDocument/2006/relationships/hyperlink" Target="https://dl.ndl.go.jp/ja/pid/12759449/1/3" TargetMode="External"/><Relationship Id="rId74" Type="http://schemas.openxmlformats.org/officeDocument/2006/relationships/hyperlink" Target="https://dl.ndl.go.jp/ja/pid/12759449/1/3" TargetMode="External"/><Relationship Id="rId79" Type="http://schemas.openxmlformats.org/officeDocument/2006/relationships/hyperlink" Target="https://dl.ndl.go.jp/ja/pid/12744017/1/3" TargetMode="External"/><Relationship Id="rId5" Type="http://schemas.openxmlformats.org/officeDocument/2006/relationships/hyperlink" Target="https://rmda.kulib.kyoto-u.ac.jp/item/rb00004597" TargetMode="External"/><Relationship Id="rId61" Type="http://schemas.openxmlformats.org/officeDocument/2006/relationships/hyperlink" Target="https://www.digital.archives.go.jp/img/4417999" TargetMode="External"/><Relationship Id="rId19" Type="http://schemas.openxmlformats.org/officeDocument/2006/relationships/hyperlink" Target="http://www.wul.waseda.ac.jp/kotenseki/html/ya09/ya09_00428/index.html" TargetMode="External"/><Relationship Id="rId14" Type="http://schemas.openxmlformats.org/officeDocument/2006/relationships/hyperlink" Target="http://www.wul.waseda.ac.jp/kotenseki/html/ya09/ya09_00207/index.html" TargetMode="External"/><Relationship Id="rId22" Type="http://schemas.openxmlformats.org/officeDocument/2006/relationships/hyperlink" Target="http://www.wul.waseda.ac.jp/kotenseki/html/ya09/ya09_00955/index.html" TargetMode="External"/><Relationship Id="rId27" Type="http://schemas.openxmlformats.org/officeDocument/2006/relationships/hyperlink" Target="http://www.wul.waseda.ac.jp/kotenseki/html/bunko31/bunko31_e1491/index.html" TargetMode="External"/><Relationship Id="rId30" Type="http://schemas.openxmlformats.org/officeDocument/2006/relationships/hyperlink" Target="https://webarchives.tnm.jp/dlib/search;jsessionid=18AA528C5BE07CB6BF9D8BB1F406FE77?q=%E9%9B%A3%E7%B5%8C" TargetMode="External"/><Relationship Id="rId35" Type="http://schemas.openxmlformats.org/officeDocument/2006/relationships/hyperlink" Target="https://kokusho.nijl.ac.jp/biblio/100260418" TargetMode="External"/><Relationship Id="rId43" Type="http://schemas.openxmlformats.org/officeDocument/2006/relationships/hyperlink" Target="https://www.digital.archives.go.jp/img/4136538" TargetMode="External"/><Relationship Id="rId48" Type="http://schemas.openxmlformats.org/officeDocument/2006/relationships/hyperlink" Target="https://www.digital.archives.go.jp/img/4138064" TargetMode="External"/><Relationship Id="rId56" Type="http://schemas.openxmlformats.org/officeDocument/2006/relationships/hyperlink" Target="https://www.digital.archives.go.jp/img/1079706" TargetMode="External"/><Relationship Id="rId64" Type="http://schemas.openxmlformats.org/officeDocument/2006/relationships/hyperlink" Target="https://www.digital.archives.go.jp/img/4218747" TargetMode="External"/><Relationship Id="rId69" Type="http://schemas.openxmlformats.org/officeDocument/2006/relationships/hyperlink" Target="https://dl.ndl.go.jp/ja/pid/12762366/1/3" TargetMode="External"/><Relationship Id="rId77" Type="http://schemas.openxmlformats.org/officeDocument/2006/relationships/hyperlink" Target="https://dl.ndl.go.jp/ja/pid/12762366/1/3" TargetMode="External"/><Relationship Id="rId8" Type="http://schemas.openxmlformats.org/officeDocument/2006/relationships/hyperlink" Target="https://rmda.kulib.kyoto-u.ac.jp/item/rb00011988" TargetMode="External"/><Relationship Id="rId51" Type="http://schemas.openxmlformats.org/officeDocument/2006/relationships/hyperlink" Target="https://www.digital.archives.go.jp/img/4498613" TargetMode="External"/><Relationship Id="rId72" Type="http://schemas.openxmlformats.org/officeDocument/2006/relationships/hyperlink" Target="https://dl.ndl.go.jp/ja/pid/12716822/1/3" TargetMode="External"/><Relationship Id="rId80" Type="http://schemas.openxmlformats.org/officeDocument/2006/relationships/printerSettings" Target="../printerSettings/printerSettings1.bin"/><Relationship Id="rId3" Type="http://schemas.openxmlformats.org/officeDocument/2006/relationships/hyperlink" Target="https://rmda.kulib.kyoto-u.ac.jp/item/rb00004583" TargetMode="External"/><Relationship Id="rId12" Type="http://schemas.openxmlformats.org/officeDocument/2006/relationships/hyperlink" Target="http://dl.ndl.go.jp/info:ndljp/pid/2543541" TargetMode="External"/><Relationship Id="rId17" Type="http://schemas.openxmlformats.org/officeDocument/2006/relationships/hyperlink" Target="http://www.wul.waseda.ac.jp/kotenseki/html/ya09/ya09_00479/index.html" TargetMode="External"/><Relationship Id="rId25" Type="http://schemas.openxmlformats.org/officeDocument/2006/relationships/hyperlink" Target="http://www.wul.waseda.ac.jp/kotenseki/html/ya09/ya09_00490/index.html" TargetMode="External"/><Relationship Id="rId33" Type="http://schemas.openxmlformats.org/officeDocument/2006/relationships/hyperlink" Target="https://kokusho.nijl.ac.jp/biblio/100229683/" TargetMode="External"/><Relationship Id="rId38" Type="http://schemas.openxmlformats.org/officeDocument/2006/relationships/hyperlink" Target="https://www.digital.archives.go.jp/img/4137464" TargetMode="External"/><Relationship Id="rId46" Type="http://schemas.openxmlformats.org/officeDocument/2006/relationships/hyperlink" Target="https://www.digital.archives.go.jp/img/4137146" TargetMode="External"/><Relationship Id="rId59" Type="http://schemas.openxmlformats.org/officeDocument/2006/relationships/hyperlink" Target="https://www.digital.archives.go.jp/img/4432304" TargetMode="External"/><Relationship Id="rId67" Type="http://schemas.openxmlformats.org/officeDocument/2006/relationships/hyperlink" Target="https://dl.ndl.go.jp/ja/pid/12759449/1/3" TargetMode="External"/><Relationship Id="rId20" Type="http://schemas.openxmlformats.org/officeDocument/2006/relationships/hyperlink" Target="http://www.wul.waseda.ac.jp/kotenseki/html/ya09/ya09_00358/index.html" TargetMode="External"/><Relationship Id="rId41" Type="http://schemas.openxmlformats.org/officeDocument/2006/relationships/hyperlink" Target="https://www.digital.archives.go.jp/img/4136535" TargetMode="External"/><Relationship Id="rId54" Type="http://schemas.openxmlformats.org/officeDocument/2006/relationships/hyperlink" Target="https://www.digital.archives.go.jp/img/4498616" TargetMode="External"/><Relationship Id="rId62" Type="http://schemas.openxmlformats.org/officeDocument/2006/relationships/hyperlink" Target="https://www.digital.archives.go.jp/img/4218740" TargetMode="External"/><Relationship Id="rId70" Type="http://schemas.openxmlformats.org/officeDocument/2006/relationships/hyperlink" Target="https://dl.ndl.go.jp/ja/pid/12759527/1/3" TargetMode="External"/><Relationship Id="rId75" Type="http://schemas.openxmlformats.org/officeDocument/2006/relationships/hyperlink" Target="https://dl.ndl.go.jp/ja/pid/12759449/1/3" TargetMode="External"/><Relationship Id="rId1" Type="http://schemas.openxmlformats.org/officeDocument/2006/relationships/hyperlink" Target="https://rmda.kulib.kyoto-u.ac.jp/item/rb00004592" TargetMode="External"/><Relationship Id="rId6" Type="http://schemas.openxmlformats.org/officeDocument/2006/relationships/hyperlink" Target="https://rmda.kulib.kyoto-u.ac.jp/item/rb00004593" TargetMode="External"/><Relationship Id="rId15" Type="http://schemas.openxmlformats.org/officeDocument/2006/relationships/hyperlink" Target="http://www.wul.waseda.ac.jp/kotenseki/html/ya09/ya09_00222/index.html" TargetMode="External"/><Relationship Id="rId23" Type="http://schemas.openxmlformats.org/officeDocument/2006/relationships/hyperlink" Target="http://www.wul.waseda.ac.jp/kotenseki/html/ya09/ya09_00584_0002/index.html" TargetMode="External"/><Relationship Id="rId28" Type="http://schemas.openxmlformats.org/officeDocument/2006/relationships/hyperlink" Target="https://www.digital.archives.go.jp/" TargetMode="External"/><Relationship Id="rId36" Type="http://schemas.openxmlformats.org/officeDocument/2006/relationships/hyperlink" Target="https://www.digital.archives.go.jp/img/3990740" TargetMode="External"/><Relationship Id="rId49" Type="http://schemas.openxmlformats.org/officeDocument/2006/relationships/hyperlink" Target="https://www.digital.archives.go.jp/img/4138065" TargetMode="External"/><Relationship Id="rId57" Type="http://schemas.openxmlformats.org/officeDocument/2006/relationships/hyperlink" Target="https://www.digital.archives.go.jp/img/4106116" TargetMode="External"/><Relationship Id="rId10" Type="http://schemas.openxmlformats.org/officeDocument/2006/relationships/hyperlink" Target="http://dl.ndl.go.jp/info:ndljp/pid/2544439" TargetMode="External"/><Relationship Id="rId31" Type="http://schemas.openxmlformats.org/officeDocument/2006/relationships/hyperlink" Target="http://dl.ndl.go.jp/info:ndljp/pid/1050140/81" TargetMode="External"/><Relationship Id="rId44" Type="http://schemas.openxmlformats.org/officeDocument/2006/relationships/hyperlink" Target="https://www.digital.archives.go.jp/img/4136540" TargetMode="External"/><Relationship Id="rId52" Type="http://schemas.openxmlformats.org/officeDocument/2006/relationships/hyperlink" Target="https://www.digital.archives.go.jp/img/4498614" TargetMode="External"/><Relationship Id="rId60" Type="http://schemas.openxmlformats.org/officeDocument/2006/relationships/hyperlink" Target="https://www.digital.archives.go.jp/img/4495204" TargetMode="External"/><Relationship Id="rId65" Type="http://schemas.openxmlformats.org/officeDocument/2006/relationships/hyperlink" Target="https://archive.wul.waseda.ac.jp/kosho/ya09/ya09_00955/" TargetMode="External"/><Relationship Id="rId73" Type="http://schemas.openxmlformats.org/officeDocument/2006/relationships/hyperlink" Target="https://dl.ndl.go.jp/ja/pid/12759449/1/3" TargetMode="External"/><Relationship Id="rId78" Type="http://schemas.openxmlformats.org/officeDocument/2006/relationships/hyperlink" Target="https://dl.ndl.go.jp/ja/pid/12744017/1/3" TargetMode="External"/><Relationship Id="rId4" Type="http://schemas.openxmlformats.org/officeDocument/2006/relationships/hyperlink" Target="https://rmda.kulib.kyoto-u.ac.jp/item/rb00004587" TargetMode="External"/><Relationship Id="rId9" Type="http://schemas.openxmlformats.org/officeDocument/2006/relationships/hyperlink" Target="https://rmda.kulib.kyoto-u.ac.jp/item/rb00001349" TargetMode="External"/><Relationship Id="rId13" Type="http://schemas.openxmlformats.org/officeDocument/2006/relationships/hyperlink" Target="http://dl.ndl.go.jp/info:ndljp/pid/2543542" TargetMode="External"/><Relationship Id="rId18" Type="http://schemas.openxmlformats.org/officeDocument/2006/relationships/hyperlink" Target="http://www.wul.waseda.ac.jp/kotenseki/html/ya09/ya09_00170_0001/index.html" TargetMode="External"/><Relationship Id="rId39" Type="http://schemas.openxmlformats.org/officeDocument/2006/relationships/hyperlink" Target="https://www.digital.archives.go.jp/img/4137465" TargetMode="External"/><Relationship Id="rId34" Type="http://schemas.openxmlformats.org/officeDocument/2006/relationships/hyperlink" Target="http://archive.wul.waseda.ac.jp/kosho/ya09/ya09_00955/ya09_00955_0001/ya09_00955_0001_p0014.jpg" TargetMode="External"/><Relationship Id="rId50" Type="http://schemas.openxmlformats.org/officeDocument/2006/relationships/hyperlink" Target="https://www.digital.archives.go.jp/img/4498527" TargetMode="External"/><Relationship Id="rId55" Type="http://schemas.openxmlformats.org/officeDocument/2006/relationships/hyperlink" Target="https://www.digital.archives.go.jp/img/1083631" TargetMode="External"/><Relationship Id="rId76" Type="http://schemas.openxmlformats.org/officeDocument/2006/relationships/hyperlink" Target="https://dl.ndl.go.jp/ja/pid/12760709/1/3" TargetMode="External"/><Relationship Id="rId7" Type="http://schemas.openxmlformats.org/officeDocument/2006/relationships/hyperlink" Target="https://rmda.kulib.kyoto-u.ac.jp/item/rb00011986" TargetMode="External"/><Relationship Id="rId71" Type="http://schemas.openxmlformats.org/officeDocument/2006/relationships/hyperlink" Target="https://dl.ndl.go.jp/ja/pid/12744017/1/3" TargetMode="External"/><Relationship Id="rId2" Type="http://schemas.openxmlformats.org/officeDocument/2006/relationships/hyperlink" Target="https://rmda.kulib.kyoto-u.ac.jp/item/rb00004585" TargetMode="External"/><Relationship Id="rId29" Type="http://schemas.openxmlformats.org/officeDocument/2006/relationships/hyperlink" Target="https://webarchives.tnm.jp/dlib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igital.archives.go.jp/img/4219657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rmda.kulib.kyoto-u.ac.jp/item/rb00004586" TargetMode="External"/><Relationship Id="rId18" Type="http://schemas.openxmlformats.org/officeDocument/2006/relationships/hyperlink" Target="https://rmda.kulib.kyoto-u.ac.jp/item/rb00004587" TargetMode="External"/><Relationship Id="rId26" Type="http://schemas.openxmlformats.org/officeDocument/2006/relationships/hyperlink" Target="https://rmda.kulib.kyoto-u.ac.jp/item/rb00004580" TargetMode="External"/><Relationship Id="rId39" Type="http://schemas.openxmlformats.org/officeDocument/2006/relationships/printerSettings" Target="../printerSettings/printerSettings3.bin"/><Relationship Id="rId21" Type="http://schemas.openxmlformats.org/officeDocument/2006/relationships/hyperlink" Target="https://rmda.kulib.kyoto-u.ac.jp/item/rb00001652" TargetMode="External"/><Relationship Id="rId34" Type="http://schemas.openxmlformats.org/officeDocument/2006/relationships/hyperlink" Target="https://rmda.kulib.kyoto-u.ac.jp/item/rb00008886" TargetMode="External"/><Relationship Id="rId7" Type="http://schemas.openxmlformats.org/officeDocument/2006/relationships/hyperlink" Target="https://rmda.kulib.kyoto-u.ac.jp/item/rb00004579" TargetMode="External"/><Relationship Id="rId12" Type="http://schemas.openxmlformats.org/officeDocument/2006/relationships/hyperlink" Target="https://rmda.kulib.kyoto-u.ac.jp/item/rb00004591" TargetMode="External"/><Relationship Id="rId17" Type="http://schemas.openxmlformats.org/officeDocument/2006/relationships/hyperlink" Target="https://rmda.kulib.kyoto-u.ac.jp/item/rb00004583" TargetMode="External"/><Relationship Id="rId25" Type="http://schemas.openxmlformats.org/officeDocument/2006/relationships/hyperlink" Target="https://rmda.kulib.kyoto-u.ac.jp/item/rb00004578" TargetMode="External"/><Relationship Id="rId33" Type="http://schemas.openxmlformats.org/officeDocument/2006/relationships/hyperlink" Target="https://rmda.kulib.kyoto-u.ac.jp/item/rb00003590" TargetMode="External"/><Relationship Id="rId38" Type="http://schemas.openxmlformats.org/officeDocument/2006/relationships/hyperlink" Target="https://rmda.kulib.kyoto-u.ac.jp/item/rb00007916" TargetMode="External"/><Relationship Id="rId2" Type="http://schemas.openxmlformats.org/officeDocument/2006/relationships/hyperlink" Target="https://rmda.kulib.kyoto-u.ac.jp/item/rb00001651" TargetMode="External"/><Relationship Id="rId16" Type="http://schemas.openxmlformats.org/officeDocument/2006/relationships/hyperlink" Target="https://rmda.kulib.kyoto-u.ac.jp/item/rb00004596" TargetMode="External"/><Relationship Id="rId20" Type="http://schemas.openxmlformats.org/officeDocument/2006/relationships/hyperlink" Target="https://rmda.kulib.kyoto-u.ac.jp/item/rb00013401" TargetMode="External"/><Relationship Id="rId29" Type="http://schemas.openxmlformats.org/officeDocument/2006/relationships/hyperlink" Target="https://rmda.kulib.kyoto-u.ac.jp/item/rb00011986" TargetMode="External"/><Relationship Id="rId1" Type="http://schemas.openxmlformats.org/officeDocument/2006/relationships/hyperlink" Target="https://rmda.kulib.kyoto-u.ac.jp/item/rb00008889" TargetMode="External"/><Relationship Id="rId6" Type="http://schemas.openxmlformats.org/officeDocument/2006/relationships/hyperlink" Target="https://rmda.kulib.kyoto-u.ac.jp/item/rb00004589" TargetMode="External"/><Relationship Id="rId11" Type="http://schemas.openxmlformats.org/officeDocument/2006/relationships/hyperlink" Target="https://rmda.kulib.kyoto-u.ac.jp/item/rb00004599" TargetMode="External"/><Relationship Id="rId24" Type="http://schemas.openxmlformats.org/officeDocument/2006/relationships/hyperlink" Target="https://rmda.kulib.kyoto-u.ac.jp/item/rb00004582" TargetMode="External"/><Relationship Id="rId32" Type="http://schemas.openxmlformats.org/officeDocument/2006/relationships/hyperlink" Target="https://rmda.kulib.kyoto-u.ac.jp/item/rb00002419" TargetMode="External"/><Relationship Id="rId37" Type="http://schemas.openxmlformats.org/officeDocument/2006/relationships/hyperlink" Target="https://rmda.kulib.kyoto-u.ac.jp/item/rb00002782" TargetMode="External"/><Relationship Id="rId5" Type="http://schemas.openxmlformats.org/officeDocument/2006/relationships/hyperlink" Target="https://rmda.kulib.kyoto-u.ac.jp/item/rb00004594" TargetMode="External"/><Relationship Id="rId15" Type="http://schemas.openxmlformats.org/officeDocument/2006/relationships/hyperlink" Target="https://rmda.kulib.kyoto-u.ac.jp/item/rb00004595" TargetMode="External"/><Relationship Id="rId23" Type="http://schemas.openxmlformats.org/officeDocument/2006/relationships/hyperlink" Target="https://rmda.kulib.kyoto-u.ac.jp/item/rb00004584" TargetMode="External"/><Relationship Id="rId28" Type="http://schemas.openxmlformats.org/officeDocument/2006/relationships/hyperlink" Target="https://rmda.kulib.kyoto-u.ac.jp/item/rb00004593" TargetMode="External"/><Relationship Id="rId36" Type="http://schemas.openxmlformats.org/officeDocument/2006/relationships/hyperlink" Target="https://rmda.kulib.kyoto-u.ac.jp/item/rb00003409" TargetMode="External"/><Relationship Id="rId10" Type="http://schemas.openxmlformats.org/officeDocument/2006/relationships/hyperlink" Target="https://rmda.kulib.kyoto-u.ac.jp/item/rb00004585" TargetMode="External"/><Relationship Id="rId19" Type="http://schemas.openxmlformats.org/officeDocument/2006/relationships/hyperlink" Target="https://rmda.kulib.kyoto-u.ac.jp/item/rb00004588" TargetMode="External"/><Relationship Id="rId31" Type="http://schemas.openxmlformats.org/officeDocument/2006/relationships/hyperlink" Target="https://rmda.kulib.kyoto-u.ac.jp/item/rb00001349" TargetMode="External"/><Relationship Id="rId4" Type="http://schemas.openxmlformats.org/officeDocument/2006/relationships/hyperlink" Target="https://rmda.kulib.kyoto-u.ac.jp/item/rb00000698" TargetMode="External"/><Relationship Id="rId9" Type="http://schemas.openxmlformats.org/officeDocument/2006/relationships/hyperlink" Target="https://rmda.kulib.kyoto-u.ac.jp/item/rb00004577" TargetMode="External"/><Relationship Id="rId14" Type="http://schemas.openxmlformats.org/officeDocument/2006/relationships/hyperlink" Target="https://rmda.kulib.kyoto-u.ac.jp/item/rb00004590" TargetMode="External"/><Relationship Id="rId22" Type="http://schemas.openxmlformats.org/officeDocument/2006/relationships/hyperlink" Target="https://rmda.kulib.kyoto-u.ac.jp/item/rb00004581" TargetMode="External"/><Relationship Id="rId27" Type="http://schemas.openxmlformats.org/officeDocument/2006/relationships/hyperlink" Target="https://rmda.kulib.kyoto-u.ac.jp/item/rb00004597" TargetMode="External"/><Relationship Id="rId30" Type="http://schemas.openxmlformats.org/officeDocument/2006/relationships/hyperlink" Target="https://rmda.kulib.kyoto-u.ac.jp/item/rb00011988" TargetMode="External"/><Relationship Id="rId35" Type="http://schemas.openxmlformats.org/officeDocument/2006/relationships/hyperlink" Target="https://rmda.kulib.kyoto-u.ac.jp/item/rb00011987" TargetMode="External"/><Relationship Id="rId8" Type="http://schemas.openxmlformats.org/officeDocument/2006/relationships/hyperlink" Target="https://rmda.kulib.kyoto-u.ac.jp/item/rb00004598" TargetMode="External"/><Relationship Id="rId3" Type="http://schemas.openxmlformats.org/officeDocument/2006/relationships/hyperlink" Target="https://rmda.kulib.kyoto-u.ac.jp/item/rb0000459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ul.waseda.ac.jp/kotenseki/" TargetMode="External"/><Relationship Id="rId13" Type="http://schemas.openxmlformats.org/officeDocument/2006/relationships/hyperlink" Target="http://base1.nijl.ac.jp/infolib/meta_pub/G0001401KTG" TargetMode="External"/><Relationship Id="rId18" Type="http://schemas.openxmlformats.org/officeDocument/2006/relationships/hyperlink" Target="https://catalog.lib.kyushu-u.ac.jp/opac_browse/rare/?lang=0" TargetMode="External"/><Relationship Id="rId3" Type="http://schemas.openxmlformats.org/officeDocument/2006/relationships/hyperlink" Target="http://base1.nijl.ac.jp/~tkoten/owners/syuusyuu_list.html" TargetMode="External"/><Relationship Id="rId21" Type="http://schemas.openxmlformats.org/officeDocument/2006/relationships/printerSettings" Target="../printerSettings/printerSettings4.bin"/><Relationship Id="rId7" Type="http://schemas.openxmlformats.org/officeDocument/2006/relationships/hyperlink" Target="https://rmda.kulib.kyoto-u.ac.jp/search" TargetMode="External"/><Relationship Id="rId12" Type="http://schemas.openxmlformats.org/officeDocument/2006/relationships/hyperlink" Target="https://www.digital.archives.go.jp/" TargetMode="External"/><Relationship Id="rId17" Type="http://schemas.openxmlformats.org/officeDocument/2006/relationships/hyperlink" Target="http://www.kulib.kyoto-u.ac.jp/rdl/digital_fujikawa/" TargetMode="External"/><Relationship Id="rId2" Type="http://schemas.openxmlformats.org/officeDocument/2006/relationships/hyperlink" Target="https://base1.nijl.ac.jp/~tkoten/" TargetMode="External"/><Relationship Id="rId16" Type="http://schemas.openxmlformats.org/officeDocument/2006/relationships/hyperlink" Target="https://iiif.dl.itc.u-tokyo.ac.jp/repo/s/fujikawa/page/home" TargetMode="External"/><Relationship Id="rId20" Type="http://schemas.openxmlformats.org/officeDocument/2006/relationships/hyperlink" Target="http://libir.josai.ac.jp/contents/josai/kanpou/" TargetMode="External"/><Relationship Id="rId1" Type="http://schemas.openxmlformats.org/officeDocument/2006/relationships/hyperlink" Target="https://kotenseki.nijl.ac.jp/" TargetMode="External"/><Relationship Id="rId6" Type="http://schemas.openxmlformats.org/officeDocument/2006/relationships/hyperlink" Target="https://rmda.kulib.kyoto-u.ac.jp/collection/fujikawa" TargetMode="External"/><Relationship Id="rId11" Type="http://schemas.openxmlformats.org/officeDocument/2006/relationships/hyperlink" Target="http://www.emuseum.jp/" TargetMode="External"/><Relationship Id="rId5" Type="http://schemas.openxmlformats.org/officeDocument/2006/relationships/hyperlink" Target="https://rmda.kulib.kyoto-u.ac.jp/" TargetMode="External"/><Relationship Id="rId15" Type="http://schemas.openxmlformats.org/officeDocument/2006/relationships/hyperlink" Target="http://dcollections.lib.keio.ac.jp/ja/koisho" TargetMode="External"/><Relationship Id="rId10" Type="http://schemas.openxmlformats.org/officeDocument/2006/relationships/hyperlink" Target="https://shoryobu.kunaicho.go.jp/" TargetMode="External"/><Relationship Id="rId19" Type="http://schemas.openxmlformats.org/officeDocument/2006/relationships/hyperlink" Target="https://webarchives.tnm.jp/dlib/" TargetMode="External"/><Relationship Id="rId4" Type="http://schemas.openxmlformats.org/officeDocument/2006/relationships/hyperlink" Target="http://dl.ndl.go.jp/" TargetMode="External"/><Relationship Id="rId9" Type="http://schemas.openxmlformats.org/officeDocument/2006/relationships/hyperlink" Target="http://db.sido.keio.ac.jp/kanseki/T_bib_search.php" TargetMode="External"/><Relationship Id="rId14" Type="http://schemas.openxmlformats.org/officeDocument/2006/relationships/hyperlink" Target="https://www.nijl.ac.jp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rmda.kulib.kyoto-u.ac.jp/item/rb00003590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s://rmda.kulib.kyoto-u.ac.jp/item/rb00011988" TargetMode="External"/><Relationship Id="rId1" Type="http://schemas.openxmlformats.org/officeDocument/2006/relationships/hyperlink" Target="https://rmda.kulib.kyoto-u.ac.jp/item/rb00011986" TargetMode="External"/><Relationship Id="rId6" Type="http://schemas.openxmlformats.org/officeDocument/2006/relationships/hyperlink" Target="https://rmda.kulib.kyoto-u.ac.jp/item/rb00003409" TargetMode="External"/><Relationship Id="rId5" Type="http://schemas.openxmlformats.org/officeDocument/2006/relationships/hyperlink" Target="https://rmda.kulib.kyoto-u.ac.jp/item/rb00011987" TargetMode="External"/><Relationship Id="rId4" Type="http://schemas.openxmlformats.org/officeDocument/2006/relationships/hyperlink" Target="https://rmda.kulib.kyoto-u.ac.jp/item/rb0000888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363"/>
  <sheetViews>
    <sheetView zoomScale="190" zoomScaleNormal="190" workbookViewId="0">
      <selection activeCell="A6" sqref="A6"/>
    </sheetView>
  </sheetViews>
  <sheetFormatPr defaultRowHeight="13.5" x14ac:dyDescent="0.15"/>
  <cols>
    <col min="1" max="1" width="54.125" customWidth="1"/>
    <col min="2" max="2" width="40.75" customWidth="1"/>
    <col min="3" max="5" width="18" customWidth="1"/>
    <col min="6" max="8" width="18.125" customWidth="1"/>
  </cols>
  <sheetData>
    <row r="1" spans="1:7" ht="27" customHeight="1" x14ac:dyDescent="0.15">
      <c r="A1" s="22" t="s">
        <v>336</v>
      </c>
    </row>
    <row r="2" spans="1:7" x14ac:dyDescent="0.15">
      <c r="A2" t="s">
        <v>142</v>
      </c>
    </row>
    <row r="3" spans="1:7" x14ac:dyDescent="0.15">
      <c r="A3" t="s">
        <v>143</v>
      </c>
    </row>
    <row r="4" spans="1:7" x14ac:dyDescent="0.15">
      <c r="A4" t="s">
        <v>144</v>
      </c>
    </row>
    <row r="7" spans="1:7" x14ac:dyDescent="0.15">
      <c r="A7" s="18" t="s">
        <v>496</v>
      </c>
      <c r="B7" s="17" t="s">
        <v>501</v>
      </c>
      <c r="C7" t="s">
        <v>498</v>
      </c>
      <c r="D7" s="80" t="s">
        <v>577</v>
      </c>
      <c r="E7" s="81" t="s">
        <v>578</v>
      </c>
      <c r="F7" s="82" t="s">
        <v>579</v>
      </c>
      <c r="G7" s="83" t="s">
        <v>573</v>
      </c>
    </row>
    <row r="8" spans="1:7" x14ac:dyDescent="0.15">
      <c r="A8" s="18" t="s">
        <v>499</v>
      </c>
      <c r="B8" s="17" t="s">
        <v>484</v>
      </c>
      <c r="D8" s="80" t="s">
        <v>580</v>
      </c>
      <c r="E8" s="81" t="s">
        <v>578</v>
      </c>
      <c r="F8" s="82" t="s">
        <v>579</v>
      </c>
      <c r="G8" s="83" t="s">
        <v>573</v>
      </c>
    </row>
    <row r="9" spans="1:7" x14ac:dyDescent="0.15">
      <c r="A9" s="18" t="s">
        <v>338</v>
      </c>
      <c r="B9" s="16" t="s">
        <v>575</v>
      </c>
      <c r="C9" s="73" t="s">
        <v>573</v>
      </c>
      <c r="D9" s="80" t="s">
        <v>581</v>
      </c>
      <c r="E9" s="81" t="s">
        <v>578</v>
      </c>
      <c r="F9" s="82" t="s">
        <v>579</v>
      </c>
      <c r="G9" s="83" t="s">
        <v>573</v>
      </c>
    </row>
    <row r="10" spans="1:7" x14ac:dyDescent="0.15">
      <c r="A10" s="18" t="s">
        <v>337</v>
      </c>
      <c r="B10" s="17" t="s">
        <v>502</v>
      </c>
      <c r="C10" t="s">
        <v>497</v>
      </c>
      <c r="D10" s="80" t="s">
        <v>286</v>
      </c>
      <c r="E10" s="81" t="s">
        <v>578</v>
      </c>
      <c r="F10" s="82" t="s">
        <v>579</v>
      </c>
      <c r="G10" s="83" t="s">
        <v>573</v>
      </c>
    </row>
    <row r="11" spans="1:7" x14ac:dyDescent="0.15">
      <c r="A11" s="18" t="s">
        <v>145</v>
      </c>
      <c r="B11" s="17" t="s">
        <v>162</v>
      </c>
      <c r="C11" s="4" t="s">
        <v>163</v>
      </c>
      <c r="D11" s="80" t="s">
        <v>296</v>
      </c>
      <c r="E11" s="81" t="s">
        <v>582</v>
      </c>
      <c r="F11" s="82" t="s">
        <v>579</v>
      </c>
      <c r="G11" s="83" t="s">
        <v>583</v>
      </c>
    </row>
    <row r="12" spans="1:7" x14ac:dyDescent="0.15">
      <c r="A12" s="18" t="s">
        <v>146</v>
      </c>
      <c r="B12" s="17" t="s">
        <v>161</v>
      </c>
      <c r="C12" s="4" t="s">
        <v>164</v>
      </c>
      <c r="D12" s="80" t="s">
        <v>282</v>
      </c>
      <c r="E12" s="81" t="s">
        <v>582</v>
      </c>
      <c r="F12" s="82" t="s">
        <v>579</v>
      </c>
      <c r="G12" s="83" t="s">
        <v>583</v>
      </c>
    </row>
    <row r="13" spans="1:7" x14ac:dyDescent="0.15">
      <c r="A13" s="18" t="s">
        <v>147</v>
      </c>
      <c r="B13" s="17" t="s">
        <v>156</v>
      </c>
      <c r="D13" s="80" t="s">
        <v>289</v>
      </c>
      <c r="E13" s="81" t="s">
        <v>584</v>
      </c>
      <c r="F13" s="82" t="s">
        <v>579</v>
      </c>
      <c r="G13" s="83" t="s">
        <v>585</v>
      </c>
    </row>
    <row r="14" spans="1:7" x14ac:dyDescent="0.15">
      <c r="A14" s="18" t="s">
        <v>148</v>
      </c>
      <c r="B14" s="17" t="s">
        <v>158</v>
      </c>
      <c r="D14" s="80" t="s">
        <v>595</v>
      </c>
      <c r="E14" s="81" t="s">
        <v>584</v>
      </c>
      <c r="F14" s="82" t="s">
        <v>579</v>
      </c>
      <c r="G14" s="83" t="s">
        <v>585</v>
      </c>
    </row>
    <row r="15" spans="1:7" x14ac:dyDescent="0.15">
      <c r="A15" s="18" t="s">
        <v>149</v>
      </c>
      <c r="B15" s="17" t="s">
        <v>160</v>
      </c>
      <c r="D15" s="80" t="s">
        <v>586</v>
      </c>
      <c r="E15" s="81" t="s">
        <v>587</v>
      </c>
      <c r="F15" s="82" t="s">
        <v>579</v>
      </c>
      <c r="G15" s="83" t="s">
        <v>588</v>
      </c>
    </row>
    <row r="16" spans="1:7" x14ac:dyDescent="0.15">
      <c r="A16" s="18" t="s">
        <v>151</v>
      </c>
      <c r="B16" s="17" t="s">
        <v>503</v>
      </c>
      <c r="D16" s="80" t="s">
        <v>589</v>
      </c>
      <c r="E16" s="81" t="s">
        <v>590</v>
      </c>
      <c r="F16" s="82" t="s">
        <v>579</v>
      </c>
      <c r="G16" s="83" t="s">
        <v>591</v>
      </c>
    </row>
    <row r="17" spans="1:7" x14ac:dyDescent="0.15">
      <c r="A17" s="18" t="s">
        <v>155</v>
      </c>
      <c r="B17" s="17" t="s">
        <v>157</v>
      </c>
      <c r="D17" s="80" t="s">
        <v>592</v>
      </c>
      <c r="E17" s="81" t="s">
        <v>590</v>
      </c>
      <c r="F17" s="82" t="s">
        <v>579</v>
      </c>
      <c r="G17" s="83" t="s">
        <v>591</v>
      </c>
    </row>
    <row r="18" spans="1:7" x14ac:dyDescent="0.15">
      <c r="A18" s="18" t="s">
        <v>353</v>
      </c>
      <c r="B18" s="17" t="s">
        <v>159</v>
      </c>
      <c r="D18" s="80" t="s">
        <v>263</v>
      </c>
      <c r="E18" s="81" t="s">
        <v>590</v>
      </c>
      <c r="F18" s="82" t="s">
        <v>579</v>
      </c>
      <c r="G18" s="83" t="s">
        <v>591</v>
      </c>
    </row>
    <row r="19" spans="1:7" x14ac:dyDescent="0.15">
      <c r="D19" s="81" t="s">
        <v>596</v>
      </c>
      <c r="E19" s="81" t="s">
        <v>593</v>
      </c>
      <c r="F19" s="82" t="s">
        <v>579</v>
      </c>
      <c r="G19" s="83" t="s">
        <v>594</v>
      </c>
    </row>
    <row r="20" spans="1:7" x14ac:dyDescent="0.15">
      <c r="A20" s="1" t="s">
        <v>150</v>
      </c>
    </row>
    <row r="21" spans="1:7" x14ac:dyDescent="0.15">
      <c r="A21" t="s">
        <v>154</v>
      </c>
    </row>
    <row r="22" spans="1:7" x14ac:dyDescent="0.15">
      <c r="A22" t="s">
        <v>500</v>
      </c>
    </row>
    <row r="26" spans="1:7" x14ac:dyDescent="0.15">
      <c r="A26" t="s">
        <v>165</v>
      </c>
    </row>
    <row r="27" spans="1:7" x14ac:dyDescent="0.15">
      <c r="A27" s="2" t="s">
        <v>308</v>
      </c>
    </row>
    <row r="28" spans="1:7" x14ac:dyDescent="0.15">
      <c r="A28" s="2"/>
    </row>
    <row r="29" spans="1:7" x14ac:dyDescent="0.15">
      <c r="A29" s="2" t="s">
        <v>166</v>
      </c>
    </row>
    <row r="30" spans="1:7" x14ac:dyDescent="0.15">
      <c r="A30" s="13" t="s">
        <v>330</v>
      </c>
    </row>
    <row r="31" spans="1:7" x14ac:dyDescent="0.15">
      <c r="A31" s="2" t="s">
        <v>331</v>
      </c>
    </row>
    <row r="32" spans="1:7" x14ac:dyDescent="0.15">
      <c r="A32" s="2" t="s">
        <v>332</v>
      </c>
    </row>
    <row r="33" spans="1:1" x14ac:dyDescent="0.15">
      <c r="A33" s="2" t="s">
        <v>333</v>
      </c>
    </row>
    <row r="34" spans="1:1" x14ac:dyDescent="0.15">
      <c r="A34" s="20" t="s">
        <v>334</v>
      </c>
    </row>
    <row r="35" spans="1:1" x14ac:dyDescent="0.15">
      <c r="A35" s="2"/>
    </row>
    <row r="36" spans="1:1" x14ac:dyDescent="0.15">
      <c r="A36" s="2"/>
    </row>
    <row r="37" spans="1:1" x14ac:dyDescent="0.15">
      <c r="A37" s="2" t="s">
        <v>166</v>
      </c>
    </row>
    <row r="38" spans="1:1" x14ac:dyDescent="0.15">
      <c r="A38" s="13" t="s">
        <v>171</v>
      </c>
    </row>
    <row r="39" spans="1:1" x14ac:dyDescent="0.15">
      <c r="A39" s="2" t="s">
        <v>172</v>
      </c>
    </row>
    <row r="40" spans="1:1" x14ac:dyDescent="0.15">
      <c r="A40" s="2" t="s">
        <v>173</v>
      </c>
    </row>
    <row r="41" spans="1:1" x14ac:dyDescent="0.15">
      <c r="A41" s="2" t="s">
        <v>174</v>
      </c>
    </row>
    <row r="42" spans="1:1" x14ac:dyDescent="0.15">
      <c r="A42" s="20" t="s">
        <v>335</v>
      </c>
    </row>
    <row r="43" spans="1:1" x14ac:dyDescent="0.15">
      <c r="A43" s="2"/>
    </row>
    <row r="44" spans="1:1" x14ac:dyDescent="0.15">
      <c r="A44" s="2"/>
    </row>
    <row r="45" spans="1:1" x14ac:dyDescent="0.15">
      <c r="A45" t="s">
        <v>166</v>
      </c>
    </row>
    <row r="46" spans="1:1" x14ac:dyDescent="0.15">
      <c r="A46" s="13" t="s">
        <v>167</v>
      </c>
    </row>
    <row r="47" spans="1:1" x14ac:dyDescent="0.15">
      <c r="A47" t="s">
        <v>168</v>
      </c>
    </row>
    <row r="48" spans="1:1" x14ac:dyDescent="0.15">
      <c r="A48" t="s">
        <v>169</v>
      </c>
    </row>
    <row r="49" spans="1:1" x14ac:dyDescent="0.15">
      <c r="A49" t="s">
        <v>170</v>
      </c>
    </row>
    <row r="50" spans="1:1" x14ac:dyDescent="0.15">
      <c r="A50" s="4" t="s">
        <v>309</v>
      </c>
    </row>
    <row r="51" spans="1:1" x14ac:dyDescent="0.15">
      <c r="A51" s="4" t="s">
        <v>310</v>
      </c>
    </row>
    <row r="54" spans="1:1" x14ac:dyDescent="0.15">
      <c r="A54" t="s">
        <v>166</v>
      </c>
    </row>
    <row r="55" spans="1:1" x14ac:dyDescent="0.15">
      <c r="A55" s="13" t="s">
        <v>175</v>
      </c>
    </row>
    <row r="56" spans="1:1" x14ac:dyDescent="0.15">
      <c r="A56" t="s">
        <v>176</v>
      </c>
    </row>
    <row r="57" spans="1:1" x14ac:dyDescent="0.15">
      <c r="A57" t="s">
        <v>177</v>
      </c>
    </row>
    <row r="58" spans="1:1" x14ac:dyDescent="0.15">
      <c r="A58" t="s">
        <v>178</v>
      </c>
    </row>
    <row r="59" spans="1:1" x14ac:dyDescent="0.15">
      <c r="A59" s="4" t="s">
        <v>311</v>
      </c>
    </row>
    <row r="60" spans="1:1" x14ac:dyDescent="0.15">
      <c r="A60" s="4" t="s">
        <v>312</v>
      </c>
    </row>
    <row r="61" spans="1:1" x14ac:dyDescent="0.15">
      <c r="A61" t="s">
        <v>179</v>
      </c>
    </row>
    <row r="62" spans="1:1" x14ac:dyDescent="0.15">
      <c r="A62" t="s">
        <v>180</v>
      </c>
    </row>
    <row r="63" spans="1:1" x14ac:dyDescent="0.15">
      <c r="A63" t="s">
        <v>181</v>
      </c>
    </row>
    <row r="64" spans="1:1" x14ac:dyDescent="0.15">
      <c r="A64" t="s">
        <v>182</v>
      </c>
    </row>
    <row r="65" spans="1:1" x14ac:dyDescent="0.15">
      <c r="A65" t="s">
        <v>183</v>
      </c>
    </row>
    <row r="66" spans="1:1" x14ac:dyDescent="0.15">
      <c r="A66" t="s">
        <v>184</v>
      </c>
    </row>
    <row r="67" spans="1:1" x14ac:dyDescent="0.15">
      <c r="A67" t="s">
        <v>185</v>
      </c>
    </row>
    <row r="68" spans="1:1" x14ac:dyDescent="0.15">
      <c r="A68" t="s">
        <v>186</v>
      </c>
    </row>
    <row r="69" spans="1:1" x14ac:dyDescent="0.15">
      <c r="A69" t="s">
        <v>187</v>
      </c>
    </row>
    <row r="70" spans="1:1" x14ac:dyDescent="0.15">
      <c r="A70" t="s">
        <v>188</v>
      </c>
    </row>
    <row r="71" spans="1:1" x14ac:dyDescent="0.15">
      <c r="A71" t="s">
        <v>189</v>
      </c>
    </row>
    <row r="72" spans="1:1" x14ac:dyDescent="0.15">
      <c r="A72" t="s">
        <v>190</v>
      </c>
    </row>
    <row r="73" spans="1:1" x14ac:dyDescent="0.15">
      <c r="A73" t="s">
        <v>191</v>
      </c>
    </row>
    <row r="74" spans="1:1" x14ac:dyDescent="0.15">
      <c r="A74" t="s">
        <v>192</v>
      </c>
    </row>
    <row r="75" spans="1:1" x14ac:dyDescent="0.15">
      <c r="A75" t="s">
        <v>193</v>
      </c>
    </row>
    <row r="79" spans="1:1" x14ac:dyDescent="0.15">
      <c r="A79" t="s">
        <v>194</v>
      </c>
    </row>
    <row r="80" spans="1:1" x14ac:dyDescent="0.15">
      <c r="A80" s="2" t="s">
        <v>195</v>
      </c>
    </row>
    <row r="82" spans="1:1" x14ac:dyDescent="0.15">
      <c r="A82" s="13" t="s">
        <v>196</v>
      </c>
    </row>
    <row r="83" spans="1:1" x14ac:dyDescent="0.15">
      <c r="A83" t="s">
        <v>197</v>
      </c>
    </row>
    <row r="84" spans="1:1" x14ac:dyDescent="0.15">
      <c r="A84" t="s">
        <v>198</v>
      </c>
    </row>
    <row r="85" spans="1:1" x14ac:dyDescent="0.15">
      <c r="A85" t="s">
        <v>199</v>
      </c>
    </row>
    <row r="86" spans="1:1" x14ac:dyDescent="0.15">
      <c r="A86" t="s">
        <v>200</v>
      </c>
    </row>
    <row r="87" spans="1:1" x14ac:dyDescent="0.15">
      <c r="A87" t="s">
        <v>201</v>
      </c>
    </row>
    <row r="88" spans="1:1" x14ac:dyDescent="0.15">
      <c r="A88" t="s">
        <v>202</v>
      </c>
    </row>
    <row r="89" spans="1:1" x14ac:dyDescent="0.15">
      <c r="A89" s="4" t="s">
        <v>313</v>
      </c>
    </row>
    <row r="92" spans="1:1" x14ac:dyDescent="0.15">
      <c r="A92" s="13" t="s">
        <v>203</v>
      </c>
    </row>
    <row r="93" spans="1:1" x14ac:dyDescent="0.15">
      <c r="A93" t="s">
        <v>204</v>
      </c>
    </row>
    <row r="94" spans="1:1" x14ac:dyDescent="0.15">
      <c r="A94" t="s">
        <v>205</v>
      </c>
    </row>
    <row r="95" spans="1:1" x14ac:dyDescent="0.15">
      <c r="A95" t="s">
        <v>206</v>
      </c>
    </row>
    <row r="96" spans="1:1" x14ac:dyDescent="0.15">
      <c r="A96" t="s">
        <v>207</v>
      </c>
    </row>
    <row r="97" spans="1:1" x14ac:dyDescent="0.15">
      <c r="A97" s="4" t="s">
        <v>314</v>
      </c>
    </row>
    <row r="100" spans="1:1" x14ac:dyDescent="0.15">
      <c r="A100" s="13" t="s">
        <v>208</v>
      </c>
    </row>
    <row r="101" spans="1:1" x14ac:dyDescent="0.15">
      <c r="A101" t="s">
        <v>209</v>
      </c>
    </row>
    <row r="102" spans="1:1" x14ac:dyDescent="0.15">
      <c r="A102" t="s">
        <v>210</v>
      </c>
    </row>
    <row r="103" spans="1:1" x14ac:dyDescent="0.15">
      <c r="A103" t="s">
        <v>199</v>
      </c>
    </row>
    <row r="104" spans="1:1" x14ac:dyDescent="0.15">
      <c r="A104" t="s">
        <v>211</v>
      </c>
    </row>
    <row r="105" spans="1:1" x14ac:dyDescent="0.15">
      <c r="A105" t="s">
        <v>212</v>
      </c>
    </row>
    <row r="106" spans="1:1" x14ac:dyDescent="0.15">
      <c r="A106" s="4" t="s">
        <v>315</v>
      </c>
    </row>
    <row r="109" spans="1:1" x14ac:dyDescent="0.15">
      <c r="A109" s="13" t="s">
        <v>213</v>
      </c>
    </row>
    <row r="110" spans="1:1" x14ac:dyDescent="0.15">
      <c r="A110" t="s">
        <v>214</v>
      </c>
    </row>
    <row r="111" spans="1:1" x14ac:dyDescent="0.15">
      <c r="A111" t="s">
        <v>215</v>
      </c>
    </row>
    <row r="112" spans="1:1" x14ac:dyDescent="0.15">
      <c r="A112" t="s">
        <v>216</v>
      </c>
    </row>
    <row r="113" spans="1:1" x14ac:dyDescent="0.15">
      <c r="A113" t="s">
        <v>217</v>
      </c>
    </row>
    <row r="114" spans="1:1" x14ac:dyDescent="0.15">
      <c r="A114" s="4" t="s">
        <v>316</v>
      </c>
    </row>
    <row r="117" spans="1:1" x14ac:dyDescent="0.15">
      <c r="A117" s="13" t="s">
        <v>218</v>
      </c>
    </row>
    <row r="118" spans="1:1" x14ac:dyDescent="0.15">
      <c r="A118" t="s">
        <v>219</v>
      </c>
    </row>
    <row r="119" spans="1:1" x14ac:dyDescent="0.15">
      <c r="A119" t="s">
        <v>199</v>
      </c>
    </row>
    <row r="120" spans="1:1" x14ac:dyDescent="0.15">
      <c r="A120" t="s">
        <v>220</v>
      </c>
    </row>
    <row r="121" spans="1:1" x14ac:dyDescent="0.15">
      <c r="A121" t="s">
        <v>221</v>
      </c>
    </row>
    <row r="122" spans="1:1" x14ac:dyDescent="0.15">
      <c r="A122" t="s">
        <v>222</v>
      </c>
    </row>
    <row r="123" spans="1:1" x14ac:dyDescent="0.15">
      <c r="A123" s="4" t="s">
        <v>317</v>
      </c>
    </row>
    <row r="126" spans="1:1" x14ac:dyDescent="0.15">
      <c r="A126" s="13" t="s">
        <v>218</v>
      </c>
    </row>
    <row r="127" spans="1:1" x14ac:dyDescent="0.15">
      <c r="A127" t="s">
        <v>219</v>
      </c>
    </row>
    <row r="128" spans="1:1" x14ac:dyDescent="0.15">
      <c r="A128" t="s">
        <v>199</v>
      </c>
    </row>
    <row r="129" spans="1:1" x14ac:dyDescent="0.15">
      <c r="A129" t="s">
        <v>220</v>
      </c>
    </row>
    <row r="130" spans="1:1" x14ac:dyDescent="0.15">
      <c r="A130" t="s">
        <v>223</v>
      </c>
    </row>
    <row r="131" spans="1:1" x14ac:dyDescent="0.15">
      <c r="A131" t="s">
        <v>224</v>
      </c>
    </row>
    <row r="132" spans="1:1" x14ac:dyDescent="0.15">
      <c r="A132" s="4" t="s">
        <v>318</v>
      </c>
    </row>
    <row r="135" spans="1:1" x14ac:dyDescent="0.15">
      <c r="A135" s="13" t="s">
        <v>225</v>
      </c>
    </row>
    <row r="136" spans="1:1" x14ac:dyDescent="0.15">
      <c r="A136" t="s">
        <v>226</v>
      </c>
    </row>
    <row r="137" spans="1:1" x14ac:dyDescent="0.15">
      <c r="A137" t="s">
        <v>227</v>
      </c>
    </row>
    <row r="138" spans="1:1" x14ac:dyDescent="0.15">
      <c r="A138" t="s">
        <v>228</v>
      </c>
    </row>
    <row r="139" spans="1:1" x14ac:dyDescent="0.15">
      <c r="A139" s="4" t="s">
        <v>319</v>
      </c>
    </row>
    <row r="142" spans="1:1" x14ac:dyDescent="0.15">
      <c r="A142" s="13" t="s">
        <v>229</v>
      </c>
    </row>
    <row r="143" spans="1:1" x14ac:dyDescent="0.15">
      <c r="A143" t="s">
        <v>230</v>
      </c>
    </row>
    <row r="144" spans="1:1" x14ac:dyDescent="0.15">
      <c r="A144" t="s">
        <v>231</v>
      </c>
    </row>
    <row r="145" spans="1:2" x14ac:dyDescent="0.15">
      <c r="A145" t="s">
        <v>232</v>
      </c>
    </row>
    <row r="146" spans="1:2" x14ac:dyDescent="0.15">
      <c r="A146" t="s">
        <v>233</v>
      </c>
    </row>
    <row r="147" spans="1:2" x14ac:dyDescent="0.15">
      <c r="A147" s="4" t="s">
        <v>320</v>
      </c>
    </row>
    <row r="150" spans="1:2" x14ac:dyDescent="0.15">
      <c r="A150" s="13" t="s">
        <v>234</v>
      </c>
    </row>
    <row r="151" spans="1:2" x14ac:dyDescent="0.15">
      <c r="A151" t="s">
        <v>235</v>
      </c>
    </row>
    <row r="152" spans="1:2" x14ac:dyDescent="0.15">
      <c r="A152" t="s">
        <v>236</v>
      </c>
    </row>
    <row r="153" spans="1:2" x14ac:dyDescent="0.15">
      <c r="A153" t="s">
        <v>237</v>
      </c>
    </row>
    <row r="154" spans="1:2" x14ac:dyDescent="0.15">
      <c r="A154" t="s">
        <v>238</v>
      </c>
    </row>
    <row r="155" spans="1:2" x14ac:dyDescent="0.15">
      <c r="A155" t="s">
        <v>239</v>
      </c>
    </row>
    <row r="156" spans="1:2" x14ac:dyDescent="0.15">
      <c r="A156" s="4" t="s">
        <v>321</v>
      </c>
    </row>
    <row r="157" spans="1:2" x14ac:dyDescent="0.15">
      <c r="A157" s="2" t="s">
        <v>346</v>
      </c>
      <c r="B157" s="4" t="s">
        <v>345</v>
      </c>
    </row>
    <row r="159" spans="1:2" x14ac:dyDescent="0.15">
      <c r="A159" s="13" t="s">
        <v>240</v>
      </c>
    </row>
    <row r="160" spans="1:2" x14ac:dyDescent="0.15">
      <c r="A160" t="s">
        <v>241</v>
      </c>
    </row>
    <row r="161" spans="1:1" x14ac:dyDescent="0.15">
      <c r="A161" t="s">
        <v>242</v>
      </c>
    </row>
    <row r="162" spans="1:1" x14ac:dyDescent="0.15">
      <c r="A162" t="s">
        <v>243</v>
      </c>
    </row>
    <row r="163" spans="1:1" x14ac:dyDescent="0.15">
      <c r="A163" t="s">
        <v>244</v>
      </c>
    </row>
    <row r="164" spans="1:1" x14ac:dyDescent="0.15">
      <c r="A164" t="s">
        <v>245</v>
      </c>
    </row>
    <row r="165" spans="1:1" x14ac:dyDescent="0.15">
      <c r="A165" t="s">
        <v>246</v>
      </c>
    </row>
    <row r="166" spans="1:1" x14ac:dyDescent="0.15">
      <c r="A166" t="s">
        <v>247</v>
      </c>
    </row>
    <row r="167" spans="1:1" x14ac:dyDescent="0.15">
      <c r="A167" s="4" t="s">
        <v>322</v>
      </c>
    </row>
    <row r="170" spans="1:1" x14ac:dyDescent="0.15">
      <c r="A170" s="13" t="s">
        <v>248</v>
      </c>
    </row>
    <row r="171" spans="1:1" x14ac:dyDescent="0.15">
      <c r="A171" t="s">
        <v>249</v>
      </c>
    </row>
    <row r="172" spans="1:1" x14ac:dyDescent="0.15">
      <c r="A172" t="s">
        <v>250</v>
      </c>
    </row>
    <row r="173" spans="1:1" x14ac:dyDescent="0.15">
      <c r="A173" t="s">
        <v>251</v>
      </c>
    </row>
    <row r="174" spans="1:1" x14ac:dyDescent="0.15">
      <c r="A174" t="s">
        <v>252</v>
      </c>
    </row>
    <row r="175" spans="1:1" x14ac:dyDescent="0.15">
      <c r="A175" s="4" t="s">
        <v>323</v>
      </c>
    </row>
    <row r="178" spans="1:1" x14ac:dyDescent="0.15">
      <c r="A178" s="13" t="s">
        <v>248</v>
      </c>
    </row>
    <row r="179" spans="1:1" x14ac:dyDescent="0.15">
      <c r="A179" t="s">
        <v>249</v>
      </c>
    </row>
    <row r="180" spans="1:1" x14ac:dyDescent="0.15">
      <c r="A180" t="s">
        <v>250</v>
      </c>
    </row>
    <row r="181" spans="1:1" x14ac:dyDescent="0.15">
      <c r="A181" t="s">
        <v>253</v>
      </c>
    </row>
    <row r="182" spans="1:1" x14ac:dyDescent="0.15">
      <c r="A182" t="s">
        <v>254</v>
      </c>
    </row>
    <row r="183" spans="1:1" x14ac:dyDescent="0.15">
      <c r="A183" s="4" t="s">
        <v>324</v>
      </c>
    </row>
    <row r="185" spans="1:1" x14ac:dyDescent="0.15">
      <c r="A185" s="13" t="s">
        <v>248</v>
      </c>
    </row>
    <row r="186" spans="1:1" x14ac:dyDescent="0.15">
      <c r="A186" t="s">
        <v>249</v>
      </c>
    </row>
    <row r="187" spans="1:1" x14ac:dyDescent="0.15">
      <c r="A187" t="s">
        <v>250</v>
      </c>
    </row>
    <row r="188" spans="1:1" x14ac:dyDescent="0.15">
      <c r="A188" t="s">
        <v>255</v>
      </c>
    </row>
    <row r="189" spans="1:1" x14ac:dyDescent="0.15">
      <c r="A189" t="s">
        <v>256</v>
      </c>
    </row>
    <row r="190" spans="1:1" x14ac:dyDescent="0.15">
      <c r="A190" t="s">
        <v>257</v>
      </c>
    </row>
    <row r="191" spans="1:1" x14ac:dyDescent="0.15">
      <c r="A191" s="4" t="s">
        <v>325</v>
      </c>
    </row>
    <row r="193" spans="1:1" x14ac:dyDescent="0.15">
      <c r="A193" s="13" t="s">
        <v>348</v>
      </c>
    </row>
    <row r="194" spans="1:1" x14ac:dyDescent="0.15">
      <c r="A194" t="s">
        <v>258</v>
      </c>
    </row>
    <row r="195" spans="1:1" x14ac:dyDescent="0.15">
      <c r="A195" t="s">
        <v>259</v>
      </c>
    </row>
    <row r="196" spans="1:1" x14ac:dyDescent="0.15">
      <c r="A196" t="s">
        <v>260</v>
      </c>
    </row>
    <row r="197" spans="1:1" x14ac:dyDescent="0.15">
      <c r="A197" t="s">
        <v>261</v>
      </c>
    </row>
    <row r="198" spans="1:1" x14ac:dyDescent="0.15">
      <c r="A198" t="s">
        <v>326</v>
      </c>
    </row>
    <row r="199" spans="1:1" x14ac:dyDescent="0.15">
      <c r="A199" s="4" t="s">
        <v>327</v>
      </c>
    </row>
    <row r="202" spans="1:1" x14ac:dyDescent="0.15">
      <c r="A202" t="s">
        <v>262</v>
      </c>
    </row>
    <row r="204" spans="1:1" x14ac:dyDescent="0.15">
      <c r="A204" s="2" t="s">
        <v>152</v>
      </c>
    </row>
    <row r="205" spans="1:1" x14ac:dyDescent="0.15">
      <c r="A205" s="4" t="s">
        <v>153</v>
      </c>
    </row>
    <row r="209" spans="1:1" x14ac:dyDescent="0.15">
      <c r="A209" s="13" t="s">
        <v>263</v>
      </c>
    </row>
    <row r="210" spans="1:1" x14ac:dyDescent="0.15">
      <c r="A210" t="s">
        <v>264</v>
      </c>
    </row>
    <row r="211" spans="1:1" x14ac:dyDescent="0.15">
      <c r="A211" t="s">
        <v>265</v>
      </c>
    </row>
    <row r="212" spans="1:1" x14ac:dyDescent="0.15">
      <c r="A212" s="4" t="s">
        <v>470</v>
      </c>
    </row>
    <row r="213" spans="1:1" x14ac:dyDescent="0.15">
      <c r="A213" s="4" t="s">
        <v>471</v>
      </c>
    </row>
    <row r="214" spans="1:1" x14ac:dyDescent="0.15">
      <c r="A214" s="4"/>
    </row>
    <row r="215" spans="1:1" x14ac:dyDescent="0.15">
      <c r="A215" s="13" t="s">
        <v>266</v>
      </c>
    </row>
    <row r="216" spans="1:1" x14ac:dyDescent="0.15">
      <c r="A216" t="s">
        <v>264</v>
      </c>
    </row>
    <row r="217" spans="1:1" x14ac:dyDescent="0.15">
      <c r="A217" t="s">
        <v>267</v>
      </c>
    </row>
    <row r="218" spans="1:1" x14ac:dyDescent="0.15">
      <c r="A218" s="4" t="s">
        <v>472</v>
      </c>
    </row>
    <row r="219" spans="1:1" x14ac:dyDescent="0.15">
      <c r="A219" s="4" t="s">
        <v>473</v>
      </c>
    </row>
    <row r="221" spans="1:1" x14ac:dyDescent="0.15">
      <c r="A221" s="13" t="s">
        <v>268</v>
      </c>
    </row>
    <row r="222" spans="1:1" x14ac:dyDescent="0.15">
      <c r="A222" t="s">
        <v>264</v>
      </c>
    </row>
    <row r="223" spans="1:1" x14ac:dyDescent="0.15">
      <c r="A223" t="s">
        <v>269</v>
      </c>
    </row>
    <row r="224" spans="1:1" x14ac:dyDescent="0.15">
      <c r="A224" s="4" t="s">
        <v>474</v>
      </c>
    </row>
    <row r="225" spans="1:1" x14ac:dyDescent="0.15">
      <c r="A225" s="4" t="s">
        <v>475</v>
      </c>
    </row>
    <row r="226" spans="1:1" x14ac:dyDescent="0.15">
      <c r="A226" s="4" t="s">
        <v>476</v>
      </c>
    </row>
    <row r="227" spans="1:1" x14ac:dyDescent="0.15">
      <c r="A227" s="4" t="s">
        <v>477</v>
      </c>
    </row>
    <row r="228" spans="1:1" x14ac:dyDescent="0.15">
      <c r="A228" s="4" t="s">
        <v>478</v>
      </c>
    </row>
    <row r="231" spans="1:1" x14ac:dyDescent="0.15">
      <c r="A231" s="13" t="s">
        <v>270</v>
      </c>
    </row>
    <row r="232" spans="1:1" x14ac:dyDescent="0.15">
      <c r="A232" t="s">
        <v>264</v>
      </c>
    </row>
    <row r="233" spans="1:1" x14ac:dyDescent="0.15">
      <c r="A233" t="s">
        <v>271</v>
      </c>
    </row>
    <row r="234" spans="1:1" x14ac:dyDescent="0.15">
      <c r="A234" s="4" t="s">
        <v>479</v>
      </c>
    </row>
    <row r="235" spans="1:1" x14ac:dyDescent="0.15">
      <c r="A235" s="4" t="s">
        <v>480</v>
      </c>
    </row>
    <row r="236" spans="1:1" x14ac:dyDescent="0.15">
      <c r="A236" s="4" t="s">
        <v>481</v>
      </c>
    </row>
    <row r="237" spans="1:1" x14ac:dyDescent="0.15">
      <c r="A237" s="4" t="s">
        <v>482</v>
      </c>
    </row>
    <row r="238" spans="1:1" x14ac:dyDescent="0.15">
      <c r="A238" s="4" t="s">
        <v>483</v>
      </c>
    </row>
    <row r="240" spans="1:1" x14ac:dyDescent="0.15">
      <c r="A240" s="13" t="s">
        <v>272</v>
      </c>
    </row>
    <row r="241" spans="1:1" x14ac:dyDescent="0.15">
      <c r="A241" t="s">
        <v>273</v>
      </c>
    </row>
    <row r="242" spans="1:1" x14ac:dyDescent="0.15">
      <c r="A242" t="s">
        <v>274</v>
      </c>
    </row>
    <row r="243" spans="1:1" x14ac:dyDescent="0.15">
      <c r="A243" s="4" t="s">
        <v>484</v>
      </c>
    </row>
    <row r="244" spans="1:1" x14ac:dyDescent="0.15">
      <c r="A244" s="4" t="s">
        <v>485</v>
      </c>
    </row>
    <row r="245" spans="1:1" x14ac:dyDescent="0.15">
      <c r="A245" s="4" t="s">
        <v>486</v>
      </c>
    </row>
    <row r="246" spans="1:1" x14ac:dyDescent="0.15">
      <c r="A246" s="4" t="s">
        <v>487</v>
      </c>
    </row>
    <row r="247" spans="1:1" x14ac:dyDescent="0.15">
      <c r="A247" s="4" t="s">
        <v>488</v>
      </c>
    </row>
    <row r="248" spans="1:1" x14ac:dyDescent="0.15">
      <c r="A248" s="4"/>
    </row>
    <row r="250" spans="1:1" x14ac:dyDescent="0.15">
      <c r="A250" s="13" t="s">
        <v>17</v>
      </c>
    </row>
    <row r="251" spans="1:1" x14ac:dyDescent="0.15">
      <c r="A251" t="s">
        <v>273</v>
      </c>
    </row>
    <row r="252" spans="1:1" x14ac:dyDescent="0.15">
      <c r="A252" t="s">
        <v>275</v>
      </c>
    </row>
    <row r="256" spans="1:1" x14ac:dyDescent="0.15">
      <c r="A256" s="13" t="s">
        <v>276</v>
      </c>
    </row>
    <row r="257" spans="1:1" x14ac:dyDescent="0.15">
      <c r="A257" t="s">
        <v>273</v>
      </c>
    </row>
    <row r="258" spans="1:1" x14ac:dyDescent="0.15">
      <c r="A258" t="s">
        <v>277</v>
      </c>
    </row>
    <row r="259" spans="1:1" x14ac:dyDescent="0.15">
      <c r="A259" s="4" t="s">
        <v>489</v>
      </c>
    </row>
    <row r="261" spans="1:1" x14ac:dyDescent="0.15">
      <c r="A261" s="13" t="s">
        <v>278</v>
      </c>
    </row>
    <row r="262" spans="1:1" x14ac:dyDescent="0.15">
      <c r="A262" t="s">
        <v>273</v>
      </c>
    </row>
    <row r="263" spans="1:1" x14ac:dyDescent="0.15">
      <c r="A263" t="s">
        <v>279</v>
      </c>
    </row>
    <row r="264" spans="1:1" x14ac:dyDescent="0.15">
      <c r="A264" s="4" t="s">
        <v>490</v>
      </c>
    </row>
    <row r="266" spans="1:1" x14ac:dyDescent="0.15">
      <c r="A266" s="13" t="s">
        <v>280</v>
      </c>
    </row>
    <row r="267" spans="1:1" x14ac:dyDescent="0.15">
      <c r="A267" t="s">
        <v>273</v>
      </c>
    </row>
    <row r="268" spans="1:1" x14ac:dyDescent="0.15">
      <c r="A268" t="s">
        <v>281</v>
      </c>
    </row>
    <row r="269" spans="1:1" x14ac:dyDescent="0.15">
      <c r="A269" s="4" t="s">
        <v>491</v>
      </c>
    </row>
    <row r="270" spans="1:1" x14ac:dyDescent="0.15">
      <c r="A270" s="4" t="s">
        <v>492</v>
      </c>
    </row>
    <row r="272" spans="1:1" x14ac:dyDescent="0.15">
      <c r="A272" s="13" t="s">
        <v>282</v>
      </c>
    </row>
    <row r="273" spans="1:1" x14ac:dyDescent="0.15">
      <c r="A273" t="s">
        <v>273</v>
      </c>
    </row>
    <row r="274" spans="1:1" x14ac:dyDescent="0.15">
      <c r="A274" t="s">
        <v>347</v>
      </c>
    </row>
    <row r="277" spans="1:1" x14ac:dyDescent="0.15">
      <c r="A277" s="13" t="s">
        <v>17</v>
      </c>
    </row>
    <row r="278" spans="1:1" x14ac:dyDescent="0.15">
      <c r="A278" t="s">
        <v>273</v>
      </c>
    </row>
    <row r="279" spans="1:1" x14ac:dyDescent="0.15">
      <c r="A279" t="s">
        <v>283</v>
      </c>
    </row>
    <row r="282" spans="1:1" x14ac:dyDescent="0.15">
      <c r="A282" s="13" t="s">
        <v>272</v>
      </c>
    </row>
    <row r="283" spans="1:1" x14ac:dyDescent="0.15">
      <c r="A283" t="s">
        <v>273</v>
      </c>
    </row>
    <row r="284" spans="1:1" x14ac:dyDescent="0.15">
      <c r="A284" t="s">
        <v>284</v>
      </c>
    </row>
    <row r="288" spans="1:1" x14ac:dyDescent="0.15">
      <c r="A288" s="13" t="s">
        <v>17</v>
      </c>
    </row>
    <row r="289" spans="1:1" x14ac:dyDescent="0.15">
      <c r="A289" t="s">
        <v>273</v>
      </c>
    </row>
    <row r="290" spans="1:1" x14ac:dyDescent="0.15">
      <c r="A290" t="s">
        <v>285</v>
      </c>
    </row>
    <row r="293" spans="1:1" x14ac:dyDescent="0.15">
      <c r="A293" s="13" t="s">
        <v>286</v>
      </c>
    </row>
    <row r="294" spans="1:1" x14ac:dyDescent="0.15">
      <c r="A294" t="s">
        <v>273</v>
      </c>
    </row>
    <row r="295" spans="1:1" x14ac:dyDescent="0.15">
      <c r="A295" t="s">
        <v>287</v>
      </c>
    </row>
    <row r="299" spans="1:1" x14ac:dyDescent="0.15">
      <c r="A299" s="13" t="s">
        <v>17</v>
      </c>
    </row>
    <row r="300" spans="1:1" x14ac:dyDescent="0.15">
      <c r="A300" t="s">
        <v>273</v>
      </c>
    </row>
    <row r="301" spans="1:1" x14ac:dyDescent="0.15">
      <c r="A301" t="s">
        <v>288</v>
      </c>
    </row>
    <row r="305" spans="1:1" x14ac:dyDescent="0.15">
      <c r="A305" s="13" t="s">
        <v>289</v>
      </c>
    </row>
    <row r="306" spans="1:1" x14ac:dyDescent="0.15">
      <c r="A306" t="s">
        <v>273</v>
      </c>
    </row>
    <row r="307" spans="1:1" x14ac:dyDescent="0.15">
      <c r="A307" t="s">
        <v>290</v>
      </c>
    </row>
    <row r="310" spans="1:1" x14ac:dyDescent="0.15">
      <c r="A310" s="13" t="s">
        <v>291</v>
      </c>
    </row>
    <row r="311" spans="1:1" x14ac:dyDescent="0.15">
      <c r="A311" t="s">
        <v>292</v>
      </c>
    </row>
    <row r="312" spans="1:1" x14ac:dyDescent="0.15">
      <c r="A312" t="s">
        <v>293</v>
      </c>
    </row>
    <row r="317" spans="1:1" x14ac:dyDescent="0.15">
      <c r="A317" t="s">
        <v>294</v>
      </c>
    </row>
    <row r="318" spans="1:1" x14ac:dyDescent="0.15">
      <c r="A318" t="s">
        <v>273</v>
      </c>
    </row>
    <row r="319" spans="1:1" x14ac:dyDescent="0.15">
      <c r="A319" t="s">
        <v>295</v>
      </c>
    </row>
    <row r="320" spans="1:1" x14ac:dyDescent="0.15">
      <c r="A320" s="4" t="s">
        <v>493</v>
      </c>
    </row>
    <row r="322" spans="1:1" x14ac:dyDescent="0.15">
      <c r="A322" t="s">
        <v>296</v>
      </c>
    </row>
    <row r="323" spans="1:1" x14ac:dyDescent="0.15">
      <c r="A323" t="s">
        <v>273</v>
      </c>
    </row>
    <row r="324" spans="1:1" x14ac:dyDescent="0.15">
      <c r="A324" t="s">
        <v>297</v>
      </c>
    </row>
    <row r="325" spans="1:1" x14ac:dyDescent="0.15">
      <c r="A325" s="4" t="s">
        <v>494</v>
      </c>
    </row>
    <row r="326" spans="1:1" x14ac:dyDescent="0.15">
      <c r="A326" s="4"/>
    </row>
    <row r="327" spans="1:1" x14ac:dyDescent="0.15">
      <c r="A327" t="s">
        <v>289</v>
      </c>
    </row>
    <row r="328" spans="1:1" x14ac:dyDescent="0.15">
      <c r="A328" t="s">
        <v>273</v>
      </c>
    </row>
    <row r="329" spans="1:1" x14ac:dyDescent="0.15">
      <c r="A329" t="s">
        <v>298</v>
      </c>
    </row>
    <row r="330" spans="1:1" x14ac:dyDescent="0.15">
      <c r="A330" s="4" t="s">
        <v>495</v>
      </c>
    </row>
    <row r="331" spans="1:1" x14ac:dyDescent="0.15">
      <c r="A331" s="4"/>
    </row>
    <row r="332" spans="1:1" x14ac:dyDescent="0.15">
      <c r="A332" t="s">
        <v>299</v>
      </c>
    </row>
    <row r="333" spans="1:1" x14ac:dyDescent="0.15">
      <c r="A333" t="s">
        <v>300</v>
      </c>
    </row>
    <row r="334" spans="1:1" x14ac:dyDescent="0.15">
      <c r="A334" t="s">
        <v>301</v>
      </c>
    </row>
    <row r="336" spans="1:1" x14ac:dyDescent="0.15">
      <c r="A336" t="s">
        <v>302</v>
      </c>
    </row>
    <row r="338" spans="1:1" x14ac:dyDescent="0.15">
      <c r="A338" s="2" t="s">
        <v>303</v>
      </c>
    </row>
    <row r="339" spans="1:1" x14ac:dyDescent="0.15">
      <c r="A339" s="4" t="s">
        <v>328</v>
      </c>
    </row>
    <row r="342" spans="1:1" x14ac:dyDescent="0.15">
      <c r="A342" s="13" t="s">
        <v>304</v>
      </c>
    </row>
    <row r="343" spans="1:1" x14ac:dyDescent="0.15">
      <c r="A343" t="s">
        <v>305</v>
      </c>
    </row>
    <row r="344" spans="1:1" x14ac:dyDescent="0.15">
      <c r="A344" t="s">
        <v>306</v>
      </c>
    </row>
    <row r="345" spans="1:1" x14ac:dyDescent="0.15">
      <c r="A345" t="s">
        <v>307</v>
      </c>
    </row>
    <row r="346" spans="1:1" x14ac:dyDescent="0.15">
      <c r="A346" s="4" t="s">
        <v>329</v>
      </c>
    </row>
    <row r="347" spans="1:1" x14ac:dyDescent="0.15">
      <c r="A347" s="4"/>
    </row>
    <row r="349" spans="1:1" x14ac:dyDescent="0.15">
      <c r="A349" s="2" t="s">
        <v>467</v>
      </c>
    </row>
    <row r="351" spans="1:1" x14ac:dyDescent="0.15">
      <c r="A351" s="13" t="s">
        <v>339</v>
      </c>
    </row>
    <row r="352" spans="1:1" x14ac:dyDescent="0.15">
      <c r="A352" t="s">
        <v>340</v>
      </c>
    </row>
    <row r="353" spans="1:1" x14ac:dyDescent="0.15">
      <c r="A353" t="s">
        <v>341</v>
      </c>
    </row>
    <row r="354" spans="1:1" x14ac:dyDescent="0.15">
      <c r="A354" t="s">
        <v>342</v>
      </c>
    </row>
    <row r="355" spans="1:1" x14ac:dyDescent="0.15">
      <c r="A355" t="s">
        <v>344</v>
      </c>
    </row>
    <row r="356" spans="1:1" x14ac:dyDescent="0.15">
      <c r="A356" t="s">
        <v>343</v>
      </c>
    </row>
    <row r="357" spans="1:1" x14ac:dyDescent="0.15">
      <c r="A357" s="4" t="s">
        <v>468</v>
      </c>
    </row>
    <row r="359" spans="1:1" x14ac:dyDescent="0.15">
      <c r="A359" s="13" t="s">
        <v>349</v>
      </c>
    </row>
    <row r="360" spans="1:1" x14ac:dyDescent="0.15">
      <c r="A360" t="s">
        <v>350</v>
      </c>
    </row>
    <row r="361" spans="1:1" x14ac:dyDescent="0.15">
      <c r="A361" t="s">
        <v>351</v>
      </c>
    </row>
    <row r="362" spans="1:1" x14ac:dyDescent="0.15">
      <c r="A362" t="s">
        <v>352</v>
      </c>
    </row>
    <row r="363" spans="1:1" x14ac:dyDescent="0.15">
      <c r="A363" s="4" t="s">
        <v>469</v>
      </c>
    </row>
  </sheetData>
  <phoneticPr fontId="2"/>
  <hyperlinks>
    <hyperlink ref="B13" r:id="rId1" xr:uid="{00000000-0004-0000-0000-000004000000}"/>
    <hyperlink ref="B17" r:id="rId2" xr:uid="{00000000-0004-0000-0000-000005000000}"/>
    <hyperlink ref="B14" r:id="rId3" xr:uid="{00000000-0004-0000-0000-000006000000}"/>
    <hyperlink ref="B18" r:id="rId4" xr:uid="{00000000-0004-0000-0000-000007000000}"/>
    <hyperlink ref="B15" r:id="rId5" xr:uid="{00000000-0004-0000-0000-000008000000}"/>
    <hyperlink ref="B12" r:id="rId6" xr:uid="{00000000-0004-0000-0000-000009000000}"/>
    <hyperlink ref="B11" r:id="rId7" xr:uid="{00000000-0004-0000-0000-00000A000000}"/>
    <hyperlink ref="C11" r:id="rId8" xr:uid="{00000000-0004-0000-0000-00000B000000}"/>
    <hyperlink ref="C12" r:id="rId9" xr:uid="{00000000-0004-0000-0000-000010000000}"/>
    <hyperlink ref="A50" r:id="rId10" xr:uid="{00000000-0004-0000-0000-000011000000}"/>
    <hyperlink ref="A51" r:id="rId11" xr:uid="{00000000-0004-0000-0000-000012000000}"/>
    <hyperlink ref="A59" r:id="rId12" xr:uid="{00000000-0004-0000-0000-000013000000}"/>
    <hyperlink ref="A60" r:id="rId13" xr:uid="{00000000-0004-0000-0000-000014000000}"/>
    <hyperlink ref="A89" r:id="rId14" xr:uid="{00000000-0004-0000-0000-000015000000}"/>
    <hyperlink ref="A97" r:id="rId15" xr:uid="{00000000-0004-0000-0000-000016000000}"/>
    <hyperlink ref="A106" r:id="rId16" xr:uid="{00000000-0004-0000-0000-000017000000}"/>
    <hyperlink ref="A114" r:id="rId17" xr:uid="{00000000-0004-0000-0000-000018000000}"/>
    <hyperlink ref="A123" r:id="rId18" xr:uid="{00000000-0004-0000-0000-000019000000}"/>
    <hyperlink ref="A132" r:id="rId19" xr:uid="{00000000-0004-0000-0000-00001A000000}"/>
    <hyperlink ref="A139" r:id="rId20" xr:uid="{00000000-0004-0000-0000-00001B000000}"/>
    <hyperlink ref="A147" r:id="rId21" xr:uid="{00000000-0004-0000-0000-00001C000000}"/>
    <hyperlink ref="A156" r:id="rId22" xr:uid="{00000000-0004-0000-0000-00001D000000}"/>
    <hyperlink ref="A167" r:id="rId23" xr:uid="{00000000-0004-0000-0000-00001E000000}"/>
    <hyperlink ref="A175" r:id="rId24" xr:uid="{00000000-0004-0000-0000-00001F000000}"/>
    <hyperlink ref="A183" r:id="rId25" xr:uid="{00000000-0004-0000-0000-000020000000}"/>
    <hyperlink ref="A191" r:id="rId26" xr:uid="{00000000-0004-0000-0000-000021000000}"/>
    <hyperlink ref="A199" r:id="rId27" xr:uid="{00000000-0004-0000-0000-000022000000}"/>
    <hyperlink ref="A205" r:id="rId28" xr:uid="{00000000-0004-0000-0000-000023000000}"/>
    <hyperlink ref="A339" r:id="rId29" xr:uid="{00000000-0004-0000-0000-000024000000}"/>
    <hyperlink ref="A346" r:id="rId30" xr:uid="{00000000-0004-0000-0000-000025000000}"/>
    <hyperlink ref="A34" r:id="rId31" xr:uid="{00000000-0004-0000-0000-000026000000}"/>
    <hyperlink ref="A42" r:id="rId32" xr:uid="{00000000-0004-0000-0000-000027000000}"/>
    <hyperlink ref="A357" r:id="rId33" xr:uid="{00000000-0004-0000-0000-000028000000}"/>
    <hyperlink ref="B157" r:id="rId34" xr:uid="{00000000-0004-0000-0000-000029000000}"/>
    <hyperlink ref="A363" r:id="rId35" xr:uid="{00000000-0004-0000-0000-00002A000000}"/>
    <hyperlink ref="A212" r:id="rId36" xr:uid="{3A87C376-26D6-48F0-B7A5-3B6C0235BE7C}"/>
    <hyperlink ref="A213" r:id="rId37" xr:uid="{0AACE6F8-C929-4385-83C8-625ECAE6FC9E}"/>
    <hyperlink ref="A218" r:id="rId38" xr:uid="{E4FB4443-BB6E-4C74-9252-8A3C0E532200}"/>
    <hyperlink ref="A219" r:id="rId39" xr:uid="{05A87626-54C8-4EFD-A6EF-285FC7339195}"/>
    <hyperlink ref="A224" r:id="rId40" xr:uid="{A739243E-608D-4139-B11C-AB53C54F28EA}"/>
    <hyperlink ref="A225" r:id="rId41" xr:uid="{584F52D9-9E79-4E76-AAA9-1C3936C921B7}"/>
    <hyperlink ref="A226" r:id="rId42" xr:uid="{84B02C8F-74AB-4DB5-9E1B-5E1EAE4ED54A}"/>
    <hyperlink ref="A227" r:id="rId43" xr:uid="{709CB578-2E94-4661-A281-75C668E057DB}"/>
    <hyperlink ref="A228" r:id="rId44" xr:uid="{6E7BD22E-6271-4740-9649-B825E8155F21}"/>
    <hyperlink ref="A234" r:id="rId45" xr:uid="{E06DD9F4-74D0-4FD0-BE69-C8DBF34AFF5D}"/>
    <hyperlink ref="A235" r:id="rId46" xr:uid="{598E614F-BFCD-4647-BEC8-145790225801}"/>
    <hyperlink ref="A236" r:id="rId47" xr:uid="{C17852FE-150D-4C69-ACB5-AE14A30FEEA8}"/>
    <hyperlink ref="A237" r:id="rId48" xr:uid="{4A30703D-B842-40A6-8E24-ED102C271ACD}"/>
    <hyperlink ref="A238" r:id="rId49" xr:uid="{36C697DF-5943-49DD-8C71-E65128674E09}"/>
    <hyperlink ref="A243" r:id="rId50" xr:uid="{18BEE66C-A398-4649-A8C5-E7459FA0EB8B}"/>
    <hyperlink ref="A244" r:id="rId51" xr:uid="{9DD04220-0B5B-4974-B1E9-B1B336B25787}"/>
    <hyperlink ref="A245" r:id="rId52" xr:uid="{C62A6A22-AF24-41E4-98BC-EEF135475C47}"/>
    <hyperlink ref="A246" r:id="rId53" xr:uid="{F4A5EE33-CD98-4941-991E-5BE69E1EA418}"/>
    <hyperlink ref="A247" r:id="rId54" xr:uid="{A4E01427-2C77-4BB9-BAB7-EF8EF4A9A848}"/>
    <hyperlink ref="A259" r:id="rId55" xr:uid="{7476CC45-92A9-4AF2-8F82-5AFCC037B888}"/>
    <hyperlink ref="A264" r:id="rId56" xr:uid="{BEA62230-C6BC-45B6-B3DC-AF06485E881A}"/>
    <hyperlink ref="A269" r:id="rId57" xr:uid="{F260AF70-09D3-4B55-9C03-03C3D32E626C}"/>
    <hyperlink ref="A270" r:id="rId58" xr:uid="{43E2C7EA-2464-4752-9B78-0CFCEA7382D9}"/>
    <hyperlink ref="A320" r:id="rId59" xr:uid="{75871A7D-39C9-42F9-B359-40CDB58AE9A7}"/>
    <hyperlink ref="A325" r:id="rId60" xr:uid="{E6377752-7658-4B56-993D-4FC2A9DF3AF6}"/>
    <hyperlink ref="A330" r:id="rId61" xr:uid="{2CD16B37-A558-4C21-A47D-A4582C99E1FF}"/>
    <hyperlink ref="B7" r:id="rId62" xr:uid="{C431D6E6-B5BD-4FCA-AB0E-B01B6B4F2FED}"/>
    <hyperlink ref="B8" r:id="rId63" xr:uid="{6F667AC5-CAB5-4F6A-8F7D-04B1284D27DC}"/>
    <hyperlink ref="B10" r:id="rId64" xr:uid="{020466B5-9E8C-4104-A3F4-D435A371E28B}"/>
    <hyperlink ref="B16" r:id="rId65" xr:uid="{E1EC2523-EE10-475A-B223-F3E55482C3A0}"/>
    <hyperlink ref="C9" r:id="rId66" xr:uid="{A3CBC89C-1B34-4B59-BB78-D9927512D346}"/>
    <hyperlink ref="G7" r:id="rId67" xr:uid="{99F90A91-CCD7-467D-AFD6-8CB5982D9936}"/>
    <hyperlink ref="G11" r:id="rId68" xr:uid="{0E0E96AE-E4A7-4455-9BD7-0BDDA6300F14}"/>
    <hyperlink ref="G13" r:id="rId69" xr:uid="{8879794A-4B4B-4193-B825-F9A6443A0A5C}"/>
    <hyperlink ref="G15" r:id="rId70" xr:uid="{B641AF2B-6B6C-4661-9282-92275694595A}"/>
    <hyperlink ref="G16" r:id="rId71" xr:uid="{817DBFD9-CF5C-4B95-8D54-1BE427696841}"/>
    <hyperlink ref="G19" r:id="rId72" xr:uid="{FA807CC1-7CDA-4060-9A95-2DAADD8AC530}"/>
    <hyperlink ref="G8" r:id="rId73" xr:uid="{5A391263-60DE-49C2-921A-E159DC67E39E}"/>
    <hyperlink ref="G9" r:id="rId74" xr:uid="{77473749-9C93-4E08-A3C6-A7C4A5FF0465}"/>
    <hyperlink ref="G10" r:id="rId75" xr:uid="{161301B3-8D0A-481E-AC36-7B28F6516DB7}"/>
    <hyperlink ref="G12" r:id="rId76" xr:uid="{45C454E4-37A1-48BA-8A71-48A567AE5861}"/>
    <hyperlink ref="G14" r:id="rId77" xr:uid="{8008BDFB-1CF1-4668-89E4-449854DA7FBD}"/>
    <hyperlink ref="G17" r:id="rId78" xr:uid="{6EA6DE12-E1BE-4580-9BEE-9F7DEB29D91D}"/>
    <hyperlink ref="G18" r:id="rId79" xr:uid="{34101B1F-772F-4768-A3C0-6A33EA779E7A}"/>
  </hyperlinks>
  <pageMargins left="0.7" right="0.7" top="0.75" bottom="0.75" header="0.3" footer="0.3"/>
  <pageSetup paperSize="9" orientation="portrait" horizontalDpi="4294967293" verticalDpi="0" r:id="rId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V94"/>
  <sheetViews>
    <sheetView tabSelected="1" zoomScale="190" zoomScaleNormal="19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3.5" x14ac:dyDescent="0.15"/>
  <cols>
    <col min="1" max="7" width="6.625" customWidth="1"/>
    <col min="8" max="8" width="11.5" customWidth="1"/>
    <col min="9" max="9" width="6.625" customWidth="1"/>
    <col min="10" max="10" width="13.5" customWidth="1"/>
    <col min="12" max="12" width="13.625" customWidth="1"/>
    <col min="13" max="13" width="6.25" customWidth="1"/>
    <col min="14" max="14" width="6.375" customWidth="1"/>
    <col min="15" max="15" width="11.375" customWidth="1"/>
    <col min="17" max="17" width="15" style="3" customWidth="1"/>
    <col min="19" max="19" width="4.875" customWidth="1"/>
    <col min="20" max="20" width="16.75" customWidth="1"/>
    <col min="23" max="23" width="11.25" customWidth="1"/>
    <col min="26" max="26" width="11.5" customWidth="1"/>
    <col min="29" max="29" width="11.125" customWidth="1"/>
    <col min="32" max="32" width="10.875" customWidth="1"/>
    <col min="35" max="37" width="15.375" customWidth="1"/>
    <col min="39" max="39" width="15.5" customWidth="1"/>
    <col min="46" max="46" width="9" style="31"/>
    <col min="48" max="48" width="34.5" customWidth="1"/>
  </cols>
  <sheetData>
    <row r="1" spans="1:48" x14ac:dyDescent="0.15">
      <c r="A1" s="70"/>
      <c r="B1" s="35" t="s">
        <v>569</v>
      </c>
      <c r="C1" s="49"/>
      <c r="D1" s="42" t="s">
        <v>506</v>
      </c>
      <c r="E1" s="49"/>
      <c r="F1" s="42" t="s">
        <v>507</v>
      </c>
      <c r="G1" s="49"/>
      <c r="H1" s="42" t="s">
        <v>570</v>
      </c>
      <c r="I1" s="49"/>
      <c r="J1" s="42" t="s">
        <v>437</v>
      </c>
      <c r="K1" s="46"/>
      <c r="L1" s="42" t="s">
        <v>354</v>
      </c>
      <c r="M1" s="46"/>
      <c r="N1" s="34"/>
      <c r="O1" s="35" t="s">
        <v>355</v>
      </c>
      <c r="P1" s="46"/>
      <c r="Q1" s="48" t="s">
        <v>466</v>
      </c>
      <c r="R1" s="53"/>
      <c r="S1" s="34"/>
      <c r="T1" s="35" t="s">
        <v>571</v>
      </c>
      <c r="U1" s="46"/>
      <c r="V1" s="47"/>
      <c r="W1" s="28" t="s">
        <v>438</v>
      </c>
      <c r="X1" s="63"/>
      <c r="Y1" s="34"/>
      <c r="Z1" s="35" t="s">
        <v>439</v>
      </c>
      <c r="AA1" s="46"/>
      <c r="AB1" s="47"/>
      <c r="AC1" s="28" t="s">
        <v>440</v>
      </c>
      <c r="AD1" s="63"/>
      <c r="AE1" s="34"/>
      <c r="AF1" s="35" t="s">
        <v>441</v>
      </c>
      <c r="AG1" s="46"/>
      <c r="AH1" s="47"/>
      <c r="AI1" s="28" t="s">
        <v>454</v>
      </c>
      <c r="AJ1" s="29"/>
      <c r="AK1" s="64" t="s">
        <v>455</v>
      </c>
      <c r="AL1" s="34"/>
      <c r="AM1" s="35" t="s">
        <v>454</v>
      </c>
      <c r="AN1" s="46"/>
      <c r="AO1" s="66" t="s">
        <v>455</v>
      </c>
      <c r="AP1" s="34"/>
      <c r="AQ1" s="35" t="s">
        <v>566</v>
      </c>
      <c r="AR1" s="69"/>
      <c r="AS1" s="35" t="s">
        <v>567</v>
      </c>
      <c r="AT1" s="49"/>
      <c r="AU1" s="74" t="s">
        <v>574</v>
      </c>
      <c r="AV1" s="75" t="s">
        <v>576</v>
      </c>
    </row>
    <row r="2" spans="1:48" x14ac:dyDescent="0.15">
      <c r="A2" s="71" t="s">
        <v>356</v>
      </c>
      <c r="B2" s="29">
        <v>7</v>
      </c>
      <c r="C2" s="37" t="str">
        <f>HYPERLINK("https://www.digital.archives.go.jp/img/4218740/7")</f>
        <v>https://www.digital.archives.go.jp/img/4218740/7</v>
      </c>
      <c r="D2" s="43">
        <v>28</v>
      </c>
      <c r="E2" s="37" t="str">
        <f>HYPERLINK("https://kokusho.nijl.ac.jp/biblio/100317365/28")</f>
        <v>https://kokusho.nijl.ac.jp/biblio/100317365/28</v>
      </c>
      <c r="F2" s="43">
        <v>28</v>
      </c>
      <c r="G2" s="37" t="str">
        <f>HYPERLINK("https://kokusho.nijl.ac.jp/biblio/100317364/28")</f>
        <v>https://kokusho.nijl.ac.jp/biblio/100317364/28</v>
      </c>
      <c r="H2" s="43">
        <v>70</v>
      </c>
      <c r="I2" s="38" t="str">
        <f>HYPERLINK("https://kokusho.nijl.ac.jp/biblio/100382563/70")</f>
        <v>https://kokusho.nijl.ac.jp/biblio/100382563/70</v>
      </c>
      <c r="J2" s="43">
        <v>92</v>
      </c>
      <c r="K2" s="37" t="str">
        <f>HYPERLINK("https://rmda.kulib.kyoto-u.ac.jp/item/rb00004597?page=92")</f>
        <v>https://rmda.kulib.kyoto-u.ac.jp/item/rb00004597?page=92</v>
      </c>
      <c r="L2" s="43">
        <v>12</v>
      </c>
      <c r="M2" s="37" t="str">
        <f>HYPERLINK("https://rmda.kulib.kyoto-u.ac.jp/item/rb00004587?page=12")</f>
        <v>https://rmda.kulib.kyoto-u.ac.jp/item/rb00004587?page=12</v>
      </c>
      <c r="N2" s="36" t="s">
        <v>356</v>
      </c>
      <c r="O2" s="29">
        <v>10</v>
      </c>
      <c r="P2" s="37" t="str">
        <f>HYPERLINK("https://rmda.kulib.kyoto-u.ac.jp/item/rb00004585?page=10")</f>
        <v>https://rmda.kulib.kyoto-u.ac.jp/item/rb00004585?page=10</v>
      </c>
      <c r="Q2" s="50" t="s">
        <v>457</v>
      </c>
      <c r="R2" s="54" t="str">
        <f>HYPERLINK("https://rmda.kulib.kyoto-u.ac.jp/item/rb00004585?page=10")</f>
        <v>https://rmda.kulib.kyoto-u.ac.jp/item/rb00004585?page=10</v>
      </c>
      <c r="S2" s="36" t="s">
        <v>356</v>
      </c>
      <c r="T2" s="29" t="s">
        <v>509</v>
      </c>
      <c r="U2" s="37" t="str">
        <f t="shared" ref="U2:U10" si="0">HYPERLINK("https://archive.wul.waseda.ac.jp/kosho/ya09/ya09_00955/ya09_00955_0001/ya09_00955_0001.html")</f>
        <v>https://archive.wul.waseda.ac.jp/kosho/ya09/ya09_00955/ya09_00955_0001/ya09_00955_0001.html</v>
      </c>
      <c r="V2" s="47" t="s">
        <v>356</v>
      </c>
      <c r="W2" s="29">
        <v>12</v>
      </c>
      <c r="X2" s="54" t="str">
        <f>HYPERLINK("https://rmda.kulib.kyoto-u.ac.jp/item/rb00004583?page=12")</f>
        <v>https://rmda.kulib.kyoto-u.ac.jp/item/rb00004583?page=12</v>
      </c>
      <c r="Y2" s="36" t="s">
        <v>356</v>
      </c>
      <c r="Z2" s="29">
        <v>10</v>
      </c>
      <c r="AA2" s="37" t="str">
        <f>HYPERLINK("https://rmda.kulib.kyoto-u.ac.jp/item/rb00004592?page=10")</f>
        <v>https://rmda.kulib.kyoto-u.ac.jp/item/rb00004592?page=10</v>
      </c>
      <c r="AB2" s="47" t="s">
        <v>356</v>
      </c>
      <c r="AC2" s="29">
        <v>9</v>
      </c>
      <c r="AD2" s="54" t="str">
        <f>HYPERLINK("https://rmda.kulib.kyoto-u.ac.jp/item/rb00004593?page=9")</f>
        <v>https://rmda.kulib.kyoto-u.ac.jp/item/rb00004593?page=9</v>
      </c>
      <c r="AE2" s="36" t="s">
        <v>356</v>
      </c>
      <c r="AF2" s="29">
        <v>4</v>
      </c>
      <c r="AG2" s="37" t="str">
        <f>HYPERLINK("https://rmda.kulib.kyoto-u.ac.jp/item/rb00008886?page=4")</f>
        <v>https://rmda.kulib.kyoto-u.ac.jp/item/rb00008886?page=4</v>
      </c>
      <c r="AH2" s="47" t="s">
        <v>356</v>
      </c>
      <c r="AI2" s="29">
        <v>97</v>
      </c>
      <c r="AJ2" s="27" t="str">
        <f>HYPERLINK("https://rmda.kulib.kyoto-u.ac.jp/item/rb00008886?page=97")</f>
        <v>https://rmda.kulib.kyoto-u.ac.jp/item/rb00008886?page=97</v>
      </c>
      <c r="AK2" s="54" t="s">
        <v>572</v>
      </c>
      <c r="AL2" s="36" t="s">
        <v>356</v>
      </c>
      <c r="AM2" s="29">
        <v>5</v>
      </c>
      <c r="AN2" s="38" t="str">
        <f>HYPERLINK("https://rmda.kulib.kyoto-u.ac.jp/item/rb00011986?page=5")</f>
        <v>https://rmda.kulib.kyoto-u.ac.jp/item/rb00011986?page=5</v>
      </c>
      <c r="AO2" s="67"/>
      <c r="AP2" s="36" t="s">
        <v>356</v>
      </c>
      <c r="AQ2" s="29">
        <v>40</v>
      </c>
      <c r="AR2" s="29" t="str">
        <f>HYPERLINK("https://www.digital.archives.go.jp/img/4218747/40")</f>
        <v>https://www.digital.archives.go.jp/img/4218747/40</v>
      </c>
      <c r="AS2" s="29">
        <v>6</v>
      </c>
      <c r="AT2" s="38" t="str">
        <f>HYPERLINK("https://www.digital.archives.go.jp/img/4218747/6")</f>
        <v>https://www.digital.archives.go.jp/img/4218747/6</v>
      </c>
      <c r="AU2" s="76">
        <v>219</v>
      </c>
      <c r="AV2" s="77" t="str">
        <f>HYPERLINK("https://dl.ndl.go.jp/ja/pid/12759449/1/219")</f>
        <v>https://dl.ndl.go.jp/ja/pid/12759449/1/219</v>
      </c>
    </row>
    <row r="3" spans="1:48" x14ac:dyDescent="0.15">
      <c r="A3" s="71" t="s">
        <v>357</v>
      </c>
      <c r="B3" s="29">
        <v>14</v>
      </c>
      <c r="C3" s="37" t="str">
        <f>HYPERLINK("https://www.digital.archives.go.jp/img/4218740/14")</f>
        <v>https://www.digital.archives.go.jp/img/4218740/14</v>
      </c>
      <c r="D3" s="43">
        <v>31</v>
      </c>
      <c r="E3" s="37" t="str">
        <f>HYPERLINK("https://kokusho.nijl.ac.jp/biblio/100317365/31")</f>
        <v>https://kokusho.nijl.ac.jp/biblio/100317365/31</v>
      </c>
      <c r="F3" s="43">
        <v>30</v>
      </c>
      <c r="G3" s="37" t="str">
        <f>HYPERLINK("https://kokusho.nijl.ac.jp/biblio/100317364/30")</f>
        <v>https://kokusho.nijl.ac.jp/biblio/100317364/30</v>
      </c>
      <c r="H3" s="43">
        <v>81</v>
      </c>
      <c r="I3" s="38" t="str">
        <f>HYPERLINK("https://kokusho.nijl.ac.jp/biblio/100382563/81")</f>
        <v>https://kokusho.nijl.ac.jp/biblio/100382563/81</v>
      </c>
      <c r="J3" s="43">
        <v>166</v>
      </c>
      <c r="K3" s="37" t="str">
        <f>HYPERLINK("https://rmda.kulib.kyoto-u.ac.jp/item/rb00004597?page=166")</f>
        <v>https://rmda.kulib.kyoto-u.ac.jp/item/rb00004597?page=166</v>
      </c>
      <c r="L3" s="43">
        <v>15</v>
      </c>
      <c r="M3" s="37" t="str">
        <f>HYPERLINK("https://rmda.kulib.kyoto-u.ac.jp/item/rb00004587?page=15")</f>
        <v>https://rmda.kulib.kyoto-u.ac.jp/item/rb00004587?page=15</v>
      </c>
      <c r="N3" s="36" t="s">
        <v>357</v>
      </c>
      <c r="O3" s="29">
        <v>12</v>
      </c>
      <c r="P3" s="37" t="str">
        <f>HYPERLINK("https://rmda.kulib.kyoto-u.ac.jp/item/rb00004585?page=12")</f>
        <v>https://rmda.kulib.kyoto-u.ac.jp/item/rb00004585?page=12</v>
      </c>
      <c r="Q3" s="50" t="s">
        <v>458</v>
      </c>
      <c r="R3" s="54" t="str">
        <f>HYPERLINK("https://rmda.kulib.kyoto-u.ac.jp/item/rb00004585?page=12")</f>
        <v>https://rmda.kulib.kyoto-u.ac.jp/item/rb00004585?page=12</v>
      </c>
      <c r="S3" s="36" t="s">
        <v>357</v>
      </c>
      <c r="T3" s="29" t="s">
        <v>510</v>
      </c>
      <c r="U3" s="37" t="str">
        <f t="shared" si="0"/>
        <v>https://archive.wul.waseda.ac.jp/kosho/ya09/ya09_00955/ya09_00955_0001/ya09_00955_0001.html</v>
      </c>
      <c r="V3" s="47" t="s">
        <v>357</v>
      </c>
      <c r="W3" s="29">
        <v>13</v>
      </c>
      <c r="X3" s="54" t="str">
        <f>HYPERLINK("https://rmda.kulib.kyoto-u.ac.jp/item/rb00004583?page=13")</f>
        <v>https://rmda.kulib.kyoto-u.ac.jp/item/rb00004583?page=13</v>
      </c>
      <c r="Y3" s="36" t="s">
        <v>357</v>
      </c>
      <c r="Z3" s="29">
        <v>11</v>
      </c>
      <c r="AA3" s="37" t="str">
        <f>HYPERLINK("https://rmda.kulib.kyoto-u.ac.jp/item/rb00004592?page=11")</f>
        <v>https://rmda.kulib.kyoto-u.ac.jp/item/rb00004592?page=11</v>
      </c>
      <c r="AB3" s="47" t="s">
        <v>357</v>
      </c>
      <c r="AC3" s="29">
        <v>12</v>
      </c>
      <c r="AD3" s="54" t="str">
        <f>HYPERLINK("https://rmda.kulib.kyoto-u.ac.jp/item/rb00004593?page=12")</f>
        <v>https://rmda.kulib.kyoto-u.ac.jp/item/rb00004593?page=12</v>
      </c>
      <c r="AE3" s="36" t="s">
        <v>357</v>
      </c>
      <c r="AF3" s="29">
        <v>6</v>
      </c>
      <c r="AG3" s="37" t="str">
        <f>HYPERLINK("https://rmda.kulib.kyoto-u.ac.jp/item/rb00008886?page=6")</f>
        <v>https://rmda.kulib.kyoto-u.ac.jp/item/rb00008886?page=6</v>
      </c>
      <c r="AH3" s="47" t="s">
        <v>357</v>
      </c>
      <c r="AI3" s="29">
        <v>99</v>
      </c>
      <c r="AJ3" s="27" t="str">
        <f>HYPERLINK("https://rmda.kulib.kyoto-u.ac.jp/item/rb00008886?page=99")</f>
        <v>https://rmda.kulib.kyoto-u.ac.jp/item/rb00008886?page=99</v>
      </c>
      <c r="AK3" s="54" t="s">
        <v>572</v>
      </c>
      <c r="AL3" s="36" t="s">
        <v>357</v>
      </c>
      <c r="AM3" s="29">
        <v>6</v>
      </c>
      <c r="AN3" s="38" t="str">
        <f>HYPERLINK("https://rmda.kulib.kyoto-u.ac.jp/item/rb00011986?page=6")</f>
        <v>https://rmda.kulib.kyoto-u.ac.jp/item/rb00011986?page=6</v>
      </c>
      <c r="AO3" s="67"/>
      <c r="AP3" s="36" t="s">
        <v>357</v>
      </c>
      <c r="AQ3" s="29">
        <v>46</v>
      </c>
      <c r="AR3" s="29" t="str">
        <f>HYPERLINK("https://www.digital.archives.go.jp/img/4218747/46")</f>
        <v>https://www.digital.archives.go.jp/img/4218747/46</v>
      </c>
      <c r="AS3" s="29">
        <v>16</v>
      </c>
      <c r="AT3" s="38" t="str">
        <f>HYPERLINK("https://www.digital.archives.go.jp/img/4218747/16")</f>
        <v>https://www.digital.archives.go.jp/img/4218747/16</v>
      </c>
      <c r="AU3" s="76">
        <v>220</v>
      </c>
      <c r="AV3" s="77" t="str">
        <f>HYPERLINK("https://dl.ndl.go.jp/ja/pid/12759449/1/220")</f>
        <v>https://dl.ndl.go.jp/ja/pid/12759449/1/220</v>
      </c>
    </row>
    <row r="4" spans="1:48" x14ac:dyDescent="0.15">
      <c r="A4" s="71" t="s">
        <v>358</v>
      </c>
      <c r="B4" s="29">
        <v>20</v>
      </c>
      <c r="C4" s="37" t="str">
        <f>HYPERLINK("https://www.digital.archives.go.jp/img/4218740/20")</f>
        <v>https://www.digital.archives.go.jp/img/4218740/20</v>
      </c>
      <c r="D4" s="43">
        <v>33</v>
      </c>
      <c r="E4" s="37" t="str">
        <f>HYPERLINK("https://kokusho.nijl.ac.jp/biblio/100317365/33")</f>
        <v>https://kokusho.nijl.ac.jp/biblio/100317365/33</v>
      </c>
      <c r="F4" s="43">
        <v>31</v>
      </c>
      <c r="G4" s="37" t="str">
        <f>HYPERLINK("https://kokusho.nijl.ac.jp/biblio/100317364/31")</f>
        <v>https://kokusho.nijl.ac.jp/biblio/100317364/31</v>
      </c>
      <c r="H4" s="43">
        <v>91</v>
      </c>
      <c r="I4" s="38" t="str">
        <f>HYPERLINK("https://kokusho.nijl.ac.jp/biblio/100382563/91")</f>
        <v>https://kokusho.nijl.ac.jp/biblio/100382563/91</v>
      </c>
      <c r="J4" s="43">
        <v>178</v>
      </c>
      <c r="K4" s="37" t="str">
        <f>HYPERLINK("https://rmda.kulib.kyoto-u.ac.jp/item/rb00004597?page=178")</f>
        <v>https://rmda.kulib.kyoto-u.ac.jp/item/rb00004597?page=178</v>
      </c>
      <c r="L4" s="43">
        <v>18</v>
      </c>
      <c r="M4" s="37" t="str">
        <f>HYPERLINK("https://rmda.kulib.kyoto-u.ac.jp/item/rb00004587?page=18")</f>
        <v>https://rmda.kulib.kyoto-u.ac.jp/item/rb00004587?page=18</v>
      </c>
      <c r="N4" s="36" t="s">
        <v>358</v>
      </c>
      <c r="O4" s="29">
        <v>13</v>
      </c>
      <c r="P4" s="37" t="str">
        <f>HYPERLINK("https://rmda.kulib.kyoto-u.ac.jp/item/rb00004585?page=13")</f>
        <v>https://rmda.kulib.kyoto-u.ac.jp/item/rb00004585?page=13</v>
      </c>
      <c r="Q4" s="50" t="s">
        <v>373</v>
      </c>
      <c r="R4" s="54" t="str">
        <f>HYPERLINK("https://rmda.kulib.kyoto-u.ac.jp/item/rb00004585?page=26")</f>
        <v>https://rmda.kulib.kyoto-u.ac.jp/item/rb00004585?page=26</v>
      </c>
      <c r="S4" s="36" t="s">
        <v>358</v>
      </c>
      <c r="T4" s="29" t="s">
        <v>511</v>
      </c>
      <c r="U4" s="37" t="str">
        <f t="shared" si="0"/>
        <v>https://archive.wul.waseda.ac.jp/kosho/ya09/ya09_00955/ya09_00955_0001/ya09_00955_0001.html</v>
      </c>
      <c r="V4" s="47" t="s">
        <v>358</v>
      </c>
      <c r="W4" s="29">
        <v>14</v>
      </c>
      <c r="X4" s="54" t="str">
        <f>HYPERLINK("https://rmda.kulib.kyoto-u.ac.jp/item/rb00004583?page=14")</f>
        <v>https://rmda.kulib.kyoto-u.ac.jp/item/rb00004583?page=14</v>
      </c>
      <c r="Y4" s="36" t="s">
        <v>358</v>
      </c>
      <c r="Z4" s="29">
        <v>12</v>
      </c>
      <c r="AA4" s="37" t="str">
        <f>HYPERLINK("https://rmda.kulib.kyoto-u.ac.jp/item/rb00004592?page=12")</f>
        <v>https://rmda.kulib.kyoto-u.ac.jp/item/rb00004592?page=12</v>
      </c>
      <c r="AB4" s="47" t="s">
        <v>358</v>
      </c>
      <c r="AC4" s="29">
        <v>14</v>
      </c>
      <c r="AD4" s="54" t="str">
        <f>HYPERLINK("https://rmda.kulib.kyoto-u.ac.jp/item/rb00004593?page=14")</f>
        <v>https://rmda.kulib.kyoto-u.ac.jp/item/rb00004593?page=14</v>
      </c>
      <c r="AE4" s="36" t="s">
        <v>358</v>
      </c>
      <c r="AF4" s="29">
        <v>6</v>
      </c>
      <c r="AG4" s="37" t="str">
        <f>HYPERLINK("https://rmda.kulib.kyoto-u.ac.jp/item/rb00008886?page=6")</f>
        <v>https://rmda.kulib.kyoto-u.ac.jp/item/rb00008886?page=6</v>
      </c>
      <c r="AH4" s="47" t="s">
        <v>358</v>
      </c>
      <c r="AI4" s="29">
        <v>99</v>
      </c>
      <c r="AJ4" s="27" t="str">
        <f>HYPERLINK("https://rmda.kulib.kyoto-u.ac.jp/item/rb00008886?page=99")</f>
        <v>https://rmda.kulib.kyoto-u.ac.jp/item/rb00008886?page=99</v>
      </c>
      <c r="AK4" s="54" t="s">
        <v>572</v>
      </c>
      <c r="AL4" s="36" t="s">
        <v>358</v>
      </c>
      <c r="AM4" s="29">
        <v>6</v>
      </c>
      <c r="AN4" s="38" t="str">
        <f>HYPERLINK("https://rmda.kulib.kyoto-u.ac.jp/item/rb00011986?page=6")</f>
        <v>https://rmda.kulib.kyoto-u.ac.jp/item/rb00011986?page=6</v>
      </c>
      <c r="AO4" s="67"/>
      <c r="AP4" s="36" t="s">
        <v>358</v>
      </c>
      <c r="AQ4" s="29">
        <v>49</v>
      </c>
      <c r="AR4" s="29" t="str">
        <f>HYPERLINK("https://www.digital.archives.go.jp/img/4218747/49")</f>
        <v>https://www.digital.archives.go.jp/img/4218747/49</v>
      </c>
      <c r="AS4" s="29">
        <v>21</v>
      </c>
      <c r="AT4" s="38" t="str">
        <f>HYPERLINK("https://www.digital.archives.go.jp/img/4218747/21")</f>
        <v>https://www.digital.archives.go.jp/img/4218747/21</v>
      </c>
      <c r="AU4" s="76">
        <v>221</v>
      </c>
      <c r="AV4" s="77" t="str">
        <f>HYPERLINK("https://dl.ndl.go.jp/ja/pid/12759449/1/221")</f>
        <v>https://dl.ndl.go.jp/ja/pid/12759449/1/221</v>
      </c>
    </row>
    <row r="5" spans="1:48" x14ac:dyDescent="0.15">
      <c r="A5" s="71" t="s">
        <v>359</v>
      </c>
      <c r="B5" s="29">
        <v>23</v>
      </c>
      <c r="C5" s="37" t="str">
        <f>HYPERLINK("https://www.digital.archives.go.jp/img/4218740/23")</f>
        <v>https://www.digital.archives.go.jp/img/4218740/23</v>
      </c>
      <c r="D5" s="43">
        <v>36</v>
      </c>
      <c r="E5" s="37" t="str">
        <f>HYPERLINK("https://kokusho.nijl.ac.jp/biblio/100317365/36")</f>
        <v>https://kokusho.nijl.ac.jp/biblio/100317365/36</v>
      </c>
      <c r="F5" s="43">
        <v>33</v>
      </c>
      <c r="G5" s="37" t="str">
        <f>HYPERLINK("https://kokusho.nijl.ac.jp/biblio/100317364/33")</f>
        <v>https://kokusho.nijl.ac.jp/biblio/100317364/33</v>
      </c>
      <c r="H5" s="43">
        <v>97</v>
      </c>
      <c r="I5" s="38" t="str">
        <f>HYPERLINK("https://kokusho.nijl.ac.jp/biblio/100382563/97")</f>
        <v>https://kokusho.nijl.ac.jp/biblio/100382563/97</v>
      </c>
      <c r="J5" s="43">
        <v>202</v>
      </c>
      <c r="K5" s="37" t="str">
        <f>HYPERLINK("https://rmda.kulib.kyoto-u.ac.jp/item/rb00004597?page=202")</f>
        <v>https://rmda.kulib.kyoto-u.ac.jp/item/rb00004597?page=202</v>
      </c>
      <c r="L5" s="43">
        <v>21</v>
      </c>
      <c r="M5" s="37" t="str">
        <f>HYPERLINK("https://rmda.kulib.kyoto-u.ac.jp/item/rb00004587?page=21")</f>
        <v>https://rmda.kulib.kyoto-u.ac.jp/item/rb00004587?page=21</v>
      </c>
      <c r="N5" s="36" t="s">
        <v>359</v>
      </c>
      <c r="O5" s="29">
        <v>15</v>
      </c>
      <c r="P5" s="37" t="str">
        <f>HYPERLINK("https://rmda.kulib.kyoto-u.ac.jp/item/rb00004585?page=15")</f>
        <v>https://rmda.kulib.kyoto-u.ac.jp/item/rb00004585?page=15</v>
      </c>
      <c r="Q5" s="51" t="s">
        <v>371</v>
      </c>
      <c r="R5" s="54" t="str">
        <f>HYPERLINK("https://rmda.kulib.kyoto-u.ac.jp/item/rb00004585?page=17")</f>
        <v>https://rmda.kulib.kyoto-u.ac.jp/item/rb00004585?page=17</v>
      </c>
      <c r="S5" s="36" t="s">
        <v>359</v>
      </c>
      <c r="T5" s="29" t="s">
        <v>512</v>
      </c>
      <c r="U5" s="37" t="str">
        <f t="shared" si="0"/>
        <v>https://archive.wul.waseda.ac.jp/kosho/ya09/ya09_00955/ya09_00955_0001/ya09_00955_0001.html</v>
      </c>
      <c r="V5" s="47" t="s">
        <v>359</v>
      </c>
      <c r="W5" s="29">
        <v>15</v>
      </c>
      <c r="X5" s="54" t="str">
        <f>HYPERLINK("https://rmda.kulib.kyoto-u.ac.jp/item/rb00004583?page=15")</f>
        <v>https://rmda.kulib.kyoto-u.ac.jp/item/rb00004583?page=15</v>
      </c>
      <c r="Y5" s="36" t="s">
        <v>359</v>
      </c>
      <c r="Z5" s="29">
        <v>14</v>
      </c>
      <c r="AA5" s="37" t="str">
        <f>HYPERLINK("https://rmda.kulib.kyoto-u.ac.jp/item/rb00004592?page=14")</f>
        <v>https://rmda.kulib.kyoto-u.ac.jp/item/rb00004592?page=14</v>
      </c>
      <c r="AB5" s="47" t="s">
        <v>359</v>
      </c>
      <c r="AC5" s="29">
        <v>15</v>
      </c>
      <c r="AD5" s="54" t="str">
        <f>HYPERLINK("https://rmda.kulib.kyoto-u.ac.jp/item/rb00004593?page=15")</f>
        <v>https://rmda.kulib.kyoto-u.ac.jp/item/rb00004593?page=15</v>
      </c>
      <c r="AE5" s="36" t="s">
        <v>359</v>
      </c>
      <c r="AF5" s="29">
        <v>7</v>
      </c>
      <c r="AG5" s="37" t="str">
        <f>HYPERLINK("https://rmda.kulib.kyoto-u.ac.jp/item/rb00008886?page=7")</f>
        <v>https://rmda.kulib.kyoto-u.ac.jp/item/rb00008886?page=7</v>
      </c>
      <c r="AH5" s="47" t="s">
        <v>359</v>
      </c>
      <c r="AI5" s="29">
        <v>100</v>
      </c>
      <c r="AJ5" s="27" t="str">
        <f>HYPERLINK("https://rmda.kulib.kyoto-u.ac.jp/item/rb00008886?page=100")</f>
        <v>https://rmda.kulib.kyoto-u.ac.jp/item/rb00008886?page=100</v>
      </c>
      <c r="AK5" s="54" t="s">
        <v>572</v>
      </c>
      <c r="AL5" s="36" t="s">
        <v>359</v>
      </c>
      <c r="AM5" s="29">
        <v>7</v>
      </c>
      <c r="AN5" s="38" t="str">
        <f>HYPERLINK("https://rmda.kulib.kyoto-u.ac.jp/item/rb00011986?page=7")</f>
        <v>https://rmda.kulib.kyoto-u.ac.jp/item/rb00011986?page=7</v>
      </c>
      <c r="AO5" s="67"/>
      <c r="AP5" s="36" t="s">
        <v>359</v>
      </c>
      <c r="AQ5" s="29">
        <v>56</v>
      </c>
      <c r="AR5" s="29" t="str">
        <f>HYPERLINK("https://www.digital.archives.go.jp/img/4218747/56")</f>
        <v>https://www.digital.archives.go.jp/img/4218747/56</v>
      </c>
      <c r="AS5" s="29"/>
      <c r="AT5" s="37" t="s">
        <v>565</v>
      </c>
      <c r="AU5" s="76">
        <v>222</v>
      </c>
      <c r="AV5" s="77" t="str">
        <f>HYPERLINK("https://dl.ndl.go.jp/ja/pid/12759449/1/222")</f>
        <v>https://dl.ndl.go.jp/ja/pid/12759449/1/222</v>
      </c>
    </row>
    <row r="6" spans="1:48" x14ac:dyDescent="0.15">
      <c r="A6" s="71" t="s">
        <v>360</v>
      </c>
      <c r="B6" s="29">
        <v>26</v>
      </c>
      <c r="C6" s="37" t="str">
        <f>HYPERLINK("https://www.digital.archives.go.jp/img/4218740/26")</f>
        <v>https://www.digital.archives.go.jp/img/4218740/26</v>
      </c>
      <c r="D6" s="43">
        <v>37</v>
      </c>
      <c r="E6" s="37" t="str">
        <f>HYPERLINK("https://kokusho.nijl.ac.jp/biblio/100317365/37")</f>
        <v>https://kokusho.nijl.ac.jp/biblio/100317365/37</v>
      </c>
      <c r="F6" s="43">
        <v>34</v>
      </c>
      <c r="G6" s="37" t="str">
        <f>HYPERLINK("https://kokusho.nijl.ac.jp/biblio/100317364/34")</f>
        <v>https://kokusho.nijl.ac.jp/biblio/100317364/34</v>
      </c>
      <c r="H6" s="43">
        <v>101</v>
      </c>
      <c r="I6" s="38" t="str">
        <f>HYPERLINK("https://kokusho.nijl.ac.jp/biblio/100382563/101")</f>
        <v>https://kokusho.nijl.ac.jp/biblio/100382563/101</v>
      </c>
      <c r="J6" s="43">
        <v>222</v>
      </c>
      <c r="K6" s="37" t="str">
        <f>HYPERLINK("https://rmda.kulib.kyoto-u.ac.jp/item/rb00004597?page=222")</f>
        <v>https://rmda.kulib.kyoto-u.ac.jp/item/rb00004597?page=222</v>
      </c>
      <c r="L6" s="43">
        <v>23</v>
      </c>
      <c r="M6" s="37" t="str">
        <f>HYPERLINK("https://rmda.kulib.kyoto-u.ac.jp/item/rb00004587?page=23")</f>
        <v>https://rmda.kulib.kyoto-u.ac.jp/item/rb00004587?page=23</v>
      </c>
      <c r="N6" s="36" t="s">
        <v>360</v>
      </c>
      <c r="O6" s="29">
        <v>17</v>
      </c>
      <c r="P6" s="37" t="str">
        <f>HYPERLINK("https://rmda.kulib.kyoto-u.ac.jp/item/rb00004585?page=17")</f>
        <v>https://rmda.kulib.kyoto-u.ac.jp/item/rb00004585?page=17</v>
      </c>
      <c r="Q6" s="50" t="s">
        <v>459</v>
      </c>
      <c r="R6" s="54" t="str">
        <f>HYPERLINK("https://rmda.kulib.kyoto-u.ac.jp/item/rb00004585?page=20")</f>
        <v>https://rmda.kulib.kyoto-u.ac.jp/item/rb00004585?page=20</v>
      </c>
      <c r="S6" s="36" t="s">
        <v>360</v>
      </c>
      <c r="T6" s="29" t="s">
        <v>513</v>
      </c>
      <c r="U6" s="37" t="str">
        <f t="shared" si="0"/>
        <v>https://archive.wul.waseda.ac.jp/kosho/ya09/ya09_00955/ya09_00955_0001/ya09_00955_0001.html</v>
      </c>
      <c r="V6" s="47" t="s">
        <v>360</v>
      </c>
      <c r="W6" s="29">
        <v>16</v>
      </c>
      <c r="X6" s="54" t="str">
        <f>HYPERLINK("https://rmda.kulib.kyoto-u.ac.jp/item/rb00004583?page=16")</f>
        <v>https://rmda.kulib.kyoto-u.ac.jp/item/rb00004583?page=16</v>
      </c>
      <c r="Y6" s="36" t="s">
        <v>360</v>
      </c>
      <c r="Z6" s="29">
        <v>17</v>
      </c>
      <c r="AA6" s="37" t="str">
        <f>HYPERLINK("https://rmda.kulib.kyoto-u.ac.jp/item/rb00004592?page=17")</f>
        <v>https://rmda.kulib.kyoto-u.ac.jp/item/rb00004592?page=17</v>
      </c>
      <c r="AB6" s="47" t="s">
        <v>360</v>
      </c>
      <c r="AC6" s="29">
        <v>18</v>
      </c>
      <c r="AD6" s="54" t="str">
        <f>HYPERLINK("https://rmda.kulib.kyoto-u.ac.jp/item/rb00004593?page=18")</f>
        <v>https://rmda.kulib.kyoto-u.ac.jp/item/rb00004593?page=18</v>
      </c>
      <c r="AE6" s="36" t="s">
        <v>360</v>
      </c>
      <c r="AF6" s="29">
        <v>9</v>
      </c>
      <c r="AG6" s="37" t="str">
        <f>HYPERLINK("https://rmda.kulib.kyoto-u.ac.jp/item/rb00008886?page=9")</f>
        <v>https://rmda.kulib.kyoto-u.ac.jp/item/rb00008886?page=9</v>
      </c>
      <c r="AH6" s="47" t="s">
        <v>360</v>
      </c>
      <c r="AI6" s="29">
        <v>100</v>
      </c>
      <c r="AJ6" s="27" t="str">
        <f>HYPERLINK("https://rmda.kulib.kyoto-u.ac.jp/item/rb00008886?page=100")</f>
        <v>https://rmda.kulib.kyoto-u.ac.jp/item/rb00008886?page=100</v>
      </c>
      <c r="AK6" s="54" t="s">
        <v>572</v>
      </c>
      <c r="AL6" s="36" t="s">
        <v>360</v>
      </c>
      <c r="AM6" s="29">
        <v>7</v>
      </c>
      <c r="AN6" s="38" t="str">
        <f>HYPERLINK("https://rmda.kulib.kyoto-u.ac.jp/item/rb00011986?page=7")</f>
        <v>https://rmda.kulib.kyoto-u.ac.jp/item/rb00011986?page=7</v>
      </c>
      <c r="AO6" s="67"/>
      <c r="AP6" s="36" t="s">
        <v>360</v>
      </c>
      <c r="AQ6" s="29">
        <v>66</v>
      </c>
      <c r="AR6" s="29" t="str">
        <f>HYPERLINK("https://www.digital.archives.go.jp/img/4218747/66")</f>
        <v>https://www.digital.archives.go.jp/img/4218747/66</v>
      </c>
      <c r="AS6" s="29"/>
      <c r="AT6" s="37" t="s">
        <v>565</v>
      </c>
      <c r="AU6" s="76">
        <v>224</v>
      </c>
      <c r="AV6" s="77" t="str">
        <f>HYPERLINK("https://dl.ndl.go.jp/ja/pid/12759449/1/224")</f>
        <v>https://dl.ndl.go.jp/ja/pid/12759449/1/224</v>
      </c>
    </row>
    <row r="7" spans="1:48" x14ac:dyDescent="0.15">
      <c r="A7" s="71" t="s">
        <v>361</v>
      </c>
      <c r="B7" s="29">
        <v>27</v>
      </c>
      <c r="C7" s="37" t="str">
        <f>HYPERLINK("https://www.digital.archives.go.jp/img/4218740/27")</f>
        <v>https://www.digital.archives.go.jp/img/4218740/27</v>
      </c>
      <c r="D7" s="43">
        <v>38</v>
      </c>
      <c r="E7" s="37" t="str">
        <f>HYPERLINK("https://kokusho.nijl.ac.jp/biblio/100317365/38")</f>
        <v>https://kokusho.nijl.ac.jp/biblio/100317365/38</v>
      </c>
      <c r="F7" s="43" t="s">
        <v>508</v>
      </c>
      <c r="G7" s="37" t="s">
        <v>508</v>
      </c>
      <c r="H7" s="43">
        <v>104</v>
      </c>
      <c r="I7" s="38" t="str">
        <f>HYPERLINK("https://kokusho.nijl.ac.jp/biblio/100382563/104")</f>
        <v>https://kokusho.nijl.ac.jp/biblio/100382563/104</v>
      </c>
      <c r="J7" s="43">
        <v>228</v>
      </c>
      <c r="K7" s="37" t="str">
        <f>HYPERLINK("https://rmda.kulib.kyoto-u.ac.jp/item/rb00004597?page=228")</f>
        <v>https://rmda.kulib.kyoto-u.ac.jp/item/rb00004597?page=228</v>
      </c>
      <c r="L7" s="43">
        <v>24</v>
      </c>
      <c r="M7" s="37" t="str">
        <f>HYPERLINK("https://rmda.kulib.kyoto-u.ac.jp/item/rb00004587?page=24")</f>
        <v>https://rmda.kulib.kyoto-u.ac.jp/item/rb00004587?page=24</v>
      </c>
      <c r="N7" s="36" t="s">
        <v>361</v>
      </c>
      <c r="O7" s="29">
        <v>19</v>
      </c>
      <c r="P7" s="37" t="str">
        <f>HYPERLINK("https://rmda.kulib.kyoto-u.ac.jp/item/rb00004585?page=19")</f>
        <v>https://rmda.kulib.kyoto-u.ac.jp/item/rb00004585?page=19</v>
      </c>
      <c r="Q7" s="50" t="s">
        <v>460</v>
      </c>
      <c r="R7" s="54" t="str">
        <f>HYPERLINK("https://rmda.kulib.kyoto-u.ac.jp/item/rb00004585?page=19")</f>
        <v>https://rmda.kulib.kyoto-u.ac.jp/item/rb00004585?page=19</v>
      </c>
      <c r="S7" s="36" t="s">
        <v>361</v>
      </c>
      <c r="T7" s="29" t="s">
        <v>514</v>
      </c>
      <c r="U7" s="37" t="str">
        <f t="shared" si="0"/>
        <v>https://archive.wul.waseda.ac.jp/kosho/ya09/ya09_00955/ya09_00955_0001/ya09_00955_0001.html</v>
      </c>
      <c r="V7" s="47" t="s">
        <v>361</v>
      </c>
      <c r="W7" s="29">
        <v>16</v>
      </c>
      <c r="X7" s="54" t="str">
        <f>HYPERLINK("https://rmda.kulib.kyoto-u.ac.jp/item/rb00004583?page=16")</f>
        <v>https://rmda.kulib.kyoto-u.ac.jp/item/rb00004583?page=16</v>
      </c>
      <c r="Y7" s="36" t="s">
        <v>361</v>
      </c>
      <c r="Z7" s="29">
        <v>18</v>
      </c>
      <c r="AA7" s="37" t="str">
        <f>HYPERLINK("https://rmda.kulib.kyoto-u.ac.jp/item/rb00004592?page=18")</f>
        <v>https://rmda.kulib.kyoto-u.ac.jp/item/rb00004592?page=18</v>
      </c>
      <c r="AB7" s="47" t="s">
        <v>361</v>
      </c>
      <c r="AC7" s="29">
        <v>19</v>
      </c>
      <c r="AD7" s="54" t="str">
        <f>HYPERLINK("https://rmda.kulib.kyoto-u.ac.jp/item/rb00004593?page=19")</f>
        <v>https://rmda.kulib.kyoto-u.ac.jp/item/rb00004593?page=19</v>
      </c>
      <c r="AE7" s="36" t="s">
        <v>361</v>
      </c>
      <c r="AF7" s="29">
        <v>10</v>
      </c>
      <c r="AG7" s="37" t="str">
        <f>HYPERLINK("https://rmda.kulib.kyoto-u.ac.jp/item/rb00008886?page=10")</f>
        <v>https://rmda.kulib.kyoto-u.ac.jp/item/rb00008886?page=10</v>
      </c>
      <c r="AH7" s="47" t="s">
        <v>361</v>
      </c>
      <c r="AI7" s="29"/>
      <c r="AJ7" s="29"/>
      <c r="AK7" s="54"/>
      <c r="AL7" s="36" t="s">
        <v>361</v>
      </c>
      <c r="AM7" s="29"/>
      <c r="AN7" s="37"/>
      <c r="AO7" s="67"/>
      <c r="AP7" s="36" t="s">
        <v>361</v>
      </c>
      <c r="AQ7" s="29">
        <v>68</v>
      </c>
      <c r="AR7" s="29" t="str">
        <f>HYPERLINK("https://www.digital.archives.go.jp/img/4218747/68")</f>
        <v>https://www.digital.archives.go.jp/img/4218747/68</v>
      </c>
      <c r="AS7" s="29"/>
      <c r="AT7" s="37" t="s">
        <v>565</v>
      </c>
      <c r="AU7" s="76">
        <v>224</v>
      </c>
      <c r="AV7" s="77" t="str">
        <f>HYPERLINK("https://dl.ndl.go.jp/ja/pid/12759449/1/224")</f>
        <v>https://dl.ndl.go.jp/ja/pid/12759449/1/224</v>
      </c>
    </row>
    <row r="8" spans="1:48" x14ac:dyDescent="0.15">
      <c r="A8" s="71" t="s">
        <v>362</v>
      </c>
      <c r="B8" s="29">
        <v>28</v>
      </c>
      <c r="C8" s="37" t="str">
        <f>HYPERLINK("https://www.digital.archives.go.jp/img/4218740/28")</f>
        <v>https://www.digital.archives.go.jp/img/4218740/28</v>
      </c>
      <c r="D8" s="43">
        <v>39</v>
      </c>
      <c r="E8" s="37" t="str">
        <f>HYPERLINK("https://kokusho.nijl.ac.jp/biblio/100317365/39")</f>
        <v>https://kokusho.nijl.ac.jp/biblio/100317365/39</v>
      </c>
      <c r="F8" s="43" t="s">
        <v>508</v>
      </c>
      <c r="G8" s="37" t="s">
        <v>508</v>
      </c>
      <c r="H8" s="43">
        <v>105</v>
      </c>
      <c r="I8" s="38" t="str">
        <f>HYPERLINK("https://kokusho.nijl.ac.jp/biblio/100382563/105")</f>
        <v>https://kokusho.nijl.ac.jp/biblio/100382563/105</v>
      </c>
      <c r="J8" s="43">
        <v>232</v>
      </c>
      <c r="K8" s="37" t="str">
        <f>HYPERLINK("https://rmda.kulib.kyoto-u.ac.jp/item/rb00004597?page=232")</f>
        <v>https://rmda.kulib.kyoto-u.ac.jp/item/rb00004597?page=232</v>
      </c>
      <c r="L8" s="43">
        <v>24</v>
      </c>
      <c r="M8" s="37" t="str">
        <f>HYPERLINK("https://rmda.kulib.kyoto-u.ac.jp/item/rb00004587?page=24")</f>
        <v>https://rmda.kulib.kyoto-u.ac.jp/item/rb00004587?page=24</v>
      </c>
      <c r="N8" s="36" t="s">
        <v>362</v>
      </c>
      <c r="O8" s="29">
        <v>19</v>
      </c>
      <c r="P8" s="37" t="str">
        <f>HYPERLINK("https://rmda.kulib.kyoto-u.ac.jp/item/rb00004585?page=19")</f>
        <v>https://rmda.kulib.kyoto-u.ac.jp/item/rb00004585?page=19</v>
      </c>
      <c r="Q8" s="50" t="s">
        <v>461</v>
      </c>
      <c r="R8" s="54" t="str">
        <f>HYPERLINK("https://rmda.kulib.kyoto-u.ac.jp/item/rb00004585?page=21")</f>
        <v>https://rmda.kulib.kyoto-u.ac.jp/item/rb00004585?page=21</v>
      </c>
      <c r="S8" s="36" t="s">
        <v>362</v>
      </c>
      <c r="T8" s="29" t="s">
        <v>515</v>
      </c>
      <c r="U8" s="37" t="str">
        <f t="shared" si="0"/>
        <v>https://archive.wul.waseda.ac.jp/kosho/ya09/ya09_00955/ya09_00955_0001/ya09_00955_0001.html</v>
      </c>
      <c r="V8" s="47" t="s">
        <v>362</v>
      </c>
      <c r="W8" s="29">
        <v>17</v>
      </c>
      <c r="X8" s="54" t="str">
        <f>HYPERLINK("https://rmda.kulib.kyoto-u.ac.jp/item/rb00004583?page=17")</f>
        <v>https://rmda.kulib.kyoto-u.ac.jp/item/rb00004583?page=17</v>
      </c>
      <c r="Y8" s="36" t="s">
        <v>362</v>
      </c>
      <c r="Z8" s="29">
        <v>19</v>
      </c>
      <c r="AA8" s="37" t="str">
        <f>HYPERLINK("https://rmda.kulib.kyoto-u.ac.jp/item/rb00004592?page=19")</f>
        <v>https://rmda.kulib.kyoto-u.ac.jp/item/rb00004592?page=19</v>
      </c>
      <c r="AB8" s="47" t="s">
        <v>362</v>
      </c>
      <c r="AC8" s="29">
        <v>20</v>
      </c>
      <c r="AD8" s="54" t="str">
        <f>HYPERLINK("https://rmda.kulib.kyoto-u.ac.jp/item/rb00004593?page=20")</f>
        <v>https://rmda.kulib.kyoto-u.ac.jp/item/rb00004593?page=20</v>
      </c>
      <c r="AE8" s="36" t="s">
        <v>362</v>
      </c>
      <c r="AF8" s="29">
        <v>10</v>
      </c>
      <c r="AG8" s="37" t="str">
        <f>HYPERLINK("https://rmda.kulib.kyoto-u.ac.jp/item/rb00008886?page=10")</f>
        <v>https://rmda.kulib.kyoto-u.ac.jp/item/rb00008886?page=10</v>
      </c>
      <c r="AH8" s="47" t="s">
        <v>362</v>
      </c>
      <c r="AI8" s="29">
        <v>100</v>
      </c>
      <c r="AJ8" s="27" t="str">
        <f>HYPERLINK("https://rmda.kulib.kyoto-u.ac.jp/item/rb00008886?page=100")</f>
        <v>https://rmda.kulib.kyoto-u.ac.jp/item/rb00008886?page=100</v>
      </c>
      <c r="AK8" s="54" t="s">
        <v>572</v>
      </c>
      <c r="AL8" s="36" t="s">
        <v>362</v>
      </c>
      <c r="AM8" s="29">
        <v>7</v>
      </c>
      <c r="AN8" s="38" t="str">
        <f>HYPERLINK("https://rmda.kulib.kyoto-u.ac.jp/item/rb00011986?page=7")</f>
        <v>https://rmda.kulib.kyoto-u.ac.jp/item/rb00011986?page=7</v>
      </c>
      <c r="AO8" s="67"/>
      <c r="AP8" s="36" t="s">
        <v>362</v>
      </c>
      <c r="AQ8" s="29">
        <v>71</v>
      </c>
      <c r="AR8" s="29" t="str">
        <f>HYPERLINK("https://www.digital.archives.go.jp/img/4218747/71")</f>
        <v>https://www.digital.archives.go.jp/img/4218747/71</v>
      </c>
      <c r="AS8" s="29"/>
      <c r="AT8" s="37" t="s">
        <v>565</v>
      </c>
      <c r="AU8" s="76">
        <v>225</v>
      </c>
      <c r="AV8" s="77" t="str">
        <f>HYPERLINK("https://dl.ndl.go.jp/ja/pid/12759449/1/225")</f>
        <v>https://dl.ndl.go.jp/ja/pid/12759449/1/225</v>
      </c>
    </row>
    <row r="9" spans="1:48" x14ac:dyDescent="0.15">
      <c r="A9" s="71" t="s">
        <v>363</v>
      </c>
      <c r="B9" s="29">
        <v>29</v>
      </c>
      <c r="C9" s="37" t="str">
        <f>HYPERLINK("https://www.digital.archives.go.jp/img/4218740/29")</f>
        <v>https://www.digital.archives.go.jp/img/4218740/29</v>
      </c>
      <c r="D9" s="43">
        <v>41</v>
      </c>
      <c r="E9" s="37" t="str">
        <f>HYPERLINK("https://kokusho.nijl.ac.jp/biblio/100317365/41")</f>
        <v>https://kokusho.nijl.ac.jp/biblio/100317365/41</v>
      </c>
      <c r="F9" s="43">
        <v>36</v>
      </c>
      <c r="G9" s="37" t="str">
        <f>HYPERLINK("https://kokusho.nijl.ac.jp/biblio/100317364/36")</f>
        <v>https://kokusho.nijl.ac.jp/biblio/100317364/36</v>
      </c>
      <c r="H9" s="43">
        <v>114</v>
      </c>
      <c r="I9" s="38" t="str">
        <f>HYPERLINK("https://kokusho.nijl.ac.jp/biblio/100382563/114")</f>
        <v>https://kokusho.nijl.ac.jp/biblio/100382563/114</v>
      </c>
      <c r="J9" s="43">
        <v>254</v>
      </c>
      <c r="K9" s="37" t="str">
        <f>HYPERLINK("https://rmda.kulib.kyoto-u.ac.jp/item/rb00004597?page=254")</f>
        <v>https://rmda.kulib.kyoto-u.ac.jp/item/rb00004597?page=254</v>
      </c>
      <c r="L9" s="43">
        <v>25</v>
      </c>
      <c r="M9" s="37" t="str">
        <f>HYPERLINK("https://rmda.kulib.kyoto-u.ac.jp/item/rb00004587?page=25")</f>
        <v>https://rmda.kulib.kyoto-u.ac.jp/item/rb00004587?page=25</v>
      </c>
      <c r="N9" s="36" t="s">
        <v>363</v>
      </c>
      <c r="O9" s="29">
        <v>20</v>
      </c>
      <c r="P9" s="37" t="str">
        <f>HYPERLINK("https://rmda.kulib.kyoto-u.ac.jp/item/rb00004585?page=20")</f>
        <v>https://rmda.kulib.kyoto-u.ac.jp/item/rb00004585?page=20</v>
      </c>
      <c r="Q9" s="50" t="s">
        <v>462</v>
      </c>
      <c r="R9" s="54" t="str">
        <f>HYPERLINK("https://rmda.kulib.kyoto-u.ac.jp/item/rb00004585?page=44")</f>
        <v>https://rmda.kulib.kyoto-u.ac.jp/item/rb00004585?page=44</v>
      </c>
      <c r="S9" s="36" t="s">
        <v>363</v>
      </c>
      <c r="T9" s="29" t="s">
        <v>516</v>
      </c>
      <c r="U9" s="37" t="str">
        <f t="shared" si="0"/>
        <v>https://archive.wul.waseda.ac.jp/kosho/ya09/ya09_00955/ya09_00955_0001/ya09_00955_0001.html</v>
      </c>
      <c r="V9" s="47" t="s">
        <v>363</v>
      </c>
      <c r="W9" s="29">
        <v>18</v>
      </c>
      <c r="X9" s="54" t="str">
        <f>HYPERLINK("https://rmda.kulib.kyoto-u.ac.jp/item/rb00004583?page=18")</f>
        <v>https://rmda.kulib.kyoto-u.ac.jp/item/rb00004583?page=18</v>
      </c>
      <c r="Y9" s="36" t="s">
        <v>363</v>
      </c>
      <c r="Z9" s="29">
        <v>21</v>
      </c>
      <c r="AA9" s="37" t="str">
        <f>HYPERLINK("https://rmda.kulib.kyoto-u.ac.jp/item/rb00004592?page=21")</f>
        <v>https://rmda.kulib.kyoto-u.ac.jp/item/rb00004592?page=21</v>
      </c>
      <c r="AB9" s="47" t="s">
        <v>363</v>
      </c>
      <c r="AC9" s="29">
        <v>22</v>
      </c>
      <c r="AD9" s="54" t="str">
        <f>HYPERLINK("https://rmda.kulib.kyoto-u.ac.jp/item/rb00004593?page=22")</f>
        <v>https://rmda.kulib.kyoto-u.ac.jp/item/rb00004593?page=22</v>
      </c>
      <c r="AE9" s="36" t="s">
        <v>363</v>
      </c>
      <c r="AF9" s="29">
        <v>11</v>
      </c>
      <c r="AG9" s="37" t="str">
        <f>HYPERLINK("https://rmda.kulib.kyoto-u.ac.jp/item/rb00008886?page=11")</f>
        <v>https://rmda.kulib.kyoto-u.ac.jp/item/rb00008886?page=11</v>
      </c>
      <c r="AH9" s="47" t="s">
        <v>363</v>
      </c>
      <c r="AI9" s="29"/>
      <c r="AJ9" s="29"/>
      <c r="AK9" s="54" t="s">
        <v>572</v>
      </c>
      <c r="AL9" s="36" t="s">
        <v>363</v>
      </c>
      <c r="AM9" s="29"/>
      <c r="AN9" s="37"/>
      <c r="AO9" s="67"/>
      <c r="AP9" s="36" t="s">
        <v>363</v>
      </c>
      <c r="AQ9" s="29">
        <v>3</v>
      </c>
      <c r="AR9" s="27" t="str">
        <f>HYPERLINK("https://www.digital.archives.go.jp/img/4218748/3")</f>
        <v>https://www.digital.archives.go.jp/img/4218748/3</v>
      </c>
      <c r="AS9" s="29"/>
      <c r="AT9" s="37" t="s">
        <v>565</v>
      </c>
      <c r="AU9" s="76">
        <v>225</v>
      </c>
      <c r="AV9" s="77" t="str">
        <f>HYPERLINK("https://dl.ndl.go.jp/ja/pid/12759449/1/225")</f>
        <v>https://dl.ndl.go.jp/ja/pid/12759449/1/225</v>
      </c>
    </row>
    <row r="10" spans="1:48" x14ac:dyDescent="0.15">
      <c r="A10" s="71" t="s">
        <v>364</v>
      </c>
      <c r="B10" s="29">
        <v>31</v>
      </c>
      <c r="C10" s="37" t="str">
        <f>HYPERLINK("https://www.digital.archives.go.jp/img/4218740/31")</f>
        <v>https://www.digital.archives.go.jp/img/4218740/31</v>
      </c>
      <c r="D10" s="43">
        <v>42</v>
      </c>
      <c r="E10" s="37" t="str">
        <f>HYPERLINK("https://kokusho.nijl.ac.jp/biblio/100317365/42")</f>
        <v>https://kokusho.nijl.ac.jp/biblio/100317365/42</v>
      </c>
      <c r="F10" s="43">
        <v>36</v>
      </c>
      <c r="G10" s="37" t="str">
        <f>HYPERLINK("https://kokusho.nijl.ac.jp/biblio/100317364/36")</f>
        <v>https://kokusho.nijl.ac.jp/biblio/100317364/36</v>
      </c>
      <c r="H10" s="43">
        <v>117</v>
      </c>
      <c r="I10" s="38" t="str">
        <f>HYPERLINK("https://kokusho.nijl.ac.jp/biblio/100382563/117")</f>
        <v>https://kokusho.nijl.ac.jp/biblio/100382563/117</v>
      </c>
      <c r="J10" s="43">
        <v>260</v>
      </c>
      <c r="K10" s="37" t="str">
        <f>HYPERLINK("https://rmda.kulib.kyoto-u.ac.jp/item/rb00004597?page=260")</f>
        <v>https://rmda.kulib.kyoto-u.ac.jp/item/rb00004597?page=260</v>
      </c>
      <c r="L10" s="43">
        <v>27</v>
      </c>
      <c r="M10" s="37" t="str">
        <f>HYPERLINK("https://rmda.kulib.kyoto-u.ac.jp/item/rb00004587?page=27")</f>
        <v>https://rmda.kulib.kyoto-u.ac.jp/item/rb00004587?page=27</v>
      </c>
      <c r="N10" s="36" t="s">
        <v>364</v>
      </c>
      <c r="O10" s="29">
        <v>21</v>
      </c>
      <c r="P10" s="37" t="str">
        <f>HYPERLINK("https://rmda.kulib.kyoto-u.ac.jp/item/rb00004585?page=21")</f>
        <v>https://rmda.kulib.kyoto-u.ac.jp/item/rb00004585?page=21</v>
      </c>
      <c r="Q10" s="50" t="s">
        <v>463</v>
      </c>
      <c r="R10" s="54" t="str">
        <f>HYPERLINK("https://rmda.kulib.kyoto-u.ac.jp/item/rb00004585?page=19")</f>
        <v>https://rmda.kulib.kyoto-u.ac.jp/item/rb00004585?page=19</v>
      </c>
      <c r="S10" s="36" t="s">
        <v>364</v>
      </c>
      <c r="T10" s="29" t="s">
        <v>517</v>
      </c>
      <c r="U10" s="37" t="str">
        <f t="shared" si="0"/>
        <v>https://archive.wul.waseda.ac.jp/kosho/ya09/ya09_00955/ya09_00955_0001/ya09_00955_0001.html</v>
      </c>
      <c r="V10" s="47" t="s">
        <v>364</v>
      </c>
      <c r="W10" s="29">
        <v>18</v>
      </c>
      <c r="X10" s="54" t="str">
        <f>HYPERLINK("https://rmda.kulib.kyoto-u.ac.jp/item/rb00004583?page=18")</f>
        <v>https://rmda.kulib.kyoto-u.ac.jp/item/rb00004583?page=18</v>
      </c>
      <c r="Y10" s="36" t="s">
        <v>364</v>
      </c>
      <c r="Z10" s="29">
        <v>22</v>
      </c>
      <c r="AA10" s="37" t="str">
        <f>HYPERLINK("https://rmda.kulib.kyoto-u.ac.jp/item/rb00004592?page=22")</f>
        <v>https://rmda.kulib.kyoto-u.ac.jp/item/rb00004592?page=22</v>
      </c>
      <c r="AB10" s="47" t="s">
        <v>364</v>
      </c>
      <c r="AC10" s="29">
        <v>24</v>
      </c>
      <c r="AD10" s="54" t="str">
        <f>HYPERLINK("https://rmda.kulib.kyoto-u.ac.jp/item/rb00004593?page=24")</f>
        <v>https://rmda.kulib.kyoto-u.ac.jp/item/rb00004593?page=24</v>
      </c>
      <c r="AE10" s="36" t="s">
        <v>364</v>
      </c>
      <c r="AF10" s="29">
        <v>12</v>
      </c>
      <c r="AG10" s="37" t="str">
        <f>HYPERLINK("https://rmda.kulib.kyoto-u.ac.jp/item/rb00008886?page=12")</f>
        <v>https://rmda.kulib.kyoto-u.ac.jp/item/rb00008886?page=12</v>
      </c>
      <c r="AH10" s="47" t="s">
        <v>364</v>
      </c>
      <c r="AI10" s="29">
        <v>100</v>
      </c>
      <c r="AJ10" s="27" t="str">
        <f>HYPERLINK("https://rmda.kulib.kyoto-u.ac.jp/item/rb00008886?page=100")</f>
        <v>https://rmda.kulib.kyoto-u.ac.jp/item/rb00008886?page=100</v>
      </c>
      <c r="AK10" s="54" t="s">
        <v>572</v>
      </c>
      <c r="AL10" s="36" t="s">
        <v>364</v>
      </c>
      <c r="AM10" s="29">
        <v>7</v>
      </c>
      <c r="AN10" s="38" t="str">
        <f>HYPERLINK("https://rmda.kulib.kyoto-u.ac.jp/item/rb00011986?page=7")</f>
        <v>https://rmda.kulib.kyoto-u.ac.jp/item/rb00011986?page=7</v>
      </c>
      <c r="AO10" s="67"/>
      <c r="AP10" s="36" t="s">
        <v>364</v>
      </c>
      <c r="AQ10" s="29">
        <v>6</v>
      </c>
      <c r="AR10" s="29" t="str">
        <f>HYPERLINK("https://www.digital.archives.go.jp/img/4218748/6")</f>
        <v>https://www.digital.archives.go.jp/img/4218748/6</v>
      </c>
      <c r="AS10" s="29"/>
      <c r="AT10" s="37" t="s">
        <v>565</v>
      </c>
      <c r="AU10" s="76">
        <v>226</v>
      </c>
      <c r="AV10" s="77" t="str">
        <f>HYPERLINK("https://dl.ndl.go.jp/ja/pid/12759449/1/226")</f>
        <v>https://dl.ndl.go.jp/ja/pid/12759449/1/226</v>
      </c>
    </row>
    <row r="11" spans="1:48" x14ac:dyDescent="0.15">
      <c r="A11" s="71" t="s">
        <v>365</v>
      </c>
      <c r="B11" s="29">
        <v>32</v>
      </c>
      <c r="C11" s="37" t="str">
        <f>HYPERLINK("https://www.digital.archives.go.jp/img/4218740/32")</f>
        <v>https://www.digital.archives.go.jp/img/4218740/32</v>
      </c>
      <c r="D11" s="43">
        <v>42</v>
      </c>
      <c r="E11" s="37" t="str">
        <f>HYPERLINK("https://kokusho.nijl.ac.jp/biblio/100317365/42")</f>
        <v>https://kokusho.nijl.ac.jp/biblio/100317365/42</v>
      </c>
      <c r="F11" s="43">
        <v>37</v>
      </c>
      <c r="G11" s="37" t="str">
        <f>HYPERLINK("https://kokusho.nijl.ac.jp/biblio/100317364/37")</f>
        <v>https://kokusho.nijl.ac.jp/biblio/100317364/37</v>
      </c>
      <c r="H11" s="43">
        <v>118</v>
      </c>
      <c r="I11" s="38" t="str">
        <f>HYPERLINK("https://kokusho.nijl.ac.jp/biblio/100382563/118")</f>
        <v>https://kokusho.nijl.ac.jp/biblio/100382563/118</v>
      </c>
      <c r="J11" s="43">
        <v>263</v>
      </c>
      <c r="K11" s="37" t="str">
        <f>HYPERLINK("https://rmda.kulib.kyoto-u.ac.jp/item/rb00004597?page=263")</f>
        <v>https://rmda.kulib.kyoto-u.ac.jp/item/rb00004597?page=263</v>
      </c>
      <c r="L11" s="43">
        <v>27</v>
      </c>
      <c r="M11" s="37" t="str">
        <f>HYPERLINK("https://rmda.kulib.kyoto-u.ac.jp/item/rb00004587?page=27")</f>
        <v>https://rmda.kulib.kyoto-u.ac.jp/item/rb00004587?page=27</v>
      </c>
      <c r="N11" s="36" t="s">
        <v>365</v>
      </c>
      <c r="O11" s="29">
        <v>22</v>
      </c>
      <c r="P11" s="37" t="str">
        <f>HYPERLINK("https://rmda.kulib.kyoto-u.ac.jp/item/rb00004585?page=22")</f>
        <v>https://rmda.kulib.kyoto-u.ac.jp/item/rb00004585?page=22</v>
      </c>
      <c r="Q11" s="50" t="s">
        <v>365</v>
      </c>
      <c r="R11" s="54" t="str">
        <f>HYPERLINK("https://rmda.kulib.kyoto-u.ac.jp/item/rb00004585?page=22")</f>
        <v>https://rmda.kulib.kyoto-u.ac.jp/item/rb00004585?page=22</v>
      </c>
      <c r="S11" s="36" t="s">
        <v>365</v>
      </c>
      <c r="T11" s="29" t="s">
        <v>518</v>
      </c>
      <c r="U11" s="37" t="str">
        <f t="shared" ref="U11:U28" si="1">HYPERLINK("https://archive.wul.waseda.ac.jp/kosho/ya09/ya09_00955/ya09_00955_0002/ya09_00955_0002.html")</f>
        <v>https://archive.wul.waseda.ac.jp/kosho/ya09/ya09_00955/ya09_00955_0002/ya09_00955_0002.html</v>
      </c>
      <c r="V11" s="47" t="s">
        <v>365</v>
      </c>
      <c r="W11" s="29">
        <v>18</v>
      </c>
      <c r="X11" s="54" t="str">
        <f>HYPERLINK("https://rmda.kulib.kyoto-u.ac.jp/item/rb00004583?page=18")</f>
        <v>https://rmda.kulib.kyoto-u.ac.jp/item/rb00004583?page=18</v>
      </c>
      <c r="Y11" s="36" t="s">
        <v>365</v>
      </c>
      <c r="Z11" s="29">
        <v>24</v>
      </c>
      <c r="AA11" s="37" t="str">
        <f>HYPERLINK("https://rmda.kulib.kyoto-u.ac.jp/item/rb00004592?page=24")</f>
        <v>https://rmda.kulib.kyoto-u.ac.jp/item/rb00004592?page=24</v>
      </c>
      <c r="AB11" s="47" t="s">
        <v>365</v>
      </c>
      <c r="AC11" s="29">
        <v>25</v>
      </c>
      <c r="AD11" s="54" t="str">
        <f>HYPERLINK("https://rmda.kulib.kyoto-u.ac.jp/item/rb00004593?page=25")</f>
        <v>https://rmda.kulib.kyoto-u.ac.jp/item/rb00004593?page=25</v>
      </c>
      <c r="AE11" s="36" t="s">
        <v>365</v>
      </c>
      <c r="AF11" s="29">
        <v>12</v>
      </c>
      <c r="AG11" s="37" t="str">
        <f>HYPERLINK("https://rmda.kulib.kyoto-u.ac.jp/item/rb00008886?page=12")</f>
        <v>https://rmda.kulib.kyoto-u.ac.jp/item/rb00008886?page=12</v>
      </c>
      <c r="AH11" s="47" t="s">
        <v>365</v>
      </c>
      <c r="AI11" s="29">
        <v>101</v>
      </c>
      <c r="AJ11" s="27" t="str">
        <f>HYPERLINK("https://rmda.kulib.kyoto-u.ac.jp/item/rb00008886?page=101")</f>
        <v>https://rmda.kulib.kyoto-u.ac.jp/item/rb00008886?page=101</v>
      </c>
      <c r="AK11" s="54" t="s">
        <v>572</v>
      </c>
      <c r="AL11" s="36" t="s">
        <v>365</v>
      </c>
      <c r="AM11" s="29">
        <v>8</v>
      </c>
      <c r="AN11" s="38" t="str">
        <f>HYPERLINK("https://rmda.kulib.kyoto-u.ac.jp/item/rb00011986?page=8")</f>
        <v>https://rmda.kulib.kyoto-u.ac.jp/item/rb00011986?page=8</v>
      </c>
      <c r="AO11" s="67"/>
      <c r="AP11" s="36" t="s">
        <v>365</v>
      </c>
      <c r="AQ11" s="29">
        <v>7</v>
      </c>
      <c r="AR11" s="29" t="str">
        <f>HYPERLINK("https://www.digital.archives.go.jp/img/4218748/7")</f>
        <v>https://www.digital.archives.go.jp/img/4218748/7</v>
      </c>
      <c r="AS11" s="29"/>
      <c r="AT11" s="37" t="s">
        <v>565</v>
      </c>
      <c r="AU11" s="76">
        <v>226</v>
      </c>
      <c r="AV11" s="77" t="str">
        <f>HYPERLINK("https://dl.ndl.go.jp/ja/pid/12759449/1/226")</f>
        <v>https://dl.ndl.go.jp/ja/pid/12759449/1/226</v>
      </c>
    </row>
    <row r="12" spans="1:48" x14ac:dyDescent="0.15">
      <c r="A12" s="71" t="s">
        <v>366</v>
      </c>
      <c r="B12" s="29">
        <v>34</v>
      </c>
      <c r="C12" s="37" t="str">
        <f>HYPERLINK("https://www.digital.archives.go.jp/img/4218740/34")</f>
        <v>https://www.digital.archives.go.jp/img/4218740/34</v>
      </c>
      <c r="D12" s="43">
        <v>43</v>
      </c>
      <c r="E12" s="37" t="str">
        <f>HYPERLINK("https://kokusho.nijl.ac.jp/biblio/100317365/43")</f>
        <v>https://kokusho.nijl.ac.jp/biblio/100317365/43</v>
      </c>
      <c r="F12" s="43">
        <v>37</v>
      </c>
      <c r="G12" s="37" t="str">
        <f>HYPERLINK("https://kokusho.nijl.ac.jp/biblio/100317364/37")</f>
        <v>https://kokusho.nijl.ac.jp/biblio/100317364/37</v>
      </c>
      <c r="H12" s="43">
        <v>119</v>
      </c>
      <c r="I12" s="38" t="str">
        <f>HYPERLINK("https://kokusho.nijl.ac.jp/biblio/100382563/119")</f>
        <v>https://kokusho.nijl.ac.jp/biblio/100382563/119</v>
      </c>
      <c r="J12" s="43">
        <v>269</v>
      </c>
      <c r="K12" s="37" t="str">
        <f>HYPERLINK("https://rmda.kulib.kyoto-u.ac.jp/item/rb00004597?page=269")</f>
        <v>https://rmda.kulib.kyoto-u.ac.jp/item/rb00004597?page=269</v>
      </c>
      <c r="L12" s="43">
        <v>28</v>
      </c>
      <c r="M12" s="37" t="str">
        <f>HYPERLINK("https://rmda.kulib.kyoto-u.ac.jp/item/rb00004587?page=28")</f>
        <v>https://rmda.kulib.kyoto-u.ac.jp/item/rb00004587?page=28</v>
      </c>
      <c r="N12" s="36" t="s">
        <v>366</v>
      </c>
      <c r="O12" s="29">
        <v>24</v>
      </c>
      <c r="P12" s="37" t="str">
        <f>HYPERLINK("https://rmda.kulib.kyoto-u.ac.jp/item/rb00004585?page=24")</f>
        <v>https://rmda.kulib.kyoto-u.ac.jp/item/rb00004585?page=24</v>
      </c>
      <c r="Q12" s="50" t="s">
        <v>370</v>
      </c>
      <c r="R12" s="54" t="str">
        <f>HYPERLINK("https://rmda.kulib.kyoto-u.ac.jp/item/rb00004585?page=33")</f>
        <v>https://rmda.kulib.kyoto-u.ac.jp/item/rb00004585?page=33</v>
      </c>
      <c r="S12" s="36" t="s">
        <v>366</v>
      </c>
      <c r="T12" s="29" t="s">
        <v>519</v>
      </c>
      <c r="U12" s="37" t="str">
        <f t="shared" si="1"/>
        <v>https://archive.wul.waseda.ac.jp/kosho/ya09/ya09_00955/ya09_00955_0002/ya09_00955_0002.html</v>
      </c>
      <c r="V12" s="47" t="s">
        <v>366</v>
      </c>
      <c r="W12" s="29">
        <v>19</v>
      </c>
      <c r="X12" s="54" t="str">
        <f>HYPERLINK("https://rmda.kulib.kyoto-u.ac.jp/item/rb00004583?page=19")</f>
        <v>https://rmda.kulib.kyoto-u.ac.jp/item/rb00004583?page=19</v>
      </c>
      <c r="Y12" s="36" t="s">
        <v>366</v>
      </c>
      <c r="Z12" s="29">
        <v>26</v>
      </c>
      <c r="AA12" s="37" t="str">
        <f>HYPERLINK("https://rmda.kulib.kyoto-u.ac.jp/item/rb00004592?page=26")</f>
        <v>https://rmda.kulib.kyoto-u.ac.jp/item/rb00004592?page=26</v>
      </c>
      <c r="AB12" s="47" t="s">
        <v>366</v>
      </c>
      <c r="AC12" s="29">
        <v>26</v>
      </c>
      <c r="AD12" s="54" t="str">
        <f>HYPERLINK("https://rmda.kulib.kyoto-u.ac.jp/item/rb00004593?page=26")</f>
        <v>https://rmda.kulib.kyoto-u.ac.jp/item/rb00004593?page=26</v>
      </c>
      <c r="AE12" s="36" t="s">
        <v>366</v>
      </c>
      <c r="AF12" s="29">
        <v>14</v>
      </c>
      <c r="AG12" s="37" t="str">
        <f>HYPERLINK("https://rmda.kulib.kyoto-u.ac.jp/item/rb00008886?page=14")</f>
        <v>https://rmda.kulib.kyoto-u.ac.jp/item/rb00008886?page=14</v>
      </c>
      <c r="AH12" s="47" t="s">
        <v>366</v>
      </c>
      <c r="AI12" s="29">
        <v>102</v>
      </c>
      <c r="AJ12" s="27" t="str">
        <f>HYPERLINK("https://rmda.kulib.kyoto-u.ac.jp/item/rb00008886?page=102")</f>
        <v>https://rmda.kulib.kyoto-u.ac.jp/item/rb00008886?page=102</v>
      </c>
      <c r="AK12" s="54" t="s">
        <v>572</v>
      </c>
      <c r="AL12" s="36" t="s">
        <v>366</v>
      </c>
      <c r="AM12" s="29">
        <v>9</v>
      </c>
      <c r="AN12" s="38" t="str">
        <f>HYPERLINK("https://rmda.kulib.kyoto-u.ac.jp/item/rb00011986?page=9")</f>
        <v>https://rmda.kulib.kyoto-u.ac.jp/item/rb00011986?page=9</v>
      </c>
      <c r="AO12" s="67"/>
      <c r="AP12" s="36" t="s">
        <v>366</v>
      </c>
      <c r="AQ12" s="29">
        <v>12</v>
      </c>
      <c r="AR12" s="29" t="str">
        <f>HYPERLINK("https://www.digital.archives.go.jp/img/4218748/12")</f>
        <v>https://www.digital.archives.go.jp/img/4218748/12</v>
      </c>
      <c r="AS12" s="29"/>
      <c r="AT12" s="37" t="s">
        <v>565</v>
      </c>
      <c r="AU12" s="76">
        <v>227</v>
      </c>
      <c r="AV12" s="77" t="str">
        <f>HYPERLINK("https://dl.ndl.go.jp/ja/pid/12759449/1/227")</f>
        <v>https://dl.ndl.go.jp/ja/pid/12759449/1/227</v>
      </c>
    </row>
    <row r="13" spans="1:48" x14ac:dyDescent="0.15">
      <c r="A13" s="71" t="s">
        <v>367</v>
      </c>
      <c r="B13" s="29">
        <v>35</v>
      </c>
      <c r="C13" s="37" t="str">
        <f>HYPERLINK("https://www.digital.archives.go.jp/img/4218740/35")</f>
        <v>https://www.digital.archives.go.jp/img/4218740/35</v>
      </c>
      <c r="D13" s="43">
        <v>43</v>
      </c>
      <c r="E13" s="37" t="str">
        <f>HYPERLINK("https://kokusho.nijl.ac.jp/biblio/100317365/43")</f>
        <v>https://kokusho.nijl.ac.jp/biblio/100317365/43</v>
      </c>
      <c r="F13" s="43">
        <v>38</v>
      </c>
      <c r="G13" s="37" t="str">
        <f>HYPERLINK("https://kokusho.nijl.ac.jp/biblio/100317364/38")</f>
        <v>https://kokusho.nijl.ac.jp/biblio/100317364/38</v>
      </c>
      <c r="H13" s="43">
        <v>121</v>
      </c>
      <c r="I13" s="38" t="str">
        <f>HYPERLINK("https://kokusho.nijl.ac.jp/biblio/100382563/121")</f>
        <v>https://kokusho.nijl.ac.jp/biblio/100382563/121</v>
      </c>
      <c r="J13" s="43">
        <v>273</v>
      </c>
      <c r="K13" s="37" t="str">
        <f>HYPERLINK("https://rmda.kulib.kyoto-u.ac.jp/item/rb00004597?page=273")</f>
        <v>https://rmda.kulib.kyoto-u.ac.jp/item/rb00004597?page=273</v>
      </c>
      <c r="L13" s="43">
        <v>29</v>
      </c>
      <c r="M13" s="37" t="str">
        <f>HYPERLINK("https://rmda.kulib.kyoto-u.ac.jp/item/rb00004587?page=29")</f>
        <v>https://rmda.kulib.kyoto-u.ac.jp/item/rb00004587?page=29</v>
      </c>
      <c r="N13" s="36" t="s">
        <v>367</v>
      </c>
      <c r="O13" s="29">
        <v>26</v>
      </c>
      <c r="P13" s="37" t="str">
        <f>HYPERLINK("https://rmda.kulib.kyoto-u.ac.jp/item/rb00004585?page=26")</f>
        <v>https://rmda.kulib.kyoto-u.ac.jp/item/rb00004585?page=26</v>
      </c>
      <c r="Q13" s="50" t="s">
        <v>464</v>
      </c>
      <c r="R13" s="54" t="str">
        <f>HYPERLINK("https://rmda.kulib.kyoto-u.ac.jp/item/rb00004585?page=125")</f>
        <v>https://rmda.kulib.kyoto-u.ac.jp/item/rb00004585?page=125</v>
      </c>
      <c r="S13" s="36" t="s">
        <v>367</v>
      </c>
      <c r="T13" s="29" t="s">
        <v>520</v>
      </c>
      <c r="U13" s="37" t="str">
        <f t="shared" si="1"/>
        <v>https://archive.wul.waseda.ac.jp/kosho/ya09/ya09_00955/ya09_00955_0002/ya09_00955_0002.html</v>
      </c>
      <c r="V13" s="47" t="s">
        <v>367</v>
      </c>
      <c r="W13" s="29">
        <v>19</v>
      </c>
      <c r="X13" s="54" t="str">
        <f>HYPERLINK("https://rmda.kulib.kyoto-u.ac.jp/item/rb00004583?page=19")</f>
        <v>https://rmda.kulib.kyoto-u.ac.jp/item/rb00004583?page=19</v>
      </c>
      <c r="Y13" s="36" t="s">
        <v>367</v>
      </c>
      <c r="Z13" s="29">
        <v>27</v>
      </c>
      <c r="AA13" s="37" t="str">
        <f>HYPERLINK("https://rmda.kulib.kyoto-u.ac.jp/item/rb00004592?page=27")</f>
        <v>https://rmda.kulib.kyoto-u.ac.jp/item/rb00004592?page=27</v>
      </c>
      <c r="AB13" s="47" t="s">
        <v>367</v>
      </c>
      <c r="AC13" s="29">
        <v>27</v>
      </c>
      <c r="AD13" s="54" t="str">
        <f>HYPERLINK("https://rmda.kulib.kyoto-u.ac.jp/item/rb00004593?page=27")</f>
        <v>https://rmda.kulib.kyoto-u.ac.jp/item/rb00004593?page=27</v>
      </c>
      <c r="AE13" s="36" t="s">
        <v>367</v>
      </c>
      <c r="AF13" s="29">
        <v>14</v>
      </c>
      <c r="AG13" s="37" t="str">
        <f>HYPERLINK("https://rmda.kulib.kyoto-u.ac.jp/item/rb00008886?page=14")</f>
        <v>https://rmda.kulib.kyoto-u.ac.jp/item/rb00008886?page=14</v>
      </c>
      <c r="AH13" s="47" t="s">
        <v>367</v>
      </c>
      <c r="AI13" s="29"/>
      <c r="AJ13" s="29"/>
      <c r="AK13" s="54"/>
      <c r="AL13" s="36" t="s">
        <v>367</v>
      </c>
      <c r="AM13" s="29"/>
      <c r="AN13" s="37"/>
      <c r="AO13" s="67"/>
      <c r="AP13" s="36" t="s">
        <v>367</v>
      </c>
      <c r="AQ13" s="29">
        <v>14</v>
      </c>
      <c r="AR13" s="29" t="str">
        <f>HYPERLINK("https://www.digital.archives.go.jp/img/4218748/14")</f>
        <v>https://www.digital.archives.go.jp/img/4218748/14</v>
      </c>
      <c r="AS13" s="29"/>
      <c r="AT13" s="37" t="s">
        <v>565</v>
      </c>
      <c r="AU13" s="76">
        <v>228</v>
      </c>
      <c r="AV13" s="77" t="str">
        <f>HYPERLINK("https://dl.ndl.go.jp/ja/pid/12759449/1/228")</f>
        <v>https://dl.ndl.go.jp/ja/pid/12759449/1/228</v>
      </c>
    </row>
    <row r="14" spans="1:48" x14ac:dyDescent="0.15">
      <c r="A14" s="71" t="s">
        <v>368</v>
      </c>
      <c r="B14" s="29">
        <v>3</v>
      </c>
      <c r="C14" s="38" t="str">
        <f>HYPERLINK("https://www.digital.archives.go.jp/img/4106118/3")</f>
        <v>https://www.digital.archives.go.jp/img/4106118/3</v>
      </c>
      <c r="D14" s="43">
        <v>44</v>
      </c>
      <c r="E14" s="37" t="str">
        <f>HYPERLINK("https://kokusho.nijl.ac.jp/biblio/100317365/44")</f>
        <v>https://kokusho.nijl.ac.jp/biblio/100317365/44</v>
      </c>
      <c r="F14" s="43">
        <v>39</v>
      </c>
      <c r="G14" s="37" t="str">
        <f>HYPERLINK("https://kokusho.nijl.ac.jp/biblio/100317364/39")</f>
        <v>https://kokusho.nijl.ac.jp/biblio/100317364/39</v>
      </c>
      <c r="H14" s="43">
        <v>123</v>
      </c>
      <c r="I14" s="38" t="str">
        <f>HYPERLINK("https://kokusho.nijl.ac.jp/biblio/100382563/123")</f>
        <v>https://kokusho.nijl.ac.jp/biblio/100382563/123</v>
      </c>
      <c r="J14" s="43">
        <v>279</v>
      </c>
      <c r="K14" s="37" t="str">
        <f>HYPERLINK("https://rmda.kulib.kyoto-u.ac.jp/item/rb00004597?page=279")</f>
        <v>https://rmda.kulib.kyoto-u.ac.jp/item/rb00004597?page=279</v>
      </c>
      <c r="L14" s="43">
        <v>30</v>
      </c>
      <c r="M14" s="37" t="str">
        <f>HYPERLINK("https://rmda.kulib.kyoto-u.ac.jp/item/rb00004587?page=30")</f>
        <v>https://rmda.kulib.kyoto-u.ac.jp/item/rb00004587?page=30</v>
      </c>
      <c r="N14" s="36" t="s">
        <v>368</v>
      </c>
      <c r="O14" s="29">
        <v>28</v>
      </c>
      <c r="P14" s="37" t="str">
        <f>HYPERLINK("https://rmda.kulib.kyoto-u.ac.jp/item/rb00004585?page=28")</f>
        <v>https://rmda.kulib.kyoto-u.ac.jp/item/rb00004585?page=28</v>
      </c>
      <c r="Q14" s="50" t="s">
        <v>369</v>
      </c>
      <c r="R14" s="54" t="str">
        <f>HYPERLINK("https://rmda.kulib.kyoto-u.ac.jp/item/rb00004585?page=33")</f>
        <v>https://rmda.kulib.kyoto-u.ac.jp/item/rb00004585?page=33</v>
      </c>
      <c r="S14" s="36" t="s">
        <v>368</v>
      </c>
      <c r="T14" s="29" t="s">
        <v>521</v>
      </c>
      <c r="U14" s="37" t="str">
        <f t="shared" si="1"/>
        <v>https://archive.wul.waseda.ac.jp/kosho/ya09/ya09_00955/ya09_00955_0002/ya09_00955_0002.html</v>
      </c>
      <c r="V14" s="47" t="s">
        <v>368</v>
      </c>
      <c r="W14" s="29">
        <v>20</v>
      </c>
      <c r="X14" s="54" t="str">
        <f>HYPERLINK("https://rmda.kulib.kyoto-u.ac.jp/item/rb00004583?page=20")</f>
        <v>https://rmda.kulib.kyoto-u.ac.jp/item/rb00004583?page=20</v>
      </c>
      <c r="Y14" s="36" t="s">
        <v>368</v>
      </c>
      <c r="Z14" s="29">
        <v>28</v>
      </c>
      <c r="AA14" s="37" t="str">
        <f>HYPERLINK("https://rmda.kulib.kyoto-u.ac.jp/item/rb00004592?page=28")</f>
        <v>https://rmda.kulib.kyoto-u.ac.jp/item/rb00004592?page=28</v>
      </c>
      <c r="AB14" s="47" t="s">
        <v>368</v>
      </c>
      <c r="AC14" s="29">
        <v>29</v>
      </c>
      <c r="AD14" s="54" t="str">
        <f>HYPERLINK("https://rmda.kulib.kyoto-u.ac.jp/item/rb00004593?page=29")</f>
        <v>https://rmda.kulib.kyoto-u.ac.jp/item/rb00004593?page=29</v>
      </c>
      <c r="AE14" s="36" t="s">
        <v>368</v>
      </c>
      <c r="AF14" s="29">
        <v>15</v>
      </c>
      <c r="AG14" s="37" t="str">
        <f>HYPERLINK("https://rmda.kulib.kyoto-u.ac.jp/item/rb00008886?page=15")</f>
        <v>https://rmda.kulib.kyoto-u.ac.jp/item/rb00008886?page=15</v>
      </c>
      <c r="AH14" s="47" t="s">
        <v>368</v>
      </c>
      <c r="AI14" s="29">
        <v>102</v>
      </c>
      <c r="AJ14" s="27" t="str">
        <f>HYPERLINK("https://rmda.kulib.kyoto-u.ac.jp/item/rb00008886?page=102")</f>
        <v>https://rmda.kulib.kyoto-u.ac.jp/item/rb00008886?page=102</v>
      </c>
      <c r="AK14" s="54" t="s">
        <v>572</v>
      </c>
      <c r="AL14" s="36" t="s">
        <v>368</v>
      </c>
      <c r="AM14" s="29">
        <v>9</v>
      </c>
      <c r="AN14" s="38" t="str">
        <f>HYPERLINK("https://rmda.kulib.kyoto-u.ac.jp/item/rb00011986?page=9")</f>
        <v>https://rmda.kulib.kyoto-u.ac.jp/item/rb00011986?page=9</v>
      </c>
      <c r="AO14" s="67"/>
      <c r="AP14" s="36" t="s">
        <v>368</v>
      </c>
      <c r="AQ14" s="29">
        <v>17</v>
      </c>
      <c r="AR14" s="29" t="str">
        <f>HYPERLINK("https://www.digital.archives.go.jp/img/4218748/17")</f>
        <v>https://www.digital.archives.go.jp/img/4218748/17</v>
      </c>
      <c r="AS14" s="29"/>
      <c r="AT14" s="37" t="s">
        <v>565</v>
      </c>
      <c r="AU14" s="76">
        <v>229</v>
      </c>
      <c r="AV14" s="77" t="str">
        <f>HYPERLINK("https://dl.ndl.go.jp/ja/pid/12759449/1/229")</f>
        <v>https://dl.ndl.go.jp/ja/pid/12759449/1/229</v>
      </c>
    </row>
    <row r="15" spans="1:48" x14ac:dyDescent="0.15">
      <c r="A15" s="71" t="s">
        <v>369</v>
      </c>
      <c r="B15" s="29">
        <v>7</v>
      </c>
      <c r="C15" s="37" t="str">
        <f>HYPERLINK("https://www.digital.archives.go.jp/img/4106118/7")</f>
        <v>https://www.digital.archives.go.jp/img/4106118/7</v>
      </c>
      <c r="D15" s="43">
        <v>46</v>
      </c>
      <c r="E15" s="37" t="str">
        <f>HYPERLINK("https://kokusho.nijl.ac.jp/biblio/100317365/46")</f>
        <v>https://kokusho.nijl.ac.jp/biblio/100317365/46</v>
      </c>
      <c r="F15" s="43">
        <v>40</v>
      </c>
      <c r="G15" s="37" t="str">
        <f>HYPERLINK("https://kokusho.nijl.ac.jp/biblio/100317364/40")</f>
        <v>https://kokusho.nijl.ac.jp/biblio/100317364/40</v>
      </c>
      <c r="H15" s="43">
        <v>128</v>
      </c>
      <c r="I15" s="38" t="str">
        <f>HYPERLINK("https://kokusho.nijl.ac.jp/biblio/100382563/128")</f>
        <v>https://kokusho.nijl.ac.jp/biblio/100382563/128</v>
      </c>
      <c r="J15" s="43">
        <v>297</v>
      </c>
      <c r="K15" s="37" t="str">
        <f>HYPERLINK("https://rmda.kulib.kyoto-u.ac.jp/item/rb00004597?page=297")</f>
        <v>https://rmda.kulib.kyoto-u.ac.jp/item/rb00004597?page=297</v>
      </c>
      <c r="L15" s="43">
        <v>33</v>
      </c>
      <c r="M15" s="37" t="str">
        <f>HYPERLINK("https://rmda.kulib.kyoto-u.ac.jp/item/rb00004587?page=33")</f>
        <v>https://rmda.kulib.kyoto-u.ac.jp/item/rb00004587?page=33</v>
      </c>
      <c r="N15" s="36" t="s">
        <v>369</v>
      </c>
      <c r="O15" s="29">
        <v>33</v>
      </c>
      <c r="P15" s="37" t="str">
        <f>HYPERLINK("https://rmda.kulib.kyoto-u.ac.jp/item/rb00004585?page=33")</f>
        <v>https://rmda.kulib.kyoto-u.ac.jp/item/rb00004585?page=33</v>
      </c>
      <c r="Q15" s="50" t="s">
        <v>366</v>
      </c>
      <c r="R15" s="54" t="str">
        <f>HYPERLINK("https://rmda.kulib.kyoto-u.ac.jp/item/rb00004585?page=28")</f>
        <v>https://rmda.kulib.kyoto-u.ac.jp/item/rb00004585?page=28</v>
      </c>
      <c r="S15" s="36" t="s">
        <v>369</v>
      </c>
      <c r="T15" s="29" t="s">
        <v>522</v>
      </c>
      <c r="U15" s="37" t="str">
        <f t="shared" si="1"/>
        <v>https://archive.wul.waseda.ac.jp/kosho/ya09/ya09_00955/ya09_00955_0002/ya09_00955_0002.html</v>
      </c>
      <c r="V15" s="47" t="s">
        <v>369</v>
      </c>
      <c r="W15" s="29">
        <v>22</v>
      </c>
      <c r="X15" s="54" t="str">
        <f>HYPERLINK("https://rmda.kulib.kyoto-u.ac.jp/item/rb00004583?page=22")</f>
        <v>https://rmda.kulib.kyoto-u.ac.jp/item/rb00004583?page=22</v>
      </c>
      <c r="Y15" s="36" t="s">
        <v>369</v>
      </c>
      <c r="Z15" s="29">
        <v>31</v>
      </c>
      <c r="AA15" s="37" t="str">
        <f>HYPERLINK("https://rmda.kulib.kyoto-u.ac.jp/item/rb00004592?page=31")</f>
        <v>https://rmda.kulib.kyoto-u.ac.jp/item/rb00004592?page=31</v>
      </c>
      <c r="AB15" s="47" t="s">
        <v>369</v>
      </c>
      <c r="AC15" s="29">
        <v>31</v>
      </c>
      <c r="AD15" s="54" t="str">
        <f>HYPERLINK("https://rmda.kulib.kyoto-u.ac.jp/item/rb00004593?page=31")</f>
        <v>https://rmda.kulib.kyoto-u.ac.jp/item/rb00004593?page=31</v>
      </c>
      <c r="AE15" s="36" t="s">
        <v>369</v>
      </c>
      <c r="AF15" s="29">
        <v>18</v>
      </c>
      <c r="AG15" s="37" t="str">
        <f>HYPERLINK("https://rmda.kulib.kyoto-u.ac.jp/item/rb00008886?page=18")</f>
        <v>https://rmda.kulib.kyoto-u.ac.jp/item/rb00008886?page=18</v>
      </c>
      <c r="AH15" s="47" t="s">
        <v>369</v>
      </c>
      <c r="AI15" s="29">
        <v>102</v>
      </c>
      <c r="AJ15" s="27" t="str">
        <f>HYPERLINK("https://rmda.kulib.kyoto-u.ac.jp/item/rb00008886?page=102")</f>
        <v>https://rmda.kulib.kyoto-u.ac.jp/item/rb00008886?page=102</v>
      </c>
      <c r="AK15" s="54" t="s">
        <v>572</v>
      </c>
      <c r="AL15" s="36" t="s">
        <v>369</v>
      </c>
      <c r="AM15" s="29">
        <v>9</v>
      </c>
      <c r="AN15" s="38" t="str">
        <f>HYPERLINK("https://rmda.kulib.kyoto-u.ac.jp/item/rb00011986?page=9")</f>
        <v>https://rmda.kulib.kyoto-u.ac.jp/item/rb00011986?page=9</v>
      </c>
      <c r="AO15" s="67"/>
      <c r="AP15" s="36" t="s">
        <v>369</v>
      </c>
      <c r="AQ15" s="29">
        <v>24</v>
      </c>
      <c r="AR15" s="29" t="str">
        <f>HYPERLINK("https://www.digital.archives.go.jp/img/4218748/24")</f>
        <v>https://www.digital.archives.go.jp/img/4218748/24</v>
      </c>
      <c r="AS15" s="29"/>
      <c r="AT15" s="37" t="s">
        <v>565</v>
      </c>
      <c r="AU15" s="76">
        <v>230</v>
      </c>
      <c r="AV15" s="77" t="str">
        <f>HYPERLINK("https://dl.ndl.go.jp/ja/pid/12759449/1/230")</f>
        <v>https://dl.ndl.go.jp/ja/pid/12759449/1/230</v>
      </c>
    </row>
    <row r="16" spans="1:48" x14ac:dyDescent="0.15">
      <c r="A16" s="71" t="s">
        <v>370</v>
      </c>
      <c r="B16" s="29">
        <v>15</v>
      </c>
      <c r="C16" s="37" t="str">
        <f>HYPERLINK("https://www.digital.archives.go.jp/img/4106118/15")</f>
        <v>https://www.digital.archives.go.jp/img/4106118/15</v>
      </c>
      <c r="D16" s="43">
        <v>51</v>
      </c>
      <c r="E16" s="37" t="str">
        <f>HYPERLINK("https://kokusho.nijl.ac.jp/biblio/100317365/51")</f>
        <v>https://kokusho.nijl.ac.jp/biblio/100317365/51</v>
      </c>
      <c r="F16" s="43">
        <v>44</v>
      </c>
      <c r="G16" s="37" t="str">
        <f>HYPERLINK("https://kokusho.nijl.ac.jp/biblio/100317364/44")</f>
        <v>https://kokusho.nijl.ac.jp/biblio/100317364/44</v>
      </c>
      <c r="H16" s="43">
        <v>143</v>
      </c>
      <c r="I16" s="38" t="str">
        <f>HYPERLINK("https://kokusho.nijl.ac.jp/biblio/100382563/143")</f>
        <v>https://kokusho.nijl.ac.jp/biblio/100382563/143</v>
      </c>
      <c r="J16" s="43">
        <v>331</v>
      </c>
      <c r="K16" s="37" t="str">
        <f>HYPERLINK("https://rmda.kulib.kyoto-u.ac.jp/item/rb00004597?page=331")</f>
        <v>https://rmda.kulib.kyoto-u.ac.jp/item/rb00004597?page=331</v>
      </c>
      <c r="L16" s="43">
        <v>38</v>
      </c>
      <c r="M16" s="37" t="str">
        <f>HYPERLINK("https://rmda.kulib.kyoto-u.ac.jp/item/rb00004587?page=38")</f>
        <v>https://rmda.kulib.kyoto-u.ac.jp/item/rb00004587?page=38</v>
      </c>
      <c r="N16" s="36" t="s">
        <v>370</v>
      </c>
      <c r="O16" s="29">
        <v>33</v>
      </c>
      <c r="P16" s="37" t="str">
        <f>HYPERLINK("https://rmda.kulib.kyoto-u.ac.jp/item/rb00004585?page=33")</f>
        <v>https://rmda.kulib.kyoto-u.ac.jp/item/rb00004585?page=33</v>
      </c>
      <c r="Q16" s="50" t="s">
        <v>368</v>
      </c>
      <c r="R16" s="54" t="str">
        <f>HYPERLINK("https://rmda.kulib.kyoto-u.ac.jp/item/rb00004585?page=24")</f>
        <v>https://rmda.kulib.kyoto-u.ac.jp/item/rb00004585?page=24</v>
      </c>
      <c r="S16" s="36" t="s">
        <v>370</v>
      </c>
      <c r="T16" s="29" t="s">
        <v>523</v>
      </c>
      <c r="U16" s="37" t="str">
        <f t="shared" si="1"/>
        <v>https://archive.wul.waseda.ac.jp/kosho/ya09/ya09_00955/ya09_00955_0002/ya09_00955_0002.html</v>
      </c>
      <c r="V16" s="47" t="s">
        <v>370</v>
      </c>
      <c r="W16" s="29">
        <v>24</v>
      </c>
      <c r="X16" s="54" t="str">
        <f>HYPERLINK("https://rmda.kulib.kyoto-u.ac.jp/item/rb00004583?page=24")</f>
        <v>https://rmda.kulib.kyoto-u.ac.jp/item/rb00004583?page=24</v>
      </c>
      <c r="Y16" s="36" t="s">
        <v>370</v>
      </c>
      <c r="Z16" s="29">
        <v>37</v>
      </c>
      <c r="AA16" s="37" t="str">
        <f>HYPERLINK("https://rmda.kulib.kyoto-u.ac.jp/item/rb00004592?page=37")</f>
        <v>https://rmda.kulib.kyoto-u.ac.jp/item/rb00004592?page=37</v>
      </c>
      <c r="AB16" s="47" t="s">
        <v>370</v>
      </c>
      <c r="AC16" s="29">
        <v>36</v>
      </c>
      <c r="AD16" s="54" t="str">
        <f>HYPERLINK("https://rmda.kulib.kyoto-u.ac.jp/item/rb00004593?page=36")</f>
        <v>https://rmda.kulib.kyoto-u.ac.jp/item/rb00004593?page=36</v>
      </c>
      <c r="AE16" s="36" t="s">
        <v>370</v>
      </c>
      <c r="AF16" s="29">
        <v>23</v>
      </c>
      <c r="AG16" s="37" t="str">
        <f>HYPERLINK("https://rmda.kulib.kyoto-u.ac.jp/item/rb00008886?page=23")</f>
        <v>https://rmda.kulib.kyoto-u.ac.jp/item/rb00008886?page=23</v>
      </c>
      <c r="AH16" s="47" t="s">
        <v>370</v>
      </c>
      <c r="AI16" s="29">
        <v>103</v>
      </c>
      <c r="AJ16" s="27" t="str">
        <f>HYPERLINK("https://rmda.kulib.kyoto-u.ac.jp/item/rb00008886?page=103")</f>
        <v>https://rmda.kulib.kyoto-u.ac.jp/item/rb00008886?page=103</v>
      </c>
      <c r="AK16" s="54" t="s">
        <v>572</v>
      </c>
      <c r="AL16" s="36" t="s">
        <v>370</v>
      </c>
      <c r="AM16" s="29">
        <v>10</v>
      </c>
      <c r="AN16" s="38" t="str">
        <f>HYPERLINK("https://rmda.kulib.kyoto-u.ac.jp/item/rb00011986?page=10")</f>
        <v>https://rmda.kulib.kyoto-u.ac.jp/item/rb00011986?page=10</v>
      </c>
      <c r="AO16" s="67"/>
      <c r="AP16" s="36" t="s">
        <v>370</v>
      </c>
      <c r="AQ16" s="29">
        <v>43</v>
      </c>
      <c r="AR16" s="29" t="str">
        <f>HYPERLINK("https://www.digital.archives.go.jp/img/4218748/43")</f>
        <v>https://www.digital.archives.go.jp/img/4218748/43</v>
      </c>
      <c r="AS16" s="29"/>
      <c r="AT16" s="37" t="s">
        <v>565</v>
      </c>
      <c r="AU16" s="76">
        <v>233</v>
      </c>
      <c r="AV16" s="77" t="str">
        <f>HYPERLINK("https://dl.ndl.go.jp/ja/pid/12759449/1/233")</f>
        <v>https://dl.ndl.go.jp/ja/pid/12759449/1/233</v>
      </c>
    </row>
    <row r="17" spans="1:48" x14ac:dyDescent="0.15">
      <c r="A17" s="71" t="s">
        <v>371</v>
      </c>
      <c r="B17" s="29">
        <v>22</v>
      </c>
      <c r="C17" s="37" t="str">
        <f>HYPERLINK("https://www.digital.archives.go.jp/img/4106118/22")</f>
        <v>https://www.digital.archives.go.jp/img/4106118/22</v>
      </c>
      <c r="D17" s="43">
        <v>55</v>
      </c>
      <c r="E17" s="37" t="str">
        <f>HYPERLINK("https://kokusho.nijl.ac.jp/biblio/100317365/55")</f>
        <v>https://kokusho.nijl.ac.jp/biblio/100317365/55</v>
      </c>
      <c r="F17" s="43">
        <v>47</v>
      </c>
      <c r="G17" s="37" t="str">
        <f>HYPERLINK("https://kokusho.nijl.ac.jp/biblio/100317364/47")</f>
        <v>https://kokusho.nijl.ac.jp/biblio/100317364/47</v>
      </c>
      <c r="H17" s="43">
        <v>153</v>
      </c>
      <c r="I17" s="38" t="str">
        <f>HYPERLINK("https://kokusho.nijl.ac.jp/biblio/100382563/153")</f>
        <v>https://kokusho.nijl.ac.jp/biblio/100382563/153</v>
      </c>
      <c r="J17" s="43">
        <v>367</v>
      </c>
      <c r="K17" s="37" t="str">
        <f>HYPERLINK("https://rmda.kulib.kyoto-u.ac.jp/item/rb00004597?page=367")</f>
        <v>https://rmda.kulib.kyoto-u.ac.jp/item/rb00004597?page=367</v>
      </c>
      <c r="L17" s="43">
        <v>42</v>
      </c>
      <c r="M17" s="37" t="str">
        <f>HYPERLINK("https://rmda.kulib.kyoto-u.ac.jp/item/rb00004587?page=42")</f>
        <v>https://rmda.kulib.kyoto-u.ac.jp/item/rb00004587?page=42</v>
      </c>
      <c r="N17" s="36" t="s">
        <v>371</v>
      </c>
      <c r="O17" s="29">
        <v>35</v>
      </c>
      <c r="P17" s="37" t="str">
        <f>HYPERLINK("https://rmda.kulib.kyoto-u.ac.jp/item/rb00004585?page=35")</f>
        <v>https://rmda.kulib.kyoto-u.ac.jp/item/rb00004585?page=35</v>
      </c>
      <c r="Q17" s="51" t="s">
        <v>371</v>
      </c>
      <c r="R17" s="54" t="str">
        <f>HYPERLINK("https://rmda.kulib.kyoto-u.ac.jp/item/rb00004585?page=35")</f>
        <v>https://rmda.kulib.kyoto-u.ac.jp/item/rb00004585?page=35</v>
      </c>
      <c r="S17" s="36" t="s">
        <v>371</v>
      </c>
      <c r="T17" s="29" t="s">
        <v>524</v>
      </c>
      <c r="U17" s="37" t="str">
        <f t="shared" si="1"/>
        <v>https://archive.wul.waseda.ac.jp/kosho/ya09/ya09_00955/ya09_00955_0002/ya09_00955_0002.html</v>
      </c>
      <c r="V17" s="47" t="s">
        <v>371</v>
      </c>
      <c r="W17" s="29">
        <v>27</v>
      </c>
      <c r="X17" s="54" t="str">
        <f>HYPERLINK("https://rmda.kulib.kyoto-u.ac.jp/item/rb00004583?page=27")</f>
        <v>https://rmda.kulib.kyoto-u.ac.jp/item/rb00004583?page=27</v>
      </c>
      <c r="Y17" s="36" t="s">
        <v>371</v>
      </c>
      <c r="Z17" s="29">
        <v>42</v>
      </c>
      <c r="AA17" s="37" t="str">
        <f>HYPERLINK("https://rmda.kulib.kyoto-u.ac.jp/item/rb00004592?page=42")</f>
        <v>https://rmda.kulib.kyoto-u.ac.jp/item/rb00004592?page=42</v>
      </c>
      <c r="AB17" s="47" t="s">
        <v>371</v>
      </c>
      <c r="AC17" s="29">
        <v>40</v>
      </c>
      <c r="AD17" s="54" t="str">
        <f>HYPERLINK("https://rmda.kulib.kyoto-u.ac.jp/item/rb00004593?page=40")</f>
        <v>https://rmda.kulib.kyoto-u.ac.jp/item/rb00004593?page=40</v>
      </c>
      <c r="AE17" s="36" t="s">
        <v>371</v>
      </c>
      <c r="AF17" s="29">
        <v>27</v>
      </c>
      <c r="AG17" s="37" t="str">
        <f>HYPERLINK("https://rmda.kulib.kyoto-u.ac.jp/item/rb00008886?page=27")</f>
        <v>https://rmda.kulib.kyoto-u.ac.jp/item/rb00008886?page=27</v>
      </c>
      <c r="AH17" s="47" t="s">
        <v>371</v>
      </c>
      <c r="AI17" s="29">
        <v>103</v>
      </c>
      <c r="AJ17" s="27" t="str">
        <f>HYPERLINK("https://rmda.kulib.kyoto-u.ac.jp/item/rb00008886?page=103")</f>
        <v>https://rmda.kulib.kyoto-u.ac.jp/item/rb00008886?page=103</v>
      </c>
      <c r="AK17" s="54" t="s">
        <v>572</v>
      </c>
      <c r="AL17" s="36" t="s">
        <v>371</v>
      </c>
      <c r="AM17" s="29">
        <v>10</v>
      </c>
      <c r="AN17" s="38" t="str">
        <f>HYPERLINK("https://rmda.kulib.kyoto-u.ac.jp/item/rb00011986?page=10")</f>
        <v>https://rmda.kulib.kyoto-u.ac.jp/item/rb00011986?page=10</v>
      </c>
      <c r="AO17" s="67"/>
      <c r="AP17" s="36" t="s">
        <v>371</v>
      </c>
      <c r="AQ17" s="29">
        <v>4</v>
      </c>
      <c r="AR17" s="27" t="str">
        <f>HYPERLINK("https://www.digital.archives.go.jp/img/4219657/4")</f>
        <v>https://www.digital.archives.go.jp/img/4219657/4</v>
      </c>
      <c r="AS17" s="27" t="s">
        <v>568</v>
      </c>
      <c r="AT17" s="37" t="s">
        <v>565</v>
      </c>
      <c r="AU17" s="76">
        <v>237</v>
      </c>
      <c r="AV17" s="77" t="str">
        <f>HYPERLINK("https://dl.ndl.go.jp/ja/pid/12759449/1/237")</f>
        <v>https://dl.ndl.go.jp/ja/pid/12759449/1/237</v>
      </c>
    </row>
    <row r="18" spans="1:48" x14ac:dyDescent="0.15">
      <c r="A18" s="71" t="s">
        <v>372</v>
      </c>
      <c r="B18" s="29">
        <v>29</v>
      </c>
      <c r="C18" s="37" t="str">
        <f>HYPERLINK("https://www.digital.archives.go.jp/img/4106118/29")</f>
        <v>https://www.digital.archives.go.jp/img/4106118/29</v>
      </c>
      <c r="D18" s="43">
        <v>57</v>
      </c>
      <c r="E18" s="37" t="str">
        <f>HYPERLINK("https://kokusho.nijl.ac.jp/biblio/100317365/57")</f>
        <v>https://kokusho.nijl.ac.jp/biblio/100317365/57</v>
      </c>
      <c r="F18" s="43">
        <v>49</v>
      </c>
      <c r="G18" s="37" t="str">
        <f>HYPERLINK("https://kokusho.nijl.ac.jp/biblio/100317364/49")</f>
        <v>https://kokusho.nijl.ac.jp/biblio/100317364/49</v>
      </c>
      <c r="H18" s="43">
        <v>158</v>
      </c>
      <c r="I18" s="38" t="str">
        <f>HYPERLINK("https://kokusho.nijl.ac.jp/biblio/100382563/158")</f>
        <v>https://kokusho.nijl.ac.jp/biblio/100382563/158</v>
      </c>
      <c r="J18" s="43">
        <v>384</v>
      </c>
      <c r="K18" s="37" t="str">
        <f>HYPERLINK("https://rmda.kulib.kyoto-u.ac.jp/item/rb00004597?page=384")</f>
        <v>https://rmda.kulib.kyoto-u.ac.jp/item/rb00004597?page=384</v>
      </c>
      <c r="L18" s="43">
        <v>45</v>
      </c>
      <c r="M18" s="37" t="str">
        <f>HYPERLINK("https://rmda.kulib.kyoto-u.ac.jp/item/rb00004587?page=45")</f>
        <v>https://rmda.kulib.kyoto-u.ac.jp/item/rb00004587?page=45</v>
      </c>
      <c r="N18" s="36" t="s">
        <v>372</v>
      </c>
      <c r="O18" s="29">
        <v>37</v>
      </c>
      <c r="P18" s="37" t="str">
        <f>HYPERLINK("https://rmda.kulib.kyoto-u.ac.jp/item/rb00004585?page=37")</f>
        <v>https://rmda.kulib.kyoto-u.ac.jp/item/rb00004585?page=37</v>
      </c>
      <c r="Q18" s="50" t="s">
        <v>372</v>
      </c>
      <c r="R18" s="54" t="str">
        <f>HYPERLINK("https://rmda.kulib.kyoto-u.ac.jp/item/rb00004585?page=37")</f>
        <v>https://rmda.kulib.kyoto-u.ac.jp/item/rb00004585?page=37</v>
      </c>
      <c r="S18" s="36" t="s">
        <v>372</v>
      </c>
      <c r="T18" s="29" t="s">
        <v>525</v>
      </c>
      <c r="U18" s="37" t="str">
        <f t="shared" si="1"/>
        <v>https://archive.wul.waseda.ac.jp/kosho/ya09/ya09_00955/ya09_00955_0002/ya09_00955_0002.html</v>
      </c>
      <c r="V18" s="47" t="s">
        <v>372</v>
      </c>
      <c r="W18" s="29">
        <v>28</v>
      </c>
      <c r="X18" s="54" t="str">
        <f>HYPERLINK("https://rmda.kulib.kyoto-u.ac.jp/item/rb00004583?page=28")</f>
        <v>https://rmda.kulib.kyoto-u.ac.jp/item/rb00004583?page=28</v>
      </c>
      <c r="Y18" s="36" t="s">
        <v>372</v>
      </c>
      <c r="Z18" s="29">
        <v>46</v>
      </c>
      <c r="AA18" s="37" t="str">
        <f>HYPERLINK("https://rmda.kulib.kyoto-u.ac.jp/item/rb00004592?page=46")</f>
        <v>https://rmda.kulib.kyoto-u.ac.jp/item/rb00004592?page=46</v>
      </c>
      <c r="AB18" s="47" t="s">
        <v>372</v>
      </c>
      <c r="AC18" s="29">
        <v>43</v>
      </c>
      <c r="AD18" s="54" t="str">
        <f>HYPERLINK("https://rmda.kulib.kyoto-u.ac.jp/item/rb00004593?page=43")</f>
        <v>https://rmda.kulib.kyoto-u.ac.jp/item/rb00004593?page=43</v>
      </c>
      <c r="AE18" s="36" t="s">
        <v>372</v>
      </c>
      <c r="AF18" s="29">
        <v>30</v>
      </c>
      <c r="AG18" s="37" t="str">
        <f>HYPERLINK("https://rmda.kulib.kyoto-u.ac.jp/item/rb00008886?page=30")</f>
        <v>https://rmda.kulib.kyoto-u.ac.jp/item/rb00008886?page=30</v>
      </c>
      <c r="AH18" s="47" t="s">
        <v>372</v>
      </c>
      <c r="AI18" s="29"/>
      <c r="AJ18" s="29"/>
      <c r="AK18" s="54" t="s">
        <v>572</v>
      </c>
      <c r="AL18" s="36" t="s">
        <v>372</v>
      </c>
      <c r="AM18" s="29"/>
      <c r="AN18" s="37"/>
      <c r="AO18" s="67"/>
      <c r="AP18" s="36" t="s">
        <v>372</v>
      </c>
      <c r="AQ18" s="29">
        <v>18</v>
      </c>
      <c r="AR18" s="29" t="str">
        <f>HYPERLINK("https://www.digital.archives.go.jp/img/4219657/18")</f>
        <v>https://www.digital.archives.go.jp/img/4219657/18</v>
      </c>
      <c r="AS18" s="29"/>
      <c r="AT18" s="37" t="s">
        <v>565</v>
      </c>
      <c r="AU18" s="76">
        <v>239</v>
      </c>
      <c r="AV18" s="77" t="str">
        <f>HYPERLINK("https://dl.ndl.go.jp/ja/pid/12759449/1/239")</f>
        <v>https://dl.ndl.go.jp/ja/pid/12759449/1/239</v>
      </c>
    </row>
    <row r="19" spans="1:48" x14ac:dyDescent="0.15">
      <c r="A19" s="71" t="s">
        <v>373</v>
      </c>
      <c r="B19" s="29">
        <v>31</v>
      </c>
      <c r="C19" s="37" t="str">
        <f>HYPERLINK("https://www.digital.archives.go.jp/img/4106118/31")</f>
        <v>https://www.digital.archives.go.jp/img/4106118/31</v>
      </c>
      <c r="D19" s="43">
        <v>58</v>
      </c>
      <c r="E19" s="37" t="str">
        <f>HYPERLINK("https://kokusho.nijl.ac.jp/biblio/100317365/58")</f>
        <v>https://kokusho.nijl.ac.jp/biblio/100317365/58</v>
      </c>
      <c r="F19" s="43">
        <v>49</v>
      </c>
      <c r="G19" s="37" t="str">
        <f>HYPERLINK("https://kokusho.nijl.ac.jp/biblio/100317364/49")</f>
        <v>https://kokusho.nijl.ac.jp/biblio/100317364/49</v>
      </c>
      <c r="H19" s="43">
        <v>160</v>
      </c>
      <c r="I19" s="38" t="str">
        <f>HYPERLINK("https://kokusho.nijl.ac.jp/biblio/100382563/160")</f>
        <v>https://kokusho.nijl.ac.jp/biblio/100382563/160</v>
      </c>
      <c r="J19" s="43">
        <v>390</v>
      </c>
      <c r="K19" s="37" t="str">
        <f>HYPERLINK("https://rmda.kulib.kyoto-u.ac.jp/item/rb00004597?page=390")</f>
        <v>https://rmda.kulib.kyoto-u.ac.jp/item/rb00004597?page=390</v>
      </c>
      <c r="L19" s="43">
        <v>47</v>
      </c>
      <c r="M19" s="37" t="str">
        <f>HYPERLINK("https://rmda.kulib.kyoto-u.ac.jp/item/rb00004587?page=47")</f>
        <v>https://rmda.kulib.kyoto-u.ac.jp/item/rb00004587?page=47</v>
      </c>
      <c r="N19" s="36" t="s">
        <v>373</v>
      </c>
      <c r="O19" s="29">
        <v>39</v>
      </c>
      <c r="P19" s="37" t="str">
        <f>HYPERLINK("https://rmda.kulib.kyoto-u.ac.jp/item/rb00004585?page=39")</f>
        <v>https://rmda.kulib.kyoto-u.ac.jp/item/rb00004585?page=39</v>
      </c>
      <c r="Q19" s="50" t="s">
        <v>374</v>
      </c>
      <c r="R19" s="54" t="str">
        <f>HYPERLINK("https://rmda.kulib.kyoto-u.ac.jp/item/rb00004585?page=13")</f>
        <v>https://rmda.kulib.kyoto-u.ac.jp/item/rb00004585?page=13</v>
      </c>
      <c r="S19" s="36" t="s">
        <v>373</v>
      </c>
      <c r="T19" s="29" t="s">
        <v>510</v>
      </c>
      <c r="U19" s="37" t="str">
        <f t="shared" si="1"/>
        <v>https://archive.wul.waseda.ac.jp/kosho/ya09/ya09_00955/ya09_00955_0002/ya09_00955_0002.html</v>
      </c>
      <c r="V19" s="47" t="s">
        <v>373</v>
      </c>
      <c r="W19" s="29">
        <v>29</v>
      </c>
      <c r="X19" s="54" t="str">
        <f>HYPERLINK("https://rmda.kulib.kyoto-u.ac.jp/item/rb00004583?page=29")</f>
        <v>https://rmda.kulib.kyoto-u.ac.jp/item/rb00004583?page=29</v>
      </c>
      <c r="Y19" s="36" t="s">
        <v>373</v>
      </c>
      <c r="Z19" s="29">
        <v>48</v>
      </c>
      <c r="AA19" s="37" t="str">
        <f>HYPERLINK("https://rmda.kulib.kyoto-u.ac.jp/item/rb00004592?page=48")</f>
        <v>https://rmda.kulib.kyoto-u.ac.jp/item/rb00004592?page=48</v>
      </c>
      <c r="AB19" s="47" t="s">
        <v>373</v>
      </c>
      <c r="AC19" s="29">
        <v>46</v>
      </c>
      <c r="AD19" s="54" t="str">
        <f>HYPERLINK("https://rmda.kulib.kyoto-u.ac.jp/item/rb00004593?page=46")</f>
        <v>https://rmda.kulib.kyoto-u.ac.jp/item/rb00004593?page=46</v>
      </c>
      <c r="AE19" s="36" t="s">
        <v>373</v>
      </c>
      <c r="AF19" s="29">
        <v>32</v>
      </c>
      <c r="AG19" s="37" t="str">
        <f>HYPERLINK("https://rmda.kulib.kyoto-u.ac.jp/item/rb00008886?page=32")</f>
        <v>https://rmda.kulib.kyoto-u.ac.jp/item/rb00008886?page=32</v>
      </c>
      <c r="AH19" s="47" t="s">
        <v>373</v>
      </c>
      <c r="AI19" s="29">
        <v>104</v>
      </c>
      <c r="AJ19" s="27" t="str">
        <f>HYPERLINK("https://rmda.kulib.kyoto-u.ac.jp/item/rb00008886?page=104")</f>
        <v>https://rmda.kulib.kyoto-u.ac.jp/item/rb00008886?page=104</v>
      </c>
      <c r="AK19" s="54" t="s">
        <v>572</v>
      </c>
      <c r="AL19" s="36" t="s">
        <v>373</v>
      </c>
      <c r="AM19" s="29">
        <v>11</v>
      </c>
      <c r="AN19" s="38" t="str">
        <f>HYPERLINK("https://rmda.kulib.kyoto-u.ac.jp/item/rb00011986?page=11")</f>
        <v>https://rmda.kulib.kyoto-u.ac.jp/item/rb00011986?page=11</v>
      </c>
      <c r="AO19" s="67"/>
      <c r="AP19" s="36" t="s">
        <v>373</v>
      </c>
      <c r="AQ19" s="29">
        <v>23</v>
      </c>
      <c r="AR19" s="29" t="str">
        <f>HYPERLINK("https://www.digital.archives.go.jp/img/4219657/23")</f>
        <v>https://www.digital.archives.go.jp/img/4219657/23</v>
      </c>
      <c r="AS19" s="29">
        <v>24</v>
      </c>
      <c r="AT19" s="38" t="str">
        <f>HYPERLINK("https://www.digital.archives.go.jp/img/4218747/24")</f>
        <v>https://www.digital.archives.go.jp/img/4218747/24</v>
      </c>
      <c r="AU19" s="76">
        <v>240</v>
      </c>
      <c r="AV19" s="77" t="str">
        <f>HYPERLINK("https://dl.ndl.go.jp/ja/pid/12759449/1/240")</f>
        <v>https://dl.ndl.go.jp/ja/pid/12759449/1/240</v>
      </c>
    </row>
    <row r="20" spans="1:48" x14ac:dyDescent="0.15">
      <c r="A20" s="71" t="s">
        <v>374</v>
      </c>
      <c r="B20" s="29">
        <v>38</v>
      </c>
      <c r="C20" s="37" t="str">
        <f>HYPERLINK("https://www.digital.archives.go.jp/img/4106118/38")</f>
        <v>https://www.digital.archives.go.jp/img/4106118/38</v>
      </c>
      <c r="D20" s="43">
        <v>61</v>
      </c>
      <c r="E20" s="37" t="str">
        <f>HYPERLINK("https://kokusho.nijl.ac.jp/biblio/100317365/61")</f>
        <v>https://kokusho.nijl.ac.jp/biblio/100317365/61</v>
      </c>
      <c r="F20" s="43">
        <v>51</v>
      </c>
      <c r="G20" s="37" t="str">
        <f>HYPERLINK("https://kokusho.nijl.ac.jp/biblio/100317364/51")</f>
        <v>https://kokusho.nijl.ac.jp/biblio/100317364/51</v>
      </c>
      <c r="H20" s="43">
        <v>170</v>
      </c>
      <c r="I20" s="38" t="str">
        <f>HYPERLINK("https://kokusho.nijl.ac.jp/biblio/100382563/170")</f>
        <v>https://kokusho.nijl.ac.jp/biblio/100382563/170</v>
      </c>
      <c r="J20" s="43">
        <v>409</v>
      </c>
      <c r="K20" s="37" t="str">
        <f>HYPERLINK("https://rmda.kulib.kyoto-u.ac.jp/item/rb00004597?page=409")</f>
        <v>https://rmda.kulib.kyoto-u.ac.jp/item/rb00004597?page=409</v>
      </c>
      <c r="L20" s="43">
        <v>50</v>
      </c>
      <c r="M20" s="37" t="str">
        <f>HYPERLINK("https://rmda.kulib.kyoto-u.ac.jp/item/rb00004587?page=50")</f>
        <v>https://rmda.kulib.kyoto-u.ac.jp/item/rb00004587?page=50</v>
      </c>
      <c r="N20" s="36" t="s">
        <v>374</v>
      </c>
      <c r="O20" s="29">
        <v>41</v>
      </c>
      <c r="P20" s="37" t="str">
        <f>HYPERLINK("https://rmda.kulib.kyoto-u.ac.jp/item/rb00004585?page=41")</f>
        <v>https://rmda.kulib.kyoto-u.ac.jp/item/rb00004585?page=41</v>
      </c>
      <c r="Q20" s="50" t="s">
        <v>375</v>
      </c>
      <c r="R20" s="54" t="str">
        <f>HYPERLINK("https://rmda.kulib.kyoto-u.ac.jp/item/rb00004585?page=39")</f>
        <v>https://rmda.kulib.kyoto-u.ac.jp/item/rb00004585?page=39</v>
      </c>
      <c r="S20" s="36" t="s">
        <v>374</v>
      </c>
      <c r="T20" s="29" t="s">
        <v>526</v>
      </c>
      <c r="U20" s="37" t="str">
        <f t="shared" si="1"/>
        <v>https://archive.wul.waseda.ac.jp/kosho/ya09/ya09_00955/ya09_00955_0002/ya09_00955_0002.html</v>
      </c>
      <c r="V20" s="47" t="s">
        <v>374</v>
      </c>
      <c r="W20" s="29">
        <v>31</v>
      </c>
      <c r="X20" s="54" t="str">
        <f>HYPERLINK("https://rmda.kulib.kyoto-u.ac.jp/item/rb00004583?page=31")</f>
        <v>https://rmda.kulib.kyoto-u.ac.jp/item/rb00004583?page=31</v>
      </c>
      <c r="Y20" s="36" t="s">
        <v>374</v>
      </c>
      <c r="Z20" s="29">
        <v>51</v>
      </c>
      <c r="AA20" s="37" t="str">
        <f>HYPERLINK("https://rmda.kulib.kyoto-u.ac.jp/item/rb00004592?page=51")</f>
        <v>https://rmda.kulib.kyoto-u.ac.jp/item/rb00004592?page=51</v>
      </c>
      <c r="AB20" s="47" t="s">
        <v>374</v>
      </c>
      <c r="AC20" s="29">
        <v>49</v>
      </c>
      <c r="AD20" s="54" t="str">
        <f>HYPERLINK("https://rmda.kulib.kyoto-u.ac.jp/item/rb00004593?page=49")</f>
        <v>https://rmda.kulib.kyoto-u.ac.jp/item/rb00004593?page=49</v>
      </c>
      <c r="AE20" s="36" t="s">
        <v>374</v>
      </c>
      <c r="AF20" s="29">
        <v>35</v>
      </c>
      <c r="AG20" s="37" t="str">
        <f>HYPERLINK("https://rmda.kulib.kyoto-u.ac.jp/item/rb00008886?page=35")</f>
        <v>https://rmda.kulib.kyoto-u.ac.jp/item/rb00008886?page=35</v>
      </c>
      <c r="AH20" s="47" t="s">
        <v>374</v>
      </c>
      <c r="AI20" s="29">
        <v>105</v>
      </c>
      <c r="AJ20" s="27" t="str">
        <f>HYPERLINK("https://rmda.kulib.kyoto-u.ac.jp/item/rb00008886?page=105")</f>
        <v>https://rmda.kulib.kyoto-u.ac.jp/item/rb00008886?page=105</v>
      </c>
      <c r="AK20" s="54" t="s">
        <v>572</v>
      </c>
      <c r="AL20" s="36" t="s">
        <v>374</v>
      </c>
      <c r="AM20" s="29">
        <v>12</v>
      </c>
      <c r="AN20" s="38" t="str">
        <f>HYPERLINK("https://rmda.kulib.kyoto-u.ac.jp/item/rb00011986?page=12")</f>
        <v>https://rmda.kulib.kyoto-u.ac.jp/item/rb00011986?page=12</v>
      </c>
      <c r="AO20" s="67"/>
      <c r="AP20" s="36" t="s">
        <v>374</v>
      </c>
      <c r="AQ20" s="29">
        <v>34</v>
      </c>
      <c r="AR20" s="29" t="str">
        <f>HYPERLINK("https://www.digital.archives.go.jp/img/4219657/34")</f>
        <v>https://www.digital.archives.go.jp/img/4219657/34</v>
      </c>
      <c r="AS20" s="29"/>
      <c r="AT20" s="37" t="s">
        <v>565</v>
      </c>
      <c r="AU20" s="76">
        <v>242</v>
      </c>
      <c r="AV20" s="77" t="str">
        <f>HYPERLINK("https://dl.ndl.go.jp/ja/pid/12759449/1/242")</f>
        <v>https://dl.ndl.go.jp/ja/pid/12759449/1/242</v>
      </c>
    </row>
    <row r="21" spans="1:48" x14ac:dyDescent="0.15">
      <c r="A21" s="71" t="s">
        <v>375</v>
      </c>
      <c r="B21" s="29">
        <v>4</v>
      </c>
      <c r="C21" s="38" t="str">
        <f>HYPERLINK("https://www.digital.archives.go.jp/img/4106120/4")</f>
        <v>https://www.digital.archives.go.jp/img/4106120/4</v>
      </c>
      <c r="D21" s="43">
        <v>62</v>
      </c>
      <c r="E21" s="37" t="str">
        <f>HYPERLINK("https://kokusho.nijl.ac.jp/biblio/100317365/62")</f>
        <v>https://kokusho.nijl.ac.jp/biblio/100317365/62</v>
      </c>
      <c r="F21" s="43">
        <v>52</v>
      </c>
      <c r="G21" s="37" t="str">
        <f>HYPERLINK("https://kokusho.nijl.ac.jp/biblio/100317364/52")</f>
        <v>https://kokusho.nijl.ac.jp/biblio/100317364/52</v>
      </c>
      <c r="H21" s="43">
        <v>173</v>
      </c>
      <c r="I21" s="38" t="str">
        <f>HYPERLINK("https://kokusho.nijl.ac.jp/biblio/100382563/173")</f>
        <v>https://kokusho.nijl.ac.jp/biblio/100382563/173</v>
      </c>
      <c r="J21" s="43">
        <v>416</v>
      </c>
      <c r="K21" s="37" t="str">
        <f>HYPERLINK("https://rmda.kulib.kyoto-u.ac.jp/item/rb00004597?page=416")</f>
        <v>https://rmda.kulib.kyoto-u.ac.jp/item/rb00004597?page=416</v>
      </c>
      <c r="L21" s="43">
        <v>51</v>
      </c>
      <c r="M21" s="37" t="str">
        <f>HYPERLINK("https://rmda.kulib.kyoto-u.ac.jp/item/rb00004587?page=51")</f>
        <v>https://rmda.kulib.kyoto-u.ac.jp/item/rb00004587?page=51</v>
      </c>
      <c r="N21" s="36" t="s">
        <v>375</v>
      </c>
      <c r="O21" s="29">
        <v>42</v>
      </c>
      <c r="P21" s="37" t="str">
        <f>HYPERLINK("https://rmda.kulib.kyoto-u.ac.jp/item/rb00004585?page=42")</f>
        <v>https://rmda.kulib.kyoto-u.ac.jp/item/rb00004585?page=42</v>
      </c>
      <c r="Q21" s="50" t="s">
        <v>376</v>
      </c>
      <c r="R21" s="54" t="str">
        <f>HYPERLINK("https://rmda.kulib.kyoto-u.ac.jp/item/rb00004585?page=41")</f>
        <v>https://rmda.kulib.kyoto-u.ac.jp/item/rb00004585?page=41</v>
      </c>
      <c r="S21" s="36" t="s">
        <v>375</v>
      </c>
      <c r="T21" s="29" t="s">
        <v>513</v>
      </c>
      <c r="U21" s="37" t="str">
        <f t="shared" si="1"/>
        <v>https://archive.wul.waseda.ac.jp/kosho/ya09/ya09_00955/ya09_00955_0002/ya09_00955_0002.html</v>
      </c>
      <c r="V21" s="47" t="s">
        <v>375</v>
      </c>
      <c r="W21" s="29">
        <v>32</v>
      </c>
      <c r="X21" s="54" t="str">
        <f>HYPERLINK("https://rmda.kulib.kyoto-u.ac.jp/item/rb00004583?page=32")</f>
        <v>https://rmda.kulib.kyoto-u.ac.jp/item/rb00004583?page=32</v>
      </c>
      <c r="Y21" s="36" t="s">
        <v>375</v>
      </c>
      <c r="Z21" s="29">
        <v>53</v>
      </c>
      <c r="AA21" s="37" t="str">
        <f>HYPERLINK("https://rmda.kulib.kyoto-u.ac.jp/item/rb00004592?page=53")</f>
        <v>https://rmda.kulib.kyoto-u.ac.jp/item/rb00004592?page=53</v>
      </c>
      <c r="AB21" s="47" t="s">
        <v>375</v>
      </c>
      <c r="AC21" s="29">
        <v>50</v>
      </c>
      <c r="AD21" s="54" t="str">
        <f>HYPERLINK("https://rmda.kulib.kyoto-u.ac.jp/item/rb00004593?page=50")</f>
        <v>https://rmda.kulib.kyoto-u.ac.jp/item/rb00004593?page=50</v>
      </c>
      <c r="AE21" s="36" t="s">
        <v>375</v>
      </c>
      <c r="AF21" s="29">
        <v>36</v>
      </c>
      <c r="AG21" s="37" t="str">
        <f>HYPERLINK("https://rmda.kulib.kyoto-u.ac.jp/item/rb00008886?page=36")</f>
        <v>https://rmda.kulib.kyoto-u.ac.jp/item/rb00008886?page=36</v>
      </c>
      <c r="AH21" s="47" t="s">
        <v>375</v>
      </c>
      <c r="AI21" s="29"/>
      <c r="AJ21" s="29"/>
      <c r="AK21" s="54"/>
      <c r="AL21" s="36" t="s">
        <v>375</v>
      </c>
      <c r="AM21" s="29"/>
      <c r="AN21" s="37"/>
      <c r="AO21" s="67"/>
      <c r="AP21" s="36" t="s">
        <v>375</v>
      </c>
      <c r="AQ21" s="29">
        <v>40</v>
      </c>
      <c r="AR21" s="29" t="str">
        <f>HYPERLINK("https://www.digital.archives.go.jp/img/4219657/40")</f>
        <v>https://www.digital.archives.go.jp/img/4219657/40</v>
      </c>
      <c r="AS21" s="29"/>
      <c r="AT21" s="37" t="s">
        <v>565</v>
      </c>
      <c r="AU21" s="76">
        <v>243</v>
      </c>
      <c r="AV21" s="77" t="str">
        <f>HYPERLINK("https://dl.ndl.go.jp/ja/pid/12759449/1/243")</f>
        <v>https://dl.ndl.go.jp/ja/pid/12759449/1/243</v>
      </c>
    </row>
    <row r="22" spans="1:48" x14ac:dyDescent="0.15">
      <c r="A22" s="71" t="s">
        <v>376</v>
      </c>
      <c r="B22" s="29">
        <v>6</v>
      </c>
      <c r="C22" s="37" t="str">
        <f>HYPERLINK("https://www.digital.archives.go.jp/img/4106120/6")</f>
        <v>https://www.digital.archives.go.jp/img/4106120/6</v>
      </c>
      <c r="D22" s="43">
        <v>63</v>
      </c>
      <c r="E22" s="37" t="str">
        <f>HYPERLINK("https://kokusho.nijl.ac.jp/biblio/100317365/63")</f>
        <v>https://kokusho.nijl.ac.jp/biblio/100317365/63</v>
      </c>
      <c r="F22" s="43">
        <v>53</v>
      </c>
      <c r="G22" s="37" t="str">
        <f>HYPERLINK("https://kokusho.nijl.ac.jp/biblio/100317364/53")</f>
        <v>https://kokusho.nijl.ac.jp/biblio/100317364/53</v>
      </c>
      <c r="H22" s="43">
        <v>174</v>
      </c>
      <c r="I22" s="38" t="str">
        <f>HYPERLINK("https://kokusho.nijl.ac.jp/biblio/100382563/174")</f>
        <v>https://kokusho.nijl.ac.jp/biblio/100382563/174</v>
      </c>
      <c r="J22" s="43">
        <v>421</v>
      </c>
      <c r="K22" s="37" t="str">
        <f>HYPERLINK("https://rmda.kulib.kyoto-u.ac.jp/item/rb00004597?page=421")</f>
        <v>https://rmda.kulib.kyoto-u.ac.jp/item/rb00004597?page=421</v>
      </c>
      <c r="L22" s="43">
        <v>53</v>
      </c>
      <c r="M22" s="37" t="str">
        <f>HYPERLINK("https://rmda.kulib.kyoto-u.ac.jp/item/rb00004587?page=53")</f>
        <v>https://rmda.kulib.kyoto-u.ac.jp/item/rb00004587?page=53</v>
      </c>
      <c r="N22" s="36" t="s">
        <v>376</v>
      </c>
      <c r="O22" s="29">
        <v>43</v>
      </c>
      <c r="P22" s="37" t="str">
        <f>HYPERLINK("https://rmda.kulib.kyoto-u.ac.jp/item/rb00004585?page=43")</f>
        <v>https://rmda.kulib.kyoto-u.ac.jp/item/rb00004585?page=43</v>
      </c>
      <c r="Q22" s="50" t="s">
        <v>377</v>
      </c>
      <c r="R22" s="54" t="str">
        <f>HYPERLINK("https://rmda.kulib.kyoto-u.ac.jp/item/rb00004585?page=42")</f>
        <v>https://rmda.kulib.kyoto-u.ac.jp/item/rb00004585?page=42</v>
      </c>
      <c r="S22" s="36" t="s">
        <v>376</v>
      </c>
      <c r="T22" s="29" t="s">
        <v>515</v>
      </c>
      <c r="U22" s="37" t="str">
        <f t="shared" si="1"/>
        <v>https://archive.wul.waseda.ac.jp/kosho/ya09/ya09_00955/ya09_00955_0002/ya09_00955_0002.html</v>
      </c>
      <c r="V22" s="47" t="s">
        <v>376</v>
      </c>
      <c r="W22" s="29">
        <v>32</v>
      </c>
      <c r="X22" s="54" t="str">
        <f>HYPERLINK("https://rmda.kulib.kyoto-u.ac.jp/item/rb00004583?page=32")</f>
        <v>https://rmda.kulib.kyoto-u.ac.jp/item/rb00004583?page=32</v>
      </c>
      <c r="Y22" s="36" t="s">
        <v>376</v>
      </c>
      <c r="Z22" s="29">
        <v>54</v>
      </c>
      <c r="AA22" s="37" t="str">
        <f>HYPERLINK("https://rmda.kulib.kyoto-u.ac.jp/item/rb00004592?page=54")</f>
        <v>https://rmda.kulib.kyoto-u.ac.jp/item/rb00004592?page=54</v>
      </c>
      <c r="AB22" s="47" t="s">
        <v>376</v>
      </c>
      <c r="AC22" s="29">
        <v>52</v>
      </c>
      <c r="AD22" s="54" t="str">
        <f>HYPERLINK("https://rmda.kulib.kyoto-u.ac.jp/item/rb00004593?page=52")</f>
        <v>https://rmda.kulib.kyoto-u.ac.jp/item/rb00004593?page=52</v>
      </c>
      <c r="AE22" s="36" t="s">
        <v>376</v>
      </c>
      <c r="AF22" s="29">
        <v>37</v>
      </c>
      <c r="AG22" s="37" t="str">
        <f>HYPERLINK("https://rmda.kulib.kyoto-u.ac.jp/item/rb00008886?page=37")</f>
        <v>https://rmda.kulib.kyoto-u.ac.jp/item/rb00008886?page=37</v>
      </c>
      <c r="AH22" s="47" t="s">
        <v>376</v>
      </c>
      <c r="AI22" s="29"/>
      <c r="AJ22" s="29"/>
      <c r="AK22" s="54"/>
      <c r="AL22" s="36" t="s">
        <v>376</v>
      </c>
      <c r="AM22" s="29"/>
      <c r="AN22" s="37"/>
      <c r="AO22" s="67"/>
      <c r="AP22" s="36" t="s">
        <v>376</v>
      </c>
      <c r="AQ22" s="29">
        <v>44</v>
      </c>
      <c r="AR22" s="29" t="str">
        <f>HYPERLINK("https://www.digital.archives.go.jp/img/4219657/44")</f>
        <v>https://www.digital.archives.go.jp/img/4219657/44</v>
      </c>
      <c r="AS22" s="29"/>
      <c r="AT22" s="37" t="s">
        <v>565</v>
      </c>
      <c r="AU22" s="76">
        <v>243</v>
      </c>
      <c r="AV22" s="77" t="str">
        <f>HYPERLINK("https://dl.ndl.go.jp/ja/pid/12759449/1/243")</f>
        <v>https://dl.ndl.go.jp/ja/pid/12759449/1/243</v>
      </c>
    </row>
    <row r="23" spans="1:48" x14ac:dyDescent="0.15">
      <c r="A23" s="71" t="s">
        <v>377</v>
      </c>
      <c r="B23" s="29">
        <v>7</v>
      </c>
      <c r="C23" s="37" t="str">
        <f>HYPERLINK("https://www.digital.archives.go.jp/img/4106120/7")</f>
        <v>https://www.digital.archives.go.jp/img/4106120/7</v>
      </c>
      <c r="D23" s="43">
        <v>63</v>
      </c>
      <c r="E23" s="37" t="str">
        <f>HYPERLINK("https://kokusho.nijl.ac.jp/biblio/100317365/63")</f>
        <v>https://kokusho.nijl.ac.jp/biblio/100317365/63</v>
      </c>
      <c r="F23" s="43">
        <v>53</v>
      </c>
      <c r="G23" s="37" t="str">
        <f>HYPERLINK("https://kokusho.nijl.ac.jp/biblio/100317364/53")</f>
        <v>https://kokusho.nijl.ac.jp/biblio/100317364/53</v>
      </c>
      <c r="H23" s="43">
        <v>176</v>
      </c>
      <c r="I23" s="38" t="str">
        <f>HYPERLINK("https://kokusho.nijl.ac.jp/biblio/100382563/176")</f>
        <v>https://kokusho.nijl.ac.jp/biblio/100382563/176</v>
      </c>
      <c r="J23" s="43">
        <v>424</v>
      </c>
      <c r="K23" s="37" t="str">
        <f>HYPERLINK("https://rmda.kulib.kyoto-u.ac.jp/item/rb00004597?page=424")</f>
        <v>https://rmda.kulib.kyoto-u.ac.jp/item/rb00004597?page=424</v>
      </c>
      <c r="L23" s="43">
        <v>53</v>
      </c>
      <c r="M23" s="37" t="str">
        <f>HYPERLINK("https://rmda.kulib.kyoto-u.ac.jp/item/rb00004587?page=53")</f>
        <v>https://rmda.kulib.kyoto-u.ac.jp/item/rb00004587?page=53</v>
      </c>
      <c r="N23" s="36" t="s">
        <v>377</v>
      </c>
      <c r="O23" s="29">
        <v>44</v>
      </c>
      <c r="P23" s="37" t="str">
        <f>HYPERLINK("https://rmda.kulib.kyoto-u.ac.jp/item/rb00004585?page=44")</f>
        <v>https://rmda.kulib.kyoto-u.ac.jp/item/rb00004585?page=44</v>
      </c>
      <c r="Q23" s="50" t="s">
        <v>465</v>
      </c>
      <c r="R23" s="54" t="str">
        <f>HYPERLINK("https://rmda.kulib.kyoto-u.ac.jp/item/rb00004585?page=43")</f>
        <v>https://rmda.kulib.kyoto-u.ac.jp/item/rb00004585?page=43</v>
      </c>
      <c r="S23" s="36" t="s">
        <v>377</v>
      </c>
      <c r="T23" s="29" t="s">
        <v>527</v>
      </c>
      <c r="U23" s="37" t="str">
        <f t="shared" si="1"/>
        <v>https://archive.wul.waseda.ac.jp/kosho/ya09/ya09_00955/ya09_00955_0002/ya09_00955_0002.html</v>
      </c>
      <c r="V23" s="47" t="s">
        <v>377</v>
      </c>
      <c r="W23" s="29">
        <v>32</v>
      </c>
      <c r="X23" s="54" t="str">
        <f>HYPERLINK("https://rmda.kulib.kyoto-u.ac.jp/item/rb00004583?page=32")</f>
        <v>https://rmda.kulib.kyoto-u.ac.jp/item/rb00004583?page=32</v>
      </c>
      <c r="Y23" s="36" t="s">
        <v>377</v>
      </c>
      <c r="Z23" s="29">
        <v>55</v>
      </c>
      <c r="AA23" s="37" t="str">
        <f>HYPERLINK("https://rmda.kulib.kyoto-u.ac.jp/item/rb00004592?page=55")</f>
        <v>https://rmda.kulib.kyoto-u.ac.jp/item/rb00004592?page=55</v>
      </c>
      <c r="AB23" s="47" t="s">
        <v>377</v>
      </c>
      <c r="AC23" s="29">
        <v>52</v>
      </c>
      <c r="AD23" s="54" t="str">
        <f>HYPERLINK("https://rmda.kulib.kyoto-u.ac.jp/item/rb00004593?page=52")</f>
        <v>https://rmda.kulib.kyoto-u.ac.jp/item/rb00004593?page=52</v>
      </c>
      <c r="AE23" s="36" t="s">
        <v>377</v>
      </c>
      <c r="AF23" s="29">
        <v>37</v>
      </c>
      <c r="AG23" s="37" t="str">
        <f>HYPERLINK("https://rmda.kulib.kyoto-u.ac.jp/item/rb00008886?page=37")</f>
        <v>https://rmda.kulib.kyoto-u.ac.jp/item/rb00008886?page=37</v>
      </c>
      <c r="AH23" s="47" t="s">
        <v>377</v>
      </c>
      <c r="AI23" s="29"/>
      <c r="AJ23" s="29"/>
      <c r="AK23" s="54"/>
      <c r="AL23" s="36" t="s">
        <v>377</v>
      </c>
      <c r="AM23" s="29"/>
      <c r="AN23" s="37"/>
      <c r="AO23" s="67"/>
      <c r="AP23" s="36" t="s">
        <v>377</v>
      </c>
      <c r="AQ23" s="29">
        <v>45</v>
      </c>
      <c r="AR23" s="29" t="str">
        <f>HYPERLINK("https://www.digital.archives.go.jp/img/4219657/45")</f>
        <v>https://www.digital.archives.go.jp/img/4219657/45</v>
      </c>
      <c r="AS23" s="29"/>
      <c r="AT23" s="37" t="s">
        <v>565</v>
      </c>
      <c r="AU23" s="76">
        <v>244</v>
      </c>
      <c r="AV23" s="77" t="str">
        <f>HYPERLINK("https://dl.ndl.go.jp/ja/pid/12759449/1/244")</f>
        <v>https://dl.ndl.go.jp/ja/pid/12759449/1/244</v>
      </c>
    </row>
    <row r="24" spans="1:48" x14ac:dyDescent="0.15">
      <c r="A24" s="71" t="s">
        <v>378</v>
      </c>
      <c r="B24" s="29">
        <v>9</v>
      </c>
      <c r="C24" s="37" t="str">
        <f>HYPERLINK("https://www.digital.archives.go.jp/img/4106120/9")</f>
        <v>https://www.digital.archives.go.jp/img/4106120/9</v>
      </c>
      <c r="D24" s="43">
        <v>64</v>
      </c>
      <c r="E24" s="37" t="str">
        <f>HYPERLINK("https://kokusho.nijl.ac.jp/biblio/100317365/64")</f>
        <v>https://kokusho.nijl.ac.jp/biblio/100317365/64</v>
      </c>
      <c r="F24" s="43">
        <v>54</v>
      </c>
      <c r="G24" s="37" t="str">
        <f>HYPERLINK("https://kokusho.nijl.ac.jp/biblio/100317364/54")</f>
        <v>https://kokusho.nijl.ac.jp/biblio/100317364/54</v>
      </c>
      <c r="H24" s="43">
        <v>178</v>
      </c>
      <c r="I24" s="38" t="str">
        <f>HYPERLINK("https://kokusho.nijl.ac.jp/biblio/100382563/178")</f>
        <v>https://kokusho.nijl.ac.jp/biblio/100382563/178</v>
      </c>
      <c r="J24" s="43">
        <v>431</v>
      </c>
      <c r="K24" s="37" t="str">
        <f>HYPERLINK("https://rmda.kulib.kyoto-u.ac.jp/item/rb00004597?page=431")</f>
        <v>https://rmda.kulib.kyoto-u.ac.jp/item/rb00004597?page=431</v>
      </c>
      <c r="L24" s="43">
        <v>54</v>
      </c>
      <c r="M24" s="37" t="str">
        <f>HYPERLINK("https://rmda.kulib.kyoto-u.ac.jp/item/rb00004587?page=54")</f>
        <v>https://rmda.kulib.kyoto-u.ac.jp/item/rb00004587?page=54</v>
      </c>
      <c r="N24" s="36" t="s">
        <v>378</v>
      </c>
      <c r="O24" s="29">
        <v>46</v>
      </c>
      <c r="P24" s="37" t="str">
        <f>HYPERLINK("https://rmda.kulib.kyoto-u.ac.jp/item/rb00004585?page=46")</f>
        <v>https://rmda.kulib.kyoto-u.ac.jp/item/rb00004585?page=46</v>
      </c>
      <c r="Q24" s="50" t="s">
        <v>378</v>
      </c>
      <c r="R24" s="54" t="str">
        <f>HYPERLINK("https://rmda.kulib.kyoto-u.ac.jp/item/rb00004585?page=46")</f>
        <v>https://rmda.kulib.kyoto-u.ac.jp/item/rb00004585?page=46</v>
      </c>
      <c r="S24" s="36" t="s">
        <v>378</v>
      </c>
      <c r="T24" s="29" t="s">
        <v>528</v>
      </c>
      <c r="U24" s="37" t="str">
        <f t="shared" si="1"/>
        <v>https://archive.wul.waseda.ac.jp/kosho/ya09/ya09_00955/ya09_00955_0002/ya09_00955_0002.html</v>
      </c>
      <c r="V24" s="47" t="s">
        <v>378</v>
      </c>
      <c r="W24" s="29">
        <v>33</v>
      </c>
      <c r="X24" s="54" t="str">
        <f>HYPERLINK("https://rmda.kulib.kyoto-u.ac.jp/item/rb00004583?page=33")</f>
        <v>https://rmda.kulib.kyoto-u.ac.jp/item/rb00004583?page=33</v>
      </c>
      <c r="Y24" s="36" t="s">
        <v>378</v>
      </c>
      <c r="Z24" s="29">
        <v>57</v>
      </c>
      <c r="AA24" s="37" t="str">
        <f>HYPERLINK("https://rmda.kulib.kyoto-u.ac.jp/item/rb00004592?page=57")</f>
        <v>https://rmda.kulib.kyoto-u.ac.jp/item/rb00004592?page=57</v>
      </c>
      <c r="AB24" s="47" t="s">
        <v>378</v>
      </c>
      <c r="AC24" s="29">
        <v>54</v>
      </c>
      <c r="AD24" s="54" t="str">
        <f>HYPERLINK("https://rmda.kulib.kyoto-u.ac.jp/item/rb00004593?page=54")</f>
        <v>https://rmda.kulib.kyoto-u.ac.jp/item/rb00004593?page=54</v>
      </c>
      <c r="AE24" s="36" t="s">
        <v>378</v>
      </c>
      <c r="AF24" s="29">
        <v>38</v>
      </c>
      <c r="AG24" s="37" t="str">
        <f>HYPERLINK("https://rmda.kulib.kyoto-u.ac.jp/item/rb00008886?page=38")</f>
        <v>https://rmda.kulib.kyoto-u.ac.jp/item/rb00008886?page=38</v>
      </c>
      <c r="AH24" s="47" t="s">
        <v>378</v>
      </c>
      <c r="AI24" s="29">
        <v>105</v>
      </c>
      <c r="AJ24" s="27" t="str">
        <f>HYPERLINK("https://rmda.kulib.kyoto-u.ac.jp/item/rb00008886?page=105")</f>
        <v>https://rmda.kulib.kyoto-u.ac.jp/item/rb00008886?page=105</v>
      </c>
      <c r="AK24" s="54" t="s">
        <v>572</v>
      </c>
      <c r="AL24" s="36" t="s">
        <v>378</v>
      </c>
      <c r="AM24" s="29">
        <v>12</v>
      </c>
      <c r="AN24" s="38" t="str">
        <f>HYPERLINK("https://rmda.kulib.kyoto-u.ac.jp/item/rb00011986?page=12")</f>
        <v>https://rmda.kulib.kyoto-u.ac.jp/item/rb00011986?page=12</v>
      </c>
      <c r="AO24" s="67"/>
      <c r="AP24" s="36" t="s">
        <v>378</v>
      </c>
      <c r="AQ24" s="29">
        <v>48</v>
      </c>
      <c r="AR24" s="29" t="str">
        <f>HYPERLINK("https://www.digital.archives.go.jp/img/4219657/48")</f>
        <v>https://www.digital.archives.go.jp/img/4219657/48</v>
      </c>
      <c r="AS24" s="29"/>
      <c r="AT24" s="37" t="s">
        <v>565</v>
      </c>
      <c r="AU24" s="76">
        <v>244</v>
      </c>
      <c r="AV24" s="77" t="str">
        <f>HYPERLINK("https://dl.ndl.go.jp/ja/pid/12759449/1/244")</f>
        <v>https://dl.ndl.go.jp/ja/pid/12759449/1/244</v>
      </c>
    </row>
    <row r="25" spans="1:48" x14ac:dyDescent="0.15">
      <c r="A25" s="71" t="s">
        <v>379</v>
      </c>
      <c r="B25" s="29">
        <v>14</v>
      </c>
      <c r="C25" s="37" t="str">
        <f>HYPERLINK("https://www.digital.archives.go.jp/img/4106120/14")</f>
        <v>https://www.digital.archives.go.jp/img/4106120/14</v>
      </c>
      <c r="D25" s="43">
        <v>67</v>
      </c>
      <c r="E25" s="37" t="str">
        <f>HYPERLINK("https://kokusho.nijl.ac.jp/biblio/100317365/67")</f>
        <v>https://kokusho.nijl.ac.jp/biblio/100317365/67</v>
      </c>
      <c r="F25" s="43">
        <v>56</v>
      </c>
      <c r="G25" s="37" t="str">
        <f>HYPERLINK("https://kokusho.nijl.ac.jp/biblio/100317364/56")</f>
        <v>https://kokusho.nijl.ac.jp/biblio/100317364/56</v>
      </c>
      <c r="H25" s="43">
        <v>185</v>
      </c>
      <c r="I25" s="38" t="str">
        <f>HYPERLINK("https://kokusho.nijl.ac.jp/biblio/100382563/185")</f>
        <v>https://kokusho.nijl.ac.jp/biblio/100382563/185</v>
      </c>
      <c r="J25" s="43">
        <v>449</v>
      </c>
      <c r="K25" s="37" t="str">
        <f>HYPERLINK("https://rmda.kulib.kyoto-u.ac.jp/item/rb00004597?page=449")</f>
        <v>https://rmda.kulib.kyoto-u.ac.jp/item/rb00004597?page=449</v>
      </c>
      <c r="L25" s="43">
        <v>57</v>
      </c>
      <c r="M25" s="37" t="str">
        <f>HYPERLINK("https://rmda.kulib.kyoto-u.ac.jp/item/rb00004587?page=57")</f>
        <v>https://rmda.kulib.kyoto-u.ac.jp/item/rb00004587?page=57</v>
      </c>
      <c r="N25" s="36" t="s">
        <v>379</v>
      </c>
      <c r="O25" s="29">
        <v>48</v>
      </c>
      <c r="P25" s="37" t="str">
        <f>HYPERLINK("https://rmda.kulib.kyoto-u.ac.jp/item/rb00004585?page=48")</f>
        <v>https://rmda.kulib.kyoto-u.ac.jp/item/rb00004585?page=48</v>
      </c>
      <c r="Q25" s="50" t="s">
        <v>379</v>
      </c>
      <c r="R25" s="54" t="str">
        <f>HYPERLINK("https://rmda.kulib.kyoto-u.ac.jp/item/rb00004585?page=48")</f>
        <v>https://rmda.kulib.kyoto-u.ac.jp/item/rb00004585?page=48</v>
      </c>
      <c r="S25" s="36" t="s">
        <v>379</v>
      </c>
      <c r="T25" s="29" t="s">
        <v>529</v>
      </c>
      <c r="U25" s="37" t="str">
        <f t="shared" si="1"/>
        <v>https://archive.wul.waseda.ac.jp/kosho/ya09/ya09_00955/ya09_00955_0002/ya09_00955_0002.html</v>
      </c>
      <c r="V25" s="47" t="s">
        <v>379</v>
      </c>
      <c r="W25" s="29">
        <v>35</v>
      </c>
      <c r="X25" s="54" t="str">
        <f>HYPERLINK("https://rmda.kulib.kyoto-u.ac.jp/item/rb00004583?page=35")</f>
        <v>https://rmda.kulib.kyoto-u.ac.jp/item/rb00004583?page=35</v>
      </c>
      <c r="Y25" s="36" t="s">
        <v>379</v>
      </c>
      <c r="Z25" s="29">
        <v>60</v>
      </c>
      <c r="AA25" s="37" t="str">
        <f>HYPERLINK("https://rmda.kulib.kyoto-u.ac.jp/item/rb00004592?page=60")</f>
        <v>https://rmda.kulib.kyoto-u.ac.jp/item/rb00004592?page=60</v>
      </c>
      <c r="AB25" s="47" t="s">
        <v>379</v>
      </c>
      <c r="AC25" s="29">
        <v>56</v>
      </c>
      <c r="AD25" s="54" t="str">
        <f>HYPERLINK("https://rmda.kulib.kyoto-u.ac.jp/item/rb00004593?page=56")</f>
        <v>https://rmda.kulib.kyoto-u.ac.jp/item/rb00004593?page=56</v>
      </c>
      <c r="AE25" s="36" t="s">
        <v>379</v>
      </c>
      <c r="AF25" s="29">
        <v>40</v>
      </c>
      <c r="AG25" s="37" t="str">
        <f>HYPERLINK("https://rmda.kulib.kyoto-u.ac.jp/item/rb00008886?page=40")</f>
        <v>https://rmda.kulib.kyoto-u.ac.jp/item/rb00008886?page=40</v>
      </c>
      <c r="AH25" s="47" t="s">
        <v>379</v>
      </c>
      <c r="AI25" s="29">
        <v>103</v>
      </c>
      <c r="AJ25" s="27" t="str">
        <f>HYPERLINK("https://rmda.kulib.kyoto-u.ac.jp/item/rb00008886?page=103")</f>
        <v>https://rmda.kulib.kyoto-u.ac.jp/item/rb00008886?page=103</v>
      </c>
      <c r="AK25" s="54" t="s">
        <v>572</v>
      </c>
      <c r="AL25" s="36" t="s">
        <v>379</v>
      </c>
      <c r="AM25" s="29">
        <v>10</v>
      </c>
      <c r="AN25" s="38" t="str">
        <f>HYPERLINK("https://rmda.kulib.kyoto-u.ac.jp/item/rb00011986?page=10")</f>
        <v>https://rmda.kulib.kyoto-u.ac.jp/item/rb00011986?page=10</v>
      </c>
      <c r="AO25" s="67"/>
      <c r="AP25" s="36" t="s">
        <v>379</v>
      </c>
      <c r="AQ25" s="29">
        <v>4</v>
      </c>
      <c r="AR25" s="27" t="str">
        <f>HYPERLINK("https://www.digital.archives.go.jp/img/4219658/4")</f>
        <v>https://www.digital.archives.go.jp/img/4219658/4</v>
      </c>
      <c r="AS25" s="29"/>
      <c r="AT25" s="37" t="s">
        <v>565</v>
      </c>
      <c r="AU25" s="76">
        <v>248</v>
      </c>
      <c r="AV25" s="77" t="str">
        <f>HYPERLINK("https://dl.ndl.go.jp/ja/pid/12759449/1/248")</f>
        <v>https://dl.ndl.go.jp/ja/pid/12759449/1/248</v>
      </c>
    </row>
    <row r="26" spans="1:48" x14ac:dyDescent="0.15">
      <c r="A26" s="71" t="s">
        <v>380</v>
      </c>
      <c r="B26" s="29">
        <v>19</v>
      </c>
      <c r="C26" s="37" t="str">
        <f>HYPERLINK("https://www.digital.archives.go.jp/img/4106120/19")</f>
        <v>https://www.digital.archives.go.jp/img/4106120/19</v>
      </c>
      <c r="D26" s="43">
        <v>70</v>
      </c>
      <c r="E26" s="37" t="str">
        <f>HYPERLINK("https://kokusho.nijl.ac.jp/biblio/100317365/70")</f>
        <v>https://kokusho.nijl.ac.jp/biblio/100317365/70</v>
      </c>
      <c r="F26" s="43">
        <v>58</v>
      </c>
      <c r="G26" s="37" t="str">
        <f>HYPERLINK("https://kokusho.nijl.ac.jp/biblio/100317364/58")</f>
        <v>https://kokusho.nijl.ac.jp/biblio/100317364/58</v>
      </c>
      <c r="H26" s="43">
        <v>193</v>
      </c>
      <c r="I26" s="38" t="str">
        <f>HYPERLINK("https://kokusho.nijl.ac.jp/biblio/100382563/193")</f>
        <v>https://kokusho.nijl.ac.jp/biblio/100382563/193</v>
      </c>
      <c r="J26" s="43">
        <v>460</v>
      </c>
      <c r="K26" s="37" t="str">
        <f>HYPERLINK("https://rmda.kulib.kyoto-u.ac.jp/item/rb00004597?page=460")</f>
        <v>https://rmda.kulib.kyoto-u.ac.jp/item/rb00004597?page=460</v>
      </c>
      <c r="L26" s="43">
        <v>60</v>
      </c>
      <c r="M26" s="37" t="str">
        <f>HYPERLINK("https://rmda.kulib.kyoto-u.ac.jp/item/rb00004587?page=60")</f>
        <v>https://rmda.kulib.kyoto-u.ac.jp/item/rb00004587?page=60</v>
      </c>
      <c r="N26" s="36" t="s">
        <v>380</v>
      </c>
      <c r="O26" s="29">
        <v>50</v>
      </c>
      <c r="P26" s="37" t="str">
        <f>HYPERLINK("https://rmda.kulib.kyoto-u.ac.jp/item/rb00004585?page=50")</f>
        <v>https://rmda.kulib.kyoto-u.ac.jp/item/rb00004585?page=50</v>
      </c>
      <c r="Q26" s="50" t="s">
        <v>380</v>
      </c>
      <c r="R26" s="54" t="str">
        <f>HYPERLINK("https://rmda.kulib.kyoto-u.ac.jp/item/rb00004585?page=50")</f>
        <v>https://rmda.kulib.kyoto-u.ac.jp/item/rb00004585?page=50</v>
      </c>
      <c r="S26" s="36" t="s">
        <v>380</v>
      </c>
      <c r="T26" s="29" t="s">
        <v>530</v>
      </c>
      <c r="U26" s="37" t="str">
        <f t="shared" si="1"/>
        <v>https://archive.wul.waseda.ac.jp/kosho/ya09/ya09_00955/ya09_00955_0002/ya09_00955_0002.html</v>
      </c>
      <c r="V26" s="47" t="s">
        <v>380</v>
      </c>
      <c r="W26" s="29">
        <v>36</v>
      </c>
      <c r="X26" s="54" t="str">
        <f>HYPERLINK("https://rmda.kulib.kyoto-u.ac.jp/item/rb00004583?page=36")</f>
        <v>https://rmda.kulib.kyoto-u.ac.jp/item/rb00004583?page=36</v>
      </c>
      <c r="Y26" s="36" t="s">
        <v>380</v>
      </c>
      <c r="Z26" s="29">
        <v>64</v>
      </c>
      <c r="AA26" s="37" t="str">
        <f>HYPERLINK("https://rmda.kulib.kyoto-u.ac.jp/item/rb00004592?page=64")</f>
        <v>https://rmda.kulib.kyoto-u.ac.jp/item/rb00004592?page=64</v>
      </c>
      <c r="AB26" s="47" t="s">
        <v>380</v>
      </c>
      <c r="AC26" s="29">
        <v>58</v>
      </c>
      <c r="AD26" s="54" t="str">
        <f>HYPERLINK("https://rmda.kulib.kyoto-u.ac.jp/item/rb00004593?page=58")</f>
        <v>https://rmda.kulib.kyoto-u.ac.jp/item/rb00004593?page=58</v>
      </c>
      <c r="AE26" s="36" t="s">
        <v>380</v>
      </c>
      <c r="AF26" s="29">
        <v>42</v>
      </c>
      <c r="AG26" s="37" t="str">
        <f>HYPERLINK("https://rmda.kulib.kyoto-u.ac.jp/item/rb00008886?page=42")</f>
        <v>https://rmda.kulib.kyoto-u.ac.jp/item/rb00008886?page=42</v>
      </c>
      <c r="AH26" s="47" t="s">
        <v>380</v>
      </c>
      <c r="AI26" s="29"/>
      <c r="AJ26" s="29"/>
      <c r="AK26" s="54"/>
      <c r="AL26" s="36" t="s">
        <v>380</v>
      </c>
      <c r="AM26" s="29"/>
      <c r="AN26" s="37"/>
      <c r="AO26" s="67"/>
      <c r="AP26" s="36" t="s">
        <v>380</v>
      </c>
      <c r="AQ26" s="29">
        <v>17</v>
      </c>
      <c r="AR26" s="29" t="str">
        <f>HYPERLINK("https://www.digital.archives.go.jp/img/4219658/17")</f>
        <v>https://www.digital.archives.go.jp/img/4219658/17</v>
      </c>
      <c r="AS26" s="29"/>
      <c r="AT26" s="37" t="s">
        <v>565</v>
      </c>
      <c r="AU26" s="76">
        <v>250</v>
      </c>
      <c r="AV26" s="77" t="str">
        <f>HYPERLINK("https://dl.ndl.go.jp/ja/pid/12759449/1/250")</f>
        <v>https://dl.ndl.go.jp/ja/pid/12759449/1/250</v>
      </c>
    </row>
    <row r="27" spans="1:48" x14ac:dyDescent="0.15">
      <c r="A27" s="71" t="s">
        <v>381</v>
      </c>
      <c r="B27" s="29">
        <v>20</v>
      </c>
      <c r="C27" s="37" t="str">
        <f>HYPERLINK("https://www.digital.archives.go.jp/img/4106120/20")</f>
        <v>https://www.digital.archives.go.jp/img/4106120/20</v>
      </c>
      <c r="D27" s="43">
        <v>72</v>
      </c>
      <c r="E27" s="37" t="str">
        <f>HYPERLINK("https://kokusho.nijl.ac.jp/biblio/100317365/72")</f>
        <v>https://kokusho.nijl.ac.jp/biblio/100317365/72</v>
      </c>
      <c r="F27" s="43">
        <v>59</v>
      </c>
      <c r="G27" s="37" t="str">
        <f>HYPERLINK("https://kokusho.nijl.ac.jp/biblio/100317364/59")</f>
        <v>https://kokusho.nijl.ac.jp/biblio/100317364/59</v>
      </c>
      <c r="H27" s="43">
        <v>199</v>
      </c>
      <c r="I27" s="38" t="str">
        <f>HYPERLINK("https://kokusho.nijl.ac.jp/biblio/100382563/199")</f>
        <v>https://kokusho.nijl.ac.jp/biblio/100382563/199</v>
      </c>
      <c r="J27" s="43">
        <v>472</v>
      </c>
      <c r="K27" s="37" t="str">
        <f>HYPERLINK("https://rmda.kulib.kyoto-u.ac.jp/item/rb00004597?page=472")</f>
        <v>https://rmda.kulib.kyoto-u.ac.jp/item/rb00004597?page=472</v>
      </c>
      <c r="L27" s="43">
        <v>60</v>
      </c>
      <c r="M27" s="37" t="str">
        <f>HYPERLINK("https://rmda.kulib.kyoto-u.ac.jp/item/rb00004587?page=60")</f>
        <v>https://rmda.kulib.kyoto-u.ac.jp/item/rb00004587?page=60</v>
      </c>
      <c r="N27" s="36" t="s">
        <v>381</v>
      </c>
      <c r="O27" s="29">
        <v>50</v>
      </c>
      <c r="P27" s="37" t="str">
        <f>HYPERLINK("https://rmda.kulib.kyoto-u.ac.jp/item/rb00004585?page=50")</f>
        <v>https://rmda.kulib.kyoto-u.ac.jp/item/rb00004585?page=50</v>
      </c>
      <c r="Q27" s="50" t="s">
        <v>381</v>
      </c>
      <c r="R27" s="54" t="str">
        <f>HYPERLINK("https://rmda.kulib.kyoto-u.ac.jp/item/rb00004585?page=50")</f>
        <v>https://rmda.kulib.kyoto-u.ac.jp/item/rb00004585?page=50</v>
      </c>
      <c r="S27" s="36" t="s">
        <v>381</v>
      </c>
      <c r="T27" s="29" t="s">
        <v>531</v>
      </c>
      <c r="U27" s="37" t="str">
        <f t="shared" si="1"/>
        <v>https://archive.wul.waseda.ac.jp/kosho/ya09/ya09_00955/ya09_00955_0002/ya09_00955_0002.html</v>
      </c>
      <c r="V27" s="47" t="s">
        <v>381</v>
      </c>
      <c r="W27" s="29">
        <v>37</v>
      </c>
      <c r="X27" s="54" t="str">
        <f>HYPERLINK("https://rmda.kulib.kyoto-u.ac.jp/item/rb00004583?page=37")</f>
        <v>https://rmda.kulib.kyoto-u.ac.jp/item/rb00004583?page=37</v>
      </c>
      <c r="Y27" s="36" t="s">
        <v>381</v>
      </c>
      <c r="Z27" s="29">
        <v>65</v>
      </c>
      <c r="AA27" s="37" t="str">
        <f>HYPERLINK("https://rmda.kulib.kyoto-u.ac.jp/item/rb00004592?page=65")</f>
        <v>https://rmda.kulib.kyoto-u.ac.jp/item/rb00004592?page=65</v>
      </c>
      <c r="AB27" s="47" t="s">
        <v>381</v>
      </c>
      <c r="AC27" s="29">
        <v>59</v>
      </c>
      <c r="AD27" s="54" t="str">
        <f>HYPERLINK("https://rmda.kulib.kyoto-u.ac.jp/item/rb00004593?page=59")</f>
        <v>https://rmda.kulib.kyoto-u.ac.jp/item/rb00004593?page=59</v>
      </c>
      <c r="AE27" s="36" t="s">
        <v>381</v>
      </c>
      <c r="AF27" s="29">
        <v>43</v>
      </c>
      <c r="AG27" s="37" t="str">
        <f>HYPERLINK("https://rmda.kulib.kyoto-u.ac.jp/item/rb00008886?page=43")</f>
        <v>https://rmda.kulib.kyoto-u.ac.jp/item/rb00008886?page=43</v>
      </c>
      <c r="AH27" s="47" t="s">
        <v>381</v>
      </c>
      <c r="AI27" s="29"/>
      <c r="AJ27" s="29"/>
      <c r="AK27" s="54"/>
      <c r="AL27" s="36" t="s">
        <v>381</v>
      </c>
      <c r="AM27" s="29"/>
      <c r="AN27" s="37"/>
      <c r="AO27" s="67"/>
      <c r="AP27" s="36" t="s">
        <v>381</v>
      </c>
      <c r="AQ27" s="29">
        <v>18</v>
      </c>
      <c r="AR27" s="29" t="str">
        <f>HYPERLINK("https://www.digital.archives.go.jp/img/4219658/18")</f>
        <v>https://www.digital.archives.go.jp/img/4219658/18</v>
      </c>
      <c r="AS27" s="29"/>
      <c r="AT27" s="37" t="s">
        <v>565</v>
      </c>
      <c r="AU27" s="76">
        <v>251</v>
      </c>
      <c r="AV27" s="77" t="str">
        <f>HYPERLINK("https://dl.ndl.go.jp/ja/pid/12759449/1/251")</f>
        <v>https://dl.ndl.go.jp/ja/pid/12759449/1/251</v>
      </c>
    </row>
    <row r="28" spans="1:48" x14ac:dyDescent="0.15">
      <c r="A28" s="71" t="s">
        <v>382</v>
      </c>
      <c r="B28" s="29">
        <v>21</v>
      </c>
      <c r="C28" s="37" t="str">
        <f>HYPERLINK("https://www.digital.archives.go.jp/img/4106120/21")</f>
        <v>https://www.digital.archives.go.jp/img/4106120/21</v>
      </c>
      <c r="D28" s="43">
        <v>73</v>
      </c>
      <c r="E28" s="37" t="str">
        <f>HYPERLINK("https://kokusho.nijl.ac.jp/biblio/100317365/73")</f>
        <v>https://kokusho.nijl.ac.jp/biblio/100317365/73</v>
      </c>
      <c r="F28" s="43">
        <v>60</v>
      </c>
      <c r="G28" s="37" t="str">
        <f>HYPERLINK("https://kokusho.nijl.ac.jp/biblio/100317364/60")</f>
        <v>https://kokusho.nijl.ac.jp/biblio/100317364/60</v>
      </c>
      <c r="H28" s="43">
        <v>201</v>
      </c>
      <c r="I28" s="38" t="str">
        <f>HYPERLINK("https://kokusho.nijl.ac.jp/biblio/100382563/201")</f>
        <v>https://kokusho.nijl.ac.jp/biblio/100382563/201</v>
      </c>
      <c r="J28" s="43">
        <v>477</v>
      </c>
      <c r="K28" s="37" t="str">
        <f>HYPERLINK("https://rmda.kulib.kyoto-u.ac.jp/item/rb00004597?page=477")</f>
        <v>https://rmda.kulib.kyoto-u.ac.jp/item/rb00004597?page=477</v>
      </c>
      <c r="L28" s="43">
        <v>61</v>
      </c>
      <c r="M28" s="37" t="str">
        <f>HYPERLINK("https://rmda.kulib.kyoto-u.ac.jp/item/rb00004587?page=61")</f>
        <v>https://rmda.kulib.kyoto-u.ac.jp/item/rb00004587?page=61</v>
      </c>
      <c r="N28" s="36" t="s">
        <v>382</v>
      </c>
      <c r="O28" s="29">
        <v>51</v>
      </c>
      <c r="P28" s="37" t="str">
        <f>HYPERLINK("https://rmda.kulib.kyoto-u.ac.jp/item/rb00004585?page=51")</f>
        <v>https://rmda.kulib.kyoto-u.ac.jp/item/rb00004585?page=51</v>
      </c>
      <c r="Q28" s="50" t="s">
        <v>382</v>
      </c>
      <c r="R28" s="54" t="str">
        <f>HYPERLINK("https://rmda.kulib.kyoto-u.ac.jp/item/rb00004585?page=51")</f>
        <v>https://rmda.kulib.kyoto-u.ac.jp/item/rb00004585?page=51</v>
      </c>
      <c r="S28" s="36" t="s">
        <v>382</v>
      </c>
      <c r="T28" s="29" t="s">
        <v>532</v>
      </c>
      <c r="U28" s="37" t="str">
        <f t="shared" si="1"/>
        <v>https://archive.wul.waseda.ac.jp/kosho/ya09/ya09_00955/ya09_00955_0002/ya09_00955_0002.html</v>
      </c>
      <c r="V28" s="47" t="s">
        <v>382</v>
      </c>
      <c r="W28" s="29">
        <v>37</v>
      </c>
      <c r="X28" s="54" t="str">
        <f>HYPERLINK("https://rmda.kulib.kyoto-u.ac.jp/item/rb00004583?page=37")</f>
        <v>https://rmda.kulib.kyoto-u.ac.jp/item/rb00004583?page=37</v>
      </c>
      <c r="Y28" s="36" t="s">
        <v>382</v>
      </c>
      <c r="Z28" s="29">
        <v>66</v>
      </c>
      <c r="AA28" s="37" t="str">
        <f>HYPERLINK("https://rmda.kulib.kyoto-u.ac.jp/item/rb00004592?page=66")</f>
        <v>https://rmda.kulib.kyoto-u.ac.jp/item/rb00004592?page=66</v>
      </c>
      <c r="AB28" s="47" t="s">
        <v>382</v>
      </c>
      <c r="AC28" s="29">
        <v>60</v>
      </c>
      <c r="AD28" s="54" t="str">
        <f>HYPERLINK("https://rmda.kulib.kyoto-u.ac.jp/item/rb00004593?page=60")</f>
        <v>https://rmda.kulib.kyoto-u.ac.jp/item/rb00004593?page=60</v>
      </c>
      <c r="AE28" s="36" t="s">
        <v>382</v>
      </c>
      <c r="AF28" s="29">
        <v>43</v>
      </c>
      <c r="AG28" s="37" t="str">
        <f>HYPERLINK("https://rmda.kulib.kyoto-u.ac.jp/item/rb00008886?page=43")</f>
        <v>https://rmda.kulib.kyoto-u.ac.jp/item/rb00008886?page=43</v>
      </c>
      <c r="AH28" s="47" t="s">
        <v>382</v>
      </c>
      <c r="AI28" s="29"/>
      <c r="AJ28" s="29"/>
      <c r="AK28" s="54"/>
      <c r="AL28" s="36" t="s">
        <v>382</v>
      </c>
      <c r="AM28" s="29"/>
      <c r="AN28" s="37"/>
      <c r="AO28" s="67"/>
      <c r="AP28" s="36" t="s">
        <v>382</v>
      </c>
      <c r="AQ28" s="29">
        <v>20</v>
      </c>
      <c r="AR28" s="29" t="str">
        <f>HYPERLINK("https://www.digital.archives.go.jp/img/4219658/20")</f>
        <v>https://www.digital.archives.go.jp/img/4219658/20</v>
      </c>
      <c r="AS28" s="29"/>
      <c r="AT28" s="37" t="s">
        <v>565</v>
      </c>
      <c r="AU28" s="76">
        <v>251</v>
      </c>
      <c r="AV28" s="77" t="str">
        <f>HYPERLINK("https://dl.ndl.go.jp/ja/pid/12759449/1/251")</f>
        <v>https://dl.ndl.go.jp/ja/pid/12759449/1/251</v>
      </c>
    </row>
    <row r="29" spans="1:48" x14ac:dyDescent="0.15">
      <c r="A29" s="71" t="s">
        <v>383</v>
      </c>
      <c r="B29" s="29">
        <v>22</v>
      </c>
      <c r="C29" s="37" t="str">
        <f>HYPERLINK("https://www.digital.archives.go.jp/img/4106120/22")</f>
        <v>https://www.digital.archives.go.jp/img/4106120/22</v>
      </c>
      <c r="D29" s="43">
        <v>74</v>
      </c>
      <c r="E29" s="37" t="str">
        <f>HYPERLINK("https://kokusho.nijl.ac.jp/biblio/100317365/74")</f>
        <v>https://kokusho.nijl.ac.jp/biblio/100317365/74</v>
      </c>
      <c r="F29" s="43">
        <v>60</v>
      </c>
      <c r="G29" s="37" t="str">
        <f>HYPERLINK("https://kokusho.nijl.ac.jp/biblio/100317364/60")</f>
        <v>https://kokusho.nijl.ac.jp/biblio/100317364/60</v>
      </c>
      <c r="H29" s="43">
        <v>204</v>
      </c>
      <c r="I29" s="38" t="str">
        <f>HYPERLINK("https://kokusho.nijl.ac.jp/biblio/100382563/204")</f>
        <v>https://kokusho.nijl.ac.jp/biblio/100382563/204</v>
      </c>
      <c r="J29" s="43">
        <v>488</v>
      </c>
      <c r="K29" s="37" t="str">
        <f>HYPERLINK("https://rmda.kulib.kyoto-u.ac.jp/item/rb00004597?page=488")</f>
        <v>https://rmda.kulib.kyoto-u.ac.jp/item/rb00004597?page=488</v>
      </c>
      <c r="L29" s="43">
        <v>61</v>
      </c>
      <c r="M29" s="37" t="str">
        <f>HYPERLINK("https://rmda.kulib.kyoto-u.ac.jp/item/rb00004587?page=61")</f>
        <v>https://rmda.kulib.kyoto-u.ac.jp/item/rb00004587?page=61</v>
      </c>
      <c r="N29" s="36" t="s">
        <v>383</v>
      </c>
      <c r="O29" s="29">
        <v>52</v>
      </c>
      <c r="P29" s="37" t="str">
        <f>HYPERLINK("https://rmda.kulib.kyoto-u.ac.jp/item/rb00004585?page=52")</f>
        <v>https://rmda.kulib.kyoto-u.ac.jp/item/rb00004585?page=52</v>
      </c>
      <c r="Q29" s="50" t="s">
        <v>383</v>
      </c>
      <c r="R29" s="54" t="str">
        <f>HYPERLINK("https://rmda.kulib.kyoto-u.ac.jp/item/rb00004585?page=52")</f>
        <v>https://rmda.kulib.kyoto-u.ac.jp/item/rb00004585?page=52</v>
      </c>
      <c r="S29" s="36" t="s">
        <v>383</v>
      </c>
      <c r="T29" s="29" t="s">
        <v>518</v>
      </c>
      <c r="U29" s="37" t="str">
        <f t="shared" ref="U29:U46" si="2">HYPERLINK("https://archive.wul.waseda.ac.jp/kosho/ya09/ya09_00955/ya09_00955_0003/ya09_00955_0003.html")</f>
        <v>https://archive.wul.waseda.ac.jp/kosho/ya09/ya09_00955/ya09_00955_0003/ya09_00955_0003.html</v>
      </c>
      <c r="V29" s="47" t="s">
        <v>383</v>
      </c>
      <c r="W29" s="29">
        <v>37</v>
      </c>
      <c r="X29" s="54" t="str">
        <f>HYPERLINK("https://rmda.kulib.kyoto-u.ac.jp/item/rb00004583?page=37")</f>
        <v>https://rmda.kulib.kyoto-u.ac.jp/item/rb00004583?page=37</v>
      </c>
      <c r="Y29" s="36" t="s">
        <v>383</v>
      </c>
      <c r="Z29" s="29">
        <v>74</v>
      </c>
      <c r="AA29" s="37" t="str">
        <f>HYPERLINK("https://rmda.kulib.kyoto-u.ac.jp/item/rb00004592?page=74")</f>
        <v>https://rmda.kulib.kyoto-u.ac.jp/item/rb00004592?page=74</v>
      </c>
      <c r="AB29" s="47" t="s">
        <v>383</v>
      </c>
      <c r="AC29" s="29">
        <v>63</v>
      </c>
      <c r="AD29" s="54" t="str">
        <f>HYPERLINK("https://rmda.kulib.kyoto-u.ac.jp/item/rb00004593?page=63")</f>
        <v>https://rmda.kulib.kyoto-u.ac.jp/item/rb00004593?page=63</v>
      </c>
      <c r="AE29" s="36" t="s">
        <v>383</v>
      </c>
      <c r="AF29" s="29">
        <v>43</v>
      </c>
      <c r="AG29" s="37" t="str">
        <f>HYPERLINK("https://rmda.kulib.kyoto-u.ac.jp/item/rb00008886?page=43")</f>
        <v>https://rmda.kulib.kyoto-u.ac.jp/item/rb00008886?page=43</v>
      </c>
      <c r="AH29" s="47" t="s">
        <v>383</v>
      </c>
      <c r="AI29" s="29">
        <v>106</v>
      </c>
      <c r="AJ29" s="27" t="str">
        <f>HYPERLINK("https://rmda.kulib.kyoto-u.ac.jp/item/rb00008886?page=106")</f>
        <v>https://rmda.kulib.kyoto-u.ac.jp/item/rb00008886?page=106</v>
      </c>
      <c r="AK29" s="54" t="s">
        <v>572</v>
      </c>
      <c r="AL29" s="36" t="s">
        <v>383</v>
      </c>
      <c r="AM29" s="29">
        <v>13</v>
      </c>
      <c r="AN29" s="38" t="str">
        <f>HYPERLINK("https://rmda.kulib.kyoto-u.ac.jp/item/rb00011986?page=13")</f>
        <v>https://rmda.kulib.kyoto-u.ac.jp/item/rb00011986?page=13</v>
      </c>
      <c r="AO29" s="67"/>
      <c r="AP29" s="36" t="s">
        <v>383</v>
      </c>
      <c r="AQ29" s="29">
        <v>24</v>
      </c>
      <c r="AR29" s="29" t="str">
        <f>HYPERLINK("https://www.digital.archives.go.jp/img/4219658/24")</f>
        <v>https://www.digital.archives.go.jp/img/4219658/24</v>
      </c>
      <c r="AS29" s="29"/>
      <c r="AT29" s="37" t="s">
        <v>565</v>
      </c>
      <c r="AU29" s="76">
        <v>252</v>
      </c>
      <c r="AV29" s="77" t="str">
        <f>HYPERLINK("https://dl.ndl.go.jp/ja/pid/12759449/1/252")</f>
        <v>https://dl.ndl.go.jp/ja/pid/12759449/1/252</v>
      </c>
    </row>
    <row r="30" spans="1:48" x14ac:dyDescent="0.15">
      <c r="A30" s="71" t="s">
        <v>384</v>
      </c>
      <c r="B30" s="29">
        <v>25</v>
      </c>
      <c r="C30" s="37" t="str">
        <f>HYPERLINK("https://www.digital.archives.go.jp/img/4106120/25")</f>
        <v>https://www.digital.archives.go.jp/img/4106120/25</v>
      </c>
      <c r="D30" s="43">
        <v>76</v>
      </c>
      <c r="E30" s="37" t="str">
        <f>HYPERLINK("https://kokusho.nijl.ac.jp/biblio/100317365/76")</f>
        <v>https://kokusho.nijl.ac.jp/biblio/100317365/76</v>
      </c>
      <c r="F30" s="43">
        <v>62</v>
      </c>
      <c r="G30" s="37" t="str">
        <f>HYPERLINK("https://kokusho.nijl.ac.jp/biblio/100317364/62")</f>
        <v>https://kokusho.nijl.ac.jp/biblio/100317364/62</v>
      </c>
      <c r="H30" s="43">
        <v>209</v>
      </c>
      <c r="I30" s="38" t="str">
        <f>HYPERLINK("https://kokusho.nijl.ac.jp/biblio/100382563/209")</f>
        <v>https://kokusho.nijl.ac.jp/biblio/100382563/209</v>
      </c>
      <c r="J30" s="43">
        <v>501</v>
      </c>
      <c r="K30" s="37" t="str">
        <f>HYPERLINK("https://rmda.kulib.kyoto-u.ac.jp/item/rb00004597?page=501")</f>
        <v>https://rmda.kulib.kyoto-u.ac.jp/item/rb00004597?page=501</v>
      </c>
      <c r="L30" s="43">
        <v>66</v>
      </c>
      <c r="M30" s="37" t="str">
        <f>HYPERLINK("https://rmda.kulib.kyoto-u.ac.jp/item/rb00004587?page=66")</f>
        <v>https://rmda.kulib.kyoto-u.ac.jp/item/rb00004587?page=66</v>
      </c>
      <c r="N30" s="36" t="s">
        <v>384</v>
      </c>
      <c r="O30" s="29">
        <v>53</v>
      </c>
      <c r="P30" s="37" t="str">
        <f>HYPERLINK("https://rmda.kulib.kyoto-u.ac.jp/item/rb00004585?page=53")</f>
        <v>https://rmda.kulib.kyoto-u.ac.jp/item/rb00004585?page=53</v>
      </c>
      <c r="Q30" s="50" t="s">
        <v>384</v>
      </c>
      <c r="R30" s="54" t="str">
        <f>HYPERLINK("https://rmda.kulib.kyoto-u.ac.jp/item/rb00004585?page=53")</f>
        <v>https://rmda.kulib.kyoto-u.ac.jp/item/rb00004585?page=53</v>
      </c>
      <c r="S30" s="36" t="s">
        <v>384</v>
      </c>
      <c r="T30" s="29" t="s">
        <v>521</v>
      </c>
      <c r="U30" s="37" t="str">
        <f t="shared" si="2"/>
        <v>https://archive.wul.waseda.ac.jp/kosho/ya09/ya09_00955/ya09_00955_0003/ya09_00955_0003.html</v>
      </c>
      <c r="V30" s="47" t="s">
        <v>384</v>
      </c>
      <c r="W30" s="29">
        <v>39</v>
      </c>
      <c r="X30" s="54" t="str">
        <f>HYPERLINK("https://rmda.kulib.kyoto-u.ac.jp/item/rb00004583?page=39")</f>
        <v>https://rmda.kulib.kyoto-u.ac.jp/item/rb00004583?page=39</v>
      </c>
      <c r="Y30" s="36" t="s">
        <v>384</v>
      </c>
      <c r="Z30" s="29">
        <v>76</v>
      </c>
      <c r="AA30" s="37" t="str">
        <f>HYPERLINK("https://rmda.kulib.kyoto-u.ac.jp/item/rb00004592?page=76")</f>
        <v>https://rmda.kulib.kyoto-u.ac.jp/item/rb00004592?page=76</v>
      </c>
      <c r="AB30" s="47" t="s">
        <v>384</v>
      </c>
      <c r="AC30" s="29">
        <v>65</v>
      </c>
      <c r="AD30" s="54" t="str">
        <f>HYPERLINK("https://rmda.kulib.kyoto-u.ac.jp/item/rb00004593?page=65")</f>
        <v>https://rmda.kulib.kyoto-u.ac.jp/item/rb00004593?page=65</v>
      </c>
      <c r="AE30" s="36" t="s">
        <v>384</v>
      </c>
      <c r="AF30" s="29">
        <v>46</v>
      </c>
      <c r="AG30" s="37" t="str">
        <f>HYPERLINK("https://rmda.kulib.kyoto-u.ac.jp/item/rb00008886?page=46")</f>
        <v>https://rmda.kulib.kyoto-u.ac.jp/item/rb00008886?page=46</v>
      </c>
      <c r="AH30" s="47" t="s">
        <v>384</v>
      </c>
      <c r="AI30" s="29"/>
      <c r="AJ30" s="29"/>
      <c r="AK30" s="54"/>
      <c r="AL30" s="36" t="s">
        <v>384</v>
      </c>
      <c r="AM30" s="29">
        <v>14</v>
      </c>
      <c r="AN30" s="38" t="str">
        <f>HYPERLINK("https://rmda.kulib.kyoto-u.ac.jp/item/rb00011986?page=14")</f>
        <v>https://rmda.kulib.kyoto-u.ac.jp/item/rb00011986?page=14</v>
      </c>
      <c r="AO30" s="67"/>
      <c r="AP30" s="36" t="s">
        <v>384</v>
      </c>
      <c r="AQ30" s="29">
        <v>32</v>
      </c>
      <c r="AR30" s="29" t="str">
        <f>HYPERLINK("https://www.digital.archives.go.jp/img/4219658/32")</f>
        <v>https://www.digital.archives.go.jp/img/4219658/32</v>
      </c>
      <c r="AS30" s="29"/>
      <c r="AT30" s="37" t="s">
        <v>565</v>
      </c>
      <c r="AU30" s="76">
        <v>253</v>
      </c>
      <c r="AV30" s="77" t="str">
        <f>HYPERLINK("https://dl.ndl.go.jp/ja/pid/12759449/1/253")</f>
        <v>https://dl.ndl.go.jp/ja/pid/12759449/1/253</v>
      </c>
    </row>
    <row r="31" spans="1:48" x14ac:dyDescent="0.15">
      <c r="A31" s="71" t="s">
        <v>385</v>
      </c>
      <c r="B31" s="29">
        <v>27</v>
      </c>
      <c r="C31" s="37" t="str">
        <f>HYPERLINK("https://www.digital.archives.go.jp/img/4106120/27")</f>
        <v>https://www.digital.archives.go.jp/img/4106120/27</v>
      </c>
      <c r="D31" s="43">
        <v>77</v>
      </c>
      <c r="E31" s="37" t="str">
        <f>HYPERLINK("https://kokusho.nijl.ac.jp/biblio/100317365/77")</f>
        <v>https://kokusho.nijl.ac.jp/biblio/100317365/77</v>
      </c>
      <c r="F31" s="43">
        <v>63</v>
      </c>
      <c r="G31" s="37" t="str">
        <f>HYPERLINK("https://kokusho.nijl.ac.jp/biblio/100317364/63")</f>
        <v>https://kokusho.nijl.ac.jp/biblio/100317364/63</v>
      </c>
      <c r="H31" s="43">
        <v>210</v>
      </c>
      <c r="I31" s="38" t="str">
        <f>HYPERLINK("https://kokusho.nijl.ac.jp/biblio/100382563/210")</f>
        <v>https://kokusho.nijl.ac.jp/biblio/100382563/210</v>
      </c>
      <c r="J31" s="43">
        <v>510</v>
      </c>
      <c r="K31" s="37" t="str">
        <f>HYPERLINK("https://rmda.kulib.kyoto-u.ac.jp/item/rb00004597?page=510")</f>
        <v>https://rmda.kulib.kyoto-u.ac.jp/item/rb00004597?page=510</v>
      </c>
      <c r="L31" s="43">
        <v>72</v>
      </c>
      <c r="M31" s="37" t="str">
        <f>HYPERLINK("https://rmda.kulib.kyoto-u.ac.jp/item/rb00004587?page=72")</f>
        <v>https://rmda.kulib.kyoto-u.ac.jp/item/rb00004587?page=72</v>
      </c>
      <c r="N31" s="36" t="s">
        <v>385</v>
      </c>
      <c r="O31" s="29">
        <v>54</v>
      </c>
      <c r="P31" s="37" t="str">
        <f>HYPERLINK("https://rmda.kulib.kyoto-u.ac.jp/item/rb00004585?page=54")</f>
        <v>https://rmda.kulib.kyoto-u.ac.jp/item/rb00004585?page=54</v>
      </c>
      <c r="Q31" s="50" t="s">
        <v>385</v>
      </c>
      <c r="R31" s="54" t="str">
        <f>HYPERLINK("https://rmda.kulib.kyoto-u.ac.jp/item/rb00004585?page=54")</f>
        <v>https://rmda.kulib.kyoto-u.ac.jp/item/rb00004585?page=54</v>
      </c>
      <c r="S31" s="36" t="s">
        <v>385</v>
      </c>
      <c r="T31" s="29" t="s">
        <v>533</v>
      </c>
      <c r="U31" s="37" t="str">
        <f t="shared" si="2"/>
        <v>https://archive.wul.waseda.ac.jp/kosho/ya09/ya09_00955/ya09_00955_0003/ya09_00955_0003.html</v>
      </c>
      <c r="V31" s="47" t="s">
        <v>385</v>
      </c>
      <c r="W31" s="29">
        <v>45</v>
      </c>
      <c r="X31" s="54" t="str">
        <f>HYPERLINK("https://rmda.kulib.kyoto-u.ac.jp/item/rb00004583?page=45")</f>
        <v>https://rmda.kulib.kyoto-u.ac.jp/item/rb00004583?page=45</v>
      </c>
      <c r="Y31" s="36" t="s">
        <v>385</v>
      </c>
      <c r="Z31" s="29">
        <v>78</v>
      </c>
      <c r="AA31" s="37" t="str">
        <f>HYPERLINK("https://rmda.kulib.kyoto-u.ac.jp/item/rb00004592?page=78")</f>
        <v>https://rmda.kulib.kyoto-u.ac.jp/item/rb00004592?page=78</v>
      </c>
      <c r="AB31" s="47" t="s">
        <v>385</v>
      </c>
      <c r="AC31" s="29">
        <v>67</v>
      </c>
      <c r="AD31" s="54" t="str">
        <f>HYPERLINK("https://rmda.kulib.kyoto-u.ac.jp/item/rb00004593?page=67")</f>
        <v>https://rmda.kulib.kyoto-u.ac.jp/item/rb00004593?page=67</v>
      </c>
      <c r="AE31" s="36" t="s">
        <v>385</v>
      </c>
      <c r="AF31" s="29">
        <v>50</v>
      </c>
      <c r="AG31" s="37" t="str">
        <f>HYPERLINK("https://rmda.kulib.kyoto-u.ac.jp/item/rb00008886?page=50")</f>
        <v>https://rmda.kulib.kyoto-u.ac.jp/item/rb00008886?page=50</v>
      </c>
      <c r="AH31" s="47" t="s">
        <v>385</v>
      </c>
      <c r="AI31" s="29">
        <v>107</v>
      </c>
      <c r="AJ31" s="27" t="str">
        <f>HYPERLINK("https://rmda.kulib.kyoto-u.ac.jp/item/rb00008886?page=107")</f>
        <v>https://rmda.kulib.kyoto-u.ac.jp/item/rb00008886?page=107</v>
      </c>
      <c r="AK31" s="54" t="s">
        <v>572</v>
      </c>
      <c r="AL31" s="36" t="s">
        <v>385</v>
      </c>
      <c r="AM31" s="29">
        <v>14</v>
      </c>
      <c r="AN31" s="38" t="str">
        <f>HYPERLINK("https://rmda.kulib.kyoto-u.ac.jp/item/rb00011986?page=14")</f>
        <v>https://rmda.kulib.kyoto-u.ac.jp/item/rb00011986?page=14</v>
      </c>
      <c r="AO31" s="67"/>
      <c r="AP31" s="36" t="s">
        <v>385</v>
      </c>
      <c r="AQ31" s="29">
        <v>38</v>
      </c>
      <c r="AR31" s="29" t="str">
        <f>HYPERLINK("https://www.digital.archives.go.jp/img/4219658/38")</f>
        <v>https://www.digital.archives.go.jp/img/4219658/38</v>
      </c>
      <c r="AS31" s="29"/>
      <c r="AT31" s="37" t="s">
        <v>565</v>
      </c>
      <c r="AU31" s="76">
        <v>254</v>
      </c>
      <c r="AV31" s="77" t="str">
        <f>HYPERLINK("https://dl.ndl.go.jp/ja/pid/12759449/1/254")</f>
        <v>https://dl.ndl.go.jp/ja/pid/12759449/1/254</v>
      </c>
    </row>
    <row r="32" spans="1:48" x14ac:dyDescent="0.15">
      <c r="A32" s="71" t="s">
        <v>386</v>
      </c>
      <c r="B32" s="29">
        <v>28</v>
      </c>
      <c r="C32" s="37" t="str">
        <f>HYPERLINK("https://www.digital.archives.go.jp/img/4106120/28")</f>
        <v>https://www.digital.archives.go.jp/img/4106120/28</v>
      </c>
      <c r="D32" s="43">
        <v>83</v>
      </c>
      <c r="E32" s="37" t="str">
        <f>HYPERLINK("https://kokusho.nijl.ac.jp/biblio/100317365/83")</f>
        <v>https://kokusho.nijl.ac.jp/biblio/100317365/83</v>
      </c>
      <c r="F32" s="43">
        <v>67</v>
      </c>
      <c r="G32" s="37" t="str">
        <f>HYPERLINK("https://kokusho.nijl.ac.jp/biblio/100317364/67")</f>
        <v>https://kokusho.nijl.ac.jp/biblio/100317364/67</v>
      </c>
      <c r="H32" s="43">
        <v>218</v>
      </c>
      <c r="I32" s="38" t="str">
        <f>HYPERLINK("https://kokusho.nijl.ac.jp/biblio/100382563/218")</f>
        <v>https://kokusho.nijl.ac.jp/biblio/100382563/218</v>
      </c>
      <c r="J32" s="43">
        <v>526</v>
      </c>
      <c r="K32" s="37" t="str">
        <f>HYPERLINK("https://rmda.kulib.kyoto-u.ac.jp/item/rb00004597?page=526")</f>
        <v>https://rmda.kulib.kyoto-u.ac.jp/item/rb00004597?page=526</v>
      </c>
      <c r="L32" s="43">
        <v>74</v>
      </c>
      <c r="M32" s="37" t="str">
        <f>HYPERLINK("https://rmda.kulib.kyoto-u.ac.jp/item/rb00004587?page=74")</f>
        <v>https://rmda.kulib.kyoto-u.ac.jp/item/rb00004587?page=74</v>
      </c>
      <c r="N32" s="36" t="s">
        <v>386</v>
      </c>
      <c r="O32" s="29">
        <v>60</v>
      </c>
      <c r="P32" s="37" t="str">
        <f>HYPERLINK("https://rmda.kulib.kyoto-u.ac.jp/item/rb00004585?page=60")</f>
        <v>https://rmda.kulib.kyoto-u.ac.jp/item/rb00004585?page=60</v>
      </c>
      <c r="Q32" s="50" t="s">
        <v>387</v>
      </c>
      <c r="R32" s="54" t="str">
        <f>HYPERLINK("https://rmda.kulib.kyoto-u.ac.jp/item/rb00004585?page=70")</f>
        <v>https://rmda.kulib.kyoto-u.ac.jp/item/rb00004585?page=70</v>
      </c>
      <c r="S32" s="36" t="s">
        <v>386</v>
      </c>
      <c r="T32" s="29" t="s">
        <v>522</v>
      </c>
      <c r="U32" s="37" t="str">
        <f t="shared" si="2"/>
        <v>https://archive.wul.waseda.ac.jp/kosho/ya09/ya09_00955/ya09_00955_0003/ya09_00955_0003.html</v>
      </c>
      <c r="V32" s="47" t="s">
        <v>386</v>
      </c>
      <c r="W32" s="29">
        <v>46</v>
      </c>
      <c r="X32" s="54" t="str">
        <f>HYPERLINK("https://rmda.kulib.kyoto-u.ac.jp/item/rb00004583?page=46")</f>
        <v>https://rmda.kulib.kyoto-u.ac.jp/item/rb00004583?page=46</v>
      </c>
      <c r="Y32" s="36" t="s">
        <v>386</v>
      </c>
      <c r="Z32" s="29">
        <v>79</v>
      </c>
      <c r="AA32" s="37" t="str">
        <f>HYPERLINK("https://rmda.kulib.kyoto-u.ac.jp/item/rb00004592?page=79")</f>
        <v>https://rmda.kulib.kyoto-u.ac.jp/item/rb00004592?page=79</v>
      </c>
      <c r="AB32" s="47" t="s">
        <v>386</v>
      </c>
      <c r="AC32" s="29">
        <v>68</v>
      </c>
      <c r="AD32" s="54" t="str">
        <f>HYPERLINK("https://rmda.kulib.kyoto-u.ac.jp/item/rb00004593?page=68")</f>
        <v>https://rmda.kulib.kyoto-u.ac.jp/item/rb00004593?page=68</v>
      </c>
      <c r="AE32" s="36" t="s">
        <v>386</v>
      </c>
      <c r="AF32" s="29">
        <v>51</v>
      </c>
      <c r="AG32" s="37" t="str">
        <f>HYPERLINK("https://rmda.kulib.kyoto-u.ac.jp/item/rb00008886?page=51")</f>
        <v>https://rmda.kulib.kyoto-u.ac.jp/item/rb00008886?page=51</v>
      </c>
      <c r="AH32" s="47" t="s">
        <v>386</v>
      </c>
      <c r="AI32" s="29">
        <v>108</v>
      </c>
      <c r="AJ32" s="27" t="str">
        <f>HYPERLINK("https://rmda.kulib.kyoto-u.ac.jp/item/rb00008886?page=108")</f>
        <v>https://rmda.kulib.kyoto-u.ac.jp/item/rb00008886?page=108</v>
      </c>
      <c r="AK32" s="54" t="s">
        <v>572</v>
      </c>
      <c r="AL32" s="36" t="s">
        <v>386</v>
      </c>
      <c r="AM32" s="29">
        <v>15</v>
      </c>
      <c r="AN32" s="38" t="str">
        <f>HYPERLINK("https://rmda.kulib.kyoto-u.ac.jp/item/rb00011986?page=15")</f>
        <v>https://rmda.kulib.kyoto-u.ac.jp/item/rb00011986?page=15</v>
      </c>
      <c r="AO32" s="67"/>
      <c r="AP32" s="36" t="s">
        <v>386</v>
      </c>
      <c r="AQ32" s="29">
        <v>41</v>
      </c>
      <c r="AR32" s="29" t="str">
        <f>HYPERLINK("https://www.digital.archives.go.jp/img/4219658/41")</f>
        <v>https://www.digital.archives.go.jp/img/4219658/41</v>
      </c>
      <c r="AS32" s="29"/>
      <c r="AT32" s="37" t="s">
        <v>565</v>
      </c>
      <c r="AU32" s="76">
        <v>254</v>
      </c>
      <c r="AV32" s="77" t="str">
        <f>HYPERLINK("https://dl.ndl.go.jp/ja/pid/12759449/1/254")</f>
        <v>https://dl.ndl.go.jp/ja/pid/12759449/1/254</v>
      </c>
    </row>
    <row r="33" spans="1:48" x14ac:dyDescent="0.15">
      <c r="A33" s="71" t="s">
        <v>387</v>
      </c>
      <c r="B33" s="29">
        <v>31</v>
      </c>
      <c r="C33" s="37" t="str">
        <f>HYPERLINK("https://www.digital.archives.go.jp/img/4106120/31")</f>
        <v>https://www.digital.archives.go.jp/img/4106120/31</v>
      </c>
      <c r="D33" s="43">
        <v>85</v>
      </c>
      <c r="E33" s="37" t="str">
        <f>HYPERLINK("https://kokusho.nijl.ac.jp/biblio/100317365/85")</f>
        <v>https://kokusho.nijl.ac.jp/biblio/100317365/85</v>
      </c>
      <c r="F33" s="43">
        <v>68</v>
      </c>
      <c r="G33" s="37" t="str">
        <f>HYPERLINK("https://kokusho.nijl.ac.jp/biblio/100317364/68")</f>
        <v>https://kokusho.nijl.ac.jp/biblio/100317364/68</v>
      </c>
      <c r="H33" s="43">
        <v>223</v>
      </c>
      <c r="I33" s="38" t="str">
        <f>HYPERLINK("https://kokusho.nijl.ac.jp/biblio/100382563/223")</f>
        <v>https://kokusho.nijl.ac.jp/biblio/100382563/223</v>
      </c>
      <c r="J33" s="43">
        <v>540</v>
      </c>
      <c r="K33" s="37" t="str">
        <f>HYPERLINK("https://rmda.kulib.kyoto-u.ac.jp/item/rb00004597?page=540")</f>
        <v>https://rmda.kulib.kyoto-u.ac.jp/item/rb00004597?page=540</v>
      </c>
      <c r="L33" s="43">
        <v>77</v>
      </c>
      <c r="M33" s="37" t="str">
        <f>HYPERLINK("https://rmda.kulib.kyoto-u.ac.jp/item/rb00004587?page=77")</f>
        <v>https://rmda.kulib.kyoto-u.ac.jp/item/rb00004587?page=77</v>
      </c>
      <c r="N33" s="36" t="s">
        <v>387</v>
      </c>
      <c r="O33" s="29">
        <v>61</v>
      </c>
      <c r="P33" s="37" t="str">
        <f>HYPERLINK("https://rmda.kulib.kyoto-u.ac.jp/item/rb00004585?page=61")</f>
        <v>https://rmda.kulib.kyoto-u.ac.jp/item/rb00004585?page=61</v>
      </c>
      <c r="Q33" s="50" t="s">
        <v>388</v>
      </c>
      <c r="R33" s="54" t="str">
        <f>HYPERLINK("https://rmda.kulib.kyoto-u.ac.jp/item/rb00004585?page=60")</f>
        <v>https://rmda.kulib.kyoto-u.ac.jp/item/rb00004585?page=60</v>
      </c>
      <c r="S33" s="36" t="s">
        <v>387</v>
      </c>
      <c r="T33" s="29" t="s">
        <v>534</v>
      </c>
      <c r="U33" s="37" t="str">
        <f t="shared" si="2"/>
        <v>https://archive.wul.waseda.ac.jp/kosho/ya09/ya09_00955/ya09_00955_0003/ya09_00955_0003.html</v>
      </c>
      <c r="V33" s="47" t="s">
        <v>387</v>
      </c>
      <c r="W33" s="29">
        <v>46</v>
      </c>
      <c r="X33" s="54" t="str">
        <f>HYPERLINK("https://rmda.kulib.kyoto-u.ac.jp/item/rb00004583?page=46")</f>
        <v>https://rmda.kulib.kyoto-u.ac.jp/item/rb00004583?page=46</v>
      </c>
      <c r="Y33" s="36" t="s">
        <v>387</v>
      </c>
      <c r="Z33" s="29">
        <v>81</v>
      </c>
      <c r="AA33" s="37" t="str">
        <f>HYPERLINK("https://rmda.kulib.kyoto-u.ac.jp/item/rb00004592?page=81")</f>
        <v>https://rmda.kulib.kyoto-u.ac.jp/item/rb00004592?page=81</v>
      </c>
      <c r="AB33" s="47" t="s">
        <v>387</v>
      </c>
      <c r="AC33" s="29">
        <v>69</v>
      </c>
      <c r="AD33" s="54" t="str">
        <f>HYPERLINK("https://rmda.kulib.kyoto-u.ac.jp/item/rb00004593?page=69")</f>
        <v>https://rmda.kulib.kyoto-u.ac.jp/item/rb00004593?page=69</v>
      </c>
      <c r="AE33" s="36" t="s">
        <v>387</v>
      </c>
      <c r="AF33" s="29">
        <v>52</v>
      </c>
      <c r="AG33" s="37" t="str">
        <f>HYPERLINK("https://rmda.kulib.kyoto-u.ac.jp/item/rb00008886?page=52")</f>
        <v>https://rmda.kulib.kyoto-u.ac.jp/item/rb00008886?page=52</v>
      </c>
      <c r="AH33" s="47" t="s">
        <v>387</v>
      </c>
      <c r="AI33" s="29"/>
      <c r="AJ33" s="29"/>
      <c r="AK33" s="54"/>
      <c r="AL33" s="36" t="s">
        <v>387</v>
      </c>
      <c r="AM33" s="29"/>
      <c r="AN33" s="37"/>
      <c r="AO33" s="67"/>
      <c r="AP33" s="36" t="s">
        <v>387</v>
      </c>
      <c r="AQ33" s="29">
        <v>46</v>
      </c>
      <c r="AR33" s="29" t="str">
        <f>HYPERLINK("https://www.digital.archives.go.jp/img/4219658/46")</f>
        <v>https://www.digital.archives.go.jp/img/4219658/46</v>
      </c>
      <c r="AS33" s="29"/>
      <c r="AT33" s="37" t="s">
        <v>565</v>
      </c>
      <c r="AU33" s="76">
        <v>255</v>
      </c>
      <c r="AV33" s="77" t="str">
        <f>HYPERLINK("https://dl.ndl.go.jp/ja/pid/12759449/1/255")</f>
        <v>https://dl.ndl.go.jp/ja/pid/12759449/1/255</v>
      </c>
    </row>
    <row r="34" spans="1:48" x14ac:dyDescent="0.15">
      <c r="A34" s="71" t="s">
        <v>388</v>
      </c>
      <c r="B34" s="29">
        <v>31</v>
      </c>
      <c r="C34" s="37" t="str">
        <f>HYPERLINK("https://www.digital.archives.go.jp/img/4106120/31")</f>
        <v>https://www.digital.archives.go.jp/img/4106120/31</v>
      </c>
      <c r="D34" s="43">
        <v>85</v>
      </c>
      <c r="E34" s="37" t="str">
        <f>HYPERLINK("https://kokusho.nijl.ac.jp/biblio/100317365/85")</f>
        <v>https://kokusho.nijl.ac.jp/biblio/100317365/85</v>
      </c>
      <c r="F34" s="43">
        <v>69</v>
      </c>
      <c r="G34" s="37" t="str">
        <f>HYPERLINK("https://kokusho.nijl.ac.jp/biblio/100317364/69")</f>
        <v>https://kokusho.nijl.ac.jp/biblio/100317364/69</v>
      </c>
      <c r="H34" s="43">
        <v>224</v>
      </c>
      <c r="I34" s="38" t="str">
        <f>HYPERLINK("https://kokusho.nijl.ac.jp/biblio/100382563/224")</f>
        <v>https://kokusho.nijl.ac.jp/biblio/100382563/224</v>
      </c>
      <c r="J34" s="43">
        <v>545</v>
      </c>
      <c r="K34" s="37" t="str">
        <f>HYPERLINK("https://rmda.kulib.kyoto-u.ac.jp/item/rb00004597?page=545")</f>
        <v>https://rmda.kulib.kyoto-u.ac.jp/item/rb00004597?page=545</v>
      </c>
      <c r="L34" s="43">
        <v>77</v>
      </c>
      <c r="M34" s="37" t="str">
        <f>HYPERLINK("https://rmda.kulib.kyoto-u.ac.jp/item/rb00004587?page=77")</f>
        <v>https://rmda.kulib.kyoto-u.ac.jp/item/rb00004587?page=77</v>
      </c>
      <c r="N34" s="36" t="s">
        <v>388</v>
      </c>
      <c r="O34" s="29">
        <v>63</v>
      </c>
      <c r="P34" s="37" t="str">
        <f>HYPERLINK("https://rmda.kulib.kyoto-u.ac.jp/item/rb00004585?page=63")</f>
        <v>https://rmda.kulib.kyoto-u.ac.jp/item/rb00004585?page=63</v>
      </c>
      <c r="Q34" s="50" t="s">
        <v>396</v>
      </c>
      <c r="R34" s="54" t="str">
        <f>HYPERLINK("https://rmda.kulib.kyoto-u.ac.jp/item/rb00004585?page=61")</f>
        <v>https://rmda.kulib.kyoto-u.ac.jp/item/rb00004585?page=61</v>
      </c>
      <c r="S34" s="36" t="s">
        <v>388</v>
      </c>
      <c r="T34" s="29" t="s">
        <v>535</v>
      </c>
      <c r="U34" s="37" t="str">
        <f t="shared" si="2"/>
        <v>https://archive.wul.waseda.ac.jp/kosho/ya09/ya09_00955/ya09_00955_0003/ya09_00955_0003.html</v>
      </c>
      <c r="V34" s="47" t="s">
        <v>388</v>
      </c>
      <c r="W34" s="29">
        <v>47</v>
      </c>
      <c r="X34" s="54" t="str">
        <f>HYPERLINK("https://rmda.kulib.kyoto-u.ac.jp/item/rb00004583?page=47")</f>
        <v>https://rmda.kulib.kyoto-u.ac.jp/item/rb00004583?page=47</v>
      </c>
      <c r="Y34" s="36" t="s">
        <v>388</v>
      </c>
      <c r="Z34" s="29">
        <v>83</v>
      </c>
      <c r="AA34" s="37" t="str">
        <f>HYPERLINK("https://rmda.kulib.kyoto-u.ac.jp/item/rb00004592?page=83")</f>
        <v>https://rmda.kulib.kyoto-u.ac.jp/item/rb00004592?page=83</v>
      </c>
      <c r="AB34" s="47" t="s">
        <v>388</v>
      </c>
      <c r="AC34" s="29">
        <v>70</v>
      </c>
      <c r="AD34" s="54" t="str">
        <f>HYPERLINK("https://rmda.kulib.kyoto-u.ac.jp/item/rb00004593?page=70")</f>
        <v>https://rmda.kulib.kyoto-u.ac.jp/item/rb00004593?page=70</v>
      </c>
      <c r="AE34" s="36" t="s">
        <v>388</v>
      </c>
      <c r="AF34" s="29">
        <v>52</v>
      </c>
      <c r="AG34" s="37" t="str">
        <f>HYPERLINK("https://rmda.kulib.kyoto-u.ac.jp/item/rb00008886?page=52")</f>
        <v>https://rmda.kulib.kyoto-u.ac.jp/item/rb00008886?page=52</v>
      </c>
      <c r="AH34" s="47" t="s">
        <v>388</v>
      </c>
      <c r="AI34" s="29">
        <v>108</v>
      </c>
      <c r="AJ34" s="27" t="str">
        <f>HYPERLINK("https://rmda.kulib.kyoto-u.ac.jp/item/rb00008886?page=108")</f>
        <v>https://rmda.kulib.kyoto-u.ac.jp/item/rb00008886?page=108</v>
      </c>
      <c r="AK34" s="54" t="s">
        <v>572</v>
      </c>
      <c r="AL34" s="36" t="s">
        <v>388</v>
      </c>
      <c r="AM34" s="29">
        <v>15</v>
      </c>
      <c r="AN34" s="38" t="str">
        <f>HYPERLINK("https://rmda.kulib.kyoto-u.ac.jp/item/rb00011986?page=15")</f>
        <v>https://rmda.kulib.kyoto-u.ac.jp/item/rb00011986?page=15</v>
      </c>
      <c r="AO34" s="67"/>
      <c r="AP34" s="36" t="s">
        <v>388</v>
      </c>
      <c r="AQ34" s="29">
        <v>48</v>
      </c>
      <c r="AR34" s="29" t="str">
        <f>HYPERLINK("https://www.digital.archives.go.jp/img/4219658/48")</f>
        <v>https://www.digital.archives.go.jp/img/4219658/48</v>
      </c>
      <c r="AS34" s="29"/>
      <c r="AT34" s="37" t="s">
        <v>565</v>
      </c>
      <c r="AU34" s="76">
        <v>255</v>
      </c>
      <c r="AV34" s="77" t="str">
        <f>HYPERLINK("https://dl.ndl.go.jp/ja/pid/12759449/1/255")</f>
        <v>https://dl.ndl.go.jp/ja/pid/12759449/1/255</v>
      </c>
    </row>
    <row r="35" spans="1:48" x14ac:dyDescent="0.15">
      <c r="A35" s="71" t="s">
        <v>389</v>
      </c>
      <c r="B35" s="29">
        <v>33</v>
      </c>
      <c r="C35" s="37" t="str">
        <f>HYPERLINK("https://www.digital.archives.go.jp/img/4106120/33")</f>
        <v>https://www.digital.archives.go.jp/img/4106120/33</v>
      </c>
      <c r="D35" s="43">
        <v>88</v>
      </c>
      <c r="E35" s="37" t="str">
        <f>HYPERLINK("https://kokusho.nijl.ac.jp/biblio/100317365/88")</f>
        <v>https://kokusho.nijl.ac.jp/biblio/100317365/88</v>
      </c>
      <c r="F35" s="43">
        <v>70</v>
      </c>
      <c r="G35" s="37" t="str">
        <f>HYPERLINK("https://kokusho.nijl.ac.jp/biblio/100317364/70")</f>
        <v>https://kokusho.nijl.ac.jp/biblio/100317364/70</v>
      </c>
      <c r="H35" s="43">
        <v>230</v>
      </c>
      <c r="I35" s="38" t="str">
        <f>HYPERLINK("https://kokusho.nijl.ac.jp/biblio/100382563/230")</f>
        <v>https://kokusho.nijl.ac.jp/biblio/100382563/230</v>
      </c>
      <c r="J35" s="43">
        <v>561</v>
      </c>
      <c r="K35" s="37" t="str">
        <f>HYPERLINK("https://rmda.kulib.kyoto-u.ac.jp/item/rb00004597?page=561")</f>
        <v>https://rmda.kulib.kyoto-u.ac.jp/item/rb00004597?page=561</v>
      </c>
      <c r="L35" s="43">
        <v>79</v>
      </c>
      <c r="M35" s="37" t="str">
        <f>HYPERLINK("https://rmda.kulib.kyoto-u.ac.jp/item/rb00004587?page=79")</f>
        <v>https://rmda.kulib.kyoto-u.ac.jp/item/rb00004587?page=79</v>
      </c>
      <c r="N35" s="36" t="s">
        <v>389</v>
      </c>
      <c r="O35" s="29">
        <v>63</v>
      </c>
      <c r="P35" s="37" t="str">
        <f>HYPERLINK("https://rmda.kulib.kyoto-u.ac.jp/item/rb00004585?page=63")</f>
        <v>https://rmda.kulib.kyoto-u.ac.jp/item/rb00004585?page=63</v>
      </c>
      <c r="Q35" s="50" t="s">
        <v>391</v>
      </c>
      <c r="R35" s="54" t="str">
        <f>HYPERLINK("https://rmda.kulib.kyoto-u.ac.jp/item/rb00004585?page=64")</f>
        <v>https://rmda.kulib.kyoto-u.ac.jp/item/rb00004585?page=64</v>
      </c>
      <c r="S35" s="36" t="s">
        <v>389</v>
      </c>
      <c r="T35" s="29" t="s">
        <v>536</v>
      </c>
      <c r="U35" s="37" t="str">
        <f t="shared" si="2"/>
        <v>https://archive.wul.waseda.ac.jp/kosho/ya09/ya09_00955/ya09_00955_0003/ya09_00955_0003.html</v>
      </c>
      <c r="V35" s="47" t="s">
        <v>389</v>
      </c>
      <c r="W35" s="29">
        <v>47</v>
      </c>
      <c r="X35" s="54" t="str">
        <f>HYPERLINK("https://rmda.kulib.kyoto-u.ac.jp/item/rb00004583?page=47")</f>
        <v>https://rmda.kulib.kyoto-u.ac.jp/item/rb00004583?page=47</v>
      </c>
      <c r="Y35" s="36" t="s">
        <v>389</v>
      </c>
      <c r="Z35" s="29">
        <v>85</v>
      </c>
      <c r="AA35" s="37" t="str">
        <f>HYPERLINK("https://rmda.kulib.kyoto-u.ac.jp/item/rb00004592?page=85")</f>
        <v>https://rmda.kulib.kyoto-u.ac.jp/item/rb00004592?page=85</v>
      </c>
      <c r="AB35" s="47" t="s">
        <v>389</v>
      </c>
      <c r="AC35" s="29">
        <v>72</v>
      </c>
      <c r="AD35" s="54" t="str">
        <f>HYPERLINK("https://rmda.kulib.kyoto-u.ac.jp/item/rb00004593?page=72")</f>
        <v>https://rmda.kulib.kyoto-u.ac.jp/item/rb00004593?page=72</v>
      </c>
      <c r="AE35" s="36" t="s">
        <v>389</v>
      </c>
      <c r="AF35" s="29">
        <v>53</v>
      </c>
      <c r="AG35" s="37" t="str">
        <f>HYPERLINK("https://rmda.kulib.kyoto-u.ac.jp/item/rb00008886?page=53")</f>
        <v>https://rmda.kulib.kyoto-u.ac.jp/item/rb00008886?page=53</v>
      </c>
      <c r="AH35" s="47" t="s">
        <v>389</v>
      </c>
      <c r="AI35" s="29"/>
      <c r="AJ35" s="29"/>
      <c r="AK35" s="54"/>
      <c r="AL35" s="36" t="s">
        <v>389</v>
      </c>
      <c r="AM35" s="29">
        <v>10</v>
      </c>
      <c r="AN35" s="38" t="str">
        <f>HYPERLINK("https://rmda.kulib.kyoto-u.ac.jp/item/rb00011986?page=10")</f>
        <v>https://rmda.kulib.kyoto-u.ac.jp/item/rb00011986?page=10</v>
      </c>
      <c r="AO35" s="67"/>
      <c r="AP35" s="36" t="s">
        <v>389</v>
      </c>
      <c r="AQ35" s="29">
        <v>55</v>
      </c>
      <c r="AR35" s="29" t="str">
        <f>HYPERLINK("https://www.digital.archives.go.jp/img/4219658/55")</f>
        <v>https://www.digital.archives.go.jp/img/4219658/55</v>
      </c>
      <c r="AS35" s="29"/>
      <c r="AT35" s="37" t="s">
        <v>565</v>
      </c>
      <c r="AU35" s="76">
        <v>256</v>
      </c>
      <c r="AV35" s="77" t="str">
        <f>HYPERLINK("https://dl.ndl.go.jp/ja/pid/12759449/1/256")</f>
        <v>https://dl.ndl.go.jp/ja/pid/12759449/1/256</v>
      </c>
    </row>
    <row r="36" spans="1:48" x14ac:dyDescent="0.15">
      <c r="A36" s="71" t="s">
        <v>390</v>
      </c>
      <c r="B36" s="29">
        <v>36</v>
      </c>
      <c r="C36" s="37" t="str">
        <f>HYPERLINK("https://www.digital.archives.go.jp/img/4106120/36")</f>
        <v>https://www.digital.archives.go.jp/img/4106120/36</v>
      </c>
      <c r="D36" s="43">
        <v>89</v>
      </c>
      <c r="E36" s="37" t="str">
        <f>HYPERLINK("https://kokusho.nijl.ac.jp/biblio/100317365/89")</f>
        <v>https://kokusho.nijl.ac.jp/biblio/100317365/89</v>
      </c>
      <c r="F36" s="43">
        <v>71</v>
      </c>
      <c r="G36" s="37" t="str">
        <f>HYPERLINK("https://kokusho.nijl.ac.jp/biblio/100317364/71")</f>
        <v>https://kokusho.nijl.ac.jp/biblio/100317364/71</v>
      </c>
      <c r="H36" s="43">
        <v>234</v>
      </c>
      <c r="I36" s="38" t="str">
        <f>HYPERLINK("https://kokusho.nijl.ac.jp/biblio/100382563/234")</f>
        <v>https://kokusho.nijl.ac.jp/biblio/100382563/234</v>
      </c>
      <c r="J36" s="43">
        <v>571</v>
      </c>
      <c r="K36" s="37" t="str">
        <f>HYPERLINK("https://rmda.kulib.kyoto-u.ac.jp/item/rb00004597?page=571")</f>
        <v>https://rmda.kulib.kyoto-u.ac.jp/item/rb00004597?page=571</v>
      </c>
      <c r="L36" s="43">
        <v>81</v>
      </c>
      <c r="M36" s="37" t="str">
        <f>HYPERLINK("https://rmda.kulib.kyoto-u.ac.jp/item/rb00004587?page=81")</f>
        <v>https://rmda.kulib.kyoto-u.ac.jp/item/rb00004587?page=81</v>
      </c>
      <c r="N36" s="36" t="s">
        <v>390</v>
      </c>
      <c r="O36" s="29">
        <v>64</v>
      </c>
      <c r="P36" s="37" t="str">
        <f>HYPERLINK("https://rmda.kulib.kyoto-u.ac.jp/item/rb00004585?page=64")</f>
        <v>https://rmda.kulib.kyoto-u.ac.jp/item/rb00004585?page=64</v>
      </c>
      <c r="Q36" s="50" t="s">
        <v>389</v>
      </c>
      <c r="R36" s="54" t="str">
        <f>HYPERLINK("https://rmda.kulib.kyoto-u.ac.jp/item/rb00004585?page=66")</f>
        <v>https://rmda.kulib.kyoto-u.ac.jp/item/rb00004585?page=66</v>
      </c>
      <c r="S36" s="36" t="s">
        <v>390</v>
      </c>
      <c r="T36" s="29" t="s">
        <v>537</v>
      </c>
      <c r="U36" s="37" t="str">
        <f t="shared" si="2"/>
        <v>https://archive.wul.waseda.ac.jp/kosho/ya09/ya09_00955/ya09_00955_0003/ya09_00955_0003.html</v>
      </c>
      <c r="V36" s="47" t="s">
        <v>390</v>
      </c>
      <c r="W36" s="29">
        <v>48</v>
      </c>
      <c r="X36" s="54" t="str">
        <f>HYPERLINK("https://rmda.kulib.kyoto-u.ac.jp/item/rb00004583?page=48")</f>
        <v>https://rmda.kulib.kyoto-u.ac.jp/item/rb00004583?page=48</v>
      </c>
      <c r="Y36" s="36" t="s">
        <v>390</v>
      </c>
      <c r="Z36" s="29">
        <v>87</v>
      </c>
      <c r="AA36" s="37" t="str">
        <f>HYPERLINK("https://rmda.kulib.kyoto-u.ac.jp/item/rb00004592?page=87")</f>
        <v>https://rmda.kulib.kyoto-u.ac.jp/item/rb00004592?page=87</v>
      </c>
      <c r="AB36" s="47" t="s">
        <v>390</v>
      </c>
      <c r="AC36" s="29">
        <v>73</v>
      </c>
      <c r="AD36" s="54" t="str">
        <f>HYPERLINK("https://rmda.kulib.kyoto-u.ac.jp/item/rb00004593?page=73")</f>
        <v>https://rmda.kulib.kyoto-u.ac.jp/item/rb00004593?page=73</v>
      </c>
      <c r="AE36" s="36" t="s">
        <v>390</v>
      </c>
      <c r="AF36" s="29">
        <v>55</v>
      </c>
      <c r="AG36" s="37" t="str">
        <f>HYPERLINK("https://rmda.kulib.kyoto-u.ac.jp/item/rb00008886?page=55")</f>
        <v>https://rmda.kulib.kyoto-u.ac.jp/item/rb00008886?page=55</v>
      </c>
      <c r="AH36" s="47" t="s">
        <v>390</v>
      </c>
      <c r="AI36" s="29"/>
      <c r="AJ36" s="29"/>
      <c r="AK36" s="54"/>
      <c r="AL36" s="36" t="s">
        <v>390</v>
      </c>
      <c r="AM36" s="29"/>
      <c r="AN36" s="37"/>
      <c r="AO36" s="67"/>
      <c r="AP36" s="36" t="s">
        <v>390</v>
      </c>
      <c r="AQ36" s="29">
        <v>3</v>
      </c>
      <c r="AR36" s="27" t="str">
        <f>HYPERLINK("https://www.digital.archives.go.jp/img/4219659/3")</f>
        <v>https://www.digital.archives.go.jp/img/4219659/3</v>
      </c>
      <c r="AS36" s="29"/>
      <c r="AT36" s="37" t="s">
        <v>565</v>
      </c>
      <c r="AU36" s="76">
        <v>258</v>
      </c>
      <c r="AV36" s="77" t="str">
        <f>HYPERLINK("https://dl.ndl.go.jp/ja/pid/12759449/1/258")</f>
        <v>https://dl.ndl.go.jp/ja/pid/12759449/1/258</v>
      </c>
    </row>
    <row r="37" spans="1:48" x14ac:dyDescent="0.15">
      <c r="A37" s="71" t="s">
        <v>391</v>
      </c>
      <c r="B37" s="29">
        <v>37</v>
      </c>
      <c r="C37" s="37" t="str">
        <f>HYPERLINK("https://www.digital.archives.go.jp/img/4106120/37")</f>
        <v>https://www.digital.archives.go.jp/img/4106120/37</v>
      </c>
      <c r="D37" s="43">
        <v>90</v>
      </c>
      <c r="E37" s="37" t="str">
        <f>HYPERLINK("https://kokusho.nijl.ac.jp/biblio/100317365/90")</f>
        <v>https://kokusho.nijl.ac.jp/biblio/100317365/90</v>
      </c>
      <c r="F37" s="43">
        <v>72</v>
      </c>
      <c r="G37" s="37" t="str">
        <f>HYPERLINK("https://kokusho.nijl.ac.jp/biblio/100317364/72")</f>
        <v>https://kokusho.nijl.ac.jp/biblio/100317364/72</v>
      </c>
      <c r="H37" s="43">
        <v>237</v>
      </c>
      <c r="I37" s="38" t="str">
        <f>HYPERLINK("https://kokusho.nijl.ac.jp/biblio/100382563/237")</f>
        <v>https://kokusho.nijl.ac.jp/biblio/100382563/237</v>
      </c>
      <c r="J37" s="43">
        <v>577</v>
      </c>
      <c r="K37" s="37" t="str">
        <f>HYPERLINK("https://rmda.kulib.kyoto-u.ac.jp/item/rb00004597?page=577")</f>
        <v>https://rmda.kulib.kyoto-u.ac.jp/item/rb00004597?page=577</v>
      </c>
      <c r="L37" s="43">
        <v>82</v>
      </c>
      <c r="M37" s="37" t="str">
        <f>HYPERLINK("https://rmda.kulib.kyoto-u.ac.jp/item/rb00004587?page=82")</f>
        <v>https://rmda.kulib.kyoto-u.ac.jp/item/rb00004587?page=82</v>
      </c>
      <c r="N37" s="36" t="s">
        <v>391</v>
      </c>
      <c r="O37" s="29">
        <v>66</v>
      </c>
      <c r="P37" s="37" t="str">
        <f>HYPERLINK("https://rmda.kulib.kyoto-u.ac.jp/item/rb00004585?page=66")</f>
        <v>https://rmda.kulib.kyoto-u.ac.jp/item/rb00004585?page=66</v>
      </c>
      <c r="Q37" s="50" t="s">
        <v>390</v>
      </c>
      <c r="R37" s="54" t="str">
        <f>HYPERLINK("https://rmda.kulib.kyoto-u.ac.jp/item/rb00004585?page=63")</f>
        <v>https://rmda.kulib.kyoto-u.ac.jp/item/rb00004585?page=63</v>
      </c>
      <c r="S37" s="36" t="s">
        <v>391</v>
      </c>
      <c r="T37" s="29" t="s">
        <v>538</v>
      </c>
      <c r="U37" s="37" t="str">
        <f t="shared" si="2"/>
        <v>https://archive.wul.waseda.ac.jp/kosho/ya09/ya09_00955/ya09_00955_0003/ya09_00955_0003.html</v>
      </c>
      <c r="V37" s="47" t="s">
        <v>391</v>
      </c>
      <c r="W37" s="29">
        <v>50</v>
      </c>
      <c r="X37" s="54" t="str">
        <f>HYPERLINK("https://rmda.kulib.kyoto-u.ac.jp/item/rb00004583?page=50")</f>
        <v>https://rmda.kulib.kyoto-u.ac.jp/item/rb00004583?page=50</v>
      </c>
      <c r="Y37" s="36" t="s">
        <v>391</v>
      </c>
      <c r="Z37" s="29">
        <v>89</v>
      </c>
      <c r="AA37" s="37" t="str">
        <f>HYPERLINK("https://rmda.kulib.kyoto-u.ac.jp/item/rb00004592?page=89")</f>
        <v>https://rmda.kulib.kyoto-u.ac.jp/item/rb00004592?page=89</v>
      </c>
      <c r="AB37" s="47" t="s">
        <v>391</v>
      </c>
      <c r="AC37" s="29">
        <v>75</v>
      </c>
      <c r="AD37" s="54" t="str">
        <f>HYPERLINK("https://rmda.kulib.kyoto-u.ac.jp/item/rb00004593?page=75")</f>
        <v>https://rmda.kulib.kyoto-u.ac.jp/item/rb00004593?page=75</v>
      </c>
      <c r="AE37" s="36" t="s">
        <v>391</v>
      </c>
      <c r="AF37" s="29">
        <v>56</v>
      </c>
      <c r="AG37" s="37" t="str">
        <f>HYPERLINK("https://rmda.kulib.kyoto-u.ac.jp/item/rb00008886?page=56")</f>
        <v>https://rmda.kulib.kyoto-u.ac.jp/item/rb00008886?page=56</v>
      </c>
      <c r="AH37" s="47" t="s">
        <v>391</v>
      </c>
      <c r="AI37" s="29"/>
      <c r="AJ37" s="29"/>
      <c r="AK37" s="54"/>
      <c r="AL37" s="36" t="s">
        <v>391</v>
      </c>
      <c r="AM37" s="29"/>
      <c r="AN37" s="37"/>
      <c r="AO37" s="67"/>
      <c r="AP37" s="36" t="s">
        <v>391</v>
      </c>
      <c r="AQ37" s="29">
        <v>9</v>
      </c>
      <c r="AR37" s="29" t="str">
        <f>HYPERLINK("https://www.digital.archives.go.jp/img/4219659/9")</f>
        <v>https://www.digital.archives.go.jp/img/4219659/9</v>
      </c>
      <c r="AS37" s="29"/>
      <c r="AT37" s="37" t="s">
        <v>565</v>
      </c>
      <c r="AU37" s="76">
        <v>259</v>
      </c>
      <c r="AV37" s="77" t="str">
        <f>HYPERLINK("https://dl.ndl.go.jp/ja/pid/12759449/1/259")</f>
        <v>https://dl.ndl.go.jp/ja/pid/12759449/1/259</v>
      </c>
    </row>
    <row r="38" spans="1:48" x14ac:dyDescent="0.15">
      <c r="A38" s="71" t="s">
        <v>392</v>
      </c>
      <c r="B38" s="29">
        <v>38</v>
      </c>
      <c r="C38" s="37" t="str">
        <f>HYPERLINK("https://www.digital.archives.go.jp/img/4106120/38")</f>
        <v>https://www.digital.archives.go.jp/img/4106120/38</v>
      </c>
      <c r="D38" s="43">
        <v>91</v>
      </c>
      <c r="E38" s="37" t="str">
        <f>HYPERLINK("https://kokusho.nijl.ac.jp/biblio/100317365/91")</f>
        <v>https://kokusho.nijl.ac.jp/biblio/100317365/91</v>
      </c>
      <c r="F38" s="43">
        <v>73</v>
      </c>
      <c r="G38" s="37" t="str">
        <f>HYPERLINK("https://kokusho.nijl.ac.jp/biblio/100317364/73")</f>
        <v>https://kokusho.nijl.ac.jp/biblio/100317364/73</v>
      </c>
      <c r="H38" s="43">
        <v>238</v>
      </c>
      <c r="I38" s="38" t="str">
        <f>HYPERLINK("https://kokusho.nijl.ac.jp/biblio/100382563/238")</f>
        <v>https://kokusho.nijl.ac.jp/biblio/100382563/238</v>
      </c>
      <c r="J38" s="43">
        <v>584</v>
      </c>
      <c r="K38" s="37" t="str">
        <f>HYPERLINK("https://rmda.kulib.kyoto-u.ac.jp/item/rb00004597?page=584")</f>
        <v>https://rmda.kulib.kyoto-u.ac.jp/item/rb00004597?page=584</v>
      </c>
      <c r="L38" s="43">
        <v>84</v>
      </c>
      <c r="M38" s="37" t="str">
        <f>HYPERLINK("https://rmda.kulib.kyoto-u.ac.jp/item/rb00004587?page=84")</f>
        <v>https://rmda.kulib.kyoto-u.ac.jp/item/rb00004587?page=84</v>
      </c>
      <c r="N38" s="36" t="s">
        <v>392</v>
      </c>
      <c r="O38" s="29">
        <v>68</v>
      </c>
      <c r="P38" s="37" t="str">
        <f>HYPERLINK("https://rmda.kulib.kyoto-u.ac.jp/item/rb00004585?page=68")</f>
        <v>https://rmda.kulib.kyoto-u.ac.jp/item/rb00004585?page=68</v>
      </c>
      <c r="Q38" s="50" t="s">
        <v>393</v>
      </c>
      <c r="R38" s="54" t="str">
        <f>HYPERLINK("https://rmda.kulib.kyoto-u.ac.jp/item/rb00004585?page=72")</f>
        <v>https://rmda.kulib.kyoto-u.ac.jp/item/rb00004585?page=72</v>
      </c>
      <c r="S38" s="36" t="s">
        <v>392</v>
      </c>
      <c r="T38" s="29" t="s">
        <v>539</v>
      </c>
      <c r="U38" s="37" t="str">
        <f t="shared" si="2"/>
        <v>https://archive.wul.waseda.ac.jp/kosho/ya09/ya09_00955/ya09_00955_0003/ya09_00955_0003.html</v>
      </c>
      <c r="V38" s="47" t="s">
        <v>392</v>
      </c>
      <c r="W38" s="29">
        <v>50</v>
      </c>
      <c r="X38" s="54" t="str">
        <f>HYPERLINK("https://rmda.kulib.kyoto-u.ac.jp/item/rb00004583?page=50")</f>
        <v>https://rmda.kulib.kyoto-u.ac.jp/item/rb00004583?page=50</v>
      </c>
      <c r="Y38" s="36" t="s">
        <v>392</v>
      </c>
      <c r="Z38" s="29">
        <v>90</v>
      </c>
      <c r="AA38" s="37" t="str">
        <f>HYPERLINK("https://rmda.kulib.kyoto-u.ac.jp/item/rb00004592?page=90")</f>
        <v>https://rmda.kulib.kyoto-u.ac.jp/item/rb00004592?page=90</v>
      </c>
      <c r="AB38" s="47" t="s">
        <v>392</v>
      </c>
      <c r="AC38" s="29">
        <v>80</v>
      </c>
      <c r="AD38" s="54" t="str">
        <f>HYPERLINK("https://rmda.kulib.kyoto-u.ac.jp/item/rb00004593?page=80")</f>
        <v>https://rmda.kulib.kyoto-u.ac.jp/item/rb00004593?page=80</v>
      </c>
      <c r="AE38" s="36" t="s">
        <v>392</v>
      </c>
      <c r="AF38" s="29">
        <v>57</v>
      </c>
      <c r="AG38" s="37" t="str">
        <f>HYPERLINK("https://rmda.kulib.kyoto-u.ac.jp/item/rb00008886?page=57")</f>
        <v>https://rmda.kulib.kyoto-u.ac.jp/item/rb00008886?page=57</v>
      </c>
      <c r="AH38" s="47" t="s">
        <v>392</v>
      </c>
      <c r="AI38" s="29"/>
      <c r="AJ38" s="29"/>
      <c r="AK38" s="54"/>
      <c r="AL38" s="36" t="s">
        <v>392</v>
      </c>
      <c r="AM38" s="29"/>
      <c r="AN38" s="37"/>
      <c r="AO38" s="67"/>
      <c r="AP38" s="36" t="s">
        <v>392</v>
      </c>
      <c r="AQ38" s="29">
        <v>12</v>
      </c>
      <c r="AR38" s="29" t="str">
        <f>HYPERLINK("https://www.digital.archives.go.jp/img/4219659/12")</f>
        <v>https://www.digital.archives.go.jp/img/4219659/12</v>
      </c>
      <c r="AS38" s="29"/>
      <c r="AT38" s="37" t="s">
        <v>565</v>
      </c>
      <c r="AU38" s="76">
        <v>260</v>
      </c>
      <c r="AV38" s="77" t="str">
        <f>HYPERLINK("https://dl.ndl.go.jp/ja/pid/12759449/1/260")</f>
        <v>https://dl.ndl.go.jp/ja/pid/12759449/1/260</v>
      </c>
    </row>
    <row r="39" spans="1:48" x14ac:dyDescent="0.15">
      <c r="A39" s="71" t="s">
        <v>393</v>
      </c>
      <c r="B39" s="29">
        <v>39</v>
      </c>
      <c r="C39" s="37" t="str">
        <f>HYPERLINK("https://www.digital.archives.go.jp/img/4106120/39")</f>
        <v>https://www.digital.archives.go.jp/img/4106120/39</v>
      </c>
      <c r="D39" s="43">
        <v>93</v>
      </c>
      <c r="E39" s="37" t="str">
        <f>HYPERLINK("https://kokusho.nijl.ac.jp/biblio/100317365/93")</f>
        <v>https://kokusho.nijl.ac.jp/biblio/100317365/93</v>
      </c>
      <c r="F39" s="43">
        <v>74</v>
      </c>
      <c r="G39" s="37" t="str">
        <f>HYPERLINK("https://kokusho.nijl.ac.jp/biblio/100317364/74")</f>
        <v>https://kokusho.nijl.ac.jp/biblio/100317364/74</v>
      </c>
      <c r="H39" s="43">
        <v>243</v>
      </c>
      <c r="I39" s="38" t="str">
        <f>HYPERLINK("https://kokusho.nijl.ac.jp/biblio/100382563/243")</f>
        <v>https://kokusho.nijl.ac.jp/biblio/100382563/243</v>
      </c>
      <c r="J39" s="43">
        <v>602</v>
      </c>
      <c r="K39" s="37" t="str">
        <f>HYPERLINK("https://rmda.kulib.kyoto-u.ac.jp/item/rb00004597?page=602")</f>
        <v>https://rmda.kulib.kyoto-u.ac.jp/item/rb00004597?page=602</v>
      </c>
      <c r="L39" s="43">
        <v>86</v>
      </c>
      <c r="M39" s="37" t="str">
        <f>HYPERLINK("https://rmda.kulib.kyoto-u.ac.jp/item/rb00004587?page=86")</f>
        <v>https://rmda.kulib.kyoto-u.ac.jp/item/rb00004587?page=86</v>
      </c>
      <c r="N39" s="36" t="s">
        <v>393</v>
      </c>
      <c r="O39" s="29">
        <v>69</v>
      </c>
      <c r="P39" s="37" t="str">
        <f>HYPERLINK("https://rmda.kulib.kyoto-u.ac.jp/item/rb00004585?page=69")</f>
        <v>https://rmda.kulib.kyoto-u.ac.jp/item/rb00004585?page=69</v>
      </c>
      <c r="Q39" s="50" t="s">
        <v>394</v>
      </c>
      <c r="R39" s="54" t="str">
        <f>HYPERLINK("https://rmda.kulib.kyoto-u.ac.jp/item/rb00004585?page=68")</f>
        <v>https://rmda.kulib.kyoto-u.ac.jp/item/rb00004585?page=68</v>
      </c>
      <c r="S39" s="36" t="s">
        <v>393</v>
      </c>
      <c r="T39" s="29" t="s">
        <v>526</v>
      </c>
      <c r="U39" s="37" t="str">
        <f t="shared" si="2"/>
        <v>https://archive.wul.waseda.ac.jp/kosho/ya09/ya09_00955/ya09_00955_0003/ya09_00955_0003.html</v>
      </c>
      <c r="V39" s="47" t="s">
        <v>393</v>
      </c>
      <c r="W39" s="29">
        <v>52</v>
      </c>
      <c r="X39" s="54" t="str">
        <f>HYPERLINK("https://rmda.kulib.kyoto-u.ac.jp/item/rb00004583?page=52")</f>
        <v>https://rmda.kulib.kyoto-u.ac.jp/item/rb00004583?page=52</v>
      </c>
      <c r="Y39" s="36" t="s">
        <v>393</v>
      </c>
      <c r="Z39" s="29">
        <v>92</v>
      </c>
      <c r="AA39" s="37" t="str">
        <f>HYPERLINK("https://rmda.kulib.kyoto-u.ac.jp/item/rb00004592?page=92")</f>
        <v>https://rmda.kulib.kyoto-u.ac.jp/item/rb00004592?page=92</v>
      </c>
      <c r="AB39" s="47" t="s">
        <v>393</v>
      </c>
      <c r="AC39" s="29">
        <v>83</v>
      </c>
      <c r="AD39" s="54" t="str">
        <f>HYPERLINK("https://rmda.kulib.kyoto-u.ac.jp/item/rb00004593?page=83")</f>
        <v>https://rmda.kulib.kyoto-u.ac.jp/item/rb00004593?page=83</v>
      </c>
      <c r="AE39" s="36" t="s">
        <v>393</v>
      </c>
      <c r="AF39" s="29">
        <v>58</v>
      </c>
      <c r="AG39" s="37" t="str">
        <f>HYPERLINK("https://rmda.kulib.kyoto-u.ac.jp/item/rb00008886?page=58")</f>
        <v>https://rmda.kulib.kyoto-u.ac.jp/item/rb00008886?page=58</v>
      </c>
      <c r="AH39" s="47" t="s">
        <v>393</v>
      </c>
      <c r="AI39" s="29"/>
      <c r="AJ39" s="29"/>
      <c r="AK39" s="54"/>
      <c r="AL39" s="36" t="s">
        <v>393</v>
      </c>
      <c r="AM39" s="29"/>
      <c r="AN39" s="37"/>
      <c r="AO39" s="67"/>
      <c r="AP39" s="36" t="s">
        <v>393</v>
      </c>
      <c r="AQ39" s="29">
        <v>21</v>
      </c>
      <c r="AR39" s="29" t="str">
        <f>HYPERLINK("https://www.digital.archives.go.jp/img/4219659/21")</f>
        <v>https://www.digital.archives.go.jp/img/4219659/21</v>
      </c>
      <c r="AS39" s="29"/>
      <c r="AT39" s="37" t="s">
        <v>565</v>
      </c>
      <c r="AU39" s="76">
        <v>261</v>
      </c>
      <c r="AV39" s="77" t="str">
        <f>HYPERLINK("https://dl.ndl.go.jp/ja/pid/12759449/1/261")</f>
        <v>https://dl.ndl.go.jp/ja/pid/12759449/1/261</v>
      </c>
    </row>
    <row r="40" spans="1:48" x14ac:dyDescent="0.15">
      <c r="A40" s="71" t="s">
        <v>394</v>
      </c>
      <c r="B40" s="29">
        <v>40</v>
      </c>
      <c r="C40" s="37" t="str">
        <f>HYPERLINK("https://www.digital.archives.go.jp/img/4106120/40")</f>
        <v>https://www.digital.archives.go.jp/img/4106120/40</v>
      </c>
      <c r="D40" s="43">
        <v>93</v>
      </c>
      <c r="E40" s="37" t="str">
        <f>HYPERLINK("https://kokusho.nijl.ac.jp/biblio/100317365/93")</f>
        <v>https://kokusho.nijl.ac.jp/biblio/100317365/93</v>
      </c>
      <c r="F40" s="43">
        <v>75</v>
      </c>
      <c r="G40" s="37" t="str">
        <f>HYPERLINK("https://kokusho.nijl.ac.jp/biblio/100317364/75")</f>
        <v>https://kokusho.nijl.ac.jp/biblio/100317364/75</v>
      </c>
      <c r="H40" s="43">
        <v>244</v>
      </c>
      <c r="I40" s="38" t="str">
        <f>HYPERLINK("https://kokusho.nijl.ac.jp/biblio/100382563/244")</f>
        <v>https://kokusho.nijl.ac.jp/biblio/100382563/244</v>
      </c>
      <c r="J40" s="43">
        <v>609</v>
      </c>
      <c r="K40" s="37" t="str">
        <f>HYPERLINK("https://rmda.kulib.kyoto-u.ac.jp/item/rb00004597?page=609")</f>
        <v>https://rmda.kulib.kyoto-u.ac.jp/item/rb00004597?page=609</v>
      </c>
      <c r="L40" s="43">
        <v>86</v>
      </c>
      <c r="M40" s="37" t="str">
        <f>HYPERLINK("https://rmda.kulib.kyoto-u.ac.jp/item/rb00004587?page=86")</f>
        <v>https://rmda.kulib.kyoto-u.ac.jp/item/rb00004587?page=86</v>
      </c>
      <c r="N40" s="36" t="s">
        <v>394</v>
      </c>
      <c r="O40" s="29">
        <v>70</v>
      </c>
      <c r="P40" s="37" t="str">
        <f>HYPERLINK("https://rmda.kulib.kyoto-u.ac.jp/item/rb00004585?page=70")</f>
        <v>https://rmda.kulib.kyoto-u.ac.jp/item/rb00004585?page=70</v>
      </c>
      <c r="Q40" s="50" t="s">
        <v>386</v>
      </c>
      <c r="R40" s="54" t="str">
        <f>HYPERLINK("https://rmda.kulib.kyoto-u.ac.jp/item/rb00004585?page=69")</f>
        <v>https://rmda.kulib.kyoto-u.ac.jp/item/rb00004585?page=69</v>
      </c>
      <c r="S40" s="36" t="s">
        <v>394</v>
      </c>
      <c r="T40" s="29" t="s">
        <v>540</v>
      </c>
      <c r="U40" s="37" t="str">
        <f t="shared" si="2"/>
        <v>https://archive.wul.waseda.ac.jp/kosho/ya09/ya09_00955/ya09_00955_0003/ya09_00955_0003.html</v>
      </c>
      <c r="V40" s="47" t="s">
        <v>394</v>
      </c>
      <c r="W40" s="29">
        <v>53</v>
      </c>
      <c r="X40" s="54" t="str">
        <f>HYPERLINK("https://rmda.kulib.kyoto-u.ac.jp/item/rb00004583?page=53")</f>
        <v>https://rmda.kulib.kyoto-u.ac.jp/item/rb00004583?page=53</v>
      </c>
      <c r="Y40" s="36" t="s">
        <v>394</v>
      </c>
      <c r="Z40" s="29">
        <v>93</v>
      </c>
      <c r="AA40" s="37" t="str">
        <f>HYPERLINK("https://rmda.kulib.kyoto-u.ac.jp/item/rb00004592?page=93")</f>
        <v>https://rmda.kulib.kyoto-u.ac.jp/item/rb00004592?page=93</v>
      </c>
      <c r="AB40" s="47" t="s">
        <v>394</v>
      </c>
      <c r="AC40" s="29">
        <v>84</v>
      </c>
      <c r="AD40" s="54" t="str">
        <f>HYPERLINK("https://rmda.kulib.kyoto-u.ac.jp/item/rb00004593?page=84")</f>
        <v>https://rmda.kulib.kyoto-u.ac.jp/item/rb00004593?page=84</v>
      </c>
      <c r="AE40" s="36" t="s">
        <v>394</v>
      </c>
      <c r="AF40" s="29">
        <v>59</v>
      </c>
      <c r="AG40" s="37" t="str">
        <f>HYPERLINK("https://rmda.kulib.kyoto-u.ac.jp/item/rb00008886?page=59")</f>
        <v>https://rmda.kulib.kyoto-u.ac.jp/item/rb00008886?page=59</v>
      </c>
      <c r="AH40" s="47" t="s">
        <v>394</v>
      </c>
      <c r="AI40" s="29"/>
      <c r="AJ40" s="29"/>
      <c r="AK40" s="54"/>
      <c r="AL40" s="36" t="s">
        <v>394</v>
      </c>
      <c r="AM40" s="29"/>
      <c r="AN40" s="37"/>
      <c r="AO40" s="67"/>
      <c r="AP40" s="36" t="s">
        <v>394</v>
      </c>
      <c r="AQ40" s="29">
        <v>23</v>
      </c>
      <c r="AR40" s="29" t="str">
        <f>HYPERLINK("https://www.digital.archives.go.jp/img/4219659/23")</f>
        <v>https://www.digital.archives.go.jp/img/4219659/23</v>
      </c>
      <c r="AS40" s="29"/>
      <c r="AT40" s="37" t="s">
        <v>565</v>
      </c>
      <c r="AU40" s="76">
        <v>262</v>
      </c>
      <c r="AV40" s="77" t="str">
        <f>HYPERLINK("https://dl.ndl.go.jp/ja/pid/12759449/1/262")</f>
        <v>https://dl.ndl.go.jp/ja/pid/12759449/1/262</v>
      </c>
    </row>
    <row r="41" spans="1:48" x14ac:dyDescent="0.15">
      <c r="A41" s="71" t="s">
        <v>395</v>
      </c>
      <c r="B41" s="29">
        <v>4</v>
      </c>
      <c r="C41" s="38" t="str">
        <f>HYPERLINK("https://www.digital.archives.go.jp/img/4106122/4")</f>
        <v>https://www.digital.archives.go.jp/img/4106122/4</v>
      </c>
      <c r="D41" s="43">
        <v>94</v>
      </c>
      <c r="E41" s="37" t="str">
        <f>HYPERLINK("https://kokusho.nijl.ac.jp/biblio/100317365/94")</f>
        <v>https://kokusho.nijl.ac.jp/biblio/100317365/94</v>
      </c>
      <c r="F41" s="43">
        <v>75</v>
      </c>
      <c r="G41" s="37" t="str">
        <f>HYPERLINK("https://kokusho.nijl.ac.jp/biblio/100317364/75")</f>
        <v>https://kokusho.nijl.ac.jp/biblio/100317364/75</v>
      </c>
      <c r="H41" s="43">
        <v>245</v>
      </c>
      <c r="I41" s="38" t="str">
        <f>HYPERLINK("https://kokusho.nijl.ac.jp/biblio/100382563/245")</f>
        <v>https://kokusho.nijl.ac.jp/biblio/100382563/245</v>
      </c>
      <c r="J41" s="43">
        <v>612</v>
      </c>
      <c r="K41" s="37" t="str">
        <f>HYPERLINK("https://rmda.kulib.kyoto-u.ac.jp/item/rb00004597?page=612")</f>
        <v>https://rmda.kulib.kyoto-u.ac.jp/item/rb00004597?page=612</v>
      </c>
      <c r="L41" s="43">
        <v>86</v>
      </c>
      <c r="M41" s="37" t="str">
        <f>HYPERLINK("https://rmda.kulib.kyoto-u.ac.jp/item/rb00004587?page=86")</f>
        <v>https://rmda.kulib.kyoto-u.ac.jp/item/rb00004587?page=86</v>
      </c>
      <c r="N41" s="36" t="s">
        <v>395</v>
      </c>
      <c r="O41" s="29">
        <v>72</v>
      </c>
      <c r="P41" s="37" t="str">
        <f>HYPERLINK("https://rmda.kulib.kyoto-u.ac.jp/item/rb00004585?page=72")</f>
        <v>https://rmda.kulib.kyoto-u.ac.jp/item/rb00004585?page=72</v>
      </c>
      <c r="Q41" s="50" t="s">
        <v>392</v>
      </c>
      <c r="R41" s="54" t="str">
        <f>HYPERLINK("https://rmda.kulib.kyoto-u.ac.jp/item/rb00004585?page=73")</f>
        <v>https://rmda.kulib.kyoto-u.ac.jp/item/rb00004585?page=73</v>
      </c>
      <c r="S41" s="36" t="s">
        <v>395</v>
      </c>
      <c r="T41" s="29" t="s">
        <v>513</v>
      </c>
      <c r="U41" s="37" t="str">
        <f t="shared" si="2"/>
        <v>https://archive.wul.waseda.ac.jp/kosho/ya09/ya09_00955/ya09_00955_0003/ya09_00955_0003.html</v>
      </c>
      <c r="V41" s="47" t="s">
        <v>395</v>
      </c>
      <c r="W41" s="29">
        <v>53</v>
      </c>
      <c r="X41" s="54" t="str">
        <f>HYPERLINK("https://rmda.kulib.kyoto-u.ac.jp/item/rb00004583?page=53")</f>
        <v>https://rmda.kulib.kyoto-u.ac.jp/item/rb00004583?page=53</v>
      </c>
      <c r="Y41" s="36" t="s">
        <v>395</v>
      </c>
      <c r="Z41" s="29">
        <v>94</v>
      </c>
      <c r="AA41" s="37" t="str">
        <f>HYPERLINK("https://rmda.kulib.kyoto-u.ac.jp/item/rb00004592?page=94")</f>
        <v>https://rmda.kulib.kyoto-u.ac.jp/item/rb00004592?page=94</v>
      </c>
      <c r="AB41" s="47" t="s">
        <v>395</v>
      </c>
      <c r="AC41" s="29">
        <v>85</v>
      </c>
      <c r="AD41" s="54" t="str">
        <f>HYPERLINK("https://rmda.kulib.kyoto-u.ac.jp/item/rb00004593?page=85")</f>
        <v>https://rmda.kulib.kyoto-u.ac.jp/item/rb00004593?page=85</v>
      </c>
      <c r="AE41" s="36" t="s">
        <v>395</v>
      </c>
      <c r="AF41" s="29">
        <v>59</v>
      </c>
      <c r="AG41" s="37" t="str">
        <f>HYPERLINK("https://rmda.kulib.kyoto-u.ac.jp/item/rb00008886?page=59")</f>
        <v>https://rmda.kulib.kyoto-u.ac.jp/item/rb00008886?page=59</v>
      </c>
      <c r="AH41" s="47" t="s">
        <v>395</v>
      </c>
      <c r="AI41" s="29"/>
      <c r="AJ41" s="29"/>
      <c r="AK41" s="54"/>
      <c r="AL41" s="36" t="s">
        <v>395</v>
      </c>
      <c r="AM41" s="29"/>
      <c r="AN41" s="37"/>
      <c r="AO41" s="67"/>
      <c r="AP41" s="36" t="s">
        <v>395</v>
      </c>
      <c r="AQ41" s="29">
        <v>26</v>
      </c>
      <c r="AR41" s="29" t="str">
        <f>HYPERLINK("https://www.digital.archives.go.jp/img/4219659/26")</f>
        <v>https://www.digital.archives.go.jp/img/4219659/26</v>
      </c>
      <c r="AS41" s="29"/>
      <c r="AT41" s="37" t="s">
        <v>565</v>
      </c>
      <c r="AU41" s="76">
        <v>262</v>
      </c>
      <c r="AV41" s="77" t="str">
        <f>HYPERLINK("https://dl.ndl.go.jp/ja/pid/12759449/1/262")</f>
        <v>https://dl.ndl.go.jp/ja/pid/12759449/1/262</v>
      </c>
    </row>
    <row r="42" spans="1:48" x14ac:dyDescent="0.15">
      <c r="A42" s="71" t="s">
        <v>396</v>
      </c>
      <c r="B42" s="29">
        <v>5</v>
      </c>
      <c r="C42" s="37" t="str">
        <f>HYPERLINK("https://www.digital.archives.go.jp/img/4106122/5")</f>
        <v>https://www.digital.archives.go.jp/img/4106122/5</v>
      </c>
      <c r="D42" s="43">
        <v>94</v>
      </c>
      <c r="E42" s="37" t="str">
        <f>HYPERLINK("https://kokusho.nijl.ac.jp/biblio/100317365/94")</f>
        <v>https://kokusho.nijl.ac.jp/biblio/100317365/94</v>
      </c>
      <c r="F42" s="43">
        <v>76</v>
      </c>
      <c r="G42" s="37" t="str">
        <f>HYPERLINK("https://kokusho.nijl.ac.jp/biblio/100317364/76")</f>
        <v>https://kokusho.nijl.ac.jp/biblio/100317364/76</v>
      </c>
      <c r="H42" s="43">
        <v>246</v>
      </c>
      <c r="I42" s="38" t="str">
        <f>HYPERLINK("https://kokusho.nijl.ac.jp/biblio/100382563/246")</f>
        <v>https://kokusho.nijl.ac.jp/biblio/100382563/246</v>
      </c>
      <c r="J42" s="43">
        <v>615</v>
      </c>
      <c r="K42" s="37" t="str">
        <f>HYPERLINK("https://rmda.kulib.kyoto-u.ac.jp/item/rb00004597?page=615")</f>
        <v>https://rmda.kulib.kyoto-u.ac.jp/item/rb00004597?page=615</v>
      </c>
      <c r="L42" s="43">
        <v>87</v>
      </c>
      <c r="M42" s="37" t="str">
        <f>HYPERLINK("https://rmda.kulib.kyoto-u.ac.jp/item/rb00004587?page=87")</f>
        <v>https://rmda.kulib.kyoto-u.ac.jp/item/rb00004587?page=87</v>
      </c>
      <c r="N42" s="36" t="s">
        <v>396</v>
      </c>
      <c r="O42" s="29">
        <v>73</v>
      </c>
      <c r="P42" s="37" t="str">
        <f>HYPERLINK("https://rmda.kulib.kyoto-u.ac.jp/item/rb00004585?page=73")</f>
        <v>https://rmda.kulib.kyoto-u.ac.jp/item/rb00004585?page=73</v>
      </c>
      <c r="Q42" s="50" t="s">
        <v>395</v>
      </c>
      <c r="R42" s="54" t="str">
        <f>HYPERLINK("https://rmda.kulib.kyoto-u.ac.jp/item/rb00004585?page=63")</f>
        <v>https://rmda.kulib.kyoto-u.ac.jp/item/rb00004585?page=63</v>
      </c>
      <c r="S42" s="36" t="s">
        <v>396</v>
      </c>
      <c r="T42" s="29" t="s">
        <v>541</v>
      </c>
      <c r="U42" s="37" t="str">
        <f t="shared" si="2"/>
        <v>https://archive.wul.waseda.ac.jp/kosho/ya09/ya09_00955/ya09_00955_0003/ya09_00955_0003.html</v>
      </c>
      <c r="V42" s="47" t="s">
        <v>396</v>
      </c>
      <c r="W42" s="29">
        <v>54</v>
      </c>
      <c r="X42" s="54" t="str">
        <f>HYPERLINK("https://rmda.kulib.kyoto-u.ac.jp/item/rb00004583?page=54")</f>
        <v>https://rmda.kulib.kyoto-u.ac.jp/item/rb00004583?page=54</v>
      </c>
      <c r="Y42" s="36" t="s">
        <v>396</v>
      </c>
      <c r="Z42" s="29">
        <v>96</v>
      </c>
      <c r="AA42" s="37" t="str">
        <f>HYPERLINK("https://rmda.kulib.kyoto-u.ac.jp/item/rb00004592?page=96")</f>
        <v>https://rmda.kulib.kyoto-u.ac.jp/item/rb00004592?page=96</v>
      </c>
      <c r="AB42" s="47" t="s">
        <v>396</v>
      </c>
      <c r="AC42" s="29">
        <v>87</v>
      </c>
      <c r="AD42" s="54" t="str">
        <f>HYPERLINK("https://rmda.kulib.kyoto-u.ac.jp/item/rb00004593?page=87")</f>
        <v>https://rmda.kulib.kyoto-u.ac.jp/item/rb00004593?page=87</v>
      </c>
      <c r="AE42" s="36" t="s">
        <v>396</v>
      </c>
      <c r="AF42" s="29">
        <v>60</v>
      </c>
      <c r="AG42" s="37" t="str">
        <f>HYPERLINK("https://rmda.kulib.kyoto-u.ac.jp/item/rb00008886?page=60")</f>
        <v>https://rmda.kulib.kyoto-u.ac.jp/item/rb00008886?page=60</v>
      </c>
      <c r="AH42" s="47" t="s">
        <v>396</v>
      </c>
      <c r="AI42" s="29"/>
      <c r="AJ42" s="29"/>
      <c r="AK42" s="54"/>
      <c r="AL42" s="36" t="s">
        <v>396</v>
      </c>
      <c r="AM42" s="29"/>
      <c r="AN42" s="37"/>
      <c r="AO42" s="67"/>
      <c r="AP42" s="36" t="s">
        <v>396</v>
      </c>
      <c r="AQ42" s="29">
        <v>30</v>
      </c>
      <c r="AR42" s="29" t="str">
        <f>HYPERLINK("https://www.digital.archives.go.jp/img/4219659/30")</f>
        <v>https://www.digital.archives.go.jp/img/4219659/30</v>
      </c>
      <c r="AS42" s="29"/>
      <c r="AT42" s="37" t="s">
        <v>565</v>
      </c>
      <c r="AU42" s="76">
        <v>263</v>
      </c>
      <c r="AV42" s="77" t="str">
        <f>HYPERLINK("https://dl.ndl.go.jp/ja/pid/12759449/1/263")</f>
        <v>https://dl.ndl.go.jp/ja/pid/12759449/1/263</v>
      </c>
    </row>
    <row r="43" spans="1:48" x14ac:dyDescent="0.15">
      <c r="A43" s="71" t="s">
        <v>397</v>
      </c>
      <c r="B43" s="29">
        <v>6</v>
      </c>
      <c r="C43" s="37" t="str">
        <f>HYPERLINK("https://www.digital.archives.go.jp/img/4106122/6")</f>
        <v>https://www.digital.archives.go.jp/img/4106122/6</v>
      </c>
      <c r="D43" s="43">
        <v>95</v>
      </c>
      <c r="E43" s="37" t="str">
        <f>HYPERLINK("https://kokusho.nijl.ac.jp/biblio/100317365/95")</f>
        <v>https://kokusho.nijl.ac.jp/biblio/100317365/95</v>
      </c>
      <c r="F43" s="43">
        <v>76</v>
      </c>
      <c r="G43" s="37" t="str">
        <f>HYPERLINK("https://kokusho.nijl.ac.jp/biblio/100317364/76")</f>
        <v>https://kokusho.nijl.ac.jp/biblio/100317364/76</v>
      </c>
      <c r="H43" s="43">
        <v>248</v>
      </c>
      <c r="I43" s="38" t="str">
        <f>HYPERLINK("https://kokusho.nijl.ac.jp/biblio/100382563/248")</f>
        <v>https://kokusho.nijl.ac.jp/biblio/100382563/248</v>
      </c>
      <c r="J43" s="43">
        <v>619</v>
      </c>
      <c r="K43" s="37" t="str">
        <f>HYPERLINK("https://rmda.kulib.kyoto-u.ac.jp/item/rb00004597?page=619")</f>
        <v>https://rmda.kulib.kyoto-u.ac.jp/item/rb00004597?page=619</v>
      </c>
      <c r="L43" s="43">
        <v>88</v>
      </c>
      <c r="M43" s="37" t="str">
        <f>HYPERLINK("https://rmda.kulib.kyoto-u.ac.jp/item/rb00004587?page=88")</f>
        <v>https://rmda.kulib.kyoto-u.ac.jp/item/rb00004587?page=88</v>
      </c>
      <c r="N43" s="36" t="s">
        <v>397</v>
      </c>
      <c r="O43" s="29">
        <v>74</v>
      </c>
      <c r="P43" s="37" t="str">
        <f>HYPERLINK("https://rmda.kulib.kyoto-u.ac.jp/item/rb00004585?page=74")</f>
        <v>https://rmda.kulib.kyoto-u.ac.jp/item/rb00004585?page=74</v>
      </c>
      <c r="Q43" s="50" t="s">
        <v>397</v>
      </c>
      <c r="R43" s="54" t="str">
        <f>HYPERLINK("https://rmda.kulib.kyoto-u.ac.jp/item/rb00004585?page=74")</f>
        <v>https://rmda.kulib.kyoto-u.ac.jp/item/rb00004585?page=74</v>
      </c>
      <c r="S43" s="36" t="s">
        <v>397</v>
      </c>
      <c r="T43" s="29" t="s">
        <v>515</v>
      </c>
      <c r="U43" s="37" t="str">
        <f t="shared" si="2"/>
        <v>https://archive.wul.waseda.ac.jp/kosho/ya09/ya09_00955/ya09_00955_0003/ya09_00955_0003.html</v>
      </c>
      <c r="V43" s="47" t="s">
        <v>397</v>
      </c>
      <c r="W43" s="29">
        <v>54</v>
      </c>
      <c r="X43" s="54" t="str">
        <f>HYPERLINK("https://rmda.kulib.kyoto-u.ac.jp/item/rb00004583?page=54")</f>
        <v>https://rmda.kulib.kyoto-u.ac.jp/item/rb00004583?page=54</v>
      </c>
      <c r="Y43" s="36" t="s">
        <v>397</v>
      </c>
      <c r="Z43" s="29">
        <v>97</v>
      </c>
      <c r="AA43" s="37" t="str">
        <f>HYPERLINK("https://rmda.kulib.kyoto-u.ac.jp/item/rb00004592?page=97")</f>
        <v>https://rmda.kulib.kyoto-u.ac.jp/item/rb00004592?page=97</v>
      </c>
      <c r="AB43" s="47" t="s">
        <v>397</v>
      </c>
      <c r="AC43" s="29">
        <v>88</v>
      </c>
      <c r="AD43" s="54" t="str">
        <f>HYPERLINK("https://rmda.kulib.kyoto-u.ac.jp/item/rb00004593?page=88")</f>
        <v>https://rmda.kulib.kyoto-u.ac.jp/item/rb00004593?page=88</v>
      </c>
      <c r="AE43" s="36" t="s">
        <v>397</v>
      </c>
      <c r="AF43" s="29">
        <v>60</v>
      </c>
      <c r="AG43" s="37" t="str">
        <f>HYPERLINK("https://rmda.kulib.kyoto-u.ac.jp/item/rb00008886?page=60")</f>
        <v>https://rmda.kulib.kyoto-u.ac.jp/item/rb00008886?page=60</v>
      </c>
      <c r="AH43" s="47" t="s">
        <v>397</v>
      </c>
      <c r="AI43" s="29"/>
      <c r="AJ43" s="29"/>
      <c r="AK43" s="54"/>
      <c r="AL43" s="36" t="s">
        <v>397</v>
      </c>
      <c r="AM43" s="29"/>
      <c r="AN43" s="37"/>
      <c r="AO43" s="67"/>
      <c r="AP43" s="36" t="s">
        <v>397</v>
      </c>
      <c r="AQ43" s="29">
        <v>32</v>
      </c>
      <c r="AR43" s="29" t="str">
        <f>HYPERLINK("https://www.digital.archives.go.jp/img/4219659/32")</f>
        <v>https://www.digital.archives.go.jp/img/4219659/32</v>
      </c>
      <c r="AS43" s="29"/>
      <c r="AT43" s="37" t="s">
        <v>565</v>
      </c>
      <c r="AU43" s="76">
        <v>263</v>
      </c>
      <c r="AV43" s="77" t="str">
        <f>HYPERLINK("https://dl.ndl.go.jp/ja/pid/12759449/1/263")</f>
        <v>https://dl.ndl.go.jp/ja/pid/12759449/1/263</v>
      </c>
    </row>
    <row r="44" spans="1:48" x14ac:dyDescent="0.15">
      <c r="A44" s="71" t="s">
        <v>398</v>
      </c>
      <c r="B44" s="29">
        <v>11</v>
      </c>
      <c r="C44" s="37" t="str">
        <f>HYPERLINK("https://www.digital.archives.go.jp/img/4106122/11")</f>
        <v>https://www.digital.archives.go.jp/img/4106122/11</v>
      </c>
      <c r="D44" s="43">
        <v>96</v>
      </c>
      <c r="E44" s="37" t="str">
        <f>HYPERLINK("https://kokusho.nijl.ac.jp/biblio/100317365/96")</f>
        <v>https://kokusho.nijl.ac.jp/biblio/100317365/96</v>
      </c>
      <c r="F44" s="43">
        <v>78</v>
      </c>
      <c r="G44" s="37" t="str">
        <f>HYPERLINK("https://kokusho.nijl.ac.jp/biblio/100317364/78")</f>
        <v>https://kokusho.nijl.ac.jp/biblio/100317364/78</v>
      </c>
      <c r="H44" s="43">
        <v>251</v>
      </c>
      <c r="I44" s="38" t="str">
        <f>HYPERLINK("https://kokusho.nijl.ac.jp/biblio/100382563/251")</f>
        <v>https://kokusho.nijl.ac.jp/biblio/100382563/251</v>
      </c>
      <c r="J44" s="43">
        <v>631</v>
      </c>
      <c r="K44" s="37" t="str">
        <f>HYPERLINK("https://rmda.kulib.kyoto-u.ac.jp/item/rb00004597?page=631")</f>
        <v>https://rmda.kulib.kyoto-u.ac.jp/item/rb00004597?page=631</v>
      </c>
      <c r="L44" s="43">
        <v>91</v>
      </c>
      <c r="M44" s="37" t="str">
        <f>HYPERLINK("https://rmda.kulib.kyoto-u.ac.jp/item/rb00004587?page=91")</f>
        <v>https://rmda.kulib.kyoto-u.ac.jp/item/rb00004587?page=91</v>
      </c>
      <c r="N44" s="36" t="s">
        <v>398</v>
      </c>
      <c r="O44" s="29">
        <v>77</v>
      </c>
      <c r="P44" s="37" t="str">
        <f>HYPERLINK("https://rmda.kulib.kyoto-u.ac.jp/item/rb00004585?page=77")</f>
        <v>https://rmda.kulib.kyoto-u.ac.jp/item/rb00004585?page=77</v>
      </c>
      <c r="Q44" s="50" t="s">
        <v>398</v>
      </c>
      <c r="R44" s="54" t="str">
        <f>HYPERLINK("https://rmda.kulib.kyoto-u.ac.jp/item/rb00004585?page=77")</f>
        <v>https://rmda.kulib.kyoto-u.ac.jp/item/rb00004585?page=77</v>
      </c>
      <c r="S44" s="36" t="s">
        <v>398</v>
      </c>
      <c r="T44" s="29" t="s">
        <v>517</v>
      </c>
      <c r="U44" s="37" t="str">
        <f t="shared" si="2"/>
        <v>https://archive.wul.waseda.ac.jp/kosho/ya09/ya09_00955/ya09_00955_0003/ya09_00955_0003.html</v>
      </c>
      <c r="V44" s="47" t="s">
        <v>398</v>
      </c>
      <c r="W44" s="29">
        <v>56</v>
      </c>
      <c r="X44" s="54" t="str">
        <f>HYPERLINK("https://rmda.kulib.kyoto-u.ac.jp/item/rb00004583?page=56")</f>
        <v>https://rmda.kulib.kyoto-u.ac.jp/item/rb00004583?page=56</v>
      </c>
      <c r="Y44" s="36" t="s">
        <v>398</v>
      </c>
      <c r="Z44" s="29">
        <v>100</v>
      </c>
      <c r="AA44" s="37" t="str">
        <f>HYPERLINK("https://rmda.kulib.kyoto-u.ac.jp/item/rb00004592?page=100")</f>
        <v>https://rmda.kulib.kyoto-u.ac.jp/item/rb00004592?page=100</v>
      </c>
      <c r="AB44" s="47" t="s">
        <v>398</v>
      </c>
      <c r="AC44" s="29">
        <v>91</v>
      </c>
      <c r="AD44" s="54" t="str">
        <f>HYPERLINK("https://rmda.kulib.kyoto-u.ac.jp/item/rb00004593?page=91")</f>
        <v>https://rmda.kulib.kyoto-u.ac.jp/item/rb00004593?page=91</v>
      </c>
      <c r="AE44" s="36" t="s">
        <v>398</v>
      </c>
      <c r="AF44" s="29">
        <v>62</v>
      </c>
      <c r="AG44" s="37" t="str">
        <f>HYPERLINK("https://rmda.kulib.kyoto-u.ac.jp/item/rb00008886?page=62")</f>
        <v>https://rmda.kulib.kyoto-u.ac.jp/item/rb00008886?page=62</v>
      </c>
      <c r="AH44" s="47" t="s">
        <v>398</v>
      </c>
      <c r="AI44" s="29"/>
      <c r="AJ44" s="29"/>
      <c r="AK44" s="54"/>
      <c r="AL44" s="36" t="s">
        <v>398</v>
      </c>
      <c r="AM44" s="29"/>
      <c r="AN44" s="37"/>
      <c r="AO44" s="67"/>
      <c r="AP44" s="36" t="s">
        <v>398</v>
      </c>
      <c r="AQ44" s="29">
        <v>50</v>
      </c>
      <c r="AR44" s="29" t="str">
        <f>HYPERLINK("https://www.digital.archives.go.jp/img/4219659/50")</f>
        <v>https://www.digital.archives.go.jp/img/4219659/50</v>
      </c>
      <c r="AS44" s="29"/>
      <c r="AT44" s="37" t="s">
        <v>565</v>
      </c>
      <c r="AU44" s="76">
        <v>266</v>
      </c>
      <c r="AV44" s="77" t="str">
        <f>HYPERLINK("https://dl.ndl.go.jp/ja/pid/12759449/1/266")</f>
        <v>https://dl.ndl.go.jp/ja/pid/12759449/1/266</v>
      </c>
    </row>
    <row r="45" spans="1:48" x14ac:dyDescent="0.15">
      <c r="A45" s="71" t="s">
        <v>399</v>
      </c>
      <c r="B45" s="29">
        <v>12</v>
      </c>
      <c r="C45" s="37" t="str">
        <f>HYPERLINK("https://www.digital.archives.go.jp/img/4106122/12")</f>
        <v>https://www.digital.archives.go.jp/img/4106122/12</v>
      </c>
      <c r="D45" s="43">
        <v>97</v>
      </c>
      <c r="E45" s="37" t="str">
        <f>HYPERLINK("https://kokusho.nijl.ac.jp/biblio/100317365/97")</f>
        <v>https://kokusho.nijl.ac.jp/biblio/100317365/97</v>
      </c>
      <c r="F45" s="43">
        <v>78</v>
      </c>
      <c r="G45" s="37" t="str">
        <f>HYPERLINK("https://kokusho.nijl.ac.jp/biblio/100317364/78")</f>
        <v>https://kokusho.nijl.ac.jp/biblio/100317364/78</v>
      </c>
      <c r="H45" s="43">
        <v>253</v>
      </c>
      <c r="I45" s="38" t="str">
        <f>HYPERLINK("https://kokusho.nijl.ac.jp/biblio/100382563/253")</f>
        <v>https://kokusho.nijl.ac.jp/biblio/100382563/253</v>
      </c>
      <c r="J45" s="43">
        <v>637</v>
      </c>
      <c r="K45" s="37" t="str">
        <f>HYPERLINK("https://rmda.kulib.kyoto-u.ac.jp/item/rb00004597?page=637")</f>
        <v>https://rmda.kulib.kyoto-u.ac.jp/item/rb00004597?page=637</v>
      </c>
      <c r="L45" s="43">
        <v>91</v>
      </c>
      <c r="M45" s="37" t="str">
        <f>HYPERLINK("https://rmda.kulib.kyoto-u.ac.jp/item/rb00004587?page=91")</f>
        <v>https://rmda.kulib.kyoto-u.ac.jp/item/rb00004587?page=91</v>
      </c>
      <c r="N45" s="36" t="s">
        <v>399</v>
      </c>
      <c r="O45" s="29">
        <v>78</v>
      </c>
      <c r="P45" s="37" t="str">
        <f>HYPERLINK("https://rmda.kulib.kyoto-u.ac.jp/item/rb00004585?page=78")</f>
        <v>https://rmda.kulib.kyoto-u.ac.jp/item/rb00004585?page=78</v>
      </c>
      <c r="Q45" s="50" t="s">
        <v>399</v>
      </c>
      <c r="R45" s="54" t="str">
        <f>HYPERLINK("https://rmda.kulib.kyoto-u.ac.jp/item/rb00004585?page=78")</f>
        <v>https://rmda.kulib.kyoto-u.ac.jp/item/rb00004585?page=78</v>
      </c>
      <c r="S45" s="36" t="s">
        <v>399</v>
      </c>
      <c r="T45" s="29" t="s">
        <v>542</v>
      </c>
      <c r="U45" s="37" t="str">
        <f t="shared" si="2"/>
        <v>https://archive.wul.waseda.ac.jp/kosho/ya09/ya09_00955/ya09_00955_0003/ya09_00955_0003.html</v>
      </c>
      <c r="V45" s="47" t="s">
        <v>399</v>
      </c>
      <c r="W45" s="29">
        <v>57</v>
      </c>
      <c r="X45" s="54" t="str">
        <f>HYPERLINK("https://rmda.kulib.kyoto-u.ac.jp/item/rb00004583?page=57")</f>
        <v>https://rmda.kulib.kyoto-u.ac.jp/item/rb00004583?page=57</v>
      </c>
      <c r="Y45" s="36" t="s">
        <v>399</v>
      </c>
      <c r="Z45" s="29">
        <v>101</v>
      </c>
      <c r="AA45" s="37" t="str">
        <f>HYPERLINK("https://rmda.kulib.kyoto-u.ac.jp/item/rb00004592?page=101")</f>
        <v>https://rmda.kulib.kyoto-u.ac.jp/item/rb00004592?page=101</v>
      </c>
      <c r="AB45" s="47" t="s">
        <v>399</v>
      </c>
      <c r="AC45" s="29">
        <v>92</v>
      </c>
      <c r="AD45" s="54" t="str">
        <f>HYPERLINK("https://rmda.kulib.kyoto-u.ac.jp/item/rb00004593?page=92")</f>
        <v>https://rmda.kulib.kyoto-u.ac.jp/item/rb00004593?page=92</v>
      </c>
      <c r="AE45" s="36" t="s">
        <v>399</v>
      </c>
      <c r="AF45" s="29">
        <v>63</v>
      </c>
      <c r="AG45" s="37" t="str">
        <f>HYPERLINK("https://rmda.kulib.kyoto-u.ac.jp/item/rb00008886?page=63")</f>
        <v>https://rmda.kulib.kyoto-u.ac.jp/item/rb00008886?page=63</v>
      </c>
      <c r="AH45" s="47" t="s">
        <v>399</v>
      </c>
      <c r="AI45" s="29"/>
      <c r="AJ45" s="29"/>
      <c r="AK45" s="54"/>
      <c r="AL45" s="36" t="s">
        <v>399</v>
      </c>
      <c r="AM45" s="29"/>
      <c r="AN45" s="37"/>
      <c r="AO45" s="67"/>
      <c r="AP45" s="36" t="s">
        <v>399</v>
      </c>
      <c r="AQ45" s="29">
        <v>52</v>
      </c>
      <c r="AR45" s="29" t="str">
        <f>HYPERLINK("https://www.digital.archives.go.jp/img/4219659/52")</f>
        <v>https://www.digital.archives.go.jp/img/4219659/52</v>
      </c>
      <c r="AS45" s="29"/>
      <c r="AT45" s="37" t="s">
        <v>565</v>
      </c>
      <c r="AU45" s="76">
        <v>266</v>
      </c>
      <c r="AV45" s="77" t="str">
        <f>HYPERLINK("https://dl.ndl.go.jp/ja/pid/12759449/1/266")</f>
        <v>https://dl.ndl.go.jp/ja/pid/12759449/1/266</v>
      </c>
    </row>
    <row r="46" spans="1:48" x14ac:dyDescent="0.15">
      <c r="A46" s="71" t="s">
        <v>400</v>
      </c>
      <c r="B46" s="29">
        <v>13</v>
      </c>
      <c r="C46" s="37" t="str">
        <f>HYPERLINK("https://www.digital.archives.go.jp/img/4106122/13")</f>
        <v>https://www.digital.archives.go.jp/img/4106122/13</v>
      </c>
      <c r="D46" s="43">
        <v>97</v>
      </c>
      <c r="E46" s="37" t="str">
        <f>HYPERLINK("https://kokusho.nijl.ac.jp/biblio/100317365/97")</f>
        <v>https://kokusho.nijl.ac.jp/biblio/100317365/97</v>
      </c>
      <c r="F46" s="43">
        <v>79</v>
      </c>
      <c r="G46" s="37" t="str">
        <f>HYPERLINK("https://kokusho.nijl.ac.jp/biblio/100317364/79")</f>
        <v>https://kokusho.nijl.ac.jp/biblio/100317364/79</v>
      </c>
      <c r="H46" s="43">
        <v>254</v>
      </c>
      <c r="I46" s="38" t="str">
        <f>HYPERLINK("https://kokusho.nijl.ac.jp/biblio/100382563/254")</f>
        <v>https://kokusho.nijl.ac.jp/biblio/100382563/254</v>
      </c>
      <c r="J46" s="43">
        <v>641</v>
      </c>
      <c r="K46" s="37" t="str">
        <f>HYPERLINK("https://rmda.kulib.kyoto-u.ac.jp/item/rb00004597?page=641")</f>
        <v>https://rmda.kulib.kyoto-u.ac.jp/item/rb00004597?page=641</v>
      </c>
      <c r="L46" s="43">
        <v>93</v>
      </c>
      <c r="M46" s="37" t="str">
        <f>HYPERLINK("https://rmda.kulib.kyoto-u.ac.jp/item/rb00004587?page=93")</f>
        <v>https://rmda.kulib.kyoto-u.ac.jp/item/rb00004587?page=93</v>
      </c>
      <c r="N46" s="36" t="s">
        <v>400</v>
      </c>
      <c r="O46" s="29">
        <v>79</v>
      </c>
      <c r="P46" s="37" t="str">
        <f>HYPERLINK("https://rmda.kulib.kyoto-u.ac.jp/item/rb00004585?page=79")</f>
        <v>https://rmda.kulib.kyoto-u.ac.jp/item/rb00004585?page=79</v>
      </c>
      <c r="Q46" s="50" t="s">
        <v>400</v>
      </c>
      <c r="R46" s="54" t="str">
        <f>HYPERLINK("https://rmda.kulib.kyoto-u.ac.jp/item/rb00004585?page=79")</f>
        <v>https://rmda.kulib.kyoto-u.ac.jp/item/rb00004585?page=79</v>
      </c>
      <c r="S46" s="36" t="s">
        <v>400</v>
      </c>
      <c r="T46" s="29" t="s">
        <v>529</v>
      </c>
      <c r="U46" s="37" t="str">
        <f t="shared" si="2"/>
        <v>https://archive.wul.waseda.ac.jp/kosho/ya09/ya09_00955/ya09_00955_0003/ya09_00955_0003.html</v>
      </c>
      <c r="V46" s="47" t="s">
        <v>400</v>
      </c>
      <c r="W46" s="29">
        <v>57</v>
      </c>
      <c r="X46" s="54" t="str">
        <f>HYPERLINK("https://rmda.kulib.kyoto-u.ac.jp/item/rb00004583?page=57")</f>
        <v>https://rmda.kulib.kyoto-u.ac.jp/item/rb00004583?page=57</v>
      </c>
      <c r="Y46" s="36" t="s">
        <v>400</v>
      </c>
      <c r="Z46" s="29">
        <v>102</v>
      </c>
      <c r="AA46" s="37" t="str">
        <f>HYPERLINK("https://rmda.kulib.kyoto-u.ac.jp/item/rb00004592?page=102")</f>
        <v>https://rmda.kulib.kyoto-u.ac.jp/item/rb00004592?page=102</v>
      </c>
      <c r="AB46" s="47" t="s">
        <v>400</v>
      </c>
      <c r="AC46" s="29">
        <v>93</v>
      </c>
      <c r="AD46" s="54" t="str">
        <f>HYPERLINK("https://rmda.kulib.kyoto-u.ac.jp/item/rb00004593?page=93")</f>
        <v>https://rmda.kulib.kyoto-u.ac.jp/item/rb00004593?page=93</v>
      </c>
      <c r="AE46" s="36" t="s">
        <v>400</v>
      </c>
      <c r="AF46" s="29">
        <v>63</v>
      </c>
      <c r="AG46" s="37" t="str">
        <f>HYPERLINK("https://rmda.kulib.kyoto-u.ac.jp/item/rb00008886?page=63")</f>
        <v>https://rmda.kulib.kyoto-u.ac.jp/item/rb00008886?page=63</v>
      </c>
      <c r="AH46" s="47" t="s">
        <v>400</v>
      </c>
      <c r="AI46" s="29"/>
      <c r="AJ46" s="29"/>
      <c r="AK46" s="54"/>
      <c r="AL46" s="36" t="s">
        <v>400</v>
      </c>
      <c r="AM46" s="29"/>
      <c r="AN46" s="37"/>
      <c r="AO46" s="67"/>
      <c r="AP46" s="36" t="s">
        <v>400</v>
      </c>
      <c r="AQ46" s="29">
        <v>54</v>
      </c>
      <c r="AR46" s="29" t="str">
        <f>HYPERLINK("https://www.digital.archives.go.jp/img/4219659/54")</f>
        <v>https://www.digital.archives.go.jp/img/4219659/54</v>
      </c>
      <c r="AS46" s="29"/>
      <c r="AT46" s="37" t="s">
        <v>565</v>
      </c>
      <c r="AU46" s="76">
        <v>266</v>
      </c>
      <c r="AV46" s="77" t="str">
        <f>HYPERLINK("https://dl.ndl.go.jp/ja/pid/12759449/1/266")</f>
        <v>https://dl.ndl.go.jp/ja/pid/12759449/1/266</v>
      </c>
    </row>
    <row r="47" spans="1:48" x14ac:dyDescent="0.15">
      <c r="A47" s="71" t="s">
        <v>401</v>
      </c>
      <c r="B47" s="29">
        <v>14</v>
      </c>
      <c r="C47" s="37" t="str">
        <f>HYPERLINK("https://www.digital.archives.go.jp/img/4106122/14")</f>
        <v>https://www.digital.archives.go.jp/img/4106122/14</v>
      </c>
      <c r="D47" s="43">
        <v>99</v>
      </c>
      <c r="E47" s="37" t="str">
        <f>HYPERLINK("https://kokusho.nijl.ac.jp/biblio/100317365/99")</f>
        <v>https://kokusho.nijl.ac.jp/biblio/100317365/99</v>
      </c>
      <c r="F47" s="43">
        <v>79</v>
      </c>
      <c r="G47" s="37" t="str">
        <f>HYPERLINK("https://kokusho.nijl.ac.jp/biblio/100317364/79")</f>
        <v>https://kokusho.nijl.ac.jp/biblio/100317364/79</v>
      </c>
      <c r="H47" s="43">
        <v>260</v>
      </c>
      <c r="I47" s="38" t="str">
        <f>HYPERLINK("https://kokusho.nijl.ac.jp/biblio/100382563/260")</f>
        <v>https://kokusho.nijl.ac.jp/biblio/100382563/260</v>
      </c>
      <c r="J47" s="43">
        <v>649</v>
      </c>
      <c r="K47" s="37" t="str">
        <f>HYPERLINK("https://rmda.kulib.kyoto-u.ac.jp/item/rb00004597?page=649")</f>
        <v>https://rmda.kulib.kyoto-u.ac.jp/item/rb00004597?page=649</v>
      </c>
      <c r="L47" s="43">
        <v>94</v>
      </c>
      <c r="M47" s="37" t="str">
        <f>HYPERLINK("https://rmda.kulib.kyoto-u.ac.jp/item/rb00004587?page=94")</f>
        <v>https://rmda.kulib.kyoto-u.ac.jp/item/rb00004587?page=94</v>
      </c>
      <c r="N47" s="36" t="s">
        <v>401</v>
      </c>
      <c r="O47" s="29">
        <v>79</v>
      </c>
      <c r="P47" s="37" t="str">
        <f>HYPERLINK("https://rmda.kulib.kyoto-u.ac.jp/item/rb00004585?page=79")</f>
        <v>https://rmda.kulib.kyoto-u.ac.jp/item/rb00004585?page=79</v>
      </c>
      <c r="Q47" s="50" t="s">
        <v>401</v>
      </c>
      <c r="R47" s="54" t="str">
        <f>HYPERLINK("https://rmda.kulib.kyoto-u.ac.jp/item/rb00004585?page=79")</f>
        <v>https://rmda.kulib.kyoto-u.ac.jp/item/rb00004585?page=79</v>
      </c>
      <c r="S47" s="36" t="s">
        <v>401</v>
      </c>
      <c r="T47" s="29" t="s">
        <v>518</v>
      </c>
      <c r="U47" s="37" t="str">
        <f t="shared" ref="U47:U64" si="3">HYPERLINK("https://archive.wul.waseda.ac.jp/kosho/ya09/ya09_00955/ya09_00955_0004/ya09_00955_0004.html")</f>
        <v>https://archive.wul.waseda.ac.jp/kosho/ya09/ya09_00955/ya09_00955_0004/ya09_00955_0004.html</v>
      </c>
      <c r="V47" s="47" t="s">
        <v>401</v>
      </c>
      <c r="W47" s="29">
        <v>58</v>
      </c>
      <c r="X47" s="54" t="str">
        <f>HYPERLINK("https://rmda.kulib.kyoto-u.ac.jp/item/rb00004583?page=58")</f>
        <v>https://rmda.kulib.kyoto-u.ac.jp/item/rb00004583?page=58</v>
      </c>
      <c r="Y47" s="36" t="s">
        <v>401</v>
      </c>
      <c r="Z47" s="29">
        <v>104</v>
      </c>
      <c r="AA47" s="37" t="str">
        <f>HYPERLINK("https://rmda.kulib.kyoto-u.ac.jp/item/rb00004592?page=104")</f>
        <v>https://rmda.kulib.kyoto-u.ac.jp/item/rb00004592?page=104</v>
      </c>
      <c r="AB47" s="47" t="s">
        <v>401</v>
      </c>
      <c r="AC47" s="29">
        <v>94</v>
      </c>
      <c r="AD47" s="54" t="str">
        <f>HYPERLINK("https://rmda.kulib.kyoto-u.ac.jp/item/rb00004593?page=94")</f>
        <v>https://rmda.kulib.kyoto-u.ac.jp/item/rb00004593?page=94</v>
      </c>
      <c r="AE47" s="36" t="s">
        <v>401</v>
      </c>
      <c r="AF47" s="29">
        <v>64</v>
      </c>
      <c r="AG47" s="37" t="str">
        <f>HYPERLINK("https://rmda.kulib.kyoto-u.ac.jp/item/rb00008886?page=64")</f>
        <v>https://rmda.kulib.kyoto-u.ac.jp/item/rb00008886?page=64</v>
      </c>
      <c r="AH47" s="47" t="s">
        <v>401</v>
      </c>
      <c r="AI47" s="29"/>
      <c r="AJ47" s="29"/>
      <c r="AK47" s="54"/>
      <c r="AL47" s="36" t="s">
        <v>401</v>
      </c>
      <c r="AM47" s="29"/>
      <c r="AN47" s="37"/>
      <c r="AO47" s="67"/>
      <c r="AP47" s="36" t="s">
        <v>401</v>
      </c>
      <c r="AQ47" s="29">
        <v>58</v>
      </c>
      <c r="AR47" s="29" t="str">
        <f>HYPERLINK("https://www.digital.archives.go.jp/img/4219659/58")</f>
        <v>https://www.digital.archives.go.jp/img/4219659/58</v>
      </c>
      <c r="AS47" s="29"/>
      <c r="AT47" s="37" t="s">
        <v>565</v>
      </c>
      <c r="AU47" s="76">
        <v>267</v>
      </c>
      <c r="AV47" s="77" t="str">
        <f>HYPERLINK("https://dl.ndl.go.jp/ja/pid/12759449/1/267")</f>
        <v>https://dl.ndl.go.jp/ja/pid/12759449/1/267</v>
      </c>
    </row>
    <row r="48" spans="1:48" x14ac:dyDescent="0.15">
      <c r="A48" s="71" t="s">
        <v>402</v>
      </c>
      <c r="B48" s="29">
        <v>15</v>
      </c>
      <c r="C48" s="37" t="str">
        <f>HYPERLINK("https://www.digital.archives.go.jp/img/4106122/15")</f>
        <v>https://www.digital.archives.go.jp/img/4106122/15</v>
      </c>
      <c r="D48" s="43">
        <v>99</v>
      </c>
      <c r="E48" s="37" t="str">
        <f>HYPERLINK("https://kokusho.nijl.ac.jp/biblio/100317365/99")</f>
        <v>https://kokusho.nijl.ac.jp/biblio/100317365/99</v>
      </c>
      <c r="F48" s="43">
        <v>80</v>
      </c>
      <c r="G48" s="37" t="str">
        <f>HYPERLINK("https://kokusho.nijl.ac.jp/biblio/100317364/80")</f>
        <v>https://kokusho.nijl.ac.jp/biblio/100317364/80</v>
      </c>
      <c r="H48" s="43">
        <v>261</v>
      </c>
      <c r="I48" s="38" t="str">
        <f>HYPERLINK("https://kokusho.nijl.ac.jp/biblio/100382563/261")</f>
        <v>https://kokusho.nijl.ac.jp/biblio/100382563/261</v>
      </c>
      <c r="J48" s="43">
        <v>651</v>
      </c>
      <c r="K48" s="37" t="str">
        <f>HYPERLINK("https://rmda.kulib.kyoto-u.ac.jp/item/rb00004597?page=651")</f>
        <v>https://rmda.kulib.kyoto-u.ac.jp/item/rb00004597?page=651</v>
      </c>
      <c r="L48" s="43">
        <v>95</v>
      </c>
      <c r="M48" s="37" t="str">
        <f>HYPERLINK("https://rmda.kulib.kyoto-u.ac.jp/item/rb00004587?page=95")</f>
        <v>https://rmda.kulib.kyoto-u.ac.jp/item/rb00004587?page=95</v>
      </c>
      <c r="N48" s="36" t="s">
        <v>402</v>
      </c>
      <c r="O48" s="29">
        <v>80</v>
      </c>
      <c r="P48" s="37" t="str">
        <f>HYPERLINK("https://rmda.kulib.kyoto-u.ac.jp/item/rb00004585?page=80")</f>
        <v>https://rmda.kulib.kyoto-u.ac.jp/item/rb00004585?page=80</v>
      </c>
      <c r="Q48" s="50" t="s">
        <v>402</v>
      </c>
      <c r="R48" s="54" t="str">
        <f>HYPERLINK("https://rmda.kulib.kyoto-u.ac.jp/item/rb00004585?page=80")</f>
        <v>https://rmda.kulib.kyoto-u.ac.jp/item/rb00004585?page=80</v>
      </c>
      <c r="S48" s="36" t="s">
        <v>402</v>
      </c>
      <c r="T48" s="29" t="s">
        <v>520</v>
      </c>
      <c r="U48" s="37" t="str">
        <f t="shared" si="3"/>
        <v>https://archive.wul.waseda.ac.jp/kosho/ya09/ya09_00955/ya09_00955_0004/ya09_00955_0004.html</v>
      </c>
      <c r="V48" s="47" t="s">
        <v>402</v>
      </c>
      <c r="W48" s="29">
        <v>58</v>
      </c>
      <c r="X48" s="54" t="str">
        <f>HYPERLINK("https://rmda.kulib.kyoto-u.ac.jp/item/rb00004583?page=58")</f>
        <v>https://rmda.kulib.kyoto-u.ac.jp/item/rb00004583?page=58</v>
      </c>
      <c r="Y48" s="36" t="s">
        <v>402</v>
      </c>
      <c r="Z48" s="29">
        <v>105</v>
      </c>
      <c r="AA48" s="37" t="str">
        <f>HYPERLINK("https://rmda.kulib.kyoto-u.ac.jp/item/rb00004592?page=105")</f>
        <v>https://rmda.kulib.kyoto-u.ac.jp/item/rb00004592?page=105</v>
      </c>
      <c r="AB48" s="47" t="s">
        <v>402</v>
      </c>
      <c r="AC48" s="29">
        <v>95</v>
      </c>
      <c r="AD48" s="54" t="str">
        <f>HYPERLINK("https://rmda.kulib.kyoto-u.ac.jp/item/rb00004593?page=95")</f>
        <v>https://rmda.kulib.kyoto-u.ac.jp/item/rb00004593?page=95</v>
      </c>
      <c r="AE48" s="36" t="s">
        <v>402</v>
      </c>
      <c r="AF48" s="29">
        <v>64</v>
      </c>
      <c r="AG48" s="37" t="str">
        <f>HYPERLINK("https://rmda.kulib.kyoto-u.ac.jp/item/rb00008886?page=64")</f>
        <v>https://rmda.kulib.kyoto-u.ac.jp/item/rb00008886?page=64</v>
      </c>
      <c r="AH48" s="47" t="s">
        <v>402</v>
      </c>
      <c r="AI48" s="29"/>
      <c r="AJ48" s="29"/>
      <c r="AK48" s="54"/>
      <c r="AL48" s="36" t="s">
        <v>402</v>
      </c>
      <c r="AM48" s="29"/>
      <c r="AN48" s="37"/>
      <c r="AO48" s="67"/>
      <c r="AP48" s="36" t="s">
        <v>402</v>
      </c>
      <c r="AQ48" s="29">
        <v>3</v>
      </c>
      <c r="AR48" s="27" t="str">
        <f>HYPERLINK("https://www.digital.archives.go.jp/img/4219660/3")</f>
        <v>https://www.digital.archives.go.jp/img/4219660/3</v>
      </c>
      <c r="AS48" s="29"/>
      <c r="AT48" s="37" t="s">
        <v>565</v>
      </c>
      <c r="AU48" s="76">
        <v>268</v>
      </c>
      <c r="AV48" s="77" t="str">
        <f>HYPERLINK("https://dl.ndl.go.jp/ja/pid/12759449/1/268")</f>
        <v>https://dl.ndl.go.jp/ja/pid/12759449/1/268</v>
      </c>
    </row>
    <row r="49" spans="1:48" x14ac:dyDescent="0.15">
      <c r="A49" s="71" t="s">
        <v>403</v>
      </c>
      <c r="B49" s="29">
        <v>15</v>
      </c>
      <c r="C49" s="37" t="str">
        <f>HYPERLINK("https://www.digital.archives.go.jp/img/4106122/15")</f>
        <v>https://www.digital.archives.go.jp/img/4106122/15</v>
      </c>
      <c r="D49" s="43">
        <v>100</v>
      </c>
      <c r="E49" s="37" t="str">
        <f>HYPERLINK("https://kokusho.nijl.ac.jp/biblio/100317365/100")</f>
        <v>https://kokusho.nijl.ac.jp/biblio/100317365/100</v>
      </c>
      <c r="F49" s="43">
        <v>80</v>
      </c>
      <c r="G49" s="37" t="str">
        <f>HYPERLINK("https://kokusho.nijl.ac.jp/biblio/100317364/80")</f>
        <v>https://kokusho.nijl.ac.jp/biblio/100317364/80</v>
      </c>
      <c r="H49" s="43">
        <v>263</v>
      </c>
      <c r="I49" s="38" t="str">
        <f>HYPERLINK("https://kokusho.nijl.ac.jp/biblio/100382563/263")</f>
        <v>https://kokusho.nijl.ac.jp/biblio/100382563/263</v>
      </c>
      <c r="J49" s="43">
        <v>655</v>
      </c>
      <c r="K49" s="37" t="str">
        <f>HYPERLINK("https://rmda.kulib.kyoto-u.ac.jp/item/rb00004597?page=655")</f>
        <v>https://rmda.kulib.kyoto-u.ac.jp/item/rb00004597?page=655</v>
      </c>
      <c r="L49" s="43">
        <v>95</v>
      </c>
      <c r="M49" s="37" t="str">
        <f>HYPERLINK("https://rmda.kulib.kyoto-u.ac.jp/item/rb00004587?page=95")</f>
        <v>https://rmda.kulib.kyoto-u.ac.jp/item/rb00004587?page=95</v>
      </c>
      <c r="N49" s="36" t="s">
        <v>403</v>
      </c>
      <c r="O49" s="29">
        <v>81</v>
      </c>
      <c r="P49" s="37" t="str">
        <f>HYPERLINK("https://rmda.kulib.kyoto-u.ac.jp/item/rb00004585?page=81")</f>
        <v>https://rmda.kulib.kyoto-u.ac.jp/item/rb00004585?page=81</v>
      </c>
      <c r="Q49" s="50" t="s">
        <v>403</v>
      </c>
      <c r="R49" s="54" t="str">
        <f>HYPERLINK("https://rmda.kulib.kyoto-u.ac.jp/item/rb00004585?page=81")</f>
        <v>https://rmda.kulib.kyoto-u.ac.jp/item/rb00004585?page=81</v>
      </c>
      <c r="S49" s="36" t="s">
        <v>403</v>
      </c>
      <c r="T49" s="29" t="s">
        <v>543</v>
      </c>
      <c r="U49" s="37" t="str">
        <f t="shared" si="3"/>
        <v>https://archive.wul.waseda.ac.jp/kosho/ya09/ya09_00955/ya09_00955_0004/ya09_00955_0004.html</v>
      </c>
      <c r="V49" s="47" t="s">
        <v>403</v>
      </c>
      <c r="W49" s="29">
        <v>59</v>
      </c>
      <c r="X49" s="54" t="str">
        <f>HYPERLINK("https://rmda.kulib.kyoto-u.ac.jp/item/rb00004583?page=59")</f>
        <v>https://rmda.kulib.kyoto-u.ac.jp/item/rb00004583?page=59</v>
      </c>
      <c r="Y49" s="36" t="s">
        <v>403</v>
      </c>
      <c r="Z49" s="29">
        <v>106</v>
      </c>
      <c r="AA49" s="37" t="str">
        <f>HYPERLINK("https://rmda.kulib.kyoto-u.ac.jp/item/rb00004592?page=106")</f>
        <v>https://rmda.kulib.kyoto-u.ac.jp/item/rb00004592?page=106</v>
      </c>
      <c r="AB49" s="47" t="s">
        <v>403</v>
      </c>
      <c r="AC49" s="29">
        <v>96</v>
      </c>
      <c r="AD49" s="54" t="str">
        <f>HYPERLINK("https://rmda.kulib.kyoto-u.ac.jp/item/rb00004593?page=96")</f>
        <v>https://rmda.kulib.kyoto-u.ac.jp/item/rb00004593?page=96</v>
      </c>
      <c r="AE49" s="36" t="s">
        <v>403</v>
      </c>
      <c r="AF49" s="29">
        <v>65</v>
      </c>
      <c r="AG49" s="37" t="str">
        <f>HYPERLINK("https://rmda.kulib.kyoto-u.ac.jp/item/rb00008886?page=65")</f>
        <v>https://rmda.kulib.kyoto-u.ac.jp/item/rb00008886?page=65</v>
      </c>
      <c r="AH49" s="47" t="s">
        <v>403</v>
      </c>
      <c r="AI49" s="29"/>
      <c r="AJ49" s="29"/>
      <c r="AK49" s="54"/>
      <c r="AL49" s="36" t="s">
        <v>403</v>
      </c>
      <c r="AM49" s="29"/>
      <c r="AN49" s="37"/>
      <c r="AO49" s="67"/>
      <c r="AP49" s="36" t="s">
        <v>403</v>
      </c>
      <c r="AQ49" s="29">
        <v>4</v>
      </c>
      <c r="AR49" s="29" t="str">
        <f>HYPERLINK("https://www.digital.archives.go.jp/img/4219660/4")</f>
        <v>https://www.digital.archives.go.jp/img/4219660/4</v>
      </c>
      <c r="AS49" s="29"/>
      <c r="AT49" s="37" t="s">
        <v>565</v>
      </c>
      <c r="AU49" s="76">
        <v>268</v>
      </c>
      <c r="AV49" s="77" t="str">
        <f>HYPERLINK("https://dl.ndl.go.jp/ja/pid/12759449/1/268")</f>
        <v>https://dl.ndl.go.jp/ja/pid/12759449/1/268</v>
      </c>
    </row>
    <row r="50" spans="1:48" x14ac:dyDescent="0.15">
      <c r="A50" s="71" t="s">
        <v>404</v>
      </c>
      <c r="B50" s="29">
        <v>17</v>
      </c>
      <c r="C50" s="37" t="str">
        <f>HYPERLINK("https://www.digital.archives.go.jp/img/4106122/17")</f>
        <v>https://www.digital.archives.go.jp/img/4106122/17</v>
      </c>
      <c r="D50" s="43">
        <v>102</v>
      </c>
      <c r="E50" s="37" t="str">
        <f>HYPERLINK("https://kokusho.nijl.ac.jp/biblio/100317365/102")</f>
        <v>https://kokusho.nijl.ac.jp/biblio/100317365/102</v>
      </c>
      <c r="F50" s="43">
        <v>81</v>
      </c>
      <c r="G50" s="37" t="str">
        <f>HYPERLINK("https://kokusho.nijl.ac.jp/biblio/100317364/81")</f>
        <v>https://kokusho.nijl.ac.jp/biblio/100317364/81</v>
      </c>
      <c r="H50" s="43">
        <v>265</v>
      </c>
      <c r="I50" s="38" t="str">
        <f>HYPERLINK("https://kokusho.nijl.ac.jp/biblio/100382563/265")</f>
        <v>https://kokusho.nijl.ac.jp/biblio/100382563/265</v>
      </c>
      <c r="J50" s="43">
        <v>666</v>
      </c>
      <c r="K50" s="37" t="str">
        <f>HYPERLINK("https://rmda.kulib.kyoto-u.ac.jp/item/rb00004597?page=666")</f>
        <v>https://rmda.kulib.kyoto-u.ac.jp/item/rb00004597?page=666</v>
      </c>
      <c r="L50" s="43">
        <v>97</v>
      </c>
      <c r="M50" s="37" t="str">
        <f>HYPERLINK("https://rmda.kulib.kyoto-u.ac.jp/item/rb00004587?page=97")</f>
        <v>https://rmda.kulib.kyoto-u.ac.jp/item/rb00004587?page=97</v>
      </c>
      <c r="N50" s="36" t="s">
        <v>404</v>
      </c>
      <c r="O50" s="29">
        <v>82</v>
      </c>
      <c r="P50" s="37" t="str">
        <f>HYPERLINK("https://rmda.kulib.kyoto-u.ac.jp/item/rb00004585?page=82")</f>
        <v>https://rmda.kulib.kyoto-u.ac.jp/item/rb00004585?page=82</v>
      </c>
      <c r="Q50" s="50" t="s">
        <v>406</v>
      </c>
      <c r="R50" s="54" t="str">
        <f>HYPERLINK("https://rmda.kulib.kyoto-u.ac.jp/item/rb00004585?page=83")</f>
        <v>https://rmda.kulib.kyoto-u.ac.jp/item/rb00004585?page=83</v>
      </c>
      <c r="S50" s="36" t="s">
        <v>404</v>
      </c>
      <c r="T50" s="29" t="s">
        <v>522</v>
      </c>
      <c r="U50" s="37" t="str">
        <f t="shared" si="3"/>
        <v>https://archive.wul.waseda.ac.jp/kosho/ya09/ya09_00955/ya09_00955_0004/ya09_00955_0004.html</v>
      </c>
      <c r="V50" s="47" t="s">
        <v>404</v>
      </c>
      <c r="W50" s="29">
        <v>59</v>
      </c>
      <c r="X50" s="54" t="str">
        <f>HYPERLINK("https://rmda.kulib.kyoto-u.ac.jp/item/rb00004583?page=59")</f>
        <v>https://rmda.kulib.kyoto-u.ac.jp/item/rb00004583?page=59</v>
      </c>
      <c r="Y50" s="36" t="s">
        <v>404</v>
      </c>
      <c r="Z50" s="29">
        <v>108</v>
      </c>
      <c r="AA50" s="37" t="str">
        <f>HYPERLINK("https://rmda.kulib.kyoto-u.ac.jp/item/rb00004592?page=108")</f>
        <v>https://rmda.kulib.kyoto-u.ac.jp/item/rb00004592?page=108</v>
      </c>
      <c r="AB50" s="47" t="s">
        <v>404</v>
      </c>
      <c r="AC50" s="29">
        <v>98</v>
      </c>
      <c r="AD50" s="54" t="str">
        <f>HYPERLINK("https://rmda.kulib.kyoto-u.ac.jp/item/rb00004593?page=98")</f>
        <v>https://rmda.kulib.kyoto-u.ac.jp/item/rb00004593?page=98</v>
      </c>
      <c r="AE50" s="36" t="s">
        <v>404</v>
      </c>
      <c r="AF50" s="29">
        <v>66</v>
      </c>
      <c r="AG50" s="37" t="str">
        <f>HYPERLINK("https://rmda.kulib.kyoto-u.ac.jp/item/rb00008886?page=66")</f>
        <v>https://rmda.kulib.kyoto-u.ac.jp/item/rb00008886?page=66</v>
      </c>
      <c r="AH50" s="47" t="s">
        <v>404</v>
      </c>
      <c r="AI50" s="29">
        <v>108</v>
      </c>
      <c r="AJ50" s="27" t="str">
        <f>HYPERLINK("https://rmda.kulib.kyoto-u.ac.jp/item/rb00008886?page=108")</f>
        <v>https://rmda.kulib.kyoto-u.ac.jp/item/rb00008886?page=108</v>
      </c>
      <c r="AK50" s="54" t="s">
        <v>572</v>
      </c>
      <c r="AL50" s="36" t="s">
        <v>404</v>
      </c>
      <c r="AM50" s="29">
        <v>15</v>
      </c>
      <c r="AN50" s="38" t="str">
        <f>HYPERLINK("https://rmda.kulib.kyoto-u.ac.jp/item/rb00011986?page=15")</f>
        <v>https://rmda.kulib.kyoto-u.ac.jp/item/rb00011986?page=15</v>
      </c>
      <c r="AO50" s="67"/>
      <c r="AP50" s="36" t="s">
        <v>404</v>
      </c>
      <c r="AQ50" s="29">
        <v>8</v>
      </c>
      <c r="AR50" s="29" t="str">
        <f>HYPERLINK("https://www.digital.archives.go.jp/img/4219660/8")</f>
        <v>https://www.digital.archives.go.jp/img/4219660/8</v>
      </c>
      <c r="AS50" s="29"/>
      <c r="AT50" s="37" t="s">
        <v>565</v>
      </c>
      <c r="AU50" s="76">
        <v>269</v>
      </c>
      <c r="AV50" s="77" t="str">
        <f>HYPERLINK("https://dl.ndl.go.jp/ja/pid/12759449/1/269")</f>
        <v>https://dl.ndl.go.jp/ja/pid/12759449/1/269</v>
      </c>
    </row>
    <row r="51" spans="1:48" x14ac:dyDescent="0.15">
      <c r="A51" s="71" t="s">
        <v>405</v>
      </c>
      <c r="B51" s="29">
        <v>25</v>
      </c>
      <c r="C51" s="37" t="str">
        <f>HYPERLINK("https://www.digital.archives.go.jp/img/4106122/25")</f>
        <v>https://www.digital.archives.go.jp/img/4106122/25</v>
      </c>
      <c r="D51" s="43">
        <v>105</v>
      </c>
      <c r="E51" s="37" t="str">
        <f>HYPERLINK("https://kokusho.nijl.ac.jp/biblio/100317365/105")</f>
        <v>https://kokusho.nijl.ac.jp/biblio/100317365/105</v>
      </c>
      <c r="F51" s="43">
        <v>86</v>
      </c>
      <c r="G51" s="37" t="str">
        <f>HYPERLINK("https://kokusho.nijl.ac.jp/biblio/100317364/86")</f>
        <v>https://kokusho.nijl.ac.jp/biblio/100317364/86</v>
      </c>
      <c r="H51" s="43">
        <v>273</v>
      </c>
      <c r="I51" s="38" t="str">
        <f>HYPERLINK("https://kokusho.nijl.ac.jp/biblio/100382563/273")</f>
        <v>https://kokusho.nijl.ac.jp/biblio/100382563/273</v>
      </c>
      <c r="J51" s="43">
        <v>686</v>
      </c>
      <c r="K51" s="37" t="str">
        <f>HYPERLINK("https://rmda.kulib.kyoto-u.ac.jp/item/rb00004597?page=686")</f>
        <v>https://rmda.kulib.kyoto-u.ac.jp/item/rb00004597?page=686</v>
      </c>
      <c r="L51" s="43">
        <v>100</v>
      </c>
      <c r="M51" s="37" t="str">
        <f>HYPERLINK("https://rmda.kulib.kyoto-u.ac.jp/item/rb00004587?page=100")</f>
        <v>https://rmda.kulib.kyoto-u.ac.jp/item/rb00004587?page=100</v>
      </c>
      <c r="N51" s="36" t="s">
        <v>405</v>
      </c>
      <c r="O51" s="29">
        <v>83</v>
      </c>
      <c r="P51" s="37" t="str">
        <f>HYPERLINK("https://rmda.kulib.kyoto-u.ac.jp/item/rb00004585?page=83")</f>
        <v>https://rmda.kulib.kyoto-u.ac.jp/item/rb00004585?page=83</v>
      </c>
      <c r="Q51" s="50" t="s">
        <v>404</v>
      </c>
      <c r="R51" s="54" t="str">
        <f>HYPERLINK("https://rmda.kulib.kyoto-u.ac.jp/item/rb00004585?page=87")</f>
        <v>https://rmda.kulib.kyoto-u.ac.jp/item/rb00004585?page=87</v>
      </c>
      <c r="S51" s="36" t="s">
        <v>405</v>
      </c>
      <c r="T51" s="29" t="s">
        <v>544</v>
      </c>
      <c r="U51" s="37" t="str">
        <f t="shared" si="3"/>
        <v>https://archive.wul.waseda.ac.jp/kosho/ya09/ya09_00955/ya09_00955_0004/ya09_00955_0004.html</v>
      </c>
      <c r="V51" s="47" t="s">
        <v>405</v>
      </c>
      <c r="W51" s="29">
        <v>62</v>
      </c>
      <c r="X51" s="54" t="str">
        <f>HYPERLINK("https://rmda.kulib.kyoto-u.ac.jp/item/rb00004583?page=62")</f>
        <v>https://rmda.kulib.kyoto-u.ac.jp/item/rb00004583?page=62</v>
      </c>
      <c r="Y51" s="36" t="s">
        <v>405</v>
      </c>
      <c r="Z51" s="29">
        <v>113</v>
      </c>
      <c r="AA51" s="37" t="str">
        <f>HYPERLINK("https://rmda.kulib.kyoto-u.ac.jp/item/rb00004592?page=113")</f>
        <v>https://rmda.kulib.kyoto-u.ac.jp/item/rb00004592?page=113</v>
      </c>
      <c r="AB51" s="47" t="s">
        <v>405</v>
      </c>
      <c r="AC51" s="29">
        <v>103</v>
      </c>
      <c r="AD51" s="54" t="str">
        <f>HYPERLINK("https://rmda.kulib.kyoto-u.ac.jp/item/rb00004593?page=103")</f>
        <v>https://rmda.kulib.kyoto-u.ac.jp/item/rb00004593?page=103</v>
      </c>
      <c r="AE51" s="36" t="s">
        <v>405</v>
      </c>
      <c r="AF51" s="29">
        <v>69</v>
      </c>
      <c r="AG51" s="37" t="str">
        <f>HYPERLINK("https://rmda.kulib.kyoto-u.ac.jp/item/rb00008886?page=69")</f>
        <v>https://rmda.kulib.kyoto-u.ac.jp/item/rb00008886?page=69</v>
      </c>
      <c r="AH51" s="47" t="s">
        <v>405</v>
      </c>
      <c r="AI51" s="29"/>
      <c r="AJ51" s="29"/>
      <c r="AK51" s="54"/>
      <c r="AL51" s="36" t="s">
        <v>405</v>
      </c>
      <c r="AM51" s="29"/>
      <c r="AN51" s="37"/>
      <c r="AO51" s="67"/>
      <c r="AP51" s="36" t="s">
        <v>405</v>
      </c>
      <c r="AQ51" s="29">
        <v>26</v>
      </c>
      <c r="AR51" s="29" t="str">
        <f>HYPERLINK("https://www.digital.archives.go.jp/img/4219660/26")</f>
        <v>https://www.digital.archives.go.jp/img/4219660/26</v>
      </c>
      <c r="AS51" s="29"/>
      <c r="AT51" s="37" t="s">
        <v>565</v>
      </c>
      <c r="AU51" s="76">
        <v>271</v>
      </c>
      <c r="AV51" s="77" t="str">
        <f>HYPERLINK("https://dl.ndl.go.jp/ja/pid/12759449/1/271")</f>
        <v>https://dl.ndl.go.jp/ja/pid/12759449/1/271</v>
      </c>
    </row>
    <row r="52" spans="1:48" x14ac:dyDescent="0.15">
      <c r="A52" s="71" t="s">
        <v>406</v>
      </c>
      <c r="B52" s="29">
        <v>26</v>
      </c>
      <c r="C52" s="37" t="str">
        <f>HYPERLINK("https://www.digital.archives.go.jp/img/4106122/26")</f>
        <v>https://www.digital.archives.go.jp/img/4106122/26</v>
      </c>
      <c r="D52" s="43">
        <v>106</v>
      </c>
      <c r="E52" s="37" t="str">
        <f>HYPERLINK("https://kokusho.nijl.ac.jp/biblio/100317365/106")</f>
        <v>https://kokusho.nijl.ac.jp/biblio/100317365/106</v>
      </c>
      <c r="F52" s="43">
        <v>87</v>
      </c>
      <c r="G52" s="37" t="str">
        <f>HYPERLINK("https://kokusho.nijl.ac.jp/biblio/100317364/87")</f>
        <v>https://kokusho.nijl.ac.jp/biblio/100317364/87</v>
      </c>
      <c r="H52" s="43">
        <v>275</v>
      </c>
      <c r="I52" s="38" t="str">
        <f>HYPERLINK("https://kokusho.nijl.ac.jp/biblio/100382563/275")</f>
        <v>https://kokusho.nijl.ac.jp/biblio/100382563/275</v>
      </c>
      <c r="J52" s="43">
        <v>690</v>
      </c>
      <c r="K52" s="37" t="str">
        <f>HYPERLINK("https://rmda.kulib.kyoto-u.ac.jp/item/rb00004597?page=690")</f>
        <v>https://rmda.kulib.kyoto-u.ac.jp/item/rb00004597?page=690</v>
      </c>
      <c r="L52" s="43">
        <v>101</v>
      </c>
      <c r="M52" s="37" t="str">
        <f>HYPERLINK("https://rmda.kulib.kyoto-u.ac.jp/item/rb00004587?page=101")</f>
        <v>https://rmda.kulib.kyoto-u.ac.jp/item/rb00004587?page=101</v>
      </c>
      <c r="N52" s="36" t="s">
        <v>406</v>
      </c>
      <c r="O52" s="29">
        <v>87</v>
      </c>
      <c r="P52" s="37" t="str">
        <f>HYPERLINK("https://rmda.kulib.kyoto-u.ac.jp/item/rb00004585?page=87")</f>
        <v>https://rmda.kulib.kyoto-u.ac.jp/item/rb00004585?page=87</v>
      </c>
      <c r="Q52" s="50" t="s">
        <v>405</v>
      </c>
      <c r="R52" s="54" t="str">
        <f>HYPERLINK("https://rmda.kulib.kyoto-u.ac.jp/item/rb00004585?page=82")</f>
        <v>https://rmda.kulib.kyoto-u.ac.jp/item/rb00004585?page=82</v>
      </c>
      <c r="S52" s="36" t="s">
        <v>406</v>
      </c>
      <c r="T52" s="29" t="s">
        <v>545</v>
      </c>
      <c r="U52" s="37" t="str">
        <f t="shared" si="3"/>
        <v>https://archive.wul.waseda.ac.jp/kosho/ya09/ya09_00955/ya09_00955_0004/ya09_00955_0004.html</v>
      </c>
      <c r="V52" s="47" t="s">
        <v>406</v>
      </c>
      <c r="W52" s="29">
        <v>62</v>
      </c>
      <c r="X52" s="54" t="str">
        <f>HYPERLINK("https://rmda.kulib.kyoto-u.ac.jp/item/rb00004583?page=62")</f>
        <v>https://rmda.kulib.kyoto-u.ac.jp/item/rb00004583?page=62</v>
      </c>
      <c r="Y52" s="36" t="s">
        <v>406</v>
      </c>
      <c r="Z52" s="29">
        <v>115</v>
      </c>
      <c r="AA52" s="37" t="str">
        <f>HYPERLINK("https://rmda.kulib.kyoto-u.ac.jp/item/rb00004592?page=115")</f>
        <v>https://rmda.kulib.kyoto-u.ac.jp/item/rb00004592?page=115</v>
      </c>
      <c r="AB52" s="47" t="s">
        <v>406</v>
      </c>
      <c r="AC52" s="29">
        <v>105</v>
      </c>
      <c r="AD52" s="54" t="str">
        <f>HYPERLINK("https://rmda.kulib.kyoto-u.ac.jp/item/rb00004593?page=105")</f>
        <v>https://rmda.kulib.kyoto-u.ac.jp/item/rb00004593?page=105</v>
      </c>
      <c r="AE52" s="36" t="s">
        <v>406</v>
      </c>
      <c r="AF52" s="29">
        <v>70</v>
      </c>
      <c r="AG52" s="37" t="str">
        <f>HYPERLINK("https://rmda.kulib.kyoto-u.ac.jp/item/rb00008886?page=70")</f>
        <v>https://rmda.kulib.kyoto-u.ac.jp/item/rb00008886?page=70</v>
      </c>
      <c r="AH52" s="47" t="s">
        <v>406</v>
      </c>
      <c r="AI52" s="29"/>
      <c r="AJ52" s="29"/>
      <c r="AK52" s="54"/>
      <c r="AL52" s="36" t="s">
        <v>406</v>
      </c>
      <c r="AM52" s="29"/>
      <c r="AN52" s="37"/>
      <c r="AO52" s="67"/>
      <c r="AP52" s="36" t="s">
        <v>406</v>
      </c>
      <c r="AQ52" s="29">
        <v>29</v>
      </c>
      <c r="AR52" s="29" t="str">
        <f>HYPERLINK("https://www.digital.archives.go.jp/img/4219660/29")</f>
        <v>https://www.digital.archives.go.jp/img/4219660/29</v>
      </c>
      <c r="AS52" s="29"/>
      <c r="AT52" s="37" t="s">
        <v>565</v>
      </c>
      <c r="AU52" s="76">
        <v>272</v>
      </c>
      <c r="AV52" s="77" t="str">
        <f>HYPERLINK("https://dl.ndl.go.jp/ja/pid/12759449/1/272")</f>
        <v>https://dl.ndl.go.jp/ja/pid/12759449/1/272</v>
      </c>
    </row>
    <row r="53" spans="1:48" x14ac:dyDescent="0.15">
      <c r="A53" s="71" t="s">
        <v>407</v>
      </c>
      <c r="B53" s="29">
        <v>27</v>
      </c>
      <c r="C53" s="37" t="str">
        <f>HYPERLINK("https://www.digital.archives.go.jp/img/4106122/27")</f>
        <v>https://www.digital.archives.go.jp/img/4106122/27</v>
      </c>
      <c r="D53" s="43">
        <v>106</v>
      </c>
      <c r="E53" s="37" t="str">
        <f>HYPERLINK("https://kokusho.nijl.ac.jp/biblio/100317365/106")</f>
        <v>https://kokusho.nijl.ac.jp/biblio/100317365/106</v>
      </c>
      <c r="F53" s="43">
        <v>88</v>
      </c>
      <c r="G53" s="37" t="str">
        <f>HYPERLINK("https://kokusho.nijl.ac.jp/biblio/100317364/88")</f>
        <v>https://kokusho.nijl.ac.jp/biblio/100317364/88</v>
      </c>
      <c r="H53" s="43">
        <v>276</v>
      </c>
      <c r="I53" s="38" t="str">
        <f>HYPERLINK("https://kokusho.nijl.ac.jp/biblio/100382563/276")</f>
        <v>https://kokusho.nijl.ac.jp/biblio/100382563/276</v>
      </c>
      <c r="J53" s="43">
        <v>693</v>
      </c>
      <c r="K53" s="37" t="str">
        <f>HYPERLINK("https://rmda.kulib.kyoto-u.ac.jp/item/rb00004597?page=693")</f>
        <v>https://rmda.kulib.kyoto-u.ac.jp/item/rb00004597?page=693</v>
      </c>
      <c r="L53" s="43">
        <v>102</v>
      </c>
      <c r="M53" s="37" t="str">
        <f>HYPERLINK("https://rmda.kulib.kyoto-u.ac.jp/item/rb00004587?page=102")</f>
        <v>https://rmda.kulib.kyoto-u.ac.jp/item/rb00004587?page=102</v>
      </c>
      <c r="N53" s="36" t="s">
        <v>407</v>
      </c>
      <c r="O53" s="29">
        <v>87</v>
      </c>
      <c r="P53" s="37" t="str">
        <f>HYPERLINK("https://rmda.kulib.kyoto-u.ac.jp/item/rb00004585?page=87")</f>
        <v>https://rmda.kulib.kyoto-u.ac.jp/item/rb00004585?page=87</v>
      </c>
      <c r="Q53" s="50" t="s">
        <v>408</v>
      </c>
      <c r="R53" s="54" t="str">
        <f>HYPERLINK("https://rmda.kulib.kyoto-u.ac.jp/item/rb00004585?page=89")</f>
        <v>https://rmda.kulib.kyoto-u.ac.jp/item/rb00004585?page=89</v>
      </c>
      <c r="S53" s="36" t="s">
        <v>407</v>
      </c>
      <c r="T53" s="29" t="s">
        <v>546</v>
      </c>
      <c r="U53" s="37" t="str">
        <f t="shared" si="3"/>
        <v>https://archive.wul.waseda.ac.jp/kosho/ya09/ya09_00955/ya09_00955_0004/ya09_00955_0004.html</v>
      </c>
      <c r="V53" s="47" t="s">
        <v>407</v>
      </c>
      <c r="W53" s="29">
        <v>63</v>
      </c>
      <c r="X53" s="54" t="str">
        <f>HYPERLINK("https://rmda.kulib.kyoto-u.ac.jp/item/rb00004583?page=63")</f>
        <v>https://rmda.kulib.kyoto-u.ac.jp/item/rb00004583?page=63</v>
      </c>
      <c r="Y53" s="36" t="s">
        <v>407</v>
      </c>
      <c r="Z53" s="29">
        <v>116</v>
      </c>
      <c r="AA53" s="37" t="str">
        <f>HYPERLINK("https://rmda.kulib.kyoto-u.ac.jp/item/rb00004592?page=116")</f>
        <v>https://rmda.kulib.kyoto-u.ac.jp/item/rb00004592?page=116</v>
      </c>
      <c r="AB53" s="47" t="s">
        <v>407</v>
      </c>
      <c r="AC53" s="29">
        <v>106</v>
      </c>
      <c r="AD53" s="54" t="str">
        <f>HYPERLINK("https://rmda.kulib.kyoto-u.ac.jp/item/rb00004593?page=106")</f>
        <v>https://rmda.kulib.kyoto-u.ac.jp/item/rb00004593?page=106</v>
      </c>
      <c r="AE53" s="36" t="s">
        <v>407</v>
      </c>
      <c r="AF53" s="29">
        <v>70</v>
      </c>
      <c r="AG53" s="37" t="str">
        <f>HYPERLINK("https://rmda.kulib.kyoto-u.ac.jp/item/rb00008886?page=70")</f>
        <v>https://rmda.kulib.kyoto-u.ac.jp/item/rb00008886?page=70</v>
      </c>
      <c r="AH53" s="47" t="s">
        <v>407</v>
      </c>
      <c r="AI53" s="29"/>
      <c r="AJ53" s="29"/>
      <c r="AK53" s="54"/>
      <c r="AL53" s="36" t="s">
        <v>407</v>
      </c>
      <c r="AM53" s="29"/>
      <c r="AN53" s="37"/>
      <c r="AO53" s="67"/>
      <c r="AP53" s="36" t="s">
        <v>407</v>
      </c>
      <c r="AQ53" s="29">
        <v>32</v>
      </c>
      <c r="AR53" s="29" t="str">
        <f>HYPERLINK("https://www.digital.archives.go.jp/img/4219660/32")</f>
        <v>https://www.digital.archives.go.jp/img/4219660/32</v>
      </c>
      <c r="AS53" s="29"/>
      <c r="AT53" s="37" t="s">
        <v>565</v>
      </c>
      <c r="AU53" s="76">
        <v>272</v>
      </c>
      <c r="AV53" s="77" t="str">
        <f>HYPERLINK("https://dl.ndl.go.jp/ja/pid/12759449/1/272")</f>
        <v>https://dl.ndl.go.jp/ja/pid/12759449/1/272</v>
      </c>
    </row>
    <row r="54" spans="1:48" x14ac:dyDescent="0.15">
      <c r="A54" s="71" t="s">
        <v>408</v>
      </c>
      <c r="B54" s="29">
        <v>27</v>
      </c>
      <c r="C54" s="37" t="str">
        <f>HYPERLINK("https://www.digital.archives.go.jp/img/4106122/27")</f>
        <v>https://www.digital.archives.go.jp/img/4106122/27</v>
      </c>
      <c r="D54" s="43">
        <v>106</v>
      </c>
      <c r="E54" s="37" t="str">
        <f>HYPERLINK("https://kokusho.nijl.ac.jp/biblio/100317365/106")</f>
        <v>https://kokusho.nijl.ac.jp/biblio/100317365/106</v>
      </c>
      <c r="F54" s="43">
        <v>88</v>
      </c>
      <c r="G54" s="37" t="str">
        <f>HYPERLINK("https://kokusho.nijl.ac.jp/biblio/100317364/88")</f>
        <v>https://kokusho.nijl.ac.jp/biblio/100317364/88</v>
      </c>
      <c r="H54" s="43">
        <v>276</v>
      </c>
      <c r="I54" s="38" t="str">
        <f>HYPERLINK("https://kokusho.nijl.ac.jp/biblio/100382563/276")</f>
        <v>https://kokusho.nijl.ac.jp/biblio/100382563/276</v>
      </c>
      <c r="J54" s="43">
        <v>694</v>
      </c>
      <c r="K54" s="37" t="str">
        <f>HYPERLINK("https://rmda.kulib.kyoto-u.ac.jp/item/rb00004597?page=694")</f>
        <v>https://rmda.kulib.kyoto-u.ac.jp/item/rb00004597?page=694</v>
      </c>
      <c r="L54" s="43">
        <v>102</v>
      </c>
      <c r="M54" s="37" t="str">
        <f>HYPERLINK("https://rmda.kulib.kyoto-u.ac.jp/item/rb00004587?page=102")</f>
        <v>https://rmda.kulib.kyoto-u.ac.jp/item/rb00004587?page=102</v>
      </c>
      <c r="N54" s="36" t="s">
        <v>408</v>
      </c>
      <c r="O54" s="29">
        <v>89</v>
      </c>
      <c r="P54" s="37" t="str">
        <f>HYPERLINK("https://rmda.kulib.kyoto-u.ac.jp/item/rb00004585?page=89")</f>
        <v>https://rmda.kulib.kyoto-u.ac.jp/item/rb00004585?page=89</v>
      </c>
      <c r="Q54" s="50" t="s">
        <v>409</v>
      </c>
      <c r="R54" s="54" t="str">
        <f>HYPERLINK("https://rmda.kulib.kyoto-u.ac.jp/item/rb00004585?page=87")</f>
        <v>https://rmda.kulib.kyoto-u.ac.jp/item/rb00004585?page=87</v>
      </c>
      <c r="S54" s="36" t="s">
        <v>408</v>
      </c>
      <c r="T54" s="29" t="s">
        <v>524</v>
      </c>
      <c r="U54" s="37" t="str">
        <f t="shared" si="3"/>
        <v>https://archive.wul.waseda.ac.jp/kosho/ya09/ya09_00955/ya09_00955_0004/ya09_00955_0004.html</v>
      </c>
      <c r="V54" s="47" t="s">
        <v>408</v>
      </c>
      <c r="W54" s="29">
        <v>63</v>
      </c>
      <c r="X54" s="54" t="str">
        <f>HYPERLINK("https://rmda.kulib.kyoto-u.ac.jp/item/rb00004583?page=63")</f>
        <v>https://rmda.kulib.kyoto-u.ac.jp/item/rb00004583?page=63</v>
      </c>
      <c r="Y54" s="36" t="s">
        <v>408</v>
      </c>
      <c r="Z54" s="29">
        <v>117</v>
      </c>
      <c r="AA54" s="37" t="str">
        <f>HYPERLINK("https://rmda.kulib.kyoto-u.ac.jp/item/rb00004592?page=117")</f>
        <v>https://rmda.kulib.kyoto-u.ac.jp/item/rb00004592?page=117</v>
      </c>
      <c r="AB54" s="47" t="s">
        <v>408</v>
      </c>
      <c r="AC54" s="29">
        <v>107</v>
      </c>
      <c r="AD54" s="54" t="str">
        <f>HYPERLINK("https://rmda.kulib.kyoto-u.ac.jp/item/rb00004593?page=107")</f>
        <v>https://rmda.kulib.kyoto-u.ac.jp/item/rb00004593?page=107</v>
      </c>
      <c r="AE54" s="36" t="s">
        <v>408</v>
      </c>
      <c r="AF54" s="29">
        <v>71</v>
      </c>
      <c r="AG54" s="37" t="str">
        <f>HYPERLINK("https://rmda.kulib.kyoto-u.ac.jp/item/rb00008886?page=71")</f>
        <v>https://rmda.kulib.kyoto-u.ac.jp/item/rb00008886?page=71</v>
      </c>
      <c r="AH54" s="47" t="s">
        <v>408</v>
      </c>
      <c r="AI54" s="29"/>
      <c r="AJ54" s="29"/>
      <c r="AK54" s="54"/>
      <c r="AL54" s="36" t="s">
        <v>408</v>
      </c>
      <c r="AM54" s="29">
        <v>15</v>
      </c>
      <c r="AN54" s="38" t="str">
        <f>HYPERLINK("https://rmda.kulib.kyoto-u.ac.jp/item/rb00011986?page=15")</f>
        <v>https://rmda.kulib.kyoto-u.ac.jp/item/rb00011986?page=15</v>
      </c>
      <c r="AO54" s="67"/>
      <c r="AP54" s="36" t="s">
        <v>408</v>
      </c>
      <c r="AQ54" s="29">
        <v>34</v>
      </c>
      <c r="AR54" s="29" t="str">
        <f>HYPERLINK("https://www.digital.archives.go.jp/img/4219660/34")</f>
        <v>https://www.digital.archives.go.jp/img/4219660/34</v>
      </c>
      <c r="AS54" s="29"/>
      <c r="AT54" s="37" t="s">
        <v>565</v>
      </c>
      <c r="AU54" s="76">
        <v>272</v>
      </c>
      <c r="AV54" s="77" t="str">
        <f>HYPERLINK("https://dl.ndl.go.jp/ja/pid/12759449/1/272")</f>
        <v>https://dl.ndl.go.jp/ja/pid/12759449/1/272</v>
      </c>
    </row>
    <row r="55" spans="1:48" x14ac:dyDescent="0.15">
      <c r="A55" s="71" t="s">
        <v>409</v>
      </c>
      <c r="B55" s="29">
        <v>28</v>
      </c>
      <c r="C55" s="37" t="str">
        <f>HYPERLINK("https://www.digital.archives.go.jp/img/4106122/28")</f>
        <v>https://www.digital.archives.go.jp/img/4106122/28</v>
      </c>
      <c r="D55" s="43">
        <v>108</v>
      </c>
      <c r="E55" s="37" t="str">
        <f>HYPERLINK("https://kokusho.nijl.ac.jp/biblio/100317365/108")</f>
        <v>https://kokusho.nijl.ac.jp/biblio/100317365/108</v>
      </c>
      <c r="F55" s="43">
        <v>89</v>
      </c>
      <c r="G55" s="37" t="str">
        <f>HYPERLINK("https://kokusho.nijl.ac.jp/biblio/100317364/89")</f>
        <v>https://kokusho.nijl.ac.jp/biblio/100317364/89</v>
      </c>
      <c r="H55" s="43">
        <v>279</v>
      </c>
      <c r="I55" s="38" t="str">
        <f>HYPERLINK("https://kokusho.nijl.ac.jp/biblio/100382563/279")</f>
        <v>https://kokusho.nijl.ac.jp/biblio/100382563/279</v>
      </c>
      <c r="J55" s="43">
        <v>704</v>
      </c>
      <c r="K55" s="37" t="str">
        <f>HYPERLINK("https://rmda.kulib.kyoto-u.ac.jp/item/rb00004597?page=704")</f>
        <v>https://rmda.kulib.kyoto-u.ac.jp/item/rb00004597?page=704</v>
      </c>
      <c r="L55" s="43">
        <v>103</v>
      </c>
      <c r="M55" s="37" t="str">
        <f>HYPERLINK("https://rmda.kulib.kyoto-u.ac.jp/item/rb00004587?page=103")</f>
        <v>https://rmda.kulib.kyoto-u.ac.jp/item/rb00004587?page=103</v>
      </c>
      <c r="N55" s="36" t="s">
        <v>409</v>
      </c>
      <c r="O55" s="29">
        <v>89</v>
      </c>
      <c r="P55" s="37" t="str">
        <f>HYPERLINK("https://rmda.kulib.kyoto-u.ac.jp/item/rb00004585?page=89")</f>
        <v>https://rmda.kulib.kyoto-u.ac.jp/item/rb00004585?page=89</v>
      </c>
      <c r="Q55" s="50" t="s">
        <v>407</v>
      </c>
      <c r="R55" s="54" t="str">
        <f>HYPERLINK("https://rmda.kulib.kyoto-u.ac.jp/item/rb00004585?page=89")</f>
        <v>https://rmda.kulib.kyoto-u.ac.jp/item/rb00004585?page=89</v>
      </c>
      <c r="S55" s="36" t="s">
        <v>409</v>
      </c>
      <c r="T55" s="29" t="s">
        <v>509</v>
      </c>
      <c r="U55" s="37" t="str">
        <f t="shared" si="3"/>
        <v>https://archive.wul.waseda.ac.jp/kosho/ya09/ya09_00955/ya09_00955_0004/ya09_00955_0004.html</v>
      </c>
      <c r="V55" s="47" t="s">
        <v>409</v>
      </c>
      <c r="W55" s="29">
        <v>64</v>
      </c>
      <c r="X55" s="54" t="str">
        <f>HYPERLINK("https://rmda.kulib.kyoto-u.ac.jp/item/rb00004583?page=64")</f>
        <v>https://rmda.kulib.kyoto-u.ac.jp/item/rb00004583?page=64</v>
      </c>
      <c r="Y55" s="36" t="s">
        <v>409</v>
      </c>
      <c r="Z55" s="29">
        <v>119</v>
      </c>
      <c r="AA55" s="37" t="str">
        <f>HYPERLINK("https://rmda.kulib.kyoto-u.ac.jp/item/rb00004592?page=119")</f>
        <v>https://rmda.kulib.kyoto-u.ac.jp/item/rb00004592?page=119</v>
      </c>
      <c r="AB55" s="47" t="s">
        <v>409</v>
      </c>
      <c r="AC55" s="29">
        <v>108</v>
      </c>
      <c r="AD55" s="54" t="str">
        <f>HYPERLINK("https://rmda.kulib.kyoto-u.ac.jp/item/rb00004593?page=108")</f>
        <v>https://rmda.kulib.kyoto-u.ac.jp/item/rb00004593?page=108</v>
      </c>
      <c r="AE55" s="36" t="s">
        <v>409</v>
      </c>
      <c r="AF55" s="29">
        <v>71</v>
      </c>
      <c r="AG55" s="37" t="str">
        <f>HYPERLINK("https://rmda.kulib.kyoto-u.ac.jp/item/rb00008886?page=71")</f>
        <v>https://rmda.kulib.kyoto-u.ac.jp/item/rb00008886?page=71</v>
      </c>
      <c r="AH55" s="47" t="s">
        <v>409</v>
      </c>
      <c r="AI55" s="29"/>
      <c r="AJ55" s="29"/>
      <c r="AK55" s="54"/>
      <c r="AL55" s="36" t="s">
        <v>409</v>
      </c>
      <c r="AM55" s="29"/>
      <c r="AN55" s="37"/>
      <c r="AO55" s="67"/>
      <c r="AP55" s="36" t="s">
        <v>409</v>
      </c>
      <c r="AQ55" s="29">
        <v>39</v>
      </c>
      <c r="AR55" s="29" t="str">
        <f>HYPERLINK("https://www.digital.archives.go.jp/img/4219660/39")</f>
        <v>https://www.digital.archives.go.jp/img/4219660/39</v>
      </c>
      <c r="AS55" s="29"/>
      <c r="AT55" s="37" t="s">
        <v>565</v>
      </c>
      <c r="AU55" s="76">
        <v>273</v>
      </c>
      <c r="AV55" s="77" t="str">
        <f>HYPERLINK("https://dl.ndl.go.jp/ja/pid/12759449/1/273")</f>
        <v>https://dl.ndl.go.jp/ja/pid/12759449/1/273</v>
      </c>
    </row>
    <row r="56" spans="1:48" x14ac:dyDescent="0.15">
      <c r="A56" s="71" t="s">
        <v>410</v>
      </c>
      <c r="B56" s="29">
        <v>29</v>
      </c>
      <c r="C56" s="37" t="str">
        <f>HYPERLINK("https://www.digital.archives.go.jp/img/4106122/29")</f>
        <v>https://www.digital.archives.go.jp/img/4106122/29</v>
      </c>
      <c r="D56" s="43">
        <v>108</v>
      </c>
      <c r="E56" s="37" t="str">
        <f>HYPERLINK("https://kokusho.nijl.ac.jp/biblio/100317365/108")</f>
        <v>https://kokusho.nijl.ac.jp/biblio/100317365/108</v>
      </c>
      <c r="F56" s="43">
        <v>89</v>
      </c>
      <c r="G56" s="37" t="str">
        <f>HYPERLINK("https://kokusho.nijl.ac.jp/biblio/100317364/89")</f>
        <v>https://kokusho.nijl.ac.jp/biblio/100317364/89</v>
      </c>
      <c r="H56" s="43">
        <v>280</v>
      </c>
      <c r="I56" s="38" t="str">
        <f>HYPERLINK("https://kokusho.nijl.ac.jp/biblio/100382563/280")</f>
        <v>https://kokusho.nijl.ac.jp/biblio/100382563/280</v>
      </c>
      <c r="J56" s="43">
        <v>710</v>
      </c>
      <c r="K56" s="37" t="str">
        <f>HYPERLINK("https://rmda.kulib.kyoto-u.ac.jp/item/rb00004597?page=710")</f>
        <v>https://rmda.kulib.kyoto-u.ac.jp/item/rb00004597?page=710</v>
      </c>
      <c r="L56" s="43">
        <v>103</v>
      </c>
      <c r="M56" s="37" t="str">
        <f>HYPERLINK("https://rmda.kulib.kyoto-u.ac.jp/item/rb00004587?page=103")</f>
        <v>https://rmda.kulib.kyoto-u.ac.jp/item/rb00004587?page=103</v>
      </c>
      <c r="N56" s="36" t="s">
        <v>410</v>
      </c>
      <c r="O56" s="29">
        <v>89</v>
      </c>
      <c r="P56" s="37" t="str">
        <f>HYPERLINK("https://rmda.kulib.kyoto-u.ac.jp/item/rb00004585?page=89")</f>
        <v>https://rmda.kulib.kyoto-u.ac.jp/item/rb00004585?page=89</v>
      </c>
      <c r="Q56" s="50" t="s">
        <v>410</v>
      </c>
      <c r="R56" s="54" t="str">
        <f>HYPERLINK("https://rmda.kulib.kyoto-u.ac.jp/item/rb00004585?page=89")</f>
        <v>https://rmda.kulib.kyoto-u.ac.jp/item/rb00004585?page=89</v>
      </c>
      <c r="S56" s="36" t="s">
        <v>410</v>
      </c>
      <c r="T56" s="29" t="s">
        <v>547</v>
      </c>
      <c r="U56" s="37" t="str">
        <f t="shared" si="3"/>
        <v>https://archive.wul.waseda.ac.jp/kosho/ya09/ya09_00955/ya09_00955_0004/ya09_00955_0004.html</v>
      </c>
      <c r="V56" s="47" t="s">
        <v>410</v>
      </c>
      <c r="W56" s="29">
        <v>64</v>
      </c>
      <c r="X56" s="54" t="str">
        <f>HYPERLINK("https://rmda.kulib.kyoto-u.ac.jp/item/rb00004583?page=64")</f>
        <v>https://rmda.kulib.kyoto-u.ac.jp/item/rb00004583?page=64</v>
      </c>
      <c r="Y56" s="36" t="s">
        <v>410</v>
      </c>
      <c r="Z56" s="29">
        <v>120</v>
      </c>
      <c r="AA56" s="37" t="str">
        <f>HYPERLINK("https://rmda.kulib.kyoto-u.ac.jp/item/rb00004592?page=120")</f>
        <v>https://rmda.kulib.kyoto-u.ac.jp/item/rb00004592?page=120</v>
      </c>
      <c r="AB56" s="47" t="s">
        <v>410</v>
      </c>
      <c r="AC56" s="29">
        <v>109</v>
      </c>
      <c r="AD56" s="54" t="str">
        <f>HYPERLINK("https://rmda.kulib.kyoto-u.ac.jp/item/rb00004593?page=109")</f>
        <v>https://rmda.kulib.kyoto-u.ac.jp/item/rb00004593?page=109</v>
      </c>
      <c r="AE56" s="36" t="s">
        <v>410</v>
      </c>
      <c r="AF56" s="29">
        <v>71</v>
      </c>
      <c r="AG56" s="37" t="str">
        <f>HYPERLINK("https://rmda.kulib.kyoto-u.ac.jp/item/rb00008886?page=71")</f>
        <v>https://rmda.kulib.kyoto-u.ac.jp/item/rb00008886?page=71</v>
      </c>
      <c r="AH56" s="47" t="s">
        <v>410</v>
      </c>
      <c r="AI56" s="29">
        <v>108</v>
      </c>
      <c r="AJ56" s="27" t="str">
        <f>HYPERLINK("https://rmda.kulib.kyoto-u.ac.jp/item/rb00008886?page=108")</f>
        <v>https://rmda.kulib.kyoto-u.ac.jp/item/rb00008886?page=108</v>
      </c>
      <c r="AK56" s="54" t="s">
        <v>572</v>
      </c>
      <c r="AL56" s="36" t="s">
        <v>410</v>
      </c>
      <c r="AM56" s="29">
        <v>15</v>
      </c>
      <c r="AN56" s="38" t="str">
        <f>HYPERLINK("https://rmda.kulib.kyoto-u.ac.jp/item/rb00011986?page=15")</f>
        <v>https://rmda.kulib.kyoto-u.ac.jp/item/rb00011986?page=15</v>
      </c>
      <c r="AO56" s="67"/>
      <c r="AP56" s="36" t="s">
        <v>410</v>
      </c>
      <c r="AQ56" s="29">
        <v>40</v>
      </c>
      <c r="AR56" s="29" t="str">
        <f>HYPERLINK("https://www.digital.archives.go.jp/img/4219660/40")</f>
        <v>https://www.digital.archives.go.jp/img/4219660/40</v>
      </c>
      <c r="AS56" s="29"/>
      <c r="AT56" s="37" t="s">
        <v>565</v>
      </c>
      <c r="AU56" s="76">
        <v>273</v>
      </c>
      <c r="AV56" s="77" t="str">
        <f>HYPERLINK("https://dl.ndl.go.jp/ja/pid/12759449/1/273")</f>
        <v>https://dl.ndl.go.jp/ja/pid/12759449/1/273</v>
      </c>
    </row>
    <row r="57" spans="1:48" x14ac:dyDescent="0.15">
      <c r="A57" s="71" t="s">
        <v>411</v>
      </c>
      <c r="B57" s="29">
        <v>29</v>
      </c>
      <c r="C57" s="37" t="str">
        <f>HYPERLINK("https://www.digital.archives.go.jp/img/4106122/29")</f>
        <v>https://www.digital.archives.go.jp/img/4106122/29</v>
      </c>
      <c r="D57" s="43">
        <v>109</v>
      </c>
      <c r="E57" s="37" t="str">
        <f>HYPERLINK("https://kokusho.nijl.ac.jp/biblio/100317365/109")</f>
        <v>https://kokusho.nijl.ac.jp/biblio/100317365/109</v>
      </c>
      <c r="F57" s="43">
        <v>90</v>
      </c>
      <c r="G57" s="37" t="str">
        <f>HYPERLINK("https://kokusho.nijl.ac.jp/biblio/100317364/90")</f>
        <v>https://kokusho.nijl.ac.jp/biblio/100317364/90</v>
      </c>
      <c r="H57" s="43">
        <v>282</v>
      </c>
      <c r="I57" s="38" t="str">
        <f>HYPERLINK("https://kokusho.nijl.ac.jp/biblio/100382563/282")</f>
        <v>https://kokusho.nijl.ac.jp/biblio/100382563/282</v>
      </c>
      <c r="J57" s="43">
        <v>714</v>
      </c>
      <c r="K57" s="37" t="str">
        <f>HYPERLINK("https://rmda.kulib.kyoto-u.ac.jp/item/rb00004597?page=714")</f>
        <v>https://rmda.kulib.kyoto-u.ac.jp/item/rb00004597?page=714</v>
      </c>
      <c r="L57" s="43">
        <v>104</v>
      </c>
      <c r="M57" s="37" t="str">
        <f>HYPERLINK("https://rmda.kulib.kyoto-u.ac.jp/item/rb00004587?page=104")</f>
        <v>https://rmda.kulib.kyoto-u.ac.jp/item/rb00004587?page=104</v>
      </c>
      <c r="N57" s="36" t="s">
        <v>411</v>
      </c>
      <c r="O57" s="29">
        <v>90</v>
      </c>
      <c r="P57" s="37" t="str">
        <f>HYPERLINK("https://rmda.kulib.kyoto-u.ac.jp/item/rb00004585?page=90")</f>
        <v>https://rmda.kulib.kyoto-u.ac.jp/item/rb00004585?page=90</v>
      </c>
      <c r="Q57" s="50" t="s">
        <v>411</v>
      </c>
      <c r="R57" s="54" t="str">
        <f>HYPERLINK("https://rmda.kulib.kyoto-u.ac.jp/item/rb00004585?page=90")</f>
        <v>https://rmda.kulib.kyoto-u.ac.jp/item/rb00004585?page=90</v>
      </c>
      <c r="S57" s="36" t="s">
        <v>411</v>
      </c>
      <c r="T57" s="29" t="s">
        <v>537</v>
      </c>
      <c r="U57" s="37" t="str">
        <f t="shared" si="3"/>
        <v>https://archive.wul.waseda.ac.jp/kosho/ya09/ya09_00955/ya09_00955_0004/ya09_00955_0004.html</v>
      </c>
      <c r="V57" s="47" t="s">
        <v>411</v>
      </c>
      <c r="W57" s="29">
        <v>65</v>
      </c>
      <c r="X57" s="54" t="str">
        <f>HYPERLINK("https://rmda.kulib.kyoto-u.ac.jp/item/rb00004583?page=65")</f>
        <v>https://rmda.kulib.kyoto-u.ac.jp/item/rb00004583?page=65</v>
      </c>
      <c r="Y57" s="36" t="s">
        <v>411</v>
      </c>
      <c r="Z57" s="29">
        <v>121</v>
      </c>
      <c r="AA57" s="37" t="str">
        <f>HYPERLINK("https://rmda.kulib.kyoto-u.ac.jp/item/rb00004592?page=121")</f>
        <v>https://rmda.kulib.kyoto-u.ac.jp/item/rb00004592?page=121</v>
      </c>
      <c r="AB57" s="47" t="s">
        <v>411</v>
      </c>
      <c r="AC57" s="29">
        <v>110</v>
      </c>
      <c r="AD57" s="54" t="str">
        <f>HYPERLINK("https://rmda.kulib.kyoto-u.ac.jp/item/rb00004593?page=110")</f>
        <v>https://rmda.kulib.kyoto-u.ac.jp/item/rb00004593?page=110</v>
      </c>
      <c r="AE57" s="36" t="s">
        <v>411</v>
      </c>
      <c r="AF57" s="29">
        <v>72</v>
      </c>
      <c r="AG57" s="37" t="str">
        <f>HYPERLINK("https://rmda.kulib.kyoto-u.ac.jp/item/rb00008886?page=72")</f>
        <v>https://rmda.kulib.kyoto-u.ac.jp/item/rb00008886?page=72</v>
      </c>
      <c r="AH57" s="47" t="s">
        <v>411</v>
      </c>
      <c r="AI57" s="29"/>
      <c r="AJ57" s="29"/>
      <c r="AK57" s="54"/>
      <c r="AL57" s="36" t="s">
        <v>411</v>
      </c>
      <c r="AM57" s="29"/>
      <c r="AN57" s="37"/>
      <c r="AO57" s="67"/>
      <c r="AP57" s="36" t="s">
        <v>411</v>
      </c>
      <c r="AQ57" s="29">
        <v>44</v>
      </c>
      <c r="AR57" s="29" t="str">
        <f>HYPERLINK("https://www.digital.archives.go.jp/img/4219660/44")</f>
        <v>https://www.digital.archives.go.jp/img/4219660/44</v>
      </c>
      <c r="AS57" s="29"/>
      <c r="AT57" s="37" t="s">
        <v>565</v>
      </c>
      <c r="AU57" s="76">
        <v>274</v>
      </c>
      <c r="AV57" s="77" t="str">
        <f>HYPERLINK("https://dl.ndl.go.jp/ja/pid/12759449/1/274")</f>
        <v>https://dl.ndl.go.jp/ja/pid/12759449/1/274</v>
      </c>
    </row>
    <row r="58" spans="1:48" x14ac:dyDescent="0.15">
      <c r="A58" s="71" t="s">
        <v>412</v>
      </c>
      <c r="B58" s="29">
        <v>32</v>
      </c>
      <c r="C58" s="37" t="str">
        <f>HYPERLINK("https://www.digital.archives.go.jp/img/4106122/32")</f>
        <v>https://www.digital.archives.go.jp/img/4106122/32</v>
      </c>
      <c r="D58" s="43">
        <v>112</v>
      </c>
      <c r="E58" s="37" t="str">
        <f>HYPERLINK("https://kokusho.nijl.ac.jp/biblio/100317365/112")</f>
        <v>https://kokusho.nijl.ac.jp/biblio/100317365/112</v>
      </c>
      <c r="F58" s="43">
        <v>92</v>
      </c>
      <c r="G58" s="37" t="str">
        <f>HYPERLINK("https://kokusho.nijl.ac.jp/biblio/100317364/92")</f>
        <v>https://kokusho.nijl.ac.jp/biblio/100317364/92</v>
      </c>
      <c r="H58" s="43">
        <v>288</v>
      </c>
      <c r="I58" s="38" t="str">
        <f>HYPERLINK("https://kokusho.nijl.ac.jp/biblio/100382563/288")</f>
        <v>https://kokusho.nijl.ac.jp/biblio/100382563/288</v>
      </c>
      <c r="J58" s="43">
        <v>729</v>
      </c>
      <c r="K58" s="37" t="str">
        <f>HYPERLINK("https://rmda.kulib.kyoto-u.ac.jp/item/rb00004597?page=729")</f>
        <v>https://rmda.kulib.kyoto-u.ac.jp/item/rb00004597?page=729</v>
      </c>
      <c r="L58" s="43">
        <v>107</v>
      </c>
      <c r="M58" s="37" t="str">
        <f>HYPERLINK("https://rmda.kulib.kyoto-u.ac.jp/item/rb00004587?page=107")</f>
        <v>https://rmda.kulib.kyoto-u.ac.jp/item/rb00004587?page=107</v>
      </c>
      <c r="N58" s="36" t="s">
        <v>412</v>
      </c>
      <c r="O58" s="29">
        <v>93</v>
      </c>
      <c r="P58" s="37" t="str">
        <f>HYPERLINK("https://rmda.kulib.kyoto-u.ac.jp/item/rb00004585?page=93")</f>
        <v>https://rmda.kulib.kyoto-u.ac.jp/item/rb00004585?page=93</v>
      </c>
      <c r="Q58" s="50" t="s">
        <v>412</v>
      </c>
      <c r="R58" s="54" t="str">
        <f>HYPERLINK("https://rmda.kulib.kyoto-u.ac.jp/item/rb00004585?page=93")</f>
        <v>https://rmda.kulib.kyoto-u.ac.jp/item/rb00004585?page=93</v>
      </c>
      <c r="S58" s="36" t="s">
        <v>412</v>
      </c>
      <c r="T58" s="29" t="s">
        <v>539</v>
      </c>
      <c r="U58" s="37" t="str">
        <f t="shared" si="3"/>
        <v>https://archive.wul.waseda.ac.jp/kosho/ya09/ya09_00955/ya09_00955_0004/ya09_00955_0004.html</v>
      </c>
      <c r="V58" s="47" t="s">
        <v>412</v>
      </c>
      <c r="W58" s="29">
        <v>67</v>
      </c>
      <c r="X58" s="54" t="str">
        <f>HYPERLINK("https://rmda.kulib.kyoto-u.ac.jp/item/rb00004583?page=67")</f>
        <v>https://rmda.kulib.kyoto-u.ac.jp/item/rb00004583?page=67</v>
      </c>
      <c r="Y58" s="36" t="s">
        <v>412</v>
      </c>
      <c r="Z58" s="29">
        <v>124</v>
      </c>
      <c r="AA58" s="37" t="str">
        <f>HYPERLINK("https://rmda.kulib.kyoto-u.ac.jp/item/rb00004592?page=124")</f>
        <v>https://rmda.kulib.kyoto-u.ac.jp/item/rb00004592?page=124</v>
      </c>
      <c r="AB58" s="47" t="s">
        <v>412</v>
      </c>
      <c r="AC58" s="29">
        <v>113</v>
      </c>
      <c r="AD58" s="54" t="str">
        <f>HYPERLINK("https://rmda.kulib.kyoto-u.ac.jp/item/rb00004593?page=113")</f>
        <v>https://rmda.kulib.kyoto-u.ac.jp/item/rb00004593?page=113</v>
      </c>
      <c r="AE58" s="36" t="s">
        <v>412</v>
      </c>
      <c r="AF58" s="29">
        <v>74</v>
      </c>
      <c r="AG58" s="37" t="str">
        <f>HYPERLINK("https://rmda.kulib.kyoto-u.ac.jp/item/rb00008886?page=74")</f>
        <v>https://rmda.kulib.kyoto-u.ac.jp/item/rb00008886?page=74</v>
      </c>
      <c r="AH58" s="47" t="s">
        <v>412</v>
      </c>
      <c r="AI58" s="29"/>
      <c r="AJ58" s="29"/>
      <c r="AK58" s="54"/>
      <c r="AL58" s="36" t="s">
        <v>412</v>
      </c>
      <c r="AM58" s="29"/>
      <c r="AN58" s="37"/>
      <c r="AO58" s="67"/>
      <c r="AP58" s="36" t="s">
        <v>412</v>
      </c>
      <c r="AQ58" s="29">
        <v>4</v>
      </c>
      <c r="AR58" s="27" t="str">
        <f>HYPERLINK("https://www.digital.archives.go.jp/img/4220591/4")</f>
        <v>https://www.digital.archives.go.jp/img/4220591/4</v>
      </c>
      <c r="AS58" s="29"/>
      <c r="AT58" s="37" t="s">
        <v>565</v>
      </c>
      <c r="AU58" s="76">
        <v>277</v>
      </c>
      <c r="AV58" s="77" t="str">
        <f>HYPERLINK("https://dl.ndl.go.jp/ja/pid/12759449/1/277")</f>
        <v>https://dl.ndl.go.jp/ja/pid/12759449/1/277</v>
      </c>
    </row>
    <row r="59" spans="1:48" x14ac:dyDescent="0.15">
      <c r="A59" s="71" t="s">
        <v>413</v>
      </c>
      <c r="B59" s="29">
        <v>33</v>
      </c>
      <c r="C59" s="37" t="str">
        <f>HYPERLINK("https://www.digital.archives.go.jp/img/4106122/33")</f>
        <v>https://www.digital.archives.go.jp/img/4106122/33</v>
      </c>
      <c r="D59" s="43">
        <v>113</v>
      </c>
      <c r="E59" s="37" t="str">
        <f>HYPERLINK("https://kokusho.nijl.ac.jp/biblio/100317365/113")</f>
        <v>https://kokusho.nijl.ac.jp/biblio/100317365/113</v>
      </c>
      <c r="F59" s="43">
        <v>93</v>
      </c>
      <c r="G59" s="37" t="str">
        <f>HYPERLINK("https://kokusho.nijl.ac.jp/biblio/100317364/93")</f>
        <v>https://kokusho.nijl.ac.jp/biblio/100317364/93</v>
      </c>
      <c r="H59" s="43">
        <v>291</v>
      </c>
      <c r="I59" s="38" t="str">
        <f>HYPERLINK("https://kokusho.nijl.ac.jp/biblio/100382563/291")</f>
        <v>https://kokusho.nijl.ac.jp/biblio/100382563/291</v>
      </c>
      <c r="J59" s="43">
        <v>741</v>
      </c>
      <c r="K59" s="37" t="str">
        <f>HYPERLINK("https://rmda.kulib.kyoto-u.ac.jp/item/rb00004597?page=741")</f>
        <v>https://rmda.kulib.kyoto-u.ac.jp/item/rb00004597?page=741</v>
      </c>
      <c r="L59" s="43">
        <v>108</v>
      </c>
      <c r="M59" s="37" t="str">
        <f>HYPERLINK("https://rmda.kulib.kyoto-u.ac.jp/item/rb00004587?page=108")</f>
        <v>https://rmda.kulib.kyoto-u.ac.jp/item/rb00004587?page=108</v>
      </c>
      <c r="N59" s="36" t="s">
        <v>413</v>
      </c>
      <c r="O59" s="29">
        <v>94</v>
      </c>
      <c r="P59" s="37" t="str">
        <f>HYPERLINK("https://rmda.kulib.kyoto-u.ac.jp/item/rb00004585?page=94")</f>
        <v>https://rmda.kulib.kyoto-u.ac.jp/item/rb00004585?page=94</v>
      </c>
      <c r="Q59" s="50" t="s">
        <v>413</v>
      </c>
      <c r="R59" s="54" t="str">
        <f>HYPERLINK("https://rmda.kulib.kyoto-u.ac.jp/item/rb00004585?page=94")</f>
        <v>https://rmda.kulib.kyoto-u.ac.jp/item/rb00004585?page=94</v>
      </c>
      <c r="S59" s="36" t="s">
        <v>413</v>
      </c>
      <c r="T59" s="29" t="s">
        <v>548</v>
      </c>
      <c r="U59" s="37" t="str">
        <f t="shared" si="3"/>
        <v>https://archive.wul.waseda.ac.jp/kosho/ya09/ya09_00955/ya09_00955_0004/ya09_00955_0004.html</v>
      </c>
      <c r="V59" s="47" t="s">
        <v>413</v>
      </c>
      <c r="W59" s="29">
        <v>68</v>
      </c>
      <c r="X59" s="54" t="str">
        <f>HYPERLINK("https://rmda.kulib.kyoto-u.ac.jp/item/rb00004583?page=68")</f>
        <v>https://rmda.kulib.kyoto-u.ac.jp/item/rb00004583?page=68</v>
      </c>
      <c r="Y59" s="36" t="s">
        <v>413</v>
      </c>
      <c r="Z59" s="29">
        <v>126</v>
      </c>
      <c r="AA59" s="37" t="str">
        <f>HYPERLINK("https://rmda.kulib.kyoto-u.ac.jp/item/rb00004592?page=126")</f>
        <v>https://rmda.kulib.kyoto-u.ac.jp/item/rb00004592?page=126</v>
      </c>
      <c r="AB59" s="47" t="s">
        <v>413</v>
      </c>
      <c r="AC59" s="29">
        <v>115</v>
      </c>
      <c r="AD59" s="54" t="str">
        <f>HYPERLINK("https://rmda.kulib.kyoto-u.ac.jp/item/rb00004593?page=115")</f>
        <v>https://rmda.kulib.kyoto-u.ac.jp/item/rb00004593?page=115</v>
      </c>
      <c r="AE59" s="36" t="s">
        <v>413</v>
      </c>
      <c r="AF59" s="29">
        <v>76</v>
      </c>
      <c r="AG59" s="37" t="str">
        <f>HYPERLINK("https://rmda.kulib.kyoto-u.ac.jp/item/rb00008886?page=76")</f>
        <v>https://rmda.kulib.kyoto-u.ac.jp/item/rb00008886?page=76</v>
      </c>
      <c r="AH59" s="47" t="s">
        <v>413</v>
      </c>
      <c r="AI59" s="29"/>
      <c r="AJ59" s="29"/>
      <c r="AK59" s="54"/>
      <c r="AL59" s="36" t="s">
        <v>413</v>
      </c>
      <c r="AM59" s="29"/>
      <c r="AN59" s="37"/>
      <c r="AO59" s="67"/>
      <c r="AP59" s="36" t="s">
        <v>413</v>
      </c>
      <c r="AQ59" s="29">
        <v>9</v>
      </c>
      <c r="AR59" s="29" t="str">
        <f>HYPERLINK("https://www.digital.archives.go.jp/img/4220591/9")</f>
        <v>https://www.digital.archives.go.jp/img/4220591/9</v>
      </c>
      <c r="AS59" s="29"/>
      <c r="AT59" s="37" t="s">
        <v>565</v>
      </c>
      <c r="AU59" s="76">
        <v>278</v>
      </c>
      <c r="AV59" s="77" t="str">
        <f>HYPERLINK("https://dl.ndl.go.jp/ja/pid/12759449/1/278")</f>
        <v>https://dl.ndl.go.jp/ja/pid/12759449/1/278</v>
      </c>
    </row>
    <row r="60" spans="1:48" x14ac:dyDescent="0.15">
      <c r="A60" s="71" t="s">
        <v>414</v>
      </c>
      <c r="B60" s="29">
        <v>36</v>
      </c>
      <c r="C60" s="37" t="str">
        <f>HYPERLINK("https://www.digital.archives.go.jp/img/4106122/36")</f>
        <v>https://www.digital.archives.go.jp/img/4106122/36</v>
      </c>
      <c r="D60" s="43">
        <v>116</v>
      </c>
      <c r="E60" s="37" t="str">
        <f>HYPERLINK("https://kokusho.nijl.ac.jp/biblio/100317365/116")</f>
        <v>https://kokusho.nijl.ac.jp/biblio/100317365/116</v>
      </c>
      <c r="F60" s="43">
        <v>95</v>
      </c>
      <c r="G60" s="37" t="str">
        <f>HYPERLINK("https://kokusho.nijl.ac.jp/biblio/100317364/95")</f>
        <v>https://kokusho.nijl.ac.jp/biblio/100317364/95</v>
      </c>
      <c r="H60" s="43">
        <v>301</v>
      </c>
      <c r="I60" s="38" t="str">
        <f>HYPERLINK("https://kokusho.nijl.ac.jp/biblio/100382563/301")</f>
        <v>https://kokusho.nijl.ac.jp/biblio/100382563/301</v>
      </c>
      <c r="J60" s="43">
        <v>760</v>
      </c>
      <c r="K60" s="37" t="str">
        <f>HYPERLINK("https://rmda.kulib.kyoto-u.ac.jp/item/rb00004597?page=760")</f>
        <v>https://rmda.kulib.kyoto-u.ac.jp/item/rb00004597?page=760</v>
      </c>
      <c r="L60" s="43">
        <v>112</v>
      </c>
      <c r="M60" s="37" t="str">
        <f>HYPERLINK("https://rmda.kulib.kyoto-u.ac.jp/item/rb00004587?page=112")</f>
        <v>https://rmda.kulib.kyoto-u.ac.jp/item/rb00004587?page=112</v>
      </c>
      <c r="N60" s="36" t="s">
        <v>414</v>
      </c>
      <c r="O60" s="29">
        <v>98</v>
      </c>
      <c r="P60" s="37" t="str">
        <f>HYPERLINK("https://rmda.kulib.kyoto-u.ac.jp/item/rb00004585?page=98")</f>
        <v>https://rmda.kulib.kyoto-u.ac.jp/item/rb00004585?page=98</v>
      </c>
      <c r="Q60" s="50" t="s">
        <v>414</v>
      </c>
      <c r="R60" s="54" t="str">
        <f>HYPERLINK("https://rmda.kulib.kyoto-u.ac.jp/item/rb00004585?page=98")</f>
        <v>https://rmda.kulib.kyoto-u.ac.jp/item/rb00004585?page=98</v>
      </c>
      <c r="S60" s="36" t="s">
        <v>414</v>
      </c>
      <c r="T60" s="29" t="s">
        <v>513</v>
      </c>
      <c r="U60" s="37" t="str">
        <f t="shared" si="3"/>
        <v>https://archive.wul.waseda.ac.jp/kosho/ya09/ya09_00955/ya09_00955_0004/ya09_00955_0004.html</v>
      </c>
      <c r="V60" s="47" t="s">
        <v>414</v>
      </c>
      <c r="W60" s="29">
        <v>70</v>
      </c>
      <c r="X60" s="54" t="str">
        <f>HYPERLINK("https://rmda.kulib.kyoto-u.ac.jp/item/rb00004583?page=70")</f>
        <v>https://rmda.kulib.kyoto-u.ac.jp/item/rb00004583?page=70</v>
      </c>
      <c r="Y60" s="36" t="s">
        <v>414</v>
      </c>
      <c r="Z60" s="29">
        <v>128</v>
      </c>
      <c r="AA60" s="37" t="str">
        <f>HYPERLINK("https://rmda.kulib.kyoto-u.ac.jp/item/rb00004592?page=128")</f>
        <v>https://rmda.kulib.kyoto-u.ac.jp/item/rb00004592?page=128</v>
      </c>
      <c r="AB60" s="47" t="s">
        <v>414</v>
      </c>
      <c r="AC60" s="29">
        <v>118</v>
      </c>
      <c r="AD60" s="54" t="str">
        <f>HYPERLINK("https://rmda.kulib.kyoto-u.ac.jp/item/rb00004593?page=118")</f>
        <v>https://rmda.kulib.kyoto-u.ac.jp/item/rb00004593?page=118</v>
      </c>
      <c r="AE60" s="36" t="s">
        <v>414</v>
      </c>
      <c r="AF60" s="29">
        <v>78</v>
      </c>
      <c r="AG60" s="37" t="str">
        <f>HYPERLINK("https://rmda.kulib.kyoto-u.ac.jp/item/rb00008886?page=78")</f>
        <v>https://rmda.kulib.kyoto-u.ac.jp/item/rb00008886?page=78</v>
      </c>
      <c r="AH60" s="47" t="s">
        <v>414</v>
      </c>
      <c r="AI60" s="29"/>
      <c r="AJ60" s="29"/>
      <c r="AK60" s="54"/>
      <c r="AL60" s="36" t="s">
        <v>414</v>
      </c>
      <c r="AM60" s="29"/>
      <c r="AN60" s="37"/>
      <c r="AO60" s="67"/>
      <c r="AP60" s="36" t="s">
        <v>414</v>
      </c>
      <c r="AQ60" s="29">
        <v>18</v>
      </c>
      <c r="AR60" s="29" t="str">
        <f>HYPERLINK("https://www.digital.archives.go.jp/img/4220591/18")</f>
        <v>https://www.digital.archives.go.jp/img/4220591/18</v>
      </c>
      <c r="AS60" s="29"/>
      <c r="AT60" s="37" t="s">
        <v>565</v>
      </c>
      <c r="AU60" s="76">
        <v>279</v>
      </c>
      <c r="AV60" s="77" t="str">
        <f>HYPERLINK("https://dl.ndl.go.jp/ja/pid/12759449/1/279")</f>
        <v>https://dl.ndl.go.jp/ja/pid/12759449/1/279</v>
      </c>
    </row>
    <row r="61" spans="1:48" x14ac:dyDescent="0.15">
      <c r="A61" s="71" t="s">
        <v>415</v>
      </c>
      <c r="B61" s="29">
        <v>37</v>
      </c>
      <c r="C61" s="37" t="str">
        <f>HYPERLINK("https://www.digital.archives.go.jp/img/4106122/37")</f>
        <v>https://www.digital.archives.go.jp/img/4106122/37</v>
      </c>
      <c r="D61" s="43">
        <v>117</v>
      </c>
      <c r="E61" s="37" t="str">
        <f>HYPERLINK("https://kokusho.nijl.ac.jp/biblio/100317365/117")</f>
        <v>https://kokusho.nijl.ac.jp/biblio/100317365/117</v>
      </c>
      <c r="F61" s="43">
        <v>95</v>
      </c>
      <c r="G61" s="37" t="str">
        <f>HYPERLINK("https://kokusho.nijl.ac.jp/biblio/100317364/95")</f>
        <v>https://kokusho.nijl.ac.jp/biblio/100317364/95</v>
      </c>
      <c r="H61" s="43">
        <v>303</v>
      </c>
      <c r="I61" s="38" t="str">
        <f>HYPERLINK("https://kokusho.nijl.ac.jp/biblio/100382563/303")</f>
        <v>https://kokusho.nijl.ac.jp/biblio/100382563/303</v>
      </c>
      <c r="J61" s="43">
        <v>765</v>
      </c>
      <c r="K61" s="37" t="str">
        <f>HYPERLINK("https://rmda.kulib.kyoto-u.ac.jp/item/rb00004597?page=765")</f>
        <v>https://rmda.kulib.kyoto-u.ac.jp/item/rb00004597?page=765</v>
      </c>
      <c r="L61" s="43">
        <v>113</v>
      </c>
      <c r="M61" s="37" t="str">
        <f>HYPERLINK("https://rmda.kulib.kyoto-u.ac.jp/item/rb00004587?page=113")</f>
        <v>https://rmda.kulib.kyoto-u.ac.jp/item/rb00004587?page=113</v>
      </c>
      <c r="N61" s="36" t="s">
        <v>415</v>
      </c>
      <c r="O61" s="29">
        <v>99</v>
      </c>
      <c r="P61" s="37" t="str">
        <f>HYPERLINK("https://rmda.kulib.kyoto-u.ac.jp/item/rb00004585?page=99")</f>
        <v>https://rmda.kulib.kyoto-u.ac.jp/item/rb00004585?page=99</v>
      </c>
      <c r="Q61" s="50" t="s">
        <v>415</v>
      </c>
      <c r="R61" s="54" t="str">
        <f>HYPERLINK("https://rmda.kulib.kyoto-u.ac.jp/item/rb00004585?page=99")</f>
        <v>https://rmda.kulib.kyoto-u.ac.jp/item/rb00004585?page=99</v>
      </c>
      <c r="S61" s="36" t="s">
        <v>415</v>
      </c>
      <c r="T61" s="29" t="s">
        <v>514</v>
      </c>
      <c r="U61" s="37" t="str">
        <f t="shared" si="3"/>
        <v>https://archive.wul.waseda.ac.jp/kosho/ya09/ya09_00955/ya09_00955_0004/ya09_00955_0004.html</v>
      </c>
      <c r="V61" s="47" t="s">
        <v>415</v>
      </c>
      <c r="W61" s="29">
        <v>70</v>
      </c>
      <c r="X61" s="54" t="str">
        <f>HYPERLINK("https://rmda.kulib.kyoto-u.ac.jp/item/rb00004583?page=70")</f>
        <v>https://rmda.kulib.kyoto-u.ac.jp/item/rb00004583?page=70</v>
      </c>
      <c r="Y61" s="36" t="s">
        <v>415</v>
      </c>
      <c r="Z61" s="29">
        <v>129</v>
      </c>
      <c r="AA61" s="37" t="str">
        <f>HYPERLINK("https://rmda.kulib.kyoto-u.ac.jp/item/rb00004592?page=129")</f>
        <v>https://rmda.kulib.kyoto-u.ac.jp/item/rb00004592?page=129</v>
      </c>
      <c r="AB61" s="47" t="s">
        <v>415</v>
      </c>
      <c r="AC61" s="29">
        <v>119</v>
      </c>
      <c r="AD61" s="54" t="str">
        <f>HYPERLINK("https://rmda.kulib.kyoto-u.ac.jp/item/rb00004593?page=119")</f>
        <v>https://rmda.kulib.kyoto-u.ac.jp/item/rb00004593?page=119</v>
      </c>
      <c r="AE61" s="36" t="s">
        <v>415</v>
      </c>
      <c r="AF61" s="29">
        <v>79</v>
      </c>
      <c r="AG61" s="37" t="str">
        <f>HYPERLINK("https://rmda.kulib.kyoto-u.ac.jp/item/rb00008886?page=79")</f>
        <v>https://rmda.kulib.kyoto-u.ac.jp/item/rb00008886?page=79</v>
      </c>
      <c r="AH61" s="47" t="s">
        <v>415</v>
      </c>
      <c r="AI61" s="29"/>
      <c r="AJ61" s="29"/>
      <c r="AK61" s="54"/>
      <c r="AL61" s="36" t="s">
        <v>415</v>
      </c>
      <c r="AM61" s="29"/>
      <c r="AN61" s="37"/>
      <c r="AO61" s="67"/>
      <c r="AP61" s="36" t="s">
        <v>415</v>
      </c>
      <c r="AQ61" s="29">
        <v>21</v>
      </c>
      <c r="AR61" s="29" t="str">
        <f>HYPERLINK("https://www.digital.archives.go.jp/img/4220591/21")</f>
        <v>https://www.digital.archives.go.jp/img/4220591/21</v>
      </c>
      <c r="AS61" s="29"/>
      <c r="AT61" s="37" t="s">
        <v>565</v>
      </c>
      <c r="AU61" s="76">
        <v>280</v>
      </c>
      <c r="AV61" s="77" t="str">
        <f>HYPERLINK("https://dl.ndl.go.jp/ja/pid/12759449/1/280")</f>
        <v>https://dl.ndl.go.jp/ja/pid/12759449/1/280</v>
      </c>
    </row>
    <row r="62" spans="1:48" x14ac:dyDescent="0.15">
      <c r="A62" s="71" t="s">
        <v>416</v>
      </c>
      <c r="B62" s="29">
        <v>38</v>
      </c>
      <c r="C62" s="37" t="str">
        <f>HYPERLINK("https://www.digital.archives.go.jp/img/4106122/38")</f>
        <v>https://www.digital.archives.go.jp/img/4106122/38</v>
      </c>
      <c r="D62" s="43">
        <v>117</v>
      </c>
      <c r="E62" s="37" t="str">
        <f>HYPERLINK("https://kokusho.nijl.ac.jp/biblio/100317365/117")</f>
        <v>https://kokusho.nijl.ac.jp/biblio/100317365/117</v>
      </c>
      <c r="F62" s="43">
        <v>96</v>
      </c>
      <c r="G62" s="37" t="str">
        <f>HYPERLINK("https://kokusho.nijl.ac.jp/biblio/100317364/96")</f>
        <v>https://kokusho.nijl.ac.jp/biblio/100317364/96</v>
      </c>
      <c r="H62" s="43">
        <v>305</v>
      </c>
      <c r="I62" s="38" t="str">
        <f>HYPERLINK("https://kokusho.nijl.ac.jp/biblio/100382563/305")</f>
        <v>https://kokusho.nijl.ac.jp/biblio/100382563/305</v>
      </c>
      <c r="J62" s="43">
        <v>771</v>
      </c>
      <c r="K62" s="37" t="str">
        <f>HYPERLINK("https://rmda.kulib.kyoto-u.ac.jp/item/rb00004597?page=771")</f>
        <v>https://rmda.kulib.kyoto-u.ac.jp/item/rb00004597?page=771</v>
      </c>
      <c r="L62" s="43">
        <v>113</v>
      </c>
      <c r="M62" s="37" t="str">
        <f>HYPERLINK("https://rmda.kulib.kyoto-u.ac.jp/item/rb00004587?page=113")</f>
        <v>https://rmda.kulib.kyoto-u.ac.jp/item/rb00004587?page=113</v>
      </c>
      <c r="N62" s="36" t="s">
        <v>416</v>
      </c>
      <c r="O62" s="29">
        <v>100</v>
      </c>
      <c r="P62" s="37" t="str">
        <f>HYPERLINK("https://rmda.kulib.kyoto-u.ac.jp/item/rb00004585?page=100")</f>
        <v>https://rmda.kulib.kyoto-u.ac.jp/item/rb00004585?page=100</v>
      </c>
      <c r="Q62" s="50" t="s">
        <v>416</v>
      </c>
      <c r="R62" s="54" t="str">
        <f>HYPERLINK("https://rmda.kulib.kyoto-u.ac.jp/item/rb00004585?page=100")</f>
        <v>https://rmda.kulib.kyoto-u.ac.jp/item/rb00004585?page=100</v>
      </c>
      <c r="S62" s="36" t="s">
        <v>416</v>
      </c>
      <c r="T62" s="29" t="s">
        <v>515</v>
      </c>
      <c r="U62" s="37" t="str">
        <f t="shared" si="3"/>
        <v>https://archive.wul.waseda.ac.jp/kosho/ya09/ya09_00955/ya09_00955_0004/ya09_00955_0004.html</v>
      </c>
      <c r="V62" s="47" t="s">
        <v>416</v>
      </c>
      <c r="W62" s="29">
        <v>71</v>
      </c>
      <c r="X62" s="54" t="str">
        <f>HYPERLINK("https://rmda.kulib.kyoto-u.ac.jp/item/rb00004583?page=71")</f>
        <v>https://rmda.kulib.kyoto-u.ac.jp/item/rb00004583?page=71</v>
      </c>
      <c r="Y62" s="36" t="s">
        <v>416</v>
      </c>
      <c r="Z62" s="29">
        <v>130</v>
      </c>
      <c r="AA62" s="37" t="str">
        <f>HYPERLINK("https://rmda.kulib.kyoto-u.ac.jp/item/rb00004592?page=130")</f>
        <v>https://rmda.kulib.kyoto-u.ac.jp/item/rb00004592?page=130</v>
      </c>
      <c r="AB62" s="47" t="s">
        <v>416</v>
      </c>
      <c r="AC62" s="29">
        <v>120</v>
      </c>
      <c r="AD62" s="54" t="str">
        <f>HYPERLINK("https://rmda.kulib.kyoto-u.ac.jp/item/rb00004593?page=120")</f>
        <v>https://rmda.kulib.kyoto-u.ac.jp/item/rb00004593?page=120</v>
      </c>
      <c r="AE62" s="36" t="s">
        <v>416</v>
      </c>
      <c r="AF62" s="29">
        <v>79</v>
      </c>
      <c r="AG62" s="37" t="str">
        <f>HYPERLINK("https://rmda.kulib.kyoto-u.ac.jp/item/rb00008886?page=79")</f>
        <v>https://rmda.kulib.kyoto-u.ac.jp/item/rb00008886?page=79</v>
      </c>
      <c r="AH62" s="47" t="s">
        <v>416</v>
      </c>
      <c r="AI62" s="29"/>
      <c r="AJ62" s="29"/>
      <c r="AK62" s="54"/>
      <c r="AL62" s="36" t="s">
        <v>416</v>
      </c>
      <c r="AM62" s="29"/>
      <c r="AN62" s="37"/>
      <c r="AO62" s="67"/>
      <c r="AP62" s="36" t="s">
        <v>416</v>
      </c>
      <c r="AQ62" s="29">
        <v>23</v>
      </c>
      <c r="AR62" s="29" t="str">
        <f>HYPERLINK("https://www.digital.archives.go.jp/img/4220591/23")</f>
        <v>https://www.digital.archives.go.jp/img/4220591/23</v>
      </c>
      <c r="AS62" s="29"/>
      <c r="AT62" s="37" t="s">
        <v>565</v>
      </c>
      <c r="AU62" s="76">
        <v>280</v>
      </c>
      <c r="AV62" s="77" t="str">
        <f>HYPERLINK("https://dl.ndl.go.jp/ja/pid/12759449/1/280")</f>
        <v>https://dl.ndl.go.jp/ja/pid/12759449/1/280</v>
      </c>
    </row>
    <row r="63" spans="1:48" x14ac:dyDescent="0.15">
      <c r="A63" s="71" t="s">
        <v>417</v>
      </c>
      <c r="B63" s="29">
        <v>39</v>
      </c>
      <c r="C63" s="37" t="str">
        <f>HYPERLINK("https://www.digital.archives.go.jp/img/4106122/39")</f>
        <v>https://www.digital.archives.go.jp/img/4106122/39</v>
      </c>
      <c r="D63" s="43">
        <v>120</v>
      </c>
      <c r="E63" s="37" t="str">
        <f>HYPERLINK("https://kokusho.nijl.ac.jp/biblio/100317365/120")</f>
        <v>https://kokusho.nijl.ac.jp/biblio/100317365/120</v>
      </c>
      <c r="F63" s="43">
        <v>98</v>
      </c>
      <c r="G63" s="37" t="str">
        <f>HYPERLINK("https://kokusho.nijl.ac.jp/biblio/100317364/98")</f>
        <v>https://kokusho.nijl.ac.jp/biblio/100317364/98</v>
      </c>
      <c r="H63" s="43">
        <v>311</v>
      </c>
      <c r="I63" s="38" t="str">
        <f>HYPERLINK("https://kokusho.nijl.ac.jp/biblio/100382563/311")</f>
        <v>https://kokusho.nijl.ac.jp/biblio/100382563/311</v>
      </c>
      <c r="J63" s="43">
        <v>788</v>
      </c>
      <c r="K63" s="37" t="str">
        <f>HYPERLINK("https://rmda.kulib.kyoto-u.ac.jp/item/rb00004597?page=788")</f>
        <v>https://rmda.kulib.kyoto-u.ac.jp/item/rb00004597?page=788</v>
      </c>
      <c r="L63" s="43">
        <v>115</v>
      </c>
      <c r="M63" s="37" t="str">
        <f>HYPERLINK("https://rmda.kulib.kyoto-u.ac.jp/item/rb00004587?page=115")</f>
        <v>https://rmda.kulib.kyoto-u.ac.jp/item/rb00004587?page=115</v>
      </c>
      <c r="N63" s="36" t="s">
        <v>417</v>
      </c>
      <c r="O63" s="29">
        <v>101</v>
      </c>
      <c r="P63" s="37" t="str">
        <f>HYPERLINK("https://rmda.kulib.kyoto-u.ac.jp/item/rb00004585?page=101")</f>
        <v>https://rmda.kulib.kyoto-u.ac.jp/item/rb00004585?page=101</v>
      </c>
      <c r="Q63" s="50" t="s">
        <v>417</v>
      </c>
      <c r="R63" s="54" t="str">
        <f>HYPERLINK("https://rmda.kulib.kyoto-u.ac.jp/item/rb00004585?page=101")</f>
        <v>https://rmda.kulib.kyoto-u.ac.jp/item/rb00004585?page=101</v>
      </c>
      <c r="S63" s="36" t="s">
        <v>417</v>
      </c>
      <c r="T63" s="29" t="s">
        <v>528</v>
      </c>
      <c r="U63" s="37" t="str">
        <f t="shared" si="3"/>
        <v>https://archive.wul.waseda.ac.jp/kosho/ya09/ya09_00955/ya09_00955_0004/ya09_00955_0004.html</v>
      </c>
      <c r="V63" s="47" t="s">
        <v>417</v>
      </c>
      <c r="W63" s="29">
        <v>71</v>
      </c>
      <c r="X63" s="54" t="str">
        <f>HYPERLINK("https://rmda.kulib.kyoto-u.ac.jp/item/rb00004583?page=71")</f>
        <v>https://rmda.kulib.kyoto-u.ac.jp/item/rb00004583?page=71</v>
      </c>
      <c r="Y63" s="36" t="s">
        <v>417</v>
      </c>
      <c r="Z63" s="29">
        <v>132</v>
      </c>
      <c r="AA63" s="37" t="str">
        <f>HYPERLINK("https://rmda.kulib.kyoto-u.ac.jp/item/rb00004592?page=132")</f>
        <v>https://rmda.kulib.kyoto-u.ac.jp/item/rb00004592?page=132</v>
      </c>
      <c r="AB63" s="47" t="s">
        <v>417</v>
      </c>
      <c r="AC63" s="29">
        <v>122</v>
      </c>
      <c r="AD63" s="54" t="str">
        <f>HYPERLINK("https://rmda.kulib.kyoto-u.ac.jp/item/rb00004593?page=122")</f>
        <v>https://rmda.kulib.kyoto-u.ac.jp/item/rb00004593?page=122</v>
      </c>
      <c r="AE63" s="36" t="s">
        <v>417</v>
      </c>
      <c r="AF63" s="29">
        <v>80</v>
      </c>
      <c r="AG63" s="37" t="str">
        <f>HYPERLINK("https://rmda.kulib.kyoto-u.ac.jp/item/rb00008886?page=80")</f>
        <v>https://rmda.kulib.kyoto-u.ac.jp/item/rb00008886?page=80</v>
      </c>
      <c r="AH63" s="47" t="s">
        <v>417</v>
      </c>
      <c r="AI63" s="29"/>
      <c r="AJ63" s="29"/>
      <c r="AK63" s="54"/>
      <c r="AL63" s="36" t="s">
        <v>417</v>
      </c>
      <c r="AM63" s="29"/>
      <c r="AN63" s="37"/>
      <c r="AO63" s="67"/>
      <c r="AP63" s="36" t="s">
        <v>417</v>
      </c>
      <c r="AQ63" s="29">
        <v>26</v>
      </c>
      <c r="AR63" s="29" t="str">
        <f>HYPERLINK("https://www.digital.archives.go.jp/img/4220591/26")</f>
        <v>https://www.digital.archives.go.jp/img/4220591/26</v>
      </c>
      <c r="AS63" s="29"/>
      <c r="AT63" s="37" t="s">
        <v>565</v>
      </c>
      <c r="AU63" s="76">
        <v>281</v>
      </c>
      <c r="AV63" s="77" t="str">
        <f>HYPERLINK("https://dl.ndl.go.jp/ja/pid/12759449/1/281")</f>
        <v>https://dl.ndl.go.jp/ja/pid/12759449/1/281</v>
      </c>
    </row>
    <row r="64" spans="1:48" x14ac:dyDescent="0.15">
      <c r="A64" s="71" t="s">
        <v>418</v>
      </c>
      <c r="B64" s="29">
        <v>40</v>
      </c>
      <c r="C64" s="37" t="str">
        <f>HYPERLINK("https://www.digital.archives.go.jp/img/4106122/40")</f>
        <v>https://www.digital.archives.go.jp/img/4106122/40</v>
      </c>
      <c r="D64" s="43">
        <v>120</v>
      </c>
      <c r="E64" s="37" t="str">
        <f>HYPERLINK("https://kokusho.nijl.ac.jp/biblio/100317365/120")</f>
        <v>https://kokusho.nijl.ac.jp/biblio/100317365/120</v>
      </c>
      <c r="F64" s="43">
        <v>98</v>
      </c>
      <c r="G64" s="37" t="str">
        <f>HYPERLINK("https://kokusho.nijl.ac.jp/biblio/100317364/98")</f>
        <v>https://kokusho.nijl.ac.jp/biblio/100317364/98</v>
      </c>
      <c r="H64" s="43">
        <v>312</v>
      </c>
      <c r="I64" s="38" t="str">
        <f>HYPERLINK("https://kokusho.nijl.ac.jp/biblio/100382563/312")</f>
        <v>https://kokusho.nijl.ac.jp/biblio/100382563/312</v>
      </c>
      <c r="J64" s="43">
        <v>790</v>
      </c>
      <c r="K64" s="37" t="str">
        <f>HYPERLINK("https://rmda.kulib.kyoto-u.ac.jp/item/rb00004597?page=790")</f>
        <v>https://rmda.kulib.kyoto-u.ac.jp/item/rb00004597?page=790</v>
      </c>
      <c r="L64" s="43">
        <v>115</v>
      </c>
      <c r="M64" s="37" t="str">
        <f>HYPERLINK("https://rmda.kulib.kyoto-u.ac.jp/item/rb00004587?page=115")</f>
        <v>https://rmda.kulib.kyoto-u.ac.jp/item/rb00004587?page=115</v>
      </c>
      <c r="N64" s="36" t="s">
        <v>418</v>
      </c>
      <c r="O64" s="29">
        <v>102</v>
      </c>
      <c r="P64" s="37" t="str">
        <f>HYPERLINK("https://rmda.kulib.kyoto-u.ac.jp/item/rb00004585?page=102")</f>
        <v>https://rmda.kulib.kyoto-u.ac.jp/item/rb00004585?page=102</v>
      </c>
      <c r="Q64" s="50" t="s">
        <v>418</v>
      </c>
      <c r="R64" s="54" t="str">
        <f>HYPERLINK("https://rmda.kulib.kyoto-u.ac.jp/item/rb00004585?page=102")</f>
        <v>https://rmda.kulib.kyoto-u.ac.jp/item/rb00004585?page=102</v>
      </c>
      <c r="S64" s="36" t="s">
        <v>418</v>
      </c>
      <c r="T64" s="29" t="s">
        <v>549</v>
      </c>
      <c r="U64" s="37" t="str">
        <f t="shared" si="3"/>
        <v>https://archive.wul.waseda.ac.jp/kosho/ya09/ya09_00955/ya09_00955_0004/ya09_00955_0004.html</v>
      </c>
      <c r="V64" s="47" t="s">
        <v>418</v>
      </c>
      <c r="W64" s="29">
        <v>72</v>
      </c>
      <c r="X64" s="54" t="str">
        <f>HYPERLINK("https://rmda.kulib.kyoto-u.ac.jp/item/rb00004583?page=72")</f>
        <v>https://rmda.kulib.kyoto-u.ac.jp/item/rb00004583?page=72</v>
      </c>
      <c r="Y64" s="36" t="s">
        <v>418</v>
      </c>
      <c r="Z64" s="29">
        <v>133</v>
      </c>
      <c r="AA64" s="37" t="str">
        <f>HYPERLINK("https://rmda.kulib.kyoto-u.ac.jp/item/rb00004592?page=133")</f>
        <v>https://rmda.kulib.kyoto-u.ac.jp/item/rb00004592?page=133</v>
      </c>
      <c r="AB64" s="47" t="s">
        <v>418</v>
      </c>
      <c r="AC64" s="29">
        <v>123</v>
      </c>
      <c r="AD64" s="54" t="str">
        <f>HYPERLINK("https://rmda.kulib.kyoto-u.ac.jp/item/rb00004593?page=123")</f>
        <v>https://rmda.kulib.kyoto-u.ac.jp/item/rb00004593?page=123</v>
      </c>
      <c r="AE64" s="36" t="s">
        <v>418</v>
      </c>
      <c r="AF64" s="29">
        <v>81</v>
      </c>
      <c r="AG64" s="37" t="str">
        <f>HYPERLINK("https://rmda.kulib.kyoto-u.ac.jp/item/rb00008886?page=81")</f>
        <v>https://rmda.kulib.kyoto-u.ac.jp/item/rb00008886?page=81</v>
      </c>
      <c r="AH64" s="47" t="s">
        <v>418</v>
      </c>
      <c r="AI64" s="29"/>
      <c r="AJ64" s="29"/>
      <c r="AK64" s="54"/>
      <c r="AL64" s="36" t="s">
        <v>418</v>
      </c>
      <c r="AM64" s="29"/>
      <c r="AN64" s="37"/>
      <c r="AO64" s="67"/>
      <c r="AP64" s="36" t="s">
        <v>418</v>
      </c>
      <c r="AQ64" s="29">
        <v>27</v>
      </c>
      <c r="AR64" s="29" t="str">
        <f>HYPERLINK("https://www.digital.archives.go.jp/img/4220591/27")</f>
        <v>https://www.digital.archives.go.jp/img/4220591/27</v>
      </c>
      <c r="AS64" s="29"/>
      <c r="AT64" s="37" t="s">
        <v>565</v>
      </c>
      <c r="AU64" s="76">
        <v>281</v>
      </c>
      <c r="AV64" s="77" t="str">
        <f>HYPERLINK("https://dl.ndl.go.jp/ja/pid/12759449/1/281")</f>
        <v>https://dl.ndl.go.jp/ja/pid/12759449/1/281</v>
      </c>
    </row>
    <row r="65" spans="1:48" x14ac:dyDescent="0.15">
      <c r="A65" s="71" t="s">
        <v>419</v>
      </c>
      <c r="B65" s="29">
        <v>2</v>
      </c>
      <c r="C65" s="38" t="str">
        <f>HYPERLINK("https://www.digital.archives.go.jp/img/4106962/2")</f>
        <v>https://www.digital.archives.go.jp/img/4106962/2</v>
      </c>
      <c r="D65" s="43">
        <v>121</v>
      </c>
      <c r="E65" s="37" t="str">
        <f>HYPERLINK("https://kokusho.nijl.ac.jp/biblio/100317365/121")</f>
        <v>https://kokusho.nijl.ac.jp/biblio/100317365/121</v>
      </c>
      <c r="F65" s="43">
        <v>98</v>
      </c>
      <c r="G65" s="37" t="str">
        <f>HYPERLINK("https://kokusho.nijl.ac.jp/biblio/100317364/98")</f>
        <v>https://kokusho.nijl.ac.jp/biblio/100317364/98</v>
      </c>
      <c r="H65" s="43">
        <v>313</v>
      </c>
      <c r="I65" s="38" t="str">
        <f>HYPERLINK("https://kokusho.nijl.ac.jp/biblio/100382563/313")</f>
        <v>https://kokusho.nijl.ac.jp/biblio/100382563/313</v>
      </c>
      <c r="J65" s="43">
        <v>794</v>
      </c>
      <c r="K65" s="37" t="str">
        <f>HYPERLINK("https://rmda.kulib.kyoto-u.ac.jp/item/rb00004597?page=794")</f>
        <v>https://rmda.kulib.kyoto-u.ac.jp/item/rb00004597?page=794</v>
      </c>
      <c r="L65" s="43">
        <v>116</v>
      </c>
      <c r="M65" s="37" t="str">
        <f>HYPERLINK("https://rmda.kulib.kyoto-u.ac.jp/item/rb00004587?page=116")</f>
        <v>https://rmda.kulib.kyoto-u.ac.jp/item/rb00004587?page=116</v>
      </c>
      <c r="N65" s="36" t="s">
        <v>419</v>
      </c>
      <c r="O65" s="29">
        <v>102</v>
      </c>
      <c r="P65" s="37" t="str">
        <f>HYPERLINK("https://rmda.kulib.kyoto-u.ac.jp/item/rb00004585?page=102")</f>
        <v>https://rmda.kulib.kyoto-u.ac.jp/item/rb00004585?page=102</v>
      </c>
      <c r="Q65" s="50" t="s">
        <v>419</v>
      </c>
      <c r="R65" s="54" t="str">
        <f>HYPERLINK("https://rmda.kulib.kyoto-u.ac.jp/item/rb00004585?page=102")</f>
        <v>https://rmda.kulib.kyoto-u.ac.jp/item/rb00004585?page=102</v>
      </c>
      <c r="S65" s="36" t="s">
        <v>419</v>
      </c>
      <c r="T65" s="29" t="s">
        <v>518</v>
      </c>
      <c r="U65" s="37" t="str">
        <f t="shared" ref="U65:U83" si="4">HYPERLINK("https://archive.wul.waseda.ac.jp/kosho/ya09/ya09_00955/ya09_00955_0005/ya09_00955_0005.html")</f>
        <v>https://archive.wul.waseda.ac.jp/kosho/ya09/ya09_00955/ya09_00955_0005/ya09_00955_0005.html</v>
      </c>
      <c r="V65" s="47" t="s">
        <v>419</v>
      </c>
      <c r="W65" s="29">
        <v>72</v>
      </c>
      <c r="X65" s="54" t="str">
        <f>HYPERLINK("https://rmda.kulib.kyoto-u.ac.jp/item/rb00004583?page=72")</f>
        <v>https://rmda.kulib.kyoto-u.ac.jp/item/rb00004583?page=72</v>
      </c>
      <c r="Y65" s="36" t="s">
        <v>419</v>
      </c>
      <c r="Z65" s="29">
        <v>134</v>
      </c>
      <c r="AA65" s="37" t="str">
        <f>HYPERLINK("https://rmda.kulib.kyoto-u.ac.jp/item/rb00004592?page=134")</f>
        <v>https://rmda.kulib.kyoto-u.ac.jp/item/rb00004592?page=134</v>
      </c>
      <c r="AB65" s="47" t="s">
        <v>419</v>
      </c>
      <c r="AC65" s="29">
        <v>124</v>
      </c>
      <c r="AD65" s="54" t="str">
        <f>HYPERLINK("https://rmda.kulib.kyoto-u.ac.jp/item/rb00004593?page=124")</f>
        <v>https://rmda.kulib.kyoto-u.ac.jp/item/rb00004593?page=124</v>
      </c>
      <c r="AE65" s="36" t="s">
        <v>419</v>
      </c>
      <c r="AF65" s="29">
        <v>81</v>
      </c>
      <c r="AG65" s="37" t="str">
        <f>HYPERLINK("https://rmda.kulib.kyoto-u.ac.jp/item/rb00008886?page=81")</f>
        <v>https://rmda.kulib.kyoto-u.ac.jp/item/rb00008886?page=81</v>
      </c>
      <c r="AH65" s="47" t="s">
        <v>419</v>
      </c>
      <c r="AI65" s="29"/>
      <c r="AJ65" s="29"/>
      <c r="AK65" s="54"/>
      <c r="AL65" s="36" t="s">
        <v>419</v>
      </c>
      <c r="AM65" s="29"/>
      <c r="AN65" s="37"/>
      <c r="AO65" s="67"/>
      <c r="AP65" s="36" t="s">
        <v>419</v>
      </c>
      <c r="AQ65" s="29">
        <v>29</v>
      </c>
      <c r="AR65" s="29" t="str">
        <f>HYPERLINK("https://www.digital.archives.go.jp/img/4220591/29")</f>
        <v>https://www.digital.archives.go.jp/img/4220591/29</v>
      </c>
      <c r="AS65" s="29"/>
      <c r="AT65" s="37" t="s">
        <v>565</v>
      </c>
      <c r="AU65" s="76">
        <v>281</v>
      </c>
      <c r="AV65" s="77" t="str">
        <f>HYPERLINK("https://dl.ndl.go.jp/ja/pid/12759449/1/281")</f>
        <v>https://dl.ndl.go.jp/ja/pid/12759449/1/281</v>
      </c>
    </row>
    <row r="66" spans="1:48" x14ac:dyDescent="0.15">
      <c r="A66" s="71" t="s">
        <v>420</v>
      </c>
      <c r="B66" s="29">
        <v>3</v>
      </c>
      <c r="C66" s="37" t="str">
        <f>HYPERLINK("https://www.digital.archives.go.jp/img/4106962/3")</f>
        <v>https://www.digital.archives.go.jp/img/4106962/3</v>
      </c>
      <c r="D66" s="43">
        <v>122</v>
      </c>
      <c r="E66" s="37" t="str">
        <f>HYPERLINK("https://kokusho.nijl.ac.jp/biblio/100317365/122")</f>
        <v>https://kokusho.nijl.ac.jp/biblio/100317365/122</v>
      </c>
      <c r="F66" s="43">
        <v>99</v>
      </c>
      <c r="G66" s="37" t="str">
        <f>HYPERLINK("https://kokusho.nijl.ac.jp/biblio/100317364/99")</f>
        <v>https://kokusho.nijl.ac.jp/biblio/100317364/99</v>
      </c>
      <c r="H66" s="43">
        <v>316</v>
      </c>
      <c r="I66" s="38" t="str">
        <f>HYPERLINK("https://kokusho.nijl.ac.jp/biblio/100382563/316")</f>
        <v>https://kokusho.nijl.ac.jp/biblio/100382563/316</v>
      </c>
      <c r="J66" s="43">
        <v>798</v>
      </c>
      <c r="K66" s="37" t="str">
        <f>HYPERLINK("https://rmda.kulib.kyoto-u.ac.jp/item/rb00004597?page=798")</f>
        <v>https://rmda.kulib.kyoto-u.ac.jp/item/rb00004597?page=798</v>
      </c>
      <c r="L66" s="43">
        <v>117</v>
      </c>
      <c r="M66" s="37" t="str">
        <f>HYPERLINK("https://rmda.kulib.kyoto-u.ac.jp/item/rb00004587?page=117")</f>
        <v>https://rmda.kulib.kyoto-u.ac.jp/item/rb00004587?page=117</v>
      </c>
      <c r="N66" s="36" t="s">
        <v>420</v>
      </c>
      <c r="O66" s="29">
        <v>103</v>
      </c>
      <c r="P66" s="37" t="str">
        <f>HYPERLINK("https://rmda.kulib.kyoto-u.ac.jp/item/rb00004585?page=103")</f>
        <v>https://rmda.kulib.kyoto-u.ac.jp/item/rb00004585?page=103</v>
      </c>
      <c r="Q66" s="50" t="s">
        <v>420</v>
      </c>
      <c r="R66" s="54" t="str">
        <f>HYPERLINK("https://rmda.kulib.kyoto-u.ac.jp/item/rb00004585?page=103")</f>
        <v>https://rmda.kulib.kyoto-u.ac.jp/item/rb00004585?page=103</v>
      </c>
      <c r="S66" s="36" t="s">
        <v>420</v>
      </c>
      <c r="T66" s="29" t="s">
        <v>519</v>
      </c>
      <c r="U66" s="37" t="str">
        <f t="shared" si="4"/>
        <v>https://archive.wul.waseda.ac.jp/kosho/ya09/ya09_00955/ya09_00955_0005/ya09_00955_0005.html</v>
      </c>
      <c r="V66" s="47" t="s">
        <v>420</v>
      </c>
      <c r="W66" s="29">
        <v>73</v>
      </c>
      <c r="X66" s="54" t="str">
        <f>HYPERLINK("https://rmda.kulib.kyoto-u.ac.jp/item/rb00004583?page=73")</f>
        <v>https://rmda.kulib.kyoto-u.ac.jp/item/rb00004583?page=73</v>
      </c>
      <c r="Y66" s="36" t="s">
        <v>420</v>
      </c>
      <c r="Z66" s="29">
        <v>135</v>
      </c>
      <c r="AA66" s="37" t="str">
        <f>HYPERLINK("https://rmda.kulib.kyoto-u.ac.jp/item/rb00004592?page=135")</f>
        <v>https://rmda.kulib.kyoto-u.ac.jp/item/rb00004592?page=135</v>
      </c>
      <c r="AB66" s="47" t="s">
        <v>420</v>
      </c>
      <c r="AC66" s="29">
        <v>125</v>
      </c>
      <c r="AD66" s="54" t="str">
        <f>HYPERLINK("https://rmda.kulib.kyoto-u.ac.jp/item/rb00004593?page=125")</f>
        <v>https://rmda.kulib.kyoto-u.ac.jp/item/rb00004593?page=125</v>
      </c>
      <c r="AE66" s="36" t="s">
        <v>420</v>
      </c>
      <c r="AF66" s="29">
        <v>82</v>
      </c>
      <c r="AG66" s="37" t="str">
        <f>HYPERLINK("https://rmda.kulib.kyoto-u.ac.jp/item/rb00008886?page=82")</f>
        <v>https://rmda.kulib.kyoto-u.ac.jp/item/rb00008886?page=82</v>
      </c>
      <c r="AH66" s="47" t="s">
        <v>420</v>
      </c>
      <c r="AI66" s="29"/>
      <c r="AJ66" s="29"/>
      <c r="AK66" s="54"/>
      <c r="AL66" s="36" t="s">
        <v>420</v>
      </c>
      <c r="AM66" s="29"/>
      <c r="AN66" s="37"/>
      <c r="AO66" s="67"/>
      <c r="AP66" s="36" t="s">
        <v>420</v>
      </c>
      <c r="AQ66" s="29">
        <v>33</v>
      </c>
      <c r="AR66" s="29" t="str">
        <f>HYPERLINK("https://www.digital.archives.go.jp/img/4220591/33")</f>
        <v>https://www.digital.archives.go.jp/img/4220591/33</v>
      </c>
      <c r="AS66" s="29"/>
      <c r="AT66" s="37" t="s">
        <v>565</v>
      </c>
      <c r="AU66" s="76">
        <v>282</v>
      </c>
      <c r="AV66" s="77" t="str">
        <f>HYPERLINK("https://dl.ndl.go.jp/ja/pid/12759449/1/282")</f>
        <v>https://dl.ndl.go.jp/ja/pid/12759449/1/282</v>
      </c>
    </row>
    <row r="67" spans="1:48" x14ac:dyDescent="0.15">
      <c r="A67" s="71" t="s">
        <v>421</v>
      </c>
      <c r="B67" s="29">
        <v>3</v>
      </c>
      <c r="C67" s="37" t="str">
        <f>HYPERLINK("https://www.digital.archives.go.jp/img/4106962/3")</f>
        <v>https://www.digital.archives.go.jp/img/4106962/3</v>
      </c>
      <c r="D67" s="43">
        <v>122</v>
      </c>
      <c r="E67" s="37" t="str">
        <f>HYPERLINK("https://kokusho.nijl.ac.jp/biblio/100317365/122")</f>
        <v>https://kokusho.nijl.ac.jp/biblio/100317365/122</v>
      </c>
      <c r="F67" s="43">
        <v>99</v>
      </c>
      <c r="G67" s="37" t="str">
        <f>HYPERLINK("https://kokusho.nijl.ac.jp/biblio/100317364/99")</f>
        <v>https://kokusho.nijl.ac.jp/biblio/100317364/99</v>
      </c>
      <c r="H67" s="43">
        <v>316</v>
      </c>
      <c r="I67" s="38" t="str">
        <f>HYPERLINK("https://kokusho.nijl.ac.jp/biblio/100382563/316")</f>
        <v>https://kokusho.nijl.ac.jp/biblio/100382563/316</v>
      </c>
      <c r="J67" s="43">
        <v>800</v>
      </c>
      <c r="K67" s="37" t="str">
        <f>HYPERLINK("https://rmda.kulib.kyoto-u.ac.jp/item/rb00004597?page=800")</f>
        <v>https://rmda.kulib.kyoto-u.ac.jp/item/rb00004597?page=800</v>
      </c>
      <c r="L67" s="43">
        <v>117</v>
      </c>
      <c r="M67" s="37" t="str">
        <f>HYPERLINK("https://rmda.kulib.kyoto-u.ac.jp/item/rb00004587?page=117")</f>
        <v>https://rmda.kulib.kyoto-u.ac.jp/item/rb00004587?page=117</v>
      </c>
      <c r="N67" s="36" t="s">
        <v>421</v>
      </c>
      <c r="O67" s="29">
        <v>104</v>
      </c>
      <c r="P67" s="37" t="str">
        <f>HYPERLINK("https://rmda.kulib.kyoto-u.ac.jp/item/rb00004585?page=104")</f>
        <v>https://rmda.kulib.kyoto-u.ac.jp/item/rb00004585?page=104</v>
      </c>
      <c r="Q67" s="50" t="s">
        <v>421</v>
      </c>
      <c r="R67" s="54" t="str">
        <f>HYPERLINK("https://rmda.kulib.kyoto-u.ac.jp/item/rb00004585?page=104")</f>
        <v>https://rmda.kulib.kyoto-u.ac.jp/item/rb00004585?page=104</v>
      </c>
      <c r="S67" s="36" t="s">
        <v>421</v>
      </c>
      <c r="T67" s="29" t="s">
        <v>518</v>
      </c>
      <c r="U67" s="37" t="str">
        <f t="shared" si="4"/>
        <v>https://archive.wul.waseda.ac.jp/kosho/ya09/ya09_00955/ya09_00955_0005/ya09_00955_0005.html</v>
      </c>
      <c r="V67" s="47" t="s">
        <v>421</v>
      </c>
      <c r="W67" s="29">
        <v>73</v>
      </c>
      <c r="X67" s="54" t="str">
        <f>HYPERLINK("https://rmda.kulib.kyoto-u.ac.jp/item/rb00004583?page=73")</f>
        <v>https://rmda.kulib.kyoto-u.ac.jp/item/rb00004583?page=73</v>
      </c>
      <c r="Y67" s="36" t="s">
        <v>421</v>
      </c>
      <c r="Z67" s="29">
        <v>137</v>
      </c>
      <c r="AA67" s="37" t="str">
        <f>HYPERLINK("https://rmda.kulib.kyoto-u.ac.jp/item/rb00004592?page=137")</f>
        <v>https://rmda.kulib.kyoto-u.ac.jp/item/rb00004592?page=137</v>
      </c>
      <c r="AB67" s="47" t="s">
        <v>421</v>
      </c>
      <c r="AC67" s="29">
        <v>126</v>
      </c>
      <c r="AD67" s="54" t="str">
        <f>HYPERLINK("https://rmda.kulib.kyoto-u.ac.jp/item/rb00004593?page=126")</f>
        <v>https://rmda.kulib.kyoto-u.ac.jp/item/rb00004593?page=126</v>
      </c>
      <c r="AE67" s="36" t="s">
        <v>421</v>
      </c>
      <c r="AF67" s="29">
        <v>82</v>
      </c>
      <c r="AG67" s="37" t="str">
        <f>HYPERLINK("https://rmda.kulib.kyoto-u.ac.jp/item/rb00008886?page=82")</f>
        <v>https://rmda.kulib.kyoto-u.ac.jp/item/rb00008886?page=82</v>
      </c>
      <c r="AH67" s="47" t="s">
        <v>421</v>
      </c>
      <c r="AI67" s="29"/>
      <c r="AJ67" s="29"/>
      <c r="AK67" s="54"/>
      <c r="AL67" s="36" t="s">
        <v>421</v>
      </c>
      <c r="AM67" s="29"/>
      <c r="AN67" s="37"/>
      <c r="AO67" s="67"/>
      <c r="AP67" s="36" t="s">
        <v>421</v>
      </c>
      <c r="AQ67" s="29">
        <v>35</v>
      </c>
      <c r="AR67" s="29" t="str">
        <f>HYPERLINK("https://www.digital.archives.go.jp/img/4220591/35")</f>
        <v>https://www.digital.archives.go.jp/img/4220591/35</v>
      </c>
      <c r="AS67" s="29"/>
      <c r="AT67" s="37" t="s">
        <v>565</v>
      </c>
      <c r="AU67" s="76">
        <v>282</v>
      </c>
      <c r="AV67" s="77" t="str">
        <f>HYPERLINK("https://dl.ndl.go.jp/ja/pid/12759449/1/282")</f>
        <v>https://dl.ndl.go.jp/ja/pid/12759449/1/282</v>
      </c>
    </row>
    <row r="68" spans="1:48" x14ac:dyDescent="0.15">
      <c r="A68" s="71" t="s">
        <v>422</v>
      </c>
      <c r="B68" s="29">
        <v>11</v>
      </c>
      <c r="C68" s="37" t="str">
        <f>HYPERLINK("https://www.digital.archives.go.jp/img/4106962/11")</f>
        <v>https://www.digital.archives.go.jp/img/4106962/11</v>
      </c>
      <c r="D68" s="43">
        <v>124</v>
      </c>
      <c r="E68" s="37" t="str">
        <f>HYPERLINK("https://kokusho.nijl.ac.jp/biblio/100317365/124")</f>
        <v>https://kokusho.nijl.ac.jp/biblio/100317365/124</v>
      </c>
      <c r="F68" s="43">
        <v>101</v>
      </c>
      <c r="G68" s="37" t="str">
        <f>HYPERLINK("https://kokusho.nijl.ac.jp/biblio/100317364/101")</f>
        <v>https://kokusho.nijl.ac.jp/biblio/100317364/101</v>
      </c>
      <c r="H68" s="43">
        <v>322</v>
      </c>
      <c r="I68" s="38" t="str">
        <f>HYPERLINK("https://kokusho.nijl.ac.jp/biblio/100382563/322")</f>
        <v>https://kokusho.nijl.ac.jp/biblio/100382563/322</v>
      </c>
      <c r="J68" s="43">
        <v>812</v>
      </c>
      <c r="K68" s="37" t="str">
        <f>HYPERLINK("https://rmda.kulib.kyoto-u.ac.jp/item/rb00004597?page=812")</f>
        <v>https://rmda.kulib.kyoto-u.ac.jp/item/rb00004597?page=812</v>
      </c>
      <c r="L68" s="43">
        <v>119</v>
      </c>
      <c r="M68" s="37" t="str">
        <f>HYPERLINK("https://rmda.kulib.kyoto-u.ac.jp/item/rb00004587?page=119")</f>
        <v>https://rmda.kulib.kyoto-u.ac.jp/item/rb00004587?page=119</v>
      </c>
      <c r="N68" s="36" t="s">
        <v>422</v>
      </c>
      <c r="O68" s="29">
        <v>107</v>
      </c>
      <c r="P68" s="37" t="str">
        <f>HYPERLINK("https://rmda.kulib.kyoto-u.ac.jp/item/rb00004585?page=107")</f>
        <v>https://rmda.kulib.kyoto-u.ac.jp/item/rb00004585?page=107</v>
      </c>
      <c r="Q68" s="50" t="s">
        <v>423</v>
      </c>
      <c r="R68" s="54" t="str">
        <f>HYPERLINK("https://rmda.kulib.kyoto-u.ac.jp/item/rb00004585?page=108")</f>
        <v>https://rmda.kulib.kyoto-u.ac.jp/item/rb00004585?page=108</v>
      </c>
      <c r="S68" s="36" t="s">
        <v>422</v>
      </c>
      <c r="T68" s="29" t="s">
        <v>550</v>
      </c>
      <c r="U68" s="37" t="str">
        <f t="shared" si="4"/>
        <v>https://archive.wul.waseda.ac.jp/kosho/ya09/ya09_00955/ya09_00955_0005/ya09_00955_0005.html</v>
      </c>
      <c r="V68" s="47" t="s">
        <v>422</v>
      </c>
      <c r="W68" s="29">
        <v>75</v>
      </c>
      <c r="X68" s="54" t="str">
        <f>HYPERLINK("https://rmda.kulib.kyoto-u.ac.jp/item/rb00004583?page=75")</f>
        <v>https://rmda.kulib.kyoto-u.ac.jp/item/rb00004583?page=75</v>
      </c>
      <c r="Y68" s="36" t="s">
        <v>422</v>
      </c>
      <c r="Z68" s="29">
        <v>139</v>
      </c>
      <c r="AA68" s="37" t="str">
        <f>HYPERLINK("https://rmda.kulib.kyoto-u.ac.jp/item/rb00004592?page=139")</f>
        <v>https://rmda.kulib.kyoto-u.ac.jp/item/rb00004592?page=139</v>
      </c>
      <c r="AB68" s="47" t="s">
        <v>422</v>
      </c>
      <c r="AC68" s="29">
        <v>128</v>
      </c>
      <c r="AD68" s="54" t="str">
        <f>HYPERLINK("https://rmda.kulib.kyoto-u.ac.jp/item/rb00004593?page=128")</f>
        <v>https://rmda.kulib.kyoto-u.ac.jp/item/rb00004593?page=128</v>
      </c>
      <c r="AE68" s="36" t="s">
        <v>422</v>
      </c>
      <c r="AF68" s="29">
        <v>83</v>
      </c>
      <c r="AG68" s="37" t="str">
        <f>HYPERLINK("https://rmda.kulib.kyoto-u.ac.jp/item/rb00008886?page=83")</f>
        <v>https://rmda.kulib.kyoto-u.ac.jp/item/rb00008886?page=83</v>
      </c>
      <c r="AH68" s="47" t="s">
        <v>422</v>
      </c>
      <c r="AI68" s="29">
        <v>109</v>
      </c>
      <c r="AJ68" s="27" t="str">
        <f>HYPERLINK("https://rmda.kulib.kyoto-u.ac.jp/item/rb00008886?page=109")</f>
        <v>https://rmda.kulib.kyoto-u.ac.jp/item/rb00008886?page=109</v>
      </c>
      <c r="AK68" s="54" t="s">
        <v>572</v>
      </c>
      <c r="AL68" s="36" t="s">
        <v>422</v>
      </c>
      <c r="AM68" s="29">
        <v>16</v>
      </c>
      <c r="AN68" s="38" t="str">
        <f>HYPERLINK("https://rmda.kulib.kyoto-u.ac.jp/item/rb00011986?page=16")</f>
        <v>https://rmda.kulib.kyoto-u.ac.jp/item/rb00011986?page=16</v>
      </c>
      <c r="AO68" s="67"/>
      <c r="AP68" s="36" t="s">
        <v>422</v>
      </c>
      <c r="AQ68" s="29">
        <v>41</v>
      </c>
      <c r="AR68" s="29" t="str">
        <f>HYPERLINK("https://www.digital.archives.go.jp/img/4220591/41")</f>
        <v>https://www.digital.archives.go.jp/img/4220591/41</v>
      </c>
      <c r="AS68" s="29">
        <v>29</v>
      </c>
      <c r="AT68" s="38" t="str">
        <f>HYPERLINK("https://www.digital.archives.go.jp/img/4218747/29")</f>
        <v>https://www.digital.archives.go.jp/img/4218747/29</v>
      </c>
      <c r="AU68" s="76">
        <v>283</v>
      </c>
      <c r="AV68" s="77" t="str">
        <f>HYPERLINK("https://dl.ndl.go.jp/ja/pid/12759449/1/283")</f>
        <v>https://dl.ndl.go.jp/ja/pid/12759449/1/283</v>
      </c>
    </row>
    <row r="69" spans="1:48" x14ac:dyDescent="0.15">
      <c r="A69" s="71" t="s">
        <v>423</v>
      </c>
      <c r="B69" s="29">
        <v>12</v>
      </c>
      <c r="C69" s="37" t="str">
        <f>HYPERLINK("https://www.digital.archives.go.jp/img/4106962/12")</f>
        <v>https://www.digital.archives.go.jp/img/4106962/12</v>
      </c>
      <c r="D69" s="43">
        <v>125</v>
      </c>
      <c r="E69" s="37" t="str">
        <f>HYPERLINK("https://kokusho.nijl.ac.jp/biblio/100317365/125")</f>
        <v>https://kokusho.nijl.ac.jp/biblio/100317365/125</v>
      </c>
      <c r="F69" s="43">
        <v>101</v>
      </c>
      <c r="G69" s="37" t="str">
        <f>HYPERLINK("https://kokusho.nijl.ac.jp/biblio/100317364/101")</f>
        <v>https://kokusho.nijl.ac.jp/biblio/100317364/101</v>
      </c>
      <c r="H69" s="43">
        <v>323</v>
      </c>
      <c r="I69" s="38" t="str">
        <f>HYPERLINK("https://kokusho.nijl.ac.jp/biblio/100382563/323")</f>
        <v>https://kokusho.nijl.ac.jp/biblio/100382563/323</v>
      </c>
      <c r="J69" s="43">
        <v>817</v>
      </c>
      <c r="K69" s="37" t="str">
        <f>HYPERLINK("https://rmda.kulib.kyoto-u.ac.jp/item/rb00004597?page=817")</f>
        <v>https://rmda.kulib.kyoto-u.ac.jp/item/rb00004597?page=817</v>
      </c>
      <c r="L69" s="43">
        <v>120</v>
      </c>
      <c r="M69" s="37" t="str">
        <f>HYPERLINK("https://rmda.kulib.kyoto-u.ac.jp/item/rb00004587?page=120")</f>
        <v>https://rmda.kulib.kyoto-u.ac.jp/item/rb00004587?page=120</v>
      </c>
      <c r="N69" s="36" t="s">
        <v>423</v>
      </c>
      <c r="O69" s="29">
        <v>108</v>
      </c>
      <c r="P69" s="37" t="str">
        <f>HYPERLINK("https://rmda.kulib.kyoto-u.ac.jp/item/rb00004585?page=108")</f>
        <v>https://rmda.kulib.kyoto-u.ac.jp/item/rb00004585?page=108</v>
      </c>
      <c r="Q69" s="50" t="s">
        <v>428</v>
      </c>
      <c r="R69" s="54" t="str">
        <f>HYPERLINK("https://rmda.kulib.kyoto-u.ac.jp/item/rb00004585?page=107")</f>
        <v>https://rmda.kulib.kyoto-u.ac.jp/item/rb00004585?page=107</v>
      </c>
      <c r="S69" s="36" t="s">
        <v>423</v>
      </c>
      <c r="T69" s="29" t="s">
        <v>535</v>
      </c>
      <c r="U69" s="37" t="str">
        <f t="shared" si="4"/>
        <v>https://archive.wul.waseda.ac.jp/kosho/ya09/ya09_00955/ya09_00955_0005/ya09_00955_0005.html</v>
      </c>
      <c r="V69" s="47" t="s">
        <v>423</v>
      </c>
      <c r="W69" s="29">
        <v>75</v>
      </c>
      <c r="X69" s="54" t="str">
        <f>HYPERLINK("https://rmda.kulib.kyoto-u.ac.jp/item/rb00004583?page=75")</f>
        <v>https://rmda.kulib.kyoto-u.ac.jp/item/rb00004583?page=75</v>
      </c>
      <c r="Y69" s="36" t="s">
        <v>423</v>
      </c>
      <c r="Z69" s="29">
        <v>140</v>
      </c>
      <c r="AA69" s="37" t="str">
        <f>HYPERLINK("https://rmda.kulib.kyoto-u.ac.jp/item/rb00004592?page=140")</f>
        <v>https://rmda.kulib.kyoto-u.ac.jp/item/rb00004592?page=140</v>
      </c>
      <c r="AB69" s="47" t="s">
        <v>423</v>
      </c>
      <c r="AC69" s="29">
        <v>129</v>
      </c>
      <c r="AD69" s="54" t="str">
        <f>HYPERLINK("https://rmda.kulib.kyoto-u.ac.jp/item/rb00004593?page=129")</f>
        <v>https://rmda.kulib.kyoto-u.ac.jp/item/rb00004593?page=129</v>
      </c>
      <c r="AE69" s="36" t="s">
        <v>423</v>
      </c>
      <c r="AF69" s="29">
        <v>83</v>
      </c>
      <c r="AG69" s="37" t="str">
        <f>HYPERLINK("https://rmda.kulib.kyoto-u.ac.jp/item/rb00008886?page=83")</f>
        <v>https://rmda.kulib.kyoto-u.ac.jp/item/rb00008886?page=83</v>
      </c>
      <c r="AH69" s="47" t="s">
        <v>423</v>
      </c>
      <c r="AI69" s="29">
        <v>109</v>
      </c>
      <c r="AJ69" s="27" t="str">
        <f>HYPERLINK("https://rmda.kulib.kyoto-u.ac.jp/item/rb00008886?page=109")</f>
        <v>https://rmda.kulib.kyoto-u.ac.jp/item/rb00008886?page=109</v>
      </c>
      <c r="AK69" s="65" t="str">
        <f>HYPERLINK("https://rmda.kulib.kyoto-u.ac.jp/item/rb00008886?page=113")</f>
        <v>https://rmda.kulib.kyoto-u.ac.jp/item/rb00008886?page=113</v>
      </c>
      <c r="AL69" s="36" t="s">
        <v>423</v>
      </c>
      <c r="AM69" s="29">
        <v>16</v>
      </c>
      <c r="AN69" s="38" t="str">
        <f>HYPERLINK("https://rmda.kulib.kyoto-u.ac.jp/item/rb00011986?page=16")</f>
        <v>https://rmda.kulib.kyoto-u.ac.jp/item/rb00011986?page=16</v>
      </c>
      <c r="AO69" s="68" t="str">
        <f>HYPERLINK("https://rmda.kulib.kyoto-u.ac.jp/item/rb00011986?page=20")</f>
        <v>https://rmda.kulib.kyoto-u.ac.jp/item/rb00011986?page=20</v>
      </c>
      <c r="AP69" s="36" t="s">
        <v>423</v>
      </c>
      <c r="AQ69" s="29">
        <v>43</v>
      </c>
      <c r="AR69" s="29" t="str">
        <f>HYPERLINK("https://www.digital.archives.go.jp/img/4220591/43")</f>
        <v>https://www.digital.archives.go.jp/img/4220591/43</v>
      </c>
      <c r="AS69" s="29"/>
      <c r="AT69" s="37" t="s">
        <v>565</v>
      </c>
      <c r="AU69" s="76">
        <v>284</v>
      </c>
      <c r="AV69" s="77" t="str">
        <f>HYPERLINK("https://dl.ndl.go.jp/ja/pid/12759449/1/284")</f>
        <v>https://dl.ndl.go.jp/ja/pid/12759449/1/284</v>
      </c>
    </row>
    <row r="70" spans="1:48" x14ac:dyDescent="0.15">
      <c r="A70" s="71" t="s">
        <v>424</v>
      </c>
      <c r="B70" s="29">
        <v>14</v>
      </c>
      <c r="C70" s="37" t="str">
        <f>HYPERLINK("https://www.digital.archives.go.jp/img/4106962/14")</f>
        <v>https://www.digital.archives.go.jp/img/4106962/14</v>
      </c>
      <c r="D70" s="43">
        <v>126</v>
      </c>
      <c r="E70" s="37" t="str">
        <f>HYPERLINK("https://kokusho.nijl.ac.jp/biblio/100317365/126")</f>
        <v>https://kokusho.nijl.ac.jp/biblio/100317365/126</v>
      </c>
      <c r="F70" s="43">
        <v>102</v>
      </c>
      <c r="G70" s="37" t="str">
        <f>HYPERLINK("https://kokusho.nijl.ac.jp/biblio/100317364/102")</f>
        <v>https://kokusho.nijl.ac.jp/biblio/100317364/102</v>
      </c>
      <c r="H70" s="43">
        <v>325</v>
      </c>
      <c r="I70" s="38" t="str">
        <f>HYPERLINK("https://kokusho.nijl.ac.jp/biblio/100382563/325")</f>
        <v>https://kokusho.nijl.ac.jp/biblio/100382563/325</v>
      </c>
      <c r="J70" s="43">
        <v>825</v>
      </c>
      <c r="K70" s="37" t="str">
        <f>HYPERLINK("https://rmda.kulib.kyoto-u.ac.jp/item/rb00004597?page=825")</f>
        <v>https://rmda.kulib.kyoto-u.ac.jp/item/rb00004597?page=825</v>
      </c>
      <c r="L70" s="43">
        <v>121</v>
      </c>
      <c r="M70" s="37" t="str">
        <f>HYPERLINK("https://rmda.kulib.kyoto-u.ac.jp/item/rb00004587?page=121")</f>
        <v>https://rmda.kulib.kyoto-u.ac.jp/item/rb00004587?page=121</v>
      </c>
      <c r="N70" s="36" t="s">
        <v>424</v>
      </c>
      <c r="O70" s="29">
        <v>108</v>
      </c>
      <c r="P70" s="37" t="str">
        <f>HYPERLINK("https://rmda.kulib.kyoto-u.ac.jp/item/rb00004585?page=108")</f>
        <v>https://rmda.kulib.kyoto-u.ac.jp/item/rb00004585?page=108</v>
      </c>
      <c r="Q70" s="50" t="s">
        <v>422</v>
      </c>
      <c r="R70" s="54" t="str">
        <f>HYPERLINK("https://rmda.kulib.kyoto-u.ac.jp/item/rb00004585?page=118")</f>
        <v>https://rmda.kulib.kyoto-u.ac.jp/item/rb00004585?page=118</v>
      </c>
      <c r="S70" s="36" t="s">
        <v>424</v>
      </c>
      <c r="T70" s="29" t="s">
        <v>536</v>
      </c>
      <c r="U70" s="37" t="str">
        <f t="shared" si="4"/>
        <v>https://archive.wul.waseda.ac.jp/kosho/ya09/ya09_00955/ya09_00955_0005/ya09_00955_0005.html</v>
      </c>
      <c r="V70" s="47" t="s">
        <v>424</v>
      </c>
      <c r="W70" s="29">
        <v>75</v>
      </c>
      <c r="X70" s="54" t="str">
        <f>HYPERLINK("https://rmda.kulib.kyoto-u.ac.jp/item/rb00004583?page=75")</f>
        <v>https://rmda.kulib.kyoto-u.ac.jp/item/rb00004583?page=75</v>
      </c>
      <c r="Y70" s="36" t="s">
        <v>424</v>
      </c>
      <c r="Z70" s="29">
        <v>141</v>
      </c>
      <c r="AA70" s="37" t="str">
        <f>HYPERLINK("https://rmda.kulib.kyoto-u.ac.jp/item/rb00004592?page=141")</f>
        <v>https://rmda.kulib.kyoto-u.ac.jp/item/rb00004592?page=141</v>
      </c>
      <c r="AB70" s="47" t="s">
        <v>424</v>
      </c>
      <c r="AC70" s="29">
        <v>131</v>
      </c>
      <c r="AD70" s="54" t="str">
        <f>HYPERLINK("https://rmda.kulib.kyoto-u.ac.jp/item/rb00004593?page=131")</f>
        <v>https://rmda.kulib.kyoto-u.ac.jp/item/rb00004593?page=131</v>
      </c>
      <c r="AE70" s="36" t="s">
        <v>424</v>
      </c>
      <c r="AF70" s="29">
        <v>84</v>
      </c>
      <c r="AG70" s="37" t="str">
        <f>HYPERLINK("https://rmda.kulib.kyoto-u.ac.jp/item/rb00008886?page=84")</f>
        <v>https://rmda.kulib.kyoto-u.ac.jp/item/rb00008886?page=84</v>
      </c>
      <c r="AH70" s="47" t="s">
        <v>424</v>
      </c>
      <c r="AI70" s="29"/>
      <c r="AJ70" s="29"/>
      <c r="AK70" s="54"/>
      <c r="AL70" s="36" t="s">
        <v>424</v>
      </c>
      <c r="AM70" s="29"/>
      <c r="AN70" s="37"/>
      <c r="AO70" s="67"/>
      <c r="AP70" s="36" t="s">
        <v>424</v>
      </c>
      <c r="AQ70" s="29">
        <v>49</v>
      </c>
      <c r="AR70" s="29" t="str">
        <f>HYPERLINK("https://www.digital.archives.go.jp/img/4220591/49")</f>
        <v>https://www.digital.archives.go.jp/img/4220591/49</v>
      </c>
      <c r="AS70" s="29"/>
      <c r="AT70" s="37" t="s">
        <v>565</v>
      </c>
      <c r="AU70" s="76">
        <v>285</v>
      </c>
      <c r="AV70" s="77" t="str">
        <f>HYPERLINK("https://dl.ndl.go.jp/ja/pid/12759449/1/285")</f>
        <v>https://dl.ndl.go.jp/ja/pid/12759449/1/285</v>
      </c>
    </row>
    <row r="71" spans="1:48" x14ac:dyDescent="0.15">
      <c r="A71" s="71" t="s">
        <v>425</v>
      </c>
      <c r="B71" s="29">
        <v>14</v>
      </c>
      <c r="C71" s="37" t="str">
        <f>HYPERLINK("https://www.digital.archives.go.jp/img/4106962/14")</f>
        <v>https://www.digital.archives.go.jp/img/4106962/14</v>
      </c>
      <c r="D71" s="43">
        <v>127</v>
      </c>
      <c r="E71" s="37" t="str">
        <f>HYPERLINK("https://kokusho.nijl.ac.jp/biblio/100317365/127")</f>
        <v>https://kokusho.nijl.ac.jp/biblio/100317365/127</v>
      </c>
      <c r="F71" s="43">
        <v>103</v>
      </c>
      <c r="G71" s="37" t="str">
        <f>HYPERLINK("https://kokusho.nijl.ac.jp/biblio/100317364/103")</f>
        <v>https://kokusho.nijl.ac.jp/biblio/100317364/103</v>
      </c>
      <c r="H71" s="43">
        <v>327</v>
      </c>
      <c r="I71" s="38" t="str">
        <f>HYPERLINK("https://kokusho.nijl.ac.jp/biblio/100382563/327")</f>
        <v>https://kokusho.nijl.ac.jp/biblio/100382563/327</v>
      </c>
      <c r="J71" s="43">
        <v>830</v>
      </c>
      <c r="K71" s="37" t="str">
        <f>HYPERLINK("https://rmda.kulib.kyoto-u.ac.jp/item/rb00004597?page=830")</f>
        <v>https://rmda.kulib.kyoto-u.ac.jp/item/rb00004597?page=830</v>
      </c>
      <c r="L71" s="43">
        <v>122</v>
      </c>
      <c r="M71" s="37" t="str">
        <f>HYPERLINK("https://rmda.kulib.kyoto-u.ac.jp/item/rb00004587?page=122")</f>
        <v>https://rmda.kulib.kyoto-u.ac.jp/item/rb00004587?page=122</v>
      </c>
      <c r="N71" s="36" t="s">
        <v>425</v>
      </c>
      <c r="O71" s="29">
        <v>109</v>
      </c>
      <c r="P71" s="37" t="str">
        <f>HYPERLINK("https://rmda.kulib.kyoto-u.ac.jp/item/rb00004585?page=109")</f>
        <v>https://rmda.kulib.kyoto-u.ac.jp/item/rb00004585?page=109</v>
      </c>
      <c r="Q71" s="50" t="s">
        <v>429</v>
      </c>
      <c r="R71" s="54" t="str">
        <f>HYPERLINK("https://rmda.kulib.kyoto-u.ac.jp/item/rb00004585?page=110")</f>
        <v>https://rmda.kulib.kyoto-u.ac.jp/item/rb00004585?page=110</v>
      </c>
      <c r="S71" s="36" t="s">
        <v>425</v>
      </c>
      <c r="T71" s="29" t="s">
        <v>523</v>
      </c>
      <c r="U71" s="37" t="str">
        <f t="shared" si="4"/>
        <v>https://archive.wul.waseda.ac.jp/kosho/ya09/ya09_00955/ya09_00955_0005/ya09_00955_0005.html</v>
      </c>
      <c r="V71" s="47" t="s">
        <v>425</v>
      </c>
      <c r="W71" s="29">
        <v>76</v>
      </c>
      <c r="X71" s="54" t="str">
        <f>HYPERLINK("https://rmda.kulib.kyoto-u.ac.jp/item/rb00004583?page=76")</f>
        <v>https://rmda.kulib.kyoto-u.ac.jp/item/rb00004583?page=76</v>
      </c>
      <c r="Y71" s="36" t="s">
        <v>425</v>
      </c>
      <c r="Z71" s="29">
        <v>143</v>
      </c>
      <c r="AA71" s="37" t="str">
        <f>HYPERLINK("https://rmda.kulib.kyoto-u.ac.jp/item/rb00004592?page=143")</f>
        <v>https://rmda.kulib.kyoto-u.ac.jp/item/rb00004592?page=143</v>
      </c>
      <c r="AB71" s="47" t="s">
        <v>425</v>
      </c>
      <c r="AC71" s="29">
        <v>132</v>
      </c>
      <c r="AD71" s="54" t="str">
        <f>HYPERLINK("https://rmda.kulib.kyoto-u.ac.jp/item/rb00004593?page=132")</f>
        <v>https://rmda.kulib.kyoto-u.ac.jp/item/rb00004593?page=132</v>
      </c>
      <c r="AE71" s="36" t="s">
        <v>425</v>
      </c>
      <c r="AF71" s="29">
        <v>84</v>
      </c>
      <c r="AG71" s="37" t="str">
        <f>HYPERLINK("https://rmda.kulib.kyoto-u.ac.jp/item/rb00008886?page=84")</f>
        <v>https://rmda.kulib.kyoto-u.ac.jp/item/rb00008886?page=84</v>
      </c>
      <c r="AH71" s="47" t="s">
        <v>425</v>
      </c>
      <c r="AI71" s="29"/>
      <c r="AJ71" s="29"/>
      <c r="AK71" s="54"/>
      <c r="AL71" s="36" t="s">
        <v>425</v>
      </c>
      <c r="AM71" s="29"/>
      <c r="AN71" s="37"/>
      <c r="AO71" s="67"/>
      <c r="AP71" s="36" t="s">
        <v>425</v>
      </c>
      <c r="AQ71" s="29">
        <v>51</v>
      </c>
      <c r="AR71" s="29" t="str">
        <f>HYPERLINK("https://www.digital.archives.go.jp/img/4220591/51")</f>
        <v>https://www.digital.archives.go.jp/img/4220591/51</v>
      </c>
      <c r="AS71" s="29"/>
      <c r="AT71" s="37" t="s">
        <v>565</v>
      </c>
      <c r="AU71" s="76">
        <v>286</v>
      </c>
      <c r="AV71" s="77" t="str">
        <f>HYPERLINK("https://dl.ndl.go.jp/ja/pid/12759449/1/286")</f>
        <v>https://dl.ndl.go.jp/ja/pid/12759449/1/286</v>
      </c>
    </row>
    <row r="72" spans="1:48" x14ac:dyDescent="0.15">
      <c r="A72" s="71" t="s">
        <v>426</v>
      </c>
      <c r="B72" s="29">
        <v>16</v>
      </c>
      <c r="C72" s="37" t="str">
        <f>HYPERLINK("https://www.digital.archives.go.jp/img/4106962/16")</f>
        <v>https://www.digital.archives.go.jp/img/4106962/16</v>
      </c>
      <c r="D72" s="43">
        <v>128</v>
      </c>
      <c r="E72" s="37" t="str">
        <f>HYPERLINK("https://kokusho.nijl.ac.jp/biblio/100317365/128")</f>
        <v>https://kokusho.nijl.ac.jp/biblio/100317365/128</v>
      </c>
      <c r="F72" s="43">
        <v>103</v>
      </c>
      <c r="G72" s="37" t="str">
        <f>HYPERLINK("https://kokusho.nijl.ac.jp/biblio/100317364/103")</f>
        <v>https://kokusho.nijl.ac.jp/biblio/100317364/103</v>
      </c>
      <c r="H72" s="43">
        <v>330</v>
      </c>
      <c r="I72" s="38" t="str">
        <f>HYPERLINK("https://kokusho.nijl.ac.jp/biblio/100382563/330")</f>
        <v>https://kokusho.nijl.ac.jp/biblio/100382563/330</v>
      </c>
      <c r="J72" s="43">
        <v>836</v>
      </c>
      <c r="K72" s="37" t="str">
        <f>HYPERLINK("https://rmda.kulib.kyoto-u.ac.jp/item/rb00004597?page=836")</f>
        <v>https://rmda.kulib.kyoto-u.ac.jp/item/rb00004597?page=836</v>
      </c>
      <c r="L72" s="43">
        <v>123</v>
      </c>
      <c r="M72" s="37" t="str">
        <f>HYPERLINK("https://rmda.kulib.kyoto-u.ac.jp/item/rb00004587?page=123")</f>
        <v>https://rmda.kulib.kyoto-u.ac.jp/item/rb00004587?page=123</v>
      </c>
      <c r="N72" s="36" t="s">
        <v>426</v>
      </c>
      <c r="O72" s="29">
        <v>110</v>
      </c>
      <c r="P72" s="37" t="str">
        <f>HYPERLINK("https://rmda.kulib.kyoto-u.ac.jp/item/rb00004585?page=110")</f>
        <v>https://rmda.kulib.kyoto-u.ac.jp/item/rb00004585?page=110</v>
      </c>
      <c r="Q72" s="50" t="s">
        <v>425</v>
      </c>
      <c r="R72" s="54" t="str">
        <f>HYPERLINK("https://rmda.kulib.kyoto-u.ac.jp/item/rb00004585?page=112")</f>
        <v>https://rmda.kulib.kyoto-u.ac.jp/item/rb00004585?page=112</v>
      </c>
      <c r="S72" s="36" t="s">
        <v>426</v>
      </c>
      <c r="T72" s="29" t="s">
        <v>544</v>
      </c>
      <c r="U72" s="37" t="str">
        <f t="shared" si="4"/>
        <v>https://archive.wul.waseda.ac.jp/kosho/ya09/ya09_00955/ya09_00955_0005/ya09_00955_0005.html</v>
      </c>
      <c r="V72" s="47" t="s">
        <v>426</v>
      </c>
      <c r="W72" s="29">
        <v>77</v>
      </c>
      <c r="X72" s="54" t="str">
        <f>HYPERLINK("https://rmda.kulib.kyoto-u.ac.jp/item/rb00004583?page=77")</f>
        <v>https://rmda.kulib.kyoto-u.ac.jp/item/rb00004583?page=77</v>
      </c>
      <c r="Y72" s="36" t="s">
        <v>426</v>
      </c>
      <c r="Z72" s="29">
        <v>144</v>
      </c>
      <c r="AA72" s="37" t="str">
        <f>HYPERLINK("https://rmda.kulib.kyoto-u.ac.jp/item/rb00004592?page=144")</f>
        <v>https://rmda.kulib.kyoto-u.ac.jp/item/rb00004592?page=144</v>
      </c>
      <c r="AB72" s="47" t="s">
        <v>426</v>
      </c>
      <c r="AC72" s="29">
        <v>133</v>
      </c>
      <c r="AD72" s="54" t="str">
        <f>HYPERLINK("https://rmda.kulib.kyoto-u.ac.jp/item/rb00004593?page=133")</f>
        <v>https://rmda.kulib.kyoto-u.ac.jp/item/rb00004593?page=133</v>
      </c>
      <c r="AE72" s="36" t="s">
        <v>426</v>
      </c>
      <c r="AF72" s="29">
        <v>85</v>
      </c>
      <c r="AG72" s="37" t="str">
        <f>HYPERLINK("https://rmda.kulib.kyoto-u.ac.jp/item/rb00008886?page=85")</f>
        <v>https://rmda.kulib.kyoto-u.ac.jp/item/rb00008886?page=85</v>
      </c>
      <c r="AH72" s="47" t="s">
        <v>426</v>
      </c>
      <c r="AI72" s="29"/>
      <c r="AJ72" s="29"/>
      <c r="AK72" s="54"/>
      <c r="AL72" s="36" t="s">
        <v>426</v>
      </c>
      <c r="AM72" s="29"/>
      <c r="AN72" s="37"/>
      <c r="AO72" s="67"/>
      <c r="AP72" s="36" t="s">
        <v>426</v>
      </c>
      <c r="AQ72" s="29">
        <v>55</v>
      </c>
      <c r="AR72" s="29" t="str">
        <f>HYPERLINK("https://www.digital.archives.go.jp/img/4220591/55")</f>
        <v>https://www.digital.archives.go.jp/img/4220591/55</v>
      </c>
      <c r="AS72" s="29"/>
      <c r="AT72" s="37" t="s">
        <v>565</v>
      </c>
      <c r="AU72" s="76">
        <v>286</v>
      </c>
      <c r="AV72" s="77" t="str">
        <f>HYPERLINK("https://dl.ndl.go.jp/ja/pid/12759449/1/286")</f>
        <v>https://dl.ndl.go.jp/ja/pid/12759449/1/286</v>
      </c>
    </row>
    <row r="73" spans="1:48" x14ac:dyDescent="0.15">
      <c r="A73" s="71" t="s">
        <v>427</v>
      </c>
      <c r="B73" s="29">
        <v>16</v>
      </c>
      <c r="C73" s="37" t="str">
        <f>HYPERLINK("https://www.digital.archives.go.jp/img/4106962/16")</f>
        <v>https://www.digital.archives.go.jp/img/4106962/16</v>
      </c>
      <c r="D73" s="43">
        <v>128</v>
      </c>
      <c r="E73" s="37" t="str">
        <f>HYPERLINK("https://kokusho.nijl.ac.jp/biblio/100317365/128")</f>
        <v>https://kokusho.nijl.ac.jp/biblio/100317365/128</v>
      </c>
      <c r="F73" s="43">
        <v>104</v>
      </c>
      <c r="G73" s="37" t="str">
        <f>HYPERLINK("https://kokusho.nijl.ac.jp/biblio/100317364/104")</f>
        <v>https://kokusho.nijl.ac.jp/biblio/100317364/104</v>
      </c>
      <c r="H73" s="43">
        <v>334</v>
      </c>
      <c r="I73" s="38" t="str">
        <f>HYPERLINK("https://kokusho.nijl.ac.jp/biblio/100382563/334")</f>
        <v>https://kokusho.nijl.ac.jp/biblio/100382563/334</v>
      </c>
      <c r="J73" s="43">
        <v>838</v>
      </c>
      <c r="K73" s="37" t="str">
        <f>HYPERLINK("https://rmda.kulib.kyoto-u.ac.jp/item/rb00004597?page=838")</f>
        <v>https://rmda.kulib.kyoto-u.ac.jp/item/rb00004597?page=838</v>
      </c>
      <c r="L73" s="43">
        <v>123</v>
      </c>
      <c r="M73" s="37" t="str">
        <f>HYPERLINK("https://rmda.kulib.kyoto-u.ac.jp/item/rb00004587?page=123")</f>
        <v>https://rmda.kulib.kyoto-u.ac.jp/item/rb00004587?page=123</v>
      </c>
      <c r="N73" s="36" t="s">
        <v>427</v>
      </c>
      <c r="O73" s="29">
        <v>112</v>
      </c>
      <c r="P73" s="37" t="str">
        <f>HYPERLINK("https://rmda.kulib.kyoto-u.ac.jp/item/rb00004585?page=112")</f>
        <v>https://rmda.kulib.kyoto-u.ac.jp/item/rb00004585?page=112</v>
      </c>
      <c r="Q73" s="50" t="s">
        <v>426</v>
      </c>
      <c r="R73" s="54" t="str">
        <f>HYPERLINK("https://rmda.kulib.kyoto-u.ac.jp/item/rb00004585?page=116")</f>
        <v>https://rmda.kulib.kyoto-u.ac.jp/item/rb00004585?page=116</v>
      </c>
      <c r="S73" s="36" t="s">
        <v>427</v>
      </c>
      <c r="T73" s="29" t="s">
        <v>545</v>
      </c>
      <c r="U73" s="37" t="str">
        <f t="shared" si="4"/>
        <v>https://archive.wul.waseda.ac.jp/kosho/ya09/ya09_00955/ya09_00955_0005/ya09_00955_0005.html</v>
      </c>
      <c r="V73" s="47" t="s">
        <v>427</v>
      </c>
      <c r="W73" s="29">
        <v>77</v>
      </c>
      <c r="X73" s="54" t="str">
        <f>HYPERLINK("https://rmda.kulib.kyoto-u.ac.jp/item/rb00004583?page=77")</f>
        <v>https://rmda.kulib.kyoto-u.ac.jp/item/rb00004583?page=77</v>
      </c>
      <c r="Y73" s="36" t="s">
        <v>427</v>
      </c>
      <c r="Z73" s="29">
        <v>145</v>
      </c>
      <c r="AA73" s="37" t="str">
        <f>HYPERLINK("https://rmda.kulib.kyoto-u.ac.jp/item/rb00004592?page=145")</f>
        <v>https://rmda.kulib.kyoto-u.ac.jp/item/rb00004592?page=145</v>
      </c>
      <c r="AB73" s="47" t="s">
        <v>427</v>
      </c>
      <c r="AC73" s="29">
        <v>134</v>
      </c>
      <c r="AD73" s="54" t="str">
        <f>HYPERLINK("https://rmda.kulib.kyoto-u.ac.jp/item/rb00004593?page=134")</f>
        <v>https://rmda.kulib.kyoto-u.ac.jp/item/rb00004593?page=134</v>
      </c>
      <c r="AE73" s="36" t="s">
        <v>427</v>
      </c>
      <c r="AF73" s="29">
        <v>85</v>
      </c>
      <c r="AG73" s="37" t="str">
        <f>HYPERLINK("https://rmda.kulib.kyoto-u.ac.jp/item/rb00008886?page=85")</f>
        <v>https://rmda.kulib.kyoto-u.ac.jp/item/rb00008886?page=85</v>
      </c>
      <c r="AH73" s="47" t="s">
        <v>427</v>
      </c>
      <c r="AI73" s="29"/>
      <c r="AJ73" s="29"/>
      <c r="AK73" s="54"/>
      <c r="AL73" s="36" t="s">
        <v>427</v>
      </c>
      <c r="AM73" s="29"/>
      <c r="AN73" s="37"/>
      <c r="AO73" s="67"/>
      <c r="AP73" s="36" t="s">
        <v>427</v>
      </c>
      <c r="AQ73" s="29">
        <v>57</v>
      </c>
      <c r="AR73" s="29" t="str">
        <f>HYPERLINK("https://www.digital.archives.go.jp/img/4220591/57")</f>
        <v>https://www.digital.archives.go.jp/img/4220591/57</v>
      </c>
      <c r="AS73" s="29"/>
      <c r="AT73" s="37" t="s">
        <v>565</v>
      </c>
      <c r="AU73" s="76">
        <v>287</v>
      </c>
      <c r="AV73" s="77" t="str">
        <f>HYPERLINK("https://dl.ndl.go.jp/ja/pid/12759449/1/287")</f>
        <v>https://dl.ndl.go.jp/ja/pid/12759449/1/287</v>
      </c>
    </row>
    <row r="74" spans="1:48" x14ac:dyDescent="0.15">
      <c r="A74" s="71" t="s">
        <v>428</v>
      </c>
      <c r="B74" s="29">
        <v>18</v>
      </c>
      <c r="C74" s="37" t="str">
        <f>HYPERLINK("https://www.digital.archives.go.jp/img/4106962/18")</f>
        <v>https://www.digital.archives.go.jp/img/4106962/18</v>
      </c>
      <c r="D74" s="43">
        <v>129</v>
      </c>
      <c r="E74" s="37" t="str">
        <f>HYPERLINK("https://kokusho.nijl.ac.jp/biblio/100317365/129")</f>
        <v>https://kokusho.nijl.ac.jp/biblio/100317365/129</v>
      </c>
      <c r="F74" s="43">
        <v>105</v>
      </c>
      <c r="G74" s="37" t="str">
        <f>HYPERLINK("https://kokusho.nijl.ac.jp/biblio/100317364/105")</f>
        <v>https://kokusho.nijl.ac.jp/biblio/100317364/105</v>
      </c>
      <c r="H74" s="43">
        <v>337</v>
      </c>
      <c r="I74" s="38" t="str">
        <f>HYPERLINK("https://kokusho.nijl.ac.jp/biblio/100382563/337")</f>
        <v>https://kokusho.nijl.ac.jp/biblio/100382563/337</v>
      </c>
      <c r="J74" s="43">
        <v>843</v>
      </c>
      <c r="K74" s="37" t="str">
        <f>HYPERLINK("https://rmda.kulib.kyoto-u.ac.jp/item/rb00004597?page=843")</f>
        <v>https://rmda.kulib.kyoto-u.ac.jp/item/rb00004597?page=843</v>
      </c>
      <c r="L74" s="43">
        <v>124</v>
      </c>
      <c r="M74" s="37" t="str">
        <f>HYPERLINK("https://rmda.kulib.kyoto-u.ac.jp/item/rb00004587?page=124")</f>
        <v>https://rmda.kulib.kyoto-u.ac.jp/item/rb00004587?page=124</v>
      </c>
      <c r="N74" s="36" t="s">
        <v>428</v>
      </c>
      <c r="O74" s="29">
        <v>113</v>
      </c>
      <c r="P74" s="37" t="str">
        <f>HYPERLINK("https://rmda.kulib.kyoto-u.ac.jp/item/rb00004585?page=113")</f>
        <v>https://rmda.kulib.kyoto-u.ac.jp/item/rb00004585?page=113</v>
      </c>
      <c r="Q74" s="50" t="s">
        <v>431</v>
      </c>
      <c r="R74" s="54" t="str">
        <f>HYPERLINK("https://rmda.kulib.kyoto-u.ac.jp/item/rb00004585?page=108")</f>
        <v>https://rmda.kulib.kyoto-u.ac.jp/item/rb00004585?page=108</v>
      </c>
      <c r="S74" s="36" t="s">
        <v>428</v>
      </c>
      <c r="T74" s="29" t="s">
        <v>551</v>
      </c>
      <c r="U74" s="37" t="str">
        <f t="shared" si="4"/>
        <v>https://archive.wul.waseda.ac.jp/kosho/ya09/ya09_00955/ya09_00955_0005/ya09_00955_0005.html</v>
      </c>
      <c r="V74" s="47" t="s">
        <v>428</v>
      </c>
      <c r="W74" s="29">
        <v>78</v>
      </c>
      <c r="X74" s="54" t="str">
        <f>HYPERLINK("https://rmda.kulib.kyoto-u.ac.jp/item/rb00004583?page=78")</f>
        <v>https://rmda.kulib.kyoto-u.ac.jp/item/rb00004583?page=78</v>
      </c>
      <c r="Y74" s="36" t="s">
        <v>428</v>
      </c>
      <c r="Z74" s="29">
        <v>146</v>
      </c>
      <c r="AA74" s="37" t="str">
        <f>HYPERLINK("https://rmda.kulib.kyoto-u.ac.jp/item/rb00004592?page=146")</f>
        <v>https://rmda.kulib.kyoto-u.ac.jp/item/rb00004592?page=146</v>
      </c>
      <c r="AB74" s="47" t="s">
        <v>428</v>
      </c>
      <c r="AC74" s="29">
        <v>136</v>
      </c>
      <c r="AD74" s="54" t="str">
        <f>HYPERLINK("https://rmda.kulib.kyoto-u.ac.jp/item/rb00004593?page=136")</f>
        <v>https://rmda.kulib.kyoto-u.ac.jp/item/rb00004593?page=136</v>
      </c>
      <c r="AE74" s="36" t="s">
        <v>428</v>
      </c>
      <c r="AF74" s="29">
        <v>86</v>
      </c>
      <c r="AG74" s="37" t="str">
        <f>HYPERLINK("https://rmda.kulib.kyoto-u.ac.jp/item/rb00008886?page=86")</f>
        <v>https://rmda.kulib.kyoto-u.ac.jp/item/rb00008886?page=86</v>
      </c>
      <c r="AH74" s="47" t="s">
        <v>428</v>
      </c>
      <c r="AI74" s="29"/>
      <c r="AJ74" s="29"/>
      <c r="AK74" s="54"/>
      <c r="AL74" s="36" t="s">
        <v>428</v>
      </c>
      <c r="AM74" s="29"/>
      <c r="AN74" s="37"/>
      <c r="AO74" s="67"/>
      <c r="AP74" s="36" t="s">
        <v>428</v>
      </c>
      <c r="AQ74" s="29">
        <v>59</v>
      </c>
      <c r="AR74" s="29" t="str">
        <f>HYPERLINK("https://www.digital.archives.go.jp/img/4220591/59")</f>
        <v>https://www.digital.archives.go.jp/img/4220591/59</v>
      </c>
      <c r="AS74" s="29"/>
      <c r="AT74" s="37" t="s">
        <v>565</v>
      </c>
      <c r="AU74" s="76">
        <v>287</v>
      </c>
      <c r="AV74" s="77" t="str">
        <f>HYPERLINK("https://dl.ndl.go.jp/ja/pid/12759449/1/287")</f>
        <v>https://dl.ndl.go.jp/ja/pid/12759449/1/287</v>
      </c>
    </row>
    <row r="75" spans="1:48" x14ac:dyDescent="0.15">
      <c r="A75" s="71" t="s">
        <v>429</v>
      </c>
      <c r="B75" s="29">
        <v>18</v>
      </c>
      <c r="C75" s="37" t="str">
        <f>HYPERLINK("https://www.digital.archives.go.jp/img/4106962/18")</f>
        <v>https://www.digital.archives.go.jp/img/4106962/18</v>
      </c>
      <c r="D75" s="43">
        <v>130</v>
      </c>
      <c r="E75" s="37" t="str">
        <f>HYPERLINK("https://kokusho.nijl.ac.jp/biblio/100317365/130")</f>
        <v>https://kokusho.nijl.ac.jp/biblio/100317365/130</v>
      </c>
      <c r="F75" s="43">
        <v>105</v>
      </c>
      <c r="G75" s="37" t="str">
        <f>HYPERLINK("https://kokusho.nijl.ac.jp/biblio/100317364/105")</f>
        <v>https://kokusho.nijl.ac.jp/biblio/100317364/105</v>
      </c>
      <c r="H75" s="43">
        <v>338</v>
      </c>
      <c r="I75" s="38" t="str">
        <f>HYPERLINK("https://kokusho.nijl.ac.jp/biblio/100382563/338")</f>
        <v>https://kokusho.nijl.ac.jp/biblio/100382563/338</v>
      </c>
      <c r="J75" s="43">
        <v>846</v>
      </c>
      <c r="K75" s="37" t="str">
        <f>HYPERLINK("https://rmda.kulib.kyoto-u.ac.jp/item/rb00004597?page=846")</f>
        <v>https://rmda.kulib.kyoto-u.ac.jp/item/rb00004597?page=846</v>
      </c>
      <c r="L75" s="43">
        <v>124</v>
      </c>
      <c r="M75" s="37" t="str">
        <f>HYPERLINK("https://rmda.kulib.kyoto-u.ac.jp/item/rb00004587?page=124")</f>
        <v>https://rmda.kulib.kyoto-u.ac.jp/item/rb00004587?page=124</v>
      </c>
      <c r="N75" s="36" t="s">
        <v>429</v>
      </c>
      <c r="O75" s="29">
        <v>114</v>
      </c>
      <c r="P75" s="37" t="str">
        <f>HYPERLINK("https://rmda.kulib.kyoto-u.ac.jp/item/rb00004585?page=114")</f>
        <v>https://rmda.kulib.kyoto-u.ac.jp/item/rb00004585?page=114</v>
      </c>
      <c r="Q75" s="50" t="s">
        <v>433</v>
      </c>
      <c r="R75" s="54" t="str">
        <f>HYPERLINK("https://rmda.kulib.kyoto-u.ac.jp/item/rb00004585?page=109")</f>
        <v>https://rmda.kulib.kyoto-u.ac.jp/item/rb00004585?page=109</v>
      </c>
      <c r="S75" s="36" t="s">
        <v>429</v>
      </c>
      <c r="T75" s="29" t="s">
        <v>547</v>
      </c>
      <c r="U75" s="37" t="str">
        <f t="shared" si="4"/>
        <v>https://archive.wul.waseda.ac.jp/kosho/ya09/ya09_00955/ya09_00955_0005/ya09_00955_0005.html</v>
      </c>
      <c r="V75" s="47" t="s">
        <v>429</v>
      </c>
      <c r="W75" s="29">
        <v>78</v>
      </c>
      <c r="X75" s="54" t="str">
        <f>HYPERLINK("https://rmda.kulib.kyoto-u.ac.jp/item/rb00004583?page=78")</f>
        <v>https://rmda.kulib.kyoto-u.ac.jp/item/rb00004583?page=78</v>
      </c>
      <c r="Y75" s="36" t="s">
        <v>429</v>
      </c>
      <c r="Z75" s="29">
        <v>147</v>
      </c>
      <c r="AA75" s="37" t="str">
        <f>HYPERLINK("https://rmda.kulib.kyoto-u.ac.jp/item/rb00004592?page=147")</f>
        <v>https://rmda.kulib.kyoto-u.ac.jp/item/rb00004592?page=147</v>
      </c>
      <c r="AB75" s="47" t="s">
        <v>429</v>
      </c>
      <c r="AC75" s="29">
        <v>137</v>
      </c>
      <c r="AD75" s="54" t="str">
        <f>HYPERLINK("https://rmda.kulib.kyoto-u.ac.jp/item/rb00004593?page=137")</f>
        <v>https://rmda.kulib.kyoto-u.ac.jp/item/rb00004593?page=137</v>
      </c>
      <c r="AE75" s="36" t="s">
        <v>429</v>
      </c>
      <c r="AF75" s="29">
        <v>86</v>
      </c>
      <c r="AG75" s="37" t="str">
        <f>HYPERLINK("https://rmda.kulib.kyoto-u.ac.jp/item/rb00008886?page=86")</f>
        <v>https://rmda.kulib.kyoto-u.ac.jp/item/rb00008886?page=86</v>
      </c>
      <c r="AH75" s="47" t="s">
        <v>429</v>
      </c>
      <c r="AI75" s="29"/>
      <c r="AJ75" s="29"/>
      <c r="AK75" s="54"/>
      <c r="AL75" s="36" t="s">
        <v>429</v>
      </c>
      <c r="AM75" s="29"/>
      <c r="AN75" s="37"/>
      <c r="AO75" s="67"/>
      <c r="AP75" s="36" t="s">
        <v>429</v>
      </c>
      <c r="AQ75" s="29">
        <v>61</v>
      </c>
      <c r="AR75" s="29" t="str">
        <f>HYPERLINK("https://www.digital.archives.go.jp/img/4220591/61")</f>
        <v>https://www.digital.archives.go.jp/img/4220591/61</v>
      </c>
      <c r="AS75" s="29"/>
      <c r="AT75" s="37" t="s">
        <v>565</v>
      </c>
      <c r="AU75" s="76">
        <v>287</v>
      </c>
      <c r="AV75" s="77" t="str">
        <f>HYPERLINK("https://dl.ndl.go.jp/ja/pid/12759449/1/287")</f>
        <v>https://dl.ndl.go.jp/ja/pid/12759449/1/287</v>
      </c>
    </row>
    <row r="76" spans="1:48" x14ac:dyDescent="0.15">
      <c r="A76" s="71" t="s">
        <v>430</v>
      </c>
      <c r="B76" s="29">
        <v>20</v>
      </c>
      <c r="C76" s="37" t="str">
        <f>HYPERLINK("https://www.digital.archives.go.jp/img/4106962/20")</f>
        <v>https://www.digital.archives.go.jp/img/4106962/20</v>
      </c>
      <c r="D76" s="43">
        <v>130</v>
      </c>
      <c r="E76" s="37" t="str">
        <f>HYPERLINK("https://kokusho.nijl.ac.jp/biblio/100317365/130")</f>
        <v>https://kokusho.nijl.ac.jp/biblio/100317365/130</v>
      </c>
      <c r="F76" s="43">
        <v>106</v>
      </c>
      <c r="G76" s="37" t="str">
        <f>HYPERLINK("https://kokusho.nijl.ac.jp/biblio/100317364/106")</f>
        <v>https://kokusho.nijl.ac.jp/biblio/100317364/106</v>
      </c>
      <c r="H76" s="43">
        <v>339</v>
      </c>
      <c r="I76" s="38" t="str">
        <f>HYPERLINK("https://kokusho.nijl.ac.jp/biblio/100382563/339")</f>
        <v>https://kokusho.nijl.ac.jp/biblio/100382563/339</v>
      </c>
      <c r="J76" s="43">
        <v>850</v>
      </c>
      <c r="K76" s="37" t="str">
        <f>HYPERLINK("https://rmda.kulib.kyoto-u.ac.jp/item/rb00004597?page=850")</f>
        <v>https://rmda.kulib.kyoto-u.ac.jp/item/rb00004597?page=850</v>
      </c>
      <c r="L76" s="43">
        <v>125</v>
      </c>
      <c r="M76" s="37" t="str">
        <f>HYPERLINK("https://rmda.kulib.kyoto-u.ac.jp/item/rb00004587?page=125")</f>
        <v>https://rmda.kulib.kyoto-u.ac.jp/item/rb00004587?page=125</v>
      </c>
      <c r="N76" s="36" t="s">
        <v>430</v>
      </c>
      <c r="O76" s="29">
        <v>116</v>
      </c>
      <c r="P76" s="37" t="str">
        <f>HYPERLINK("https://rmda.kulib.kyoto-u.ac.jp/item/rb00004585?page=116")</f>
        <v>https://rmda.kulib.kyoto-u.ac.jp/item/rb00004585?page=116</v>
      </c>
      <c r="Q76" s="50" t="s">
        <v>427</v>
      </c>
      <c r="R76" s="54" t="str">
        <f>HYPERLINK("https://rmda.kulib.kyoto-u.ac.jp/item/rb00004585?page=119")</f>
        <v>https://rmda.kulib.kyoto-u.ac.jp/item/rb00004585?page=119</v>
      </c>
      <c r="S76" s="36" t="s">
        <v>430</v>
      </c>
      <c r="T76" s="29" t="s">
        <v>525</v>
      </c>
      <c r="U76" s="37" t="str">
        <f t="shared" si="4"/>
        <v>https://archive.wul.waseda.ac.jp/kosho/ya09/ya09_00955/ya09_00955_0005/ya09_00955_0005.html</v>
      </c>
      <c r="V76" s="47" t="s">
        <v>430</v>
      </c>
      <c r="W76" s="29">
        <v>79</v>
      </c>
      <c r="X76" s="54" t="str">
        <f>HYPERLINK("https://rmda.kulib.kyoto-u.ac.jp/item/rb00004583?page=79")</f>
        <v>https://rmda.kulib.kyoto-u.ac.jp/item/rb00004583?page=79</v>
      </c>
      <c r="Y76" s="36" t="s">
        <v>430</v>
      </c>
      <c r="Z76" s="29">
        <v>149</v>
      </c>
      <c r="AA76" s="37" t="str">
        <f>HYPERLINK("https://rmda.kulib.kyoto-u.ac.jp/item/rb00004592?page=149")</f>
        <v>https://rmda.kulib.kyoto-u.ac.jp/item/rb00004592?page=149</v>
      </c>
      <c r="AB76" s="47" t="s">
        <v>430</v>
      </c>
      <c r="AC76" s="29">
        <v>138</v>
      </c>
      <c r="AD76" s="54" t="str">
        <f>HYPERLINK("https://rmda.kulib.kyoto-u.ac.jp/item/rb00004593?page=138")</f>
        <v>https://rmda.kulib.kyoto-u.ac.jp/item/rb00004593?page=138</v>
      </c>
      <c r="AE76" s="36" t="s">
        <v>430</v>
      </c>
      <c r="AF76" s="29">
        <v>87</v>
      </c>
      <c r="AG76" s="37" t="str">
        <f>HYPERLINK("https://rmda.kulib.kyoto-u.ac.jp/item/rb00008886?page=87")</f>
        <v>https://rmda.kulib.kyoto-u.ac.jp/item/rb00008886?page=87</v>
      </c>
      <c r="AH76" s="47" t="s">
        <v>430</v>
      </c>
      <c r="AI76" s="29">
        <v>112</v>
      </c>
      <c r="AJ76" s="30" t="str">
        <f>HYPERLINK("https://rmda.kulib.kyoto-u.ac.jp/item/rb00008886?page=112")</f>
        <v>https://rmda.kulib.kyoto-u.ac.jp/item/rb00008886?page=112</v>
      </c>
      <c r="AK76" s="65" t="str">
        <f>HYPERLINK("https://rmda.kulib.kyoto-u.ac.jp/item/rb00008886?page=112")</f>
        <v>https://rmda.kulib.kyoto-u.ac.jp/item/rb00008886?page=112</v>
      </c>
      <c r="AL76" s="36" t="s">
        <v>430</v>
      </c>
      <c r="AM76" s="29">
        <v>10</v>
      </c>
      <c r="AN76" s="38" t="str">
        <f>HYPERLINK("https://rmda.kulib.kyoto-u.ac.jp/item/rb00011986?page=10")</f>
        <v>https://rmda.kulib.kyoto-u.ac.jp/item/rb00011986?page=10</v>
      </c>
      <c r="AO76" s="68" t="str">
        <f>HYPERLINK("https://rmda.kulib.kyoto-u.ac.jp/item/rb00011986?page=19")</f>
        <v>https://rmda.kulib.kyoto-u.ac.jp/item/rb00011986?page=19</v>
      </c>
      <c r="AP76" s="36" t="s">
        <v>430</v>
      </c>
      <c r="AQ76" s="29">
        <v>64</v>
      </c>
      <c r="AR76" s="29" t="str">
        <f>HYPERLINK("https://www.digital.archives.go.jp/img/4220591/64")</f>
        <v>https://www.digital.archives.go.jp/img/4220591/64</v>
      </c>
      <c r="AS76" s="29"/>
      <c r="AT76" s="37" t="s">
        <v>565</v>
      </c>
      <c r="AU76" s="76">
        <v>288</v>
      </c>
      <c r="AV76" s="77" t="str">
        <f>HYPERLINK("https://dl.ndl.go.jp/ja/pid/12759449/1/288")</f>
        <v>https://dl.ndl.go.jp/ja/pid/12759449/1/288</v>
      </c>
    </row>
    <row r="77" spans="1:48" x14ac:dyDescent="0.15">
      <c r="A77" s="71" t="s">
        <v>431</v>
      </c>
      <c r="B77" s="29">
        <v>21</v>
      </c>
      <c r="C77" s="37" t="str">
        <f>HYPERLINK("https://www.digital.archives.go.jp/img/4106962/21")</f>
        <v>https://www.digital.archives.go.jp/img/4106962/21</v>
      </c>
      <c r="D77" s="43">
        <v>133</v>
      </c>
      <c r="E77" s="37" t="str">
        <f>HYPERLINK("https://kokusho.nijl.ac.jp/biblio/100317365/133")</f>
        <v>https://kokusho.nijl.ac.jp/biblio/100317365/133</v>
      </c>
      <c r="F77" s="43">
        <v>107</v>
      </c>
      <c r="G77" s="37" t="str">
        <f>HYPERLINK("https://kokusho.nijl.ac.jp/biblio/100317364/107")</f>
        <v>https://kokusho.nijl.ac.jp/biblio/100317364/107</v>
      </c>
      <c r="H77" s="43">
        <v>347</v>
      </c>
      <c r="I77" s="38" t="str">
        <f>HYPERLINK("https://kokusho.nijl.ac.jp/biblio/100382563/347")</f>
        <v>https://kokusho.nijl.ac.jp/biblio/100382563/347</v>
      </c>
      <c r="J77" s="43">
        <v>869</v>
      </c>
      <c r="K77" s="37" t="str">
        <f>HYPERLINK("https://rmda.kulib.kyoto-u.ac.jp/item/rb00004597?page=869")</f>
        <v>https://rmda.kulib.kyoto-u.ac.jp/item/rb00004597?page=869</v>
      </c>
      <c r="L77" s="43">
        <v>126</v>
      </c>
      <c r="M77" s="37" t="str">
        <f>HYPERLINK("https://rmda.kulib.kyoto-u.ac.jp/item/rb00004587?page=126")</f>
        <v>https://rmda.kulib.kyoto-u.ac.jp/item/rb00004587?page=126</v>
      </c>
      <c r="N77" s="36" t="s">
        <v>431</v>
      </c>
      <c r="O77" s="29">
        <v>117</v>
      </c>
      <c r="P77" s="37" t="str">
        <f>HYPERLINK("https://rmda.kulib.kyoto-u.ac.jp/item/rb00004585?page=117")</f>
        <v>https://rmda.kulib.kyoto-u.ac.jp/item/rb00004585?page=117</v>
      </c>
      <c r="Q77" s="50" t="s">
        <v>434</v>
      </c>
      <c r="R77" s="54" t="str">
        <f>HYPERLINK("https://rmda.kulib.kyoto-u.ac.jp/item/rb00004585?page=113")</f>
        <v>https://rmda.kulib.kyoto-u.ac.jp/item/rb00004585?page=113</v>
      </c>
      <c r="S77" s="36" t="s">
        <v>431</v>
      </c>
      <c r="T77" s="29" t="s">
        <v>512</v>
      </c>
      <c r="U77" s="37" t="str">
        <f t="shared" si="4"/>
        <v>https://archive.wul.waseda.ac.jp/kosho/ya09/ya09_00955/ya09_00955_0005/ya09_00955_0005.html</v>
      </c>
      <c r="V77" s="47" t="s">
        <v>431</v>
      </c>
      <c r="W77" s="29">
        <v>80</v>
      </c>
      <c r="X77" s="54" t="str">
        <f>HYPERLINK("https://rmda.kulib.kyoto-u.ac.jp/item/rb00004583?page=80")</f>
        <v>https://rmda.kulib.kyoto-u.ac.jp/item/rb00004583?page=80</v>
      </c>
      <c r="Y77" s="36" t="s">
        <v>431</v>
      </c>
      <c r="Z77" s="29">
        <v>151</v>
      </c>
      <c r="AA77" s="37" t="str">
        <f>HYPERLINK("https://rmda.kulib.kyoto-u.ac.jp/item/rb00004592?page=151")</f>
        <v>https://rmda.kulib.kyoto-u.ac.jp/item/rb00004592?page=151</v>
      </c>
      <c r="AB77" s="47" t="s">
        <v>431</v>
      </c>
      <c r="AC77" s="29">
        <v>140</v>
      </c>
      <c r="AD77" s="54" t="str">
        <f>HYPERLINK("https://rmda.kulib.kyoto-u.ac.jp/item/rb00004593?page=140")</f>
        <v>https://rmda.kulib.kyoto-u.ac.jp/item/rb00004593?page=140</v>
      </c>
      <c r="AE77" s="36" t="s">
        <v>431</v>
      </c>
      <c r="AF77" s="29">
        <v>88</v>
      </c>
      <c r="AG77" s="37" t="str">
        <f>HYPERLINK("https://rmda.kulib.kyoto-u.ac.jp/item/rb00008886?page=88")</f>
        <v>https://rmda.kulib.kyoto-u.ac.jp/item/rb00008886?page=88</v>
      </c>
      <c r="AH77" s="47" t="s">
        <v>431</v>
      </c>
      <c r="AI77" s="29"/>
      <c r="AJ77" s="29"/>
      <c r="AK77" s="54"/>
      <c r="AL77" s="36" t="s">
        <v>431</v>
      </c>
      <c r="AM77" s="29"/>
      <c r="AN77" s="37"/>
      <c r="AO77" s="67"/>
      <c r="AP77" s="36" t="s">
        <v>431</v>
      </c>
      <c r="AQ77" s="29">
        <v>69</v>
      </c>
      <c r="AR77" s="29" t="str">
        <f>HYPERLINK("https://www.digital.archives.go.jp/img/4220591/69")</f>
        <v>https://www.digital.archives.go.jp/img/4220591/69</v>
      </c>
      <c r="AS77" s="29"/>
      <c r="AT77" s="37" t="s">
        <v>565</v>
      </c>
      <c r="AU77" s="76">
        <v>289</v>
      </c>
      <c r="AV77" s="77" t="str">
        <f>HYPERLINK("https://dl.ndl.go.jp/ja/pid/12759449/1/289")</f>
        <v>https://dl.ndl.go.jp/ja/pid/12759449/1/289</v>
      </c>
    </row>
    <row r="78" spans="1:48" x14ac:dyDescent="0.15">
      <c r="A78" s="71" t="s">
        <v>432</v>
      </c>
      <c r="B78" s="29">
        <v>22</v>
      </c>
      <c r="C78" s="37" t="str">
        <f>HYPERLINK("https://www.digital.archives.go.jp/img/4106962/22")</f>
        <v>https://www.digital.archives.go.jp/img/4106962/22</v>
      </c>
      <c r="D78" s="43">
        <v>134</v>
      </c>
      <c r="E78" s="37" t="str">
        <f>HYPERLINK("https://kokusho.nijl.ac.jp/biblio/100317365/134")</f>
        <v>https://kokusho.nijl.ac.jp/biblio/100317365/134</v>
      </c>
      <c r="F78" s="43">
        <v>108</v>
      </c>
      <c r="G78" s="37" t="str">
        <f>HYPERLINK("https://kokusho.nijl.ac.jp/biblio/100317364/108")</f>
        <v>https://kokusho.nijl.ac.jp/biblio/100317364/108</v>
      </c>
      <c r="H78" s="43">
        <v>348</v>
      </c>
      <c r="I78" s="38" t="str">
        <f>HYPERLINK("https://kokusho.nijl.ac.jp/biblio/100382563/348")</f>
        <v>https://kokusho.nijl.ac.jp/biblio/100382563/348</v>
      </c>
      <c r="J78" s="43">
        <v>873</v>
      </c>
      <c r="K78" s="37" t="str">
        <f>HYPERLINK("https://rmda.kulib.kyoto-u.ac.jp/item/rb00004597?page=873")</f>
        <v>https://rmda.kulib.kyoto-u.ac.jp/item/rb00004597?page=873</v>
      </c>
      <c r="L78" s="43">
        <v>127</v>
      </c>
      <c r="M78" s="37" t="str">
        <f>HYPERLINK("https://rmda.kulib.kyoto-u.ac.jp/item/rb00004587?page=127")</f>
        <v>https://rmda.kulib.kyoto-u.ac.jp/item/rb00004587?page=127</v>
      </c>
      <c r="N78" s="36" t="s">
        <v>432</v>
      </c>
      <c r="O78" s="29">
        <v>118</v>
      </c>
      <c r="P78" s="37" t="str">
        <f>HYPERLINK("https://rmda.kulib.kyoto-u.ac.jp/item/rb00004585?page=118")</f>
        <v>https://rmda.kulib.kyoto-u.ac.jp/item/rb00004585?page=118</v>
      </c>
      <c r="Q78" s="50" t="s">
        <v>424</v>
      </c>
      <c r="R78" s="54" t="str">
        <f>HYPERLINK("https://rmda.kulib.kyoto-u.ac.jp/item/rb00004585?page=123")</f>
        <v>https://rmda.kulib.kyoto-u.ac.jp/item/rb00004585?page=123</v>
      </c>
      <c r="S78" s="36" t="s">
        <v>432</v>
      </c>
      <c r="T78" s="29" t="s">
        <v>552</v>
      </c>
      <c r="U78" s="37" t="str">
        <f t="shared" si="4"/>
        <v>https://archive.wul.waseda.ac.jp/kosho/ya09/ya09_00955/ya09_00955_0005/ya09_00955_0005.html</v>
      </c>
      <c r="V78" s="47" t="s">
        <v>432</v>
      </c>
      <c r="W78" s="29">
        <v>80</v>
      </c>
      <c r="X78" s="54" t="str">
        <f>HYPERLINK("https://rmda.kulib.kyoto-u.ac.jp/item/rb00004583?page=80")</f>
        <v>https://rmda.kulib.kyoto-u.ac.jp/item/rb00004583?page=80</v>
      </c>
      <c r="Y78" s="36" t="s">
        <v>432</v>
      </c>
      <c r="Z78" s="29">
        <v>152</v>
      </c>
      <c r="AA78" s="37" t="str">
        <f>HYPERLINK("https://rmda.kulib.kyoto-u.ac.jp/item/rb00004592?page=152")</f>
        <v>https://rmda.kulib.kyoto-u.ac.jp/item/rb00004592?page=152</v>
      </c>
      <c r="AB78" s="47" t="s">
        <v>432</v>
      </c>
      <c r="AC78" s="29">
        <v>141</v>
      </c>
      <c r="AD78" s="54" t="str">
        <f>HYPERLINK("https://rmda.kulib.kyoto-u.ac.jp/item/rb00004593?page=141")</f>
        <v>https://rmda.kulib.kyoto-u.ac.jp/item/rb00004593?page=141</v>
      </c>
      <c r="AE78" s="36" t="s">
        <v>432</v>
      </c>
      <c r="AF78" s="29">
        <v>88</v>
      </c>
      <c r="AG78" s="37" t="str">
        <f>HYPERLINK("https://rmda.kulib.kyoto-u.ac.jp/item/rb00008886?page=88")</f>
        <v>https://rmda.kulib.kyoto-u.ac.jp/item/rb00008886?page=88</v>
      </c>
      <c r="AH78" s="47" t="s">
        <v>432</v>
      </c>
      <c r="AI78" s="29"/>
      <c r="AJ78" s="29"/>
      <c r="AK78" s="54"/>
      <c r="AL78" s="36" t="s">
        <v>432</v>
      </c>
      <c r="AM78" s="29"/>
      <c r="AN78" s="37"/>
      <c r="AO78" s="67"/>
      <c r="AP78" s="36" t="s">
        <v>432</v>
      </c>
      <c r="AQ78" s="29">
        <v>71</v>
      </c>
      <c r="AR78" s="29" t="str">
        <f>HYPERLINK("https://www.digital.archives.go.jp/img/4220591/71")</f>
        <v>https://www.digital.archives.go.jp/img/4220591/71</v>
      </c>
      <c r="AS78" s="29"/>
      <c r="AT78" s="37" t="s">
        <v>565</v>
      </c>
      <c r="AU78" s="76">
        <v>289</v>
      </c>
      <c r="AV78" s="77" t="str">
        <f>HYPERLINK("https://dl.ndl.go.jp/ja/pid/12759449/1/289")</f>
        <v>https://dl.ndl.go.jp/ja/pid/12759449/1/289</v>
      </c>
    </row>
    <row r="79" spans="1:48" x14ac:dyDescent="0.15">
      <c r="A79" s="71" t="s">
        <v>433</v>
      </c>
      <c r="B79" s="29">
        <v>23</v>
      </c>
      <c r="C79" s="37" t="str">
        <f>HYPERLINK("https://www.digital.archives.go.jp/img/4106962/23")</f>
        <v>https://www.digital.archives.go.jp/img/4106962/23</v>
      </c>
      <c r="D79" s="43">
        <v>134</v>
      </c>
      <c r="E79" s="37" t="str">
        <f>HYPERLINK("https://kokusho.nijl.ac.jp/biblio/100317365/134")</f>
        <v>https://kokusho.nijl.ac.jp/biblio/100317365/134</v>
      </c>
      <c r="F79" s="43">
        <v>108</v>
      </c>
      <c r="G79" s="37" t="str">
        <f>HYPERLINK("https://kokusho.nijl.ac.jp/biblio/100317364/108")</f>
        <v>https://kokusho.nijl.ac.jp/biblio/100317364/108</v>
      </c>
      <c r="H79" s="43">
        <v>350</v>
      </c>
      <c r="I79" s="38" t="str">
        <f>HYPERLINK("https://kokusho.nijl.ac.jp/biblio/100382563/350")</f>
        <v>https://kokusho.nijl.ac.jp/biblio/100382563/350</v>
      </c>
      <c r="J79" s="43">
        <v>877</v>
      </c>
      <c r="K79" s="37" t="str">
        <f>HYPERLINK("https://rmda.kulib.kyoto-u.ac.jp/item/rb00004597?page=877")</f>
        <v>https://rmda.kulib.kyoto-u.ac.jp/item/rb00004597?page=877</v>
      </c>
      <c r="L79" s="43">
        <v>127</v>
      </c>
      <c r="M79" s="37" t="str">
        <f>HYPERLINK("https://rmda.kulib.kyoto-u.ac.jp/item/rb00004587?page=127")</f>
        <v>https://rmda.kulib.kyoto-u.ac.jp/item/rb00004587?page=127</v>
      </c>
      <c r="N79" s="36" t="s">
        <v>433</v>
      </c>
      <c r="O79" s="29">
        <v>119</v>
      </c>
      <c r="P79" s="37" t="str">
        <f>HYPERLINK("https://rmda.kulib.kyoto-u.ac.jp/item/rb00004585?page=119")</f>
        <v>https://rmda.kulib.kyoto-u.ac.jp/item/rb00004585?page=119</v>
      </c>
      <c r="Q79" s="50" t="s">
        <v>430</v>
      </c>
      <c r="R79" s="54" t="str">
        <f>HYPERLINK("https://rmda.kulib.kyoto-u.ac.jp/item/rb00004585?page=114")</f>
        <v>https://rmda.kulib.kyoto-u.ac.jp/item/rb00004585?page=114</v>
      </c>
      <c r="S79" s="36" t="s">
        <v>433</v>
      </c>
      <c r="T79" s="29" t="s">
        <v>540</v>
      </c>
      <c r="U79" s="37" t="str">
        <f t="shared" si="4"/>
        <v>https://archive.wul.waseda.ac.jp/kosho/ya09/ya09_00955/ya09_00955_0005/ya09_00955_0005.html</v>
      </c>
      <c r="V79" s="47" t="s">
        <v>433</v>
      </c>
      <c r="W79" s="29">
        <v>81</v>
      </c>
      <c r="X79" s="54" t="str">
        <f>HYPERLINK("https://rmda.kulib.kyoto-u.ac.jp/item/rb00004583?page=81")</f>
        <v>https://rmda.kulib.kyoto-u.ac.jp/item/rb00004583?page=81</v>
      </c>
      <c r="Y79" s="36" t="s">
        <v>433</v>
      </c>
      <c r="Z79" s="29">
        <v>153</v>
      </c>
      <c r="AA79" s="37" t="str">
        <f>HYPERLINK("https://rmda.kulib.kyoto-u.ac.jp/item/rb00004592?page=153")</f>
        <v>https://rmda.kulib.kyoto-u.ac.jp/item/rb00004592?page=153</v>
      </c>
      <c r="AB79" s="47" t="s">
        <v>433</v>
      </c>
      <c r="AC79" s="29">
        <v>142</v>
      </c>
      <c r="AD79" s="54" t="str">
        <f>HYPERLINK("https://rmda.kulib.kyoto-u.ac.jp/item/rb00004593?page=142")</f>
        <v>https://rmda.kulib.kyoto-u.ac.jp/item/rb00004593?page=142</v>
      </c>
      <c r="AE79" s="36" t="s">
        <v>433</v>
      </c>
      <c r="AF79" s="29">
        <v>88</v>
      </c>
      <c r="AG79" s="37" t="str">
        <f>HYPERLINK("https://rmda.kulib.kyoto-u.ac.jp/item/rb00008886?page=88")</f>
        <v>https://rmda.kulib.kyoto-u.ac.jp/item/rb00008886?page=88</v>
      </c>
      <c r="AH79" s="47" t="s">
        <v>433</v>
      </c>
      <c r="AI79" s="29"/>
      <c r="AJ79" s="29"/>
      <c r="AK79" s="54"/>
      <c r="AL79" s="36" t="s">
        <v>433</v>
      </c>
      <c r="AM79" s="29"/>
      <c r="AN79" s="37"/>
      <c r="AO79" s="67"/>
      <c r="AP79" s="36" t="s">
        <v>433</v>
      </c>
      <c r="AQ79" s="29">
        <v>73</v>
      </c>
      <c r="AR79" s="29" t="str">
        <f>HYPERLINK("https://www.digital.archives.go.jp/img/4220591/73")</f>
        <v>https://www.digital.archives.go.jp/img/4220591/73</v>
      </c>
      <c r="AS79" s="29"/>
      <c r="AT79" s="37" t="s">
        <v>565</v>
      </c>
      <c r="AU79" s="76">
        <v>290</v>
      </c>
      <c r="AV79" s="77" t="str">
        <f>HYPERLINK("https://dl.ndl.go.jp/ja/pid/12759449/1/290")</f>
        <v>https://dl.ndl.go.jp/ja/pid/12759449/1/290</v>
      </c>
    </row>
    <row r="80" spans="1:48" x14ac:dyDescent="0.15">
      <c r="A80" s="71" t="s">
        <v>434</v>
      </c>
      <c r="B80" s="29">
        <v>24</v>
      </c>
      <c r="C80" s="37" t="str">
        <f>HYPERLINK("https://www.digital.archives.go.jp/img/4106962/24")</f>
        <v>https://www.digital.archives.go.jp/img/4106962/24</v>
      </c>
      <c r="D80" s="43">
        <v>135</v>
      </c>
      <c r="E80" s="37" t="str">
        <f>HYPERLINK("https://kokusho.nijl.ac.jp/biblio/100317365/135")</f>
        <v>https://kokusho.nijl.ac.jp/biblio/100317365/135</v>
      </c>
      <c r="F80" s="43">
        <v>109</v>
      </c>
      <c r="G80" s="37" t="str">
        <f>HYPERLINK("https://kokusho.nijl.ac.jp/biblio/100317364/109")</f>
        <v>https://kokusho.nijl.ac.jp/biblio/100317364/109</v>
      </c>
      <c r="H80" s="43">
        <v>353</v>
      </c>
      <c r="I80" s="38" t="str">
        <f>HYPERLINK("https://kokusho.nijl.ac.jp/biblio/100382563/353")</f>
        <v>https://kokusho.nijl.ac.jp/biblio/100382563/353</v>
      </c>
      <c r="J80" s="43">
        <v>884</v>
      </c>
      <c r="K80" s="37" t="str">
        <f>HYPERLINK("https://rmda.kulib.kyoto-u.ac.jp/item/rb00004597?page=884")</f>
        <v>https://rmda.kulib.kyoto-u.ac.jp/item/rb00004597?page=884</v>
      </c>
      <c r="L80" s="43">
        <v>128</v>
      </c>
      <c r="M80" s="37" t="str">
        <f>HYPERLINK("https://rmda.kulib.kyoto-u.ac.jp/item/rb00004587?page=128")</f>
        <v>https://rmda.kulib.kyoto-u.ac.jp/item/rb00004587?page=128</v>
      </c>
      <c r="N80" s="36" t="s">
        <v>434</v>
      </c>
      <c r="O80" s="29">
        <v>123</v>
      </c>
      <c r="P80" s="37" t="str">
        <f>HYPERLINK("https://rmda.kulib.kyoto-u.ac.jp/item/rb00004585?page=123")</f>
        <v>https://rmda.kulib.kyoto-u.ac.jp/item/rb00004585?page=123</v>
      </c>
      <c r="Q80" s="50" t="s">
        <v>432</v>
      </c>
      <c r="R80" s="54" t="str">
        <f>HYPERLINK("https://rmda.kulib.kyoto-u.ac.jp/item/rb00004585?page=117")</f>
        <v>https://rmda.kulib.kyoto-u.ac.jp/item/rb00004585?page=117</v>
      </c>
      <c r="S80" s="36" t="s">
        <v>434</v>
      </c>
      <c r="T80" s="29" t="s">
        <v>513</v>
      </c>
      <c r="U80" s="37" t="str">
        <f t="shared" si="4"/>
        <v>https://archive.wul.waseda.ac.jp/kosho/ya09/ya09_00955/ya09_00955_0005/ya09_00955_0005.html</v>
      </c>
      <c r="V80" s="47" t="s">
        <v>434</v>
      </c>
      <c r="W80" s="29">
        <v>81</v>
      </c>
      <c r="X80" s="54" t="str">
        <f>HYPERLINK("https://rmda.kulib.kyoto-u.ac.jp/item/rb00004583?page=81")</f>
        <v>https://rmda.kulib.kyoto-u.ac.jp/item/rb00004583?page=81</v>
      </c>
      <c r="Y80" s="36" t="s">
        <v>434</v>
      </c>
      <c r="Z80" s="29">
        <v>155</v>
      </c>
      <c r="AA80" s="37" t="str">
        <f>HYPERLINK("https://rmda.kulib.kyoto-u.ac.jp/item/rb00004592?page=155")</f>
        <v>https://rmda.kulib.kyoto-u.ac.jp/item/rb00004592?page=155</v>
      </c>
      <c r="AB80" s="47" t="s">
        <v>434</v>
      </c>
      <c r="AC80" s="29">
        <v>144</v>
      </c>
      <c r="AD80" s="54" t="str">
        <f>HYPERLINK("https://rmda.kulib.kyoto-u.ac.jp/item/rb00004593?page=144")</f>
        <v>https://rmda.kulib.kyoto-u.ac.jp/item/rb00004593?page=144</v>
      </c>
      <c r="AE80" s="36" t="s">
        <v>434</v>
      </c>
      <c r="AF80" s="29">
        <v>89</v>
      </c>
      <c r="AG80" s="37" t="str">
        <f>HYPERLINK("https://rmda.kulib.kyoto-u.ac.jp/item/rb00008886?page=89")</f>
        <v>https://rmda.kulib.kyoto-u.ac.jp/item/rb00008886?page=89</v>
      </c>
      <c r="AH80" s="47" t="s">
        <v>434</v>
      </c>
      <c r="AI80" s="29"/>
      <c r="AJ80" s="29"/>
      <c r="AK80" s="54"/>
      <c r="AL80" s="36" t="s">
        <v>434</v>
      </c>
      <c r="AM80" s="29"/>
      <c r="AN80" s="37"/>
      <c r="AO80" s="67"/>
      <c r="AP80" s="36" t="s">
        <v>434</v>
      </c>
      <c r="AQ80" s="29">
        <v>77</v>
      </c>
      <c r="AR80" s="29" t="str">
        <f>HYPERLINK("https://www.digital.archives.go.jp/img/4220591/77")</f>
        <v>https://www.digital.archives.go.jp/img/4220591/77</v>
      </c>
      <c r="AS80" s="29"/>
      <c r="AT80" s="37" t="s">
        <v>565</v>
      </c>
      <c r="AU80" s="76">
        <v>290</v>
      </c>
      <c r="AV80" s="77" t="str">
        <f>HYPERLINK("https://dl.ndl.go.jp/ja/pid/12759449/1/290")</f>
        <v>https://dl.ndl.go.jp/ja/pid/12759449/1/290</v>
      </c>
    </row>
    <row r="81" spans="1:48" x14ac:dyDescent="0.15">
      <c r="A81" s="71" t="s">
        <v>435</v>
      </c>
      <c r="B81" s="29">
        <v>25</v>
      </c>
      <c r="C81" s="37" t="str">
        <f>HYPERLINK("https://www.digital.archives.go.jp/img/4106962/25")</f>
        <v>https://www.digital.archives.go.jp/img/4106962/25</v>
      </c>
      <c r="D81" s="43">
        <v>139</v>
      </c>
      <c r="E81" s="37" t="str">
        <f>HYPERLINK("https://kokusho.nijl.ac.jp/biblio/100317365/139")</f>
        <v>https://kokusho.nijl.ac.jp/biblio/100317365/139</v>
      </c>
      <c r="F81" s="43">
        <v>110</v>
      </c>
      <c r="G81" s="37" t="str">
        <f>HYPERLINK("https://kokusho.nijl.ac.jp/biblio/100317364/110")</f>
        <v>https://kokusho.nijl.ac.jp/biblio/100317364/110</v>
      </c>
      <c r="H81" s="43">
        <v>356</v>
      </c>
      <c r="I81" s="38" t="str">
        <f>HYPERLINK("https://kokusho.nijl.ac.jp/biblio/100382563/356")</f>
        <v>https://kokusho.nijl.ac.jp/biblio/100382563/356</v>
      </c>
      <c r="J81" s="43">
        <v>889</v>
      </c>
      <c r="K81" s="37" t="str">
        <f>HYPERLINK("https://rmda.kulib.kyoto-u.ac.jp/item/rb00004597?page=889")</f>
        <v>https://rmda.kulib.kyoto-u.ac.jp/item/rb00004597?page=889</v>
      </c>
      <c r="L81" s="43">
        <v>129</v>
      </c>
      <c r="M81" s="37" t="str">
        <f>HYPERLINK("https://rmda.kulib.kyoto-u.ac.jp/item/rb00004587?page=129")</f>
        <v>https://rmda.kulib.kyoto-u.ac.jp/item/rb00004587?page=129</v>
      </c>
      <c r="N81" s="36" t="s">
        <v>435</v>
      </c>
      <c r="O81" s="29">
        <v>123</v>
      </c>
      <c r="P81" s="37" t="str">
        <f>HYPERLINK("https://rmda.kulib.kyoto-u.ac.jp/item/rb00004585?page=123")</f>
        <v>https://rmda.kulib.kyoto-u.ac.jp/item/rb00004585?page=123</v>
      </c>
      <c r="Q81" s="50" t="s">
        <v>436</v>
      </c>
      <c r="R81" s="54" t="str">
        <f>HYPERLINK("https://rmda.kulib.kyoto-u.ac.jp/item/rb00004585?page=123")</f>
        <v>https://rmda.kulib.kyoto-u.ac.jp/item/rb00004585?page=123</v>
      </c>
      <c r="S81" s="36" t="s">
        <v>435</v>
      </c>
      <c r="T81" s="29" t="s">
        <v>514</v>
      </c>
      <c r="U81" s="37" t="str">
        <f t="shared" si="4"/>
        <v>https://archive.wul.waseda.ac.jp/kosho/ya09/ya09_00955/ya09_00955_0005/ya09_00955_0005.html</v>
      </c>
      <c r="V81" s="47" t="s">
        <v>435</v>
      </c>
      <c r="W81" s="29">
        <v>82</v>
      </c>
      <c r="X81" s="54" t="str">
        <f>HYPERLINK("https://rmda.kulib.kyoto-u.ac.jp/item/rb00004583?page=82")</f>
        <v>https://rmda.kulib.kyoto-u.ac.jp/item/rb00004583?page=82</v>
      </c>
      <c r="Y81" s="36" t="s">
        <v>435</v>
      </c>
      <c r="Z81" s="29">
        <v>156</v>
      </c>
      <c r="AA81" s="37" t="str">
        <f>HYPERLINK("https://rmda.kulib.kyoto-u.ac.jp/item/rb00004592?page=156")</f>
        <v>https://rmda.kulib.kyoto-u.ac.jp/item/rb00004592?page=156</v>
      </c>
      <c r="AB81" s="47" t="s">
        <v>435</v>
      </c>
      <c r="AC81" s="29">
        <v>145</v>
      </c>
      <c r="AD81" s="54" t="str">
        <f>HYPERLINK("https://rmda.kulib.kyoto-u.ac.jp/item/rb00004593?page=145")</f>
        <v>https://rmda.kulib.kyoto-u.ac.jp/item/rb00004593?page=145</v>
      </c>
      <c r="AE81" s="36" t="s">
        <v>435</v>
      </c>
      <c r="AF81" s="29">
        <v>90</v>
      </c>
      <c r="AG81" s="37" t="str">
        <f>HYPERLINK("https://rmda.kulib.kyoto-u.ac.jp/item/rb00008886?page=90")</f>
        <v>https://rmda.kulib.kyoto-u.ac.jp/item/rb00008886?page=90</v>
      </c>
      <c r="AH81" s="47" t="s">
        <v>435</v>
      </c>
      <c r="AI81" s="29"/>
      <c r="AJ81" s="29"/>
      <c r="AK81" s="54"/>
      <c r="AL81" s="36" t="s">
        <v>435</v>
      </c>
      <c r="AM81" s="29"/>
      <c r="AN81" s="37"/>
      <c r="AO81" s="67"/>
      <c r="AP81" s="36" t="s">
        <v>435</v>
      </c>
      <c r="AQ81" s="29">
        <v>81</v>
      </c>
      <c r="AR81" s="29" t="str">
        <f>HYPERLINK("https://www.digital.archives.go.jp/img/4220591/81")</f>
        <v>https://www.digital.archives.go.jp/img/4220591/81</v>
      </c>
      <c r="AS81" s="29"/>
      <c r="AT81" s="37" t="s">
        <v>565</v>
      </c>
      <c r="AU81" s="76">
        <v>291</v>
      </c>
      <c r="AV81" s="77" t="str">
        <f>HYPERLINK("https://dl.ndl.go.jp/ja/pid/12759449/1/291")</f>
        <v>https://dl.ndl.go.jp/ja/pid/12759449/1/291</v>
      </c>
    </row>
    <row r="82" spans="1:48" ht="14.25" thickBot="1" x14ac:dyDescent="0.2">
      <c r="A82" s="72" t="s">
        <v>436</v>
      </c>
      <c r="B82" s="40">
        <v>26</v>
      </c>
      <c r="C82" s="41" t="str">
        <f>HYPERLINK("https://www.digital.archives.go.jp/img/4106962/26")</f>
        <v>https://www.digital.archives.go.jp/img/4106962/26</v>
      </c>
      <c r="D82" s="44">
        <v>139</v>
      </c>
      <c r="E82" s="41" t="str">
        <f>HYPERLINK("https://kokusho.nijl.ac.jp/biblio/100317365/139")</f>
        <v>https://kokusho.nijl.ac.jp/biblio/100317365/139</v>
      </c>
      <c r="F82" s="44">
        <v>110</v>
      </c>
      <c r="G82" s="41" t="str">
        <f>HYPERLINK("https://kokusho.nijl.ac.jp/biblio/100317364/110")</f>
        <v>https://kokusho.nijl.ac.jp/biblio/100317364/110</v>
      </c>
      <c r="H82" s="44">
        <v>357</v>
      </c>
      <c r="I82" s="45" t="str">
        <f>HYPERLINK("https://kokusho.nijl.ac.jp/biblio/100382563/357")</f>
        <v>https://kokusho.nijl.ac.jp/biblio/100382563/357</v>
      </c>
      <c r="J82" s="44">
        <v>891</v>
      </c>
      <c r="K82" s="41" t="str">
        <f>HYPERLINK("https://rmda.kulib.kyoto-u.ac.jp/item/rb00004597?page=891")</f>
        <v>https://rmda.kulib.kyoto-u.ac.jp/item/rb00004597?page=891</v>
      </c>
      <c r="L82" s="44">
        <v>130</v>
      </c>
      <c r="M82" s="41" t="str">
        <f>HYPERLINK("https://rmda.kulib.kyoto-u.ac.jp/item/rb00004587?page=130")</f>
        <v>https://rmda.kulib.kyoto-u.ac.jp/item/rb00004587?page=130</v>
      </c>
      <c r="N82" s="39" t="s">
        <v>436</v>
      </c>
      <c r="O82" s="40">
        <v>125</v>
      </c>
      <c r="P82" s="41" t="str">
        <f>HYPERLINK("https://rmda.kulib.kyoto-u.ac.jp/item/rb00004585?page=125")</f>
        <v>https://rmda.kulib.kyoto-u.ac.jp/item/rb00004585?page=125</v>
      </c>
      <c r="Q82" s="52" t="s">
        <v>367</v>
      </c>
      <c r="R82" s="55" t="str">
        <f>HYPERLINK("https://rmda.kulib.kyoto-u.ac.jp/item/rb00004585?page=123")</f>
        <v>https://rmda.kulib.kyoto-u.ac.jp/item/rb00004585?page=123</v>
      </c>
      <c r="S82" s="36" t="s">
        <v>436</v>
      </c>
      <c r="T82" s="29" t="s">
        <v>515</v>
      </c>
      <c r="U82" s="37" t="str">
        <f t="shared" si="4"/>
        <v>https://archive.wul.waseda.ac.jp/kosho/ya09/ya09_00955/ya09_00955_0005/ya09_00955_0005.html</v>
      </c>
      <c r="V82" s="47" t="s">
        <v>436</v>
      </c>
      <c r="W82" s="29">
        <v>82</v>
      </c>
      <c r="X82" s="54" t="str">
        <f>HYPERLINK("https://rmda.kulib.kyoto-u.ac.jp/item/rb00004583?page=82")</f>
        <v>https://rmda.kulib.kyoto-u.ac.jp/item/rb00004583?page=82</v>
      </c>
      <c r="Y82" s="39" t="s">
        <v>436</v>
      </c>
      <c r="Z82" s="40">
        <v>157</v>
      </c>
      <c r="AA82" s="41" t="str">
        <f>HYPERLINK("https://rmda.kulib.kyoto-u.ac.jp/item/rb00004592?page=157")</f>
        <v>https://rmda.kulib.kyoto-u.ac.jp/item/rb00004592?page=157</v>
      </c>
      <c r="AB82" s="47" t="s">
        <v>436</v>
      </c>
      <c r="AC82" s="29">
        <v>146</v>
      </c>
      <c r="AD82" s="54" t="str">
        <f>HYPERLINK("https://rmda.kulib.kyoto-u.ac.jp/item/rb00004593?page=146")</f>
        <v>https://rmda.kulib.kyoto-u.ac.jp/item/rb00004593?page=146</v>
      </c>
      <c r="AE82" s="39" t="s">
        <v>436</v>
      </c>
      <c r="AF82" s="40">
        <v>91</v>
      </c>
      <c r="AG82" s="41" t="str">
        <f>HYPERLINK("https://rmda.kulib.kyoto-u.ac.jp/item/rb00008886?page=91")</f>
        <v>https://rmda.kulib.kyoto-u.ac.jp/item/rb00008886?page=91</v>
      </c>
      <c r="AH82" s="47" t="s">
        <v>436</v>
      </c>
      <c r="AI82" s="29"/>
      <c r="AJ82" s="29"/>
      <c r="AK82" s="54"/>
      <c r="AL82" s="39" t="s">
        <v>436</v>
      </c>
      <c r="AM82" s="40"/>
      <c r="AN82" s="41"/>
      <c r="AO82" s="67"/>
      <c r="AP82" s="39" t="s">
        <v>436</v>
      </c>
      <c r="AQ82" s="40">
        <v>83</v>
      </c>
      <c r="AR82" s="40" t="str">
        <f>HYPERLINK("https://www.digital.archives.go.jp/img/4220591/83")</f>
        <v>https://www.digital.archives.go.jp/img/4220591/83</v>
      </c>
      <c r="AS82" s="40"/>
      <c r="AT82" s="41" t="s">
        <v>565</v>
      </c>
      <c r="AU82" s="78">
        <v>291</v>
      </c>
      <c r="AV82" s="79" t="str">
        <f>HYPERLINK("https://dl.ndl.go.jp/ja/pid/12759449/1/291")</f>
        <v>https://dl.ndl.go.jp/ja/pid/12759449/1/291</v>
      </c>
    </row>
    <row r="83" spans="1:48" x14ac:dyDescent="0.1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4"/>
      <c r="R83" s="23"/>
      <c r="S83" s="58"/>
      <c r="T83" s="33" t="s">
        <v>553</v>
      </c>
      <c r="U83" s="59" t="str">
        <f t="shared" si="4"/>
        <v>https://archive.wul.waseda.ac.jp/kosho/ya09/ya09_00955/ya09_00955_0005/ya09_00955_0005.html</v>
      </c>
      <c r="V83" s="56" t="s">
        <v>565</v>
      </c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31" t="s">
        <v>565</v>
      </c>
      <c r="AU83" s="23"/>
    </row>
    <row r="84" spans="1:48" x14ac:dyDescent="0.1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4"/>
      <c r="R84" s="23"/>
      <c r="S84" s="58"/>
      <c r="T84" s="33" t="s">
        <v>554</v>
      </c>
      <c r="U84" s="59" t="str">
        <f t="shared" ref="U84:U94" si="5">HYPERLINK("https://archive.wul.waseda.ac.jp/kosho/ya09/ya09_00955/ya09_00955_0001/ya09_00955_0001.html")</f>
        <v>https://archive.wul.waseda.ac.jp/kosho/ya09/ya09_00955/ya09_00955_0001/ya09_00955_0001.html</v>
      </c>
      <c r="V84" s="56" t="s">
        <v>565</v>
      </c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U84" s="23"/>
    </row>
    <row r="85" spans="1:48" x14ac:dyDescent="0.1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4"/>
      <c r="R85" s="23"/>
      <c r="S85" s="58"/>
      <c r="T85" s="33" t="s">
        <v>555</v>
      </c>
      <c r="U85" s="59" t="str">
        <f t="shared" si="5"/>
        <v>https://archive.wul.waseda.ac.jp/kosho/ya09/ya09_00955/ya09_00955_0001/ya09_00955_0001.html</v>
      </c>
      <c r="V85" s="56" t="s">
        <v>565</v>
      </c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U85" s="23"/>
    </row>
    <row r="86" spans="1:48" x14ac:dyDescent="0.1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4"/>
      <c r="R86" s="23"/>
      <c r="S86" s="58"/>
      <c r="T86" s="33" t="s">
        <v>556</v>
      </c>
      <c r="U86" s="59" t="str">
        <f t="shared" si="5"/>
        <v>https://archive.wul.waseda.ac.jp/kosho/ya09/ya09_00955/ya09_00955_0001/ya09_00955_0001.html</v>
      </c>
      <c r="V86" s="56" t="s">
        <v>565</v>
      </c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U86" s="23"/>
    </row>
    <row r="87" spans="1:48" x14ac:dyDescent="0.1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4"/>
      <c r="R87" s="23"/>
      <c r="S87" s="58"/>
      <c r="T87" s="33" t="s">
        <v>557</v>
      </c>
      <c r="U87" s="59" t="str">
        <f t="shared" si="5"/>
        <v>https://archive.wul.waseda.ac.jp/kosho/ya09/ya09_00955/ya09_00955_0001/ya09_00955_0001.html</v>
      </c>
      <c r="V87" s="56" t="s">
        <v>565</v>
      </c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U87" s="23"/>
    </row>
    <row r="88" spans="1:48" x14ac:dyDescent="0.1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4"/>
      <c r="R88" s="23"/>
      <c r="S88" s="58"/>
      <c r="T88" s="33" t="s">
        <v>558</v>
      </c>
      <c r="U88" s="59" t="str">
        <f t="shared" si="5"/>
        <v>https://archive.wul.waseda.ac.jp/kosho/ya09/ya09_00955/ya09_00955_0001/ya09_00955_0001.html</v>
      </c>
      <c r="V88" s="56" t="s">
        <v>565</v>
      </c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U88" s="23"/>
    </row>
    <row r="89" spans="1:48" x14ac:dyDescent="0.1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4"/>
      <c r="R89" s="23"/>
      <c r="S89" s="58"/>
      <c r="T89" s="33" t="s">
        <v>559</v>
      </c>
      <c r="U89" s="59" t="str">
        <f t="shared" si="5"/>
        <v>https://archive.wul.waseda.ac.jp/kosho/ya09/ya09_00955/ya09_00955_0001/ya09_00955_0001.html</v>
      </c>
      <c r="V89" s="56" t="s">
        <v>565</v>
      </c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U89" s="23"/>
    </row>
    <row r="90" spans="1:48" x14ac:dyDescent="0.1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4"/>
      <c r="R90" s="23"/>
      <c r="S90" s="58"/>
      <c r="T90" s="33" t="s">
        <v>560</v>
      </c>
      <c r="U90" s="59" t="str">
        <f t="shared" si="5"/>
        <v>https://archive.wul.waseda.ac.jp/kosho/ya09/ya09_00955/ya09_00955_0001/ya09_00955_0001.html</v>
      </c>
      <c r="V90" s="56" t="s">
        <v>565</v>
      </c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U90" s="23"/>
    </row>
    <row r="91" spans="1:48" x14ac:dyDescent="0.1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4"/>
      <c r="R91" s="23"/>
      <c r="S91" s="58"/>
      <c r="T91" s="33" t="s">
        <v>561</v>
      </c>
      <c r="U91" s="59" t="str">
        <f t="shared" si="5"/>
        <v>https://archive.wul.waseda.ac.jp/kosho/ya09/ya09_00955/ya09_00955_0001/ya09_00955_0001.html</v>
      </c>
      <c r="V91" s="56" t="s">
        <v>565</v>
      </c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U91" s="23"/>
    </row>
    <row r="92" spans="1:48" x14ac:dyDescent="0.1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4"/>
      <c r="R92" s="23"/>
      <c r="S92" s="58"/>
      <c r="T92" s="33" t="s">
        <v>562</v>
      </c>
      <c r="U92" s="59" t="str">
        <f t="shared" si="5"/>
        <v>https://archive.wul.waseda.ac.jp/kosho/ya09/ya09_00955/ya09_00955_0001/ya09_00955_0001.html</v>
      </c>
      <c r="V92" s="56" t="s">
        <v>565</v>
      </c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U92" s="23"/>
    </row>
    <row r="93" spans="1:48" x14ac:dyDescent="0.1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4"/>
      <c r="R93" s="23"/>
      <c r="S93" s="58"/>
      <c r="T93" s="33" t="s">
        <v>563</v>
      </c>
      <c r="U93" s="59" t="str">
        <f t="shared" si="5"/>
        <v>https://archive.wul.waseda.ac.jp/kosho/ya09/ya09_00955/ya09_00955_0001/ya09_00955_0001.html</v>
      </c>
      <c r="V93" s="56" t="s">
        <v>565</v>
      </c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U93" s="23"/>
    </row>
    <row r="94" spans="1:48" ht="14.25" thickBot="1" x14ac:dyDescent="0.2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6"/>
      <c r="R94" s="25"/>
      <c r="S94" s="60"/>
      <c r="T94" s="61" t="s">
        <v>564</v>
      </c>
      <c r="U94" s="62" t="str">
        <f t="shared" si="5"/>
        <v>https://archive.wul.waseda.ac.jp/kosho/ya09/ya09_00955/ya09_00955_0001/ya09_00955_0001.html</v>
      </c>
      <c r="V94" s="57" t="s">
        <v>565</v>
      </c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32"/>
      <c r="AU94" s="25"/>
    </row>
  </sheetData>
  <phoneticPr fontId="2"/>
  <hyperlinks>
    <hyperlink ref="AS17" r:id="rId1" xr:uid="{E4529D27-0DB1-40FC-9156-5E9E2B217434}"/>
  </hyperlinks>
  <pageMargins left="0.7" right="0.7" top="0.75" bottom="0.75" header="0.3" footer="0.3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E115"/>
  <sheetViews>
    <sheetView zoomScale="190" zoomScaleNormal="190" workbookViewId="0">
      <pane xSplit="2" ySplit="1" topLeftCell="C35" activePane="bottomRight" state="frozen"/>
      <selection pane="topRight" activeCell="C1" sqref="C1"/>
      <selection pane="bottomLeft" activeCell="A2" sqref="A2"/>
      <selection pane="bottomRight" activeCell="C49" sqref="C49"/>
    </sheetView>
  </sheetViews>
  <sheetFormatPr defaultRowHeight="13.5" x14ac:dyDescent="0.15"/>
  <cols>
    <col min="1" max="1" width="12.5" customWidth="1"/>
    <col min="3" max="3" width="35.875" customWidth="1"/>
    <col min="4" max="4" width="27.375" customWidth="1"/>
    <col min="5" max="5" width="30.375" customWidth="1"/>
  </cols>
  <sheetData>
    <row r="1" spans="1:5" x14ac:dyDescent="0.15">
      <c r="A1" s="15" t="s">
        <v>70</v>
      </c>
      <c r="B1" s="15" t="s">
        <v>71</v>
      </c>
      <c r="C1" s="15" t="s">
        <v>72</v>
      </c>
      <c r="D1" s="15"/>
      <c r="E1" s="15" t="s">
        <v>73</v>
      </c>
    </row>
    <row r="2" spans="1:5" x14ac:dyDescent="0.15">
      <c r="A2" s="16"/>
      <c r="B2" s="16"/>
      <c r="C2" s="16"/>
      <c r="D2" s="16"/>
      <c r="E2" s="16"/>
    </row>
    <row r="3" spans="1:5" x14ac:dyDescent="0.15">
      <c r="A3" s="16"/>
      <c r="B3" s="16">
        <v>1</v>
      </c>
      <c r="C3" s="16" t="s">
        <v>1</v>
      </c>
      <c r="D3" s="16"/>
      <c r="E3" s="16"/>
    </row>
    <row r="4" spans="1:5" x14ac:dyDescent="0.15">
      <c r="A4" s="16"/>
      <c r="B4" s="16"/>
      <c r="C4" s="17" t="s">
        <v>33</v>
      </c>
      <c r="D4" s="16"/>
      <c r="E4" s="16" t="s">
        <v>140</v>
      </c>
    </row>
    <row r="5" spans="1:5" x14ac:dyDescent="0.15">
      <c r="A5" s="16"/>
      <c r="B5" s="16"/>
      <c r="C5" s="16"/>
      <c r="D5" s="16"/>
      <c r="E5" s="16"/>
    </row>
    <row r="6" spans="1:5" x14ac:dyDescent="0.15">
      <c r="A6" s="16"/>
      <c r="B6" s="16">
        <v>2</v>
      </c>
      <c r="C6" s="16" t="s">
        <v>2</v>
      </c>
      <c r="D6" s="16" t="s">
        <v>91</v>
      </c>
      <c r="E6" s="16"/>
    </row>
    <row r="7" spans="1:5" x14ac:dyDescent="0.15">
      <c r="A7" s="16"/>
      <c r="B7" s="16"/>
      <c r="C7" s="17" t="s">
        <v>34</v>
      </c>
      <c r="D7" s="16"/>
      <c r="E7" s="16" t="s">
        <v>0</v>
      </c>
    </row>
    <row r="8" spans="1:5" x14ac:dyDescent="0.15">
      <c r="A8" s="16"/>
      <c r="B8" s="16"/>
      <c r="C8" s="16"/>
      <c r="D8" s="16"/>
      <c r="E8" s="16"/>
    </row>
    <row r="9" spans="1:5" x14ac:dyDescent="0.15">
      <c r="A9" s="19">
        <v>6</v>
      </c>
      <c r="B9" s="16">
        <v>3</v>
      </c>
      <c r="C9" s="18" t="s">
        <v>3</v>
      </c>
      <c r="D9" s="16" t="s">
        <v>76</v>
      </c>
      <c r="E9" s="16"/>
    </row>
    <row r="10" spans="1:5" x14ac:dyDescent="0.15">
      <c r="A10" s="16"/>
      <c r="B10" s="16"/>
      <c r="C10" s="17" t="s">
        <v>35</v>
      </c>
      <c r="D10" s="16"/>
      <c r="E10" s="16" t="s">
        <v>0</v>
      </c>
    </row>
    <row r="11" spans="1:5" x14ac:dyDescent="0.15">
      <c r="A11" s="16"/>
      <c r="B11" s="16"/>
      <c r="C11" s="16"/>
      <c r="D11" s="16"/>
      <c r="E11" s="16"/>
    </row>
    <row r="12" spans="1:5" x14ac:dyDescent="0.15">
      <c r="A12" s="16"/>
      <c r="B12" s="16">
        <v>4</v>
      </c>
      <c r="C12" s="16" t="s">
        <v>4</v>
      </c>
      <c r="D12" s="16" t="s">
        <v>85</v>
      </c>
      <c r="E12" s="16"/>
    </row>
    <row r="13" spans="1:5" x14ac:dyDescent="0.15">
      <c r="A13" s="16"/>
      <c r="B13" s="16"/>
      <c r="C13" s="17" t="s">
        <v>36</v>
      </c>
      <c r="D13" s="16"/>
      <c r="E13" s="16" t="s">
        <v>0</v>
      </c>
    </row>
    <row r="14" spans="1:5" x14ac:dyDescent="0.15">
      <c r="A14" s="16"/>
      <c r="B14" s="16"/>
      <c r="C14" s="16"/>
      <c r="D14" s="16"/>
      <c r="E14" s="16"/>
    </row>
    <row r="15" spans="1:5" x14ac:dyDescent="0.15">
      <c r="A15" s="16"/>
      <c r="B15" s="16">
        <v>5</v>
      </c>
      <c r="C15" s="16" t="s">
        <v>5</v>
      </c>
      <c r="D15" s="18" t="s">
        <v>137</v>
      </c>
      <c r="E15" s="16"/>
    </row>
    <row r="16" spans="1:5" x14ac:dyDescent="0.15">
      <c r="A16" s="16"/>
      <c r="B16" s="16"/>
      <c r="C16" s="17" t="s">
        <v>37</v>
      </c>
      <c r="D16" s="16"/>
      <c r="E16" s="16" t="s">
        <v>0</v>
      </c>
    </row>
    <row r="17" spans="1:5" x14ac:dyDescent="0.15">
      <c r="A17" s="16"/>
      <c r="B17" s="16"/>
      <c r="C17" s="16"/>
      <c r="D17" s="16"/>
      <c r="E17" s="16"/>
    </row>
    <row r="18" spans="1:5" x14ac:dyDescent="0.15">
      <c r="A18" s="16"/>
      <c r="B18" s="16">
        <v>6</v>
      </c>
      <c r="C18" s="16" t="s">
        <v>6</v>
      </c>
      <c r="D18" s="16" t="s">
        <v>86</v>
      </c>
      <c r="E18" s="16"/>
    </row>
    <row r="19" spans="1:5" x14ac:dyDescent="0.15">
      <c r="A19" s="16"/>
      <c r="B19" s="16"/>
      <c r="C19" s="17" t="s">
        <v>38</v>
      </c>
      <c r="D19" s="16"/>
      <c r="E19" s="16" t="s">
        <v>0</v>
      </c>
    </row>
    <row r="20" spans="1:5" x14ac:dyDescent="0.15">
      <c r="A20" s="16"/>
      <c r="B20" s="16"/>
      <c r="C20" s="16"/>
      <c r="D20" s="16"/>
      <c r="E20" s="16"/>
    </row>
    <row r="21" spans="1:5" x14ac:dyDescent="0.15">
      <c r="A21" s="16"/>
      <c r="B21" s="16">
        <v>7</v>
      </c>
      <c r="C21" s="16" t="s">
        <v>7</v>
      </c>
      <c r="D21" s="18" t="s">
        <v>141</v>
      </c>
      <c r="E21" s="16"/>
    </row>
    <row r="22" spans="1:5" x14ac:dyDescent="0.15">
      <c r="A22" s="16"/>
      <c r="B22" s="16"/>
      <c r="C22" s="17" t="s">
        <v>39</v>
      </c>
      <c r="D22" s="16"/>
      <c r="E22" s="16" t="s">
        <v>0</v>
      </c>
    </row>
    <row r="23" spans="1:5" x14ac:dyDescent="0.15">
      <c r="A23" s="16"/>
      <c r="B23" s="16"/>
      <c r="C23" s="16"/>
      <c r="D23" s="16"/>
      <c r="E23" s="16"/>
    </row>
    <row r="24" spans="1:5" x14ac:dyDescent="0.15">
      <c r="A24" s="16"/>
      <c r="B24" s="16">
        <v>8</v>
      </c>
      <c r="C24" s="16" t="s">
        <v>8</v>
      </c>
      <c r="D24" s="16" t="s">
        <v>87</v>
      </c>
      <c r="E24" s="16"/>
    </row>
    <row r="25" spans="1:5" x14ac:dyDescent="0.15">
      <c r="A25" s="16"/>
      <c r="B25" s="16"/>
      <c r="C25" s="17" t="s">
        <v>40</v>
      </c>
      <c r="D25" s="16"/>
      <c r="E25" s="16" t="s">
        <v>0</v>
      </c>
    </row>
    <row r="26" spans="1:5" x14ac:dyDescent="0.15">
      <c r="A26" s="16"/>
      <c r="B26" s="16"/>
      <c r="C26" s="16"/>
      <c r="D26" s="16"/>
      <c r="E26" s="16"/>
    </row>
    <row r="27" spans="1:5" x14ac:dyDescent="0.15">
      <c r="A27" s="16"/>
      <c r="B27" s="16">
        <v>9</v>
      </c>
      <c r="C27" s="16" t="s">
        <v>9</v>
      </c>
      <c r="D27" s="16" t="s">
        <v>81</v>
      </c>
      <c r="E27" s="16"/>
    </row>
    <row r="28" spans="1:5" x14ac:dyDescent="0.15">
      <c r="A28" s="16"/>
      <c r="B28" s="16"/>
      <c r="C28" s="17" t="s">
        <v>41</v>
      </c>
      <c r="D28" s="16"/>
      <c r="E28" s="16" t="s">
        <v>0</v>
      </c>
    </row>
    <row r="29" spans="1:5" x14ac:dyDescent="0.15">
      <c r="A29" s="16"/>
      <c r="B29" s="16"/>
      <c r="C29" s="16"/>
      <c r="D29" s="16"/>
      <c r="E29" s="16"/>
    </row>
    <row r="30" spans="1:5" x14ac:dyDescent="0.15">
      <c r="A30" s="19">
        <v>10</v>
      </c>
      <c r="B30" s="16">
        <v>10</v>
      </c>
      <c r="C30" s="18" t="s">
        <v>10</v>
      </c>
      <c r="D30" s="16" t="s">
        <v>79</v>
      </c>
      <c r="E30" s="16"/>
    </row>
    <row r="31" spans="1:5" x14ac:dyDescent="0.15">
      <c r="A31" s="16"/>
      <c r="B31" s="16"/>
      <c r="C31" s="17" t="s">
        <v>42</v>
      </c>
      <c r="D31" s="16"/>
      <c r="E31" s="16" t="s">
        <v>0</v>
      </c>
    </row>
    <row r="32" spans="1:5" x14ac:dyDescent="0.15">
      <c r="A32" s="16"/>
      <c r="B32" s="16"/>
      <c r="C32" s="16"/>
      <c r="D32" s="16"/>
      <c r="E32" s="16"/>
    </row>
    <row r="33" spans="1:5" x14ac:dyDescent="0.15">
      <c r="A33" s="16"/>
      <c r="B33" s="16">
        <v>11</v>
      </c>
      <c r="C33" s="16" t="s">
        <v>11</v>
      </c>
      <c r="D33" s="16" t="s">
        <v>88</v>
      </c>
      <c r="E33" s="16"/>
    </row>
    <row r="34" spans="1:5" x14ac:dyDescent="0.15">
      <c r="A34" s="16"/>
      <c r="B34" s="16"/>
      <c r="C34" s="17" t="s">
        <v>43</v>
      </c>
      <c r="D34" s="16"/>
      <c r="E34" s="16" t="s">
        <v>0</v>
      </c>
    </row>
    <row r="35" spans="1:5" x14ac:dyDescent="0.15">
      <c r="A35" s="16"/>
      <c r="B35" s="16"/>
      <c r="C35" s="16"/>
      <c r="D35" s="16"/>
      <c r="E35" s="16"/>
    </row>
    <row r="36" spans="1:5" x14ac:dyDescent="0.15">
      <c r="A36" s="16"/>
      <c r="B36" s="16">
        <v>12</v>
      </c>
      <c r="C36" s="16" t="s">
        <v>12</v>
      </c>
      <c r="D36" s="16" t="s">
        <v>89</v>
      </c>
      <c r="E36" s="16"/>
    </row>
    <row r="37" spans="1:5" x14ac:dyDescent="0.15">
      <c r="A37" s="16"/>
      <c r="B37" s="16"/>
      <c r="C37" s="17" t="s">
        <v>44</v>
      </c>
      <c r="D37" s="16"/>
      <c r="E37" s="16" t="s">
        <v>0</v>
      </c>
    </row>
    <row r="38" spans="1:5" x14ac:dyDescent="0.15">
      <c r="A38" s="16"/>
      <c r="B38" s="16"/>
      <c r="C38" s="16"/>
      <c r="D38" s="16"/>
      <c r="E38" s="16"/>
    </row>
    <row r="39" spans="1:5" x14ac:dyDescent="0.15">
      <c r="A39" s="16"/>
      <c r="B39" s="16">
        <v>13</v>
      </c>
      <c r="C39" s="16" t="s">
        <v>13</v>
      </c>
      <c r="D39" s="16"/>
      <c r="E39" s="16"/>
    </row>
    <row r="40" spans="1:5" x14ac:dyDescent="0.15">
      <c r="A40" s="16"/>
      <c r="B40" s="16"/>
      <c r="C40" s="17" t="s">
        <v>45</v>
      </c>
      <c r="D40" s="16"/>
      <c r="E40" s="16" t="s">
        <v>0</v>
      </c>
    </row>
    <row r="41" spans="1:5" x14ac:dyDescent="0.15">
      <c r="A41" s="16"/>
      <c r="B41" s="16"/>
      <c r="C41" s="16"/>
      <c r="D41" s="16"/>
      <c r="E41" s="16"/>
    </row>
    <row r="42" spans="1:5" x14ac:dyDescent="0.15">
      <c r="A42" s="16"/>
      <c r="B42" s="16">
        <v>14</v>
      </c>
      <c r="C42" s="16" t="s">
        <v>14</v>
      </c>
      <c r="D42" s="16" t="s">
        <v>85</v>
      </c>
      <c r="E42" s="16"/>
    </row>
    <row r="43" spans="1:5" x14ac:dyDescent="0.15">
      <c r="A43" s="16"/>
      <c r="B43" s="16"/>
      <c r="C43" s="17" t="s">
        <v>46</v>
      </c>
      <c r="D43" s="16"/>
      <c r="E43" s="16" t="s">
        <v>0</v>
      </c>
    </row>
    <row r="44" spans="1:5" x14ac:dyDescent="0.15">
      <c r="A44" s="16"/>
      <c r="B44" s="16"/>
      <c r="C44" s="16"/>
      <c r="D44" s="16"/>
      <c r="E44" s="16"/>
    </row>
    <row r="45" spans="1:5" x14ac:dyDescent="0.15">
      <c r="A45" s="16"/>
      <c r="B45" s="16">
        <v>15</v>
      </c>
      <c r="C45" s="16" t="s">
        <v>505</v>
      </c>
      <c r="D45" s="16" t="s">
        <v>81</v>
      </c>
      <c r="E45" s="16"/>
    </row>
    <row r="46" spans="1:5" x14ac:dyDescent="0.15">
      <c r="A46" s="16"/>
      <c r="B46" s="16"/>
      <c r="C46" s="17" t="s">
        <v>47</v>
      </c>
      <c r="D46" s="16"/>
      <c r="E46" s="16" t="s">
        <v>0</v>
      </c>
    </row>
    <row r="47" spans="1:5" x14ac:dyDescent="0.15">
      <c r="A47" s="16"/>
      <c r="B47" s="16"/>
      <c r="C47" s="16"/>
      <c r="D47" s="16"/>
      <c r="E47" s="16"/>
    </row>
    <row r="48" spans="1:5" x14ac:dyDescent="0.15">
      <c r="A48" s="16"/>
      <c r="B48" s="16">
        <v>16</v>
      </c>
      <c r="C48" s="16" t="s">
        <v>504</v>
      </c>
      <c r="D48" s="16" t="s">
        <v>81</v>
      </c>
      <c r="E48" s="16"/>
    </row>
    <row r="49" spans="1:5" x14ac:dyDescent="0.15">
      <c r="A49" s="16"/>
      <c r="B49" s="16"/>
      <c r="C49" s="17" t="s">
        <v>48</v>
      </c>
      <c r="D49" s="16"/>
      <c r="E49" s="16" t="s">
        <v>0</v>
      </c>
    </row>
    <row r="50" spans="1:5" x14ac:dyDescent="0.15">
      <c r="A50" s="16"/>
      <c r="B50" s="16"/>
      <c r="C50" s="16"/>
      <c r="D50" s="16"/>
      <c r="E50" s="16"/>
    </row>
    <row r="51" spans="1:5" x14ac:dyDescent="0.15">
      <c r="A51" s="19">
        <v>7</v>
      </c>
      <c r="B51" s="16">
        <v>17</v>
      </c>
      <c r="C51" s="18" t="s">
        <v>15</v>
      </c>
      <c r="D51" s="16" t="s">
        <v>77</v>
      </c>
      <c r="E51" s="16"/>
    </row>
    <row r="52" spans="1:5" x14ac:dyDescent="0.15">
      <c r="A52" s="16"/>
      <c r="B52" s="16"/>
      <c r="C52" s="17" t="s">
        <v>49</v>
      </c>
      <c r="D52" s="16"/>
      <c r="E52" s="16" t="s">
        <v>0</v>
      </c>
    </row>
    <row r="53" spans="1:5" x14ac:dyDescent="0.15">
      <c r="A53" s="16"/>
      <c r="B53" s="16"/>
      <c r="C53" s="16"/>
      <c r="D53" s="16"/>
      <c r="E53" s="16"/>
    </row>
    <row r="54" spans="1:5" x14ac:dyDescent="0.15">
      <c r="A54" s="19">
        <v>11</v>
      </c>
      <c r="B54" s="16">
        <v>18</v>
      </c>
      <c r="C54" s="18" t="s">
        <v>16</v>
      </c>
      <c r="D54" s="16" t="s">
        <v>80</v>
      </c>
      <c r="E54" s="16"/>
    </row>
    <row r="55" spans="1:5" x14ac:dyDescent="0.15">
      <c r="A55" s="16"/>
      <c r="B55" s="16"/>
      <c r="C55" s="17" t="s">
        <v>50</v>
      </c>
      <c r="D55" s="16"/>
      <c r="E55" s="16" t="s">
        <v>0</v>
      </c>
    </row>
    <row r="56" spans="1:5" x14ac:dyDescent="0.15">
      <c r="A56" s="16"/>
      <c r="B56" s="16"/>
      <c r="C56" s="16"/>
      <c r="D56" s="16"/>
      <c r="E56" s="16"/>
    </row>
    <row r="57" spans="1:5" x14ac:dyDescent="0.15">
      <c r="A57" s="16"/>
      <c r="B57" s="16">
        <v>19</v>
      </c>
      <c r="C57" s="16" t="s">
        <v>6</v>
      </c>
      <c r="D57" s="16" t="s">
        <v>86</v>
      </c>
      <c r="E57" s="16"/>
    </row>
    <row r="58" spans="1:5" x14ac:dyDescent="0.15">
      <c r="A58" s="16"/>
      <c r="B58" s="16"/>
      <c r="C58" s="17" t="s">
        <v>90</v>
      </c>
      <c r="D58" s="16"/>
      <c r="E58" s="16" t="s">
        <v>0</v>
      </c>
    </row>
    <row r="59" spans="1:5" x14ac:dyDescent="0.15">
      <c r="A59" s="16"/>
      <c r="B59" s="16"/>
      <c r="C59" s="16"/>
      <c r="D59" s="16"/>
      <c r="E59" s="16"/>
    </row>
    <row r="60" spans="1:5" x14ac:dyDescent="0.15">
      <c r="A60" s="16"/>
      <c r="B60" s="16">
        <v>20</v>
      </c>
      <c r="C60" s="16" t="s">
        <v>17</v>
      </c>
      <c r="D60" s="16" t="s">
        <v>82</v>
      </c>
      <c r="E60" s="16"/>
    </row>
    <row r="61" spans="1:5" x14ac:dyDescent="0.15">
      <c r="A61" s="16"/>
      <c r="B61" s="16"/>
      <c r="C61" s="17" t="s">
        <v>51</v>
      </c>
      <c r="D61" s="16"/>
      <c r="E61" s="16" t="s">
        <v>0</v>
      </c>
    </row>
    <row r="62" spans="1:5" x14ac:dyDescent="0.15">
      <c r="A62" s="16"/>
      <c r="B62" s="16"/>
      <c r="C62" s="16"/>
      <c r="D62" s="16"/>
      <c r="E62" s="16"/>
    </row>
    <row r="63" spans="1:5" x14ac:dyDescent="0.15">
      <c r="A63" s="16"/>
      <c r="B63" s="16">
        <v>21</v>
      </c>
      <c r="C63" s="16" t="s">
        <v>2</v>
      </c>
      <c r="D63" s="16" t="s">
        <v>91</v>
      </c>
      <c r="E63" s="16"/>
    </row>
    <row r="64" spans="1:5" x14ac:dyDescent="0.15">
      <c r="A64" s="16"/>
      <c r="B64" s="16"/>
      <c r="C64" s="17" t="s">
        <v>52</v>
      </c>
      <c r="D64" s="16"/>
      <c r="E64" s="16" t="s">
        <v>0</v>
      </c>
    </row>
    <row r="65" spans="1:5" x14ac:dyDescent="0.15">
      <c r="A65" s="16"/>
      <c r="B65" s="16"/>
      <c r="C65" s="16"/>
      <c r="D65" s="16"/>
      <c r="E65" s="16"/>
    </row>
    <row r="66" spans="1:5" x14ac:dyDescent="0.15">
      <c r="A66" s="16"/>
      <c r="B66" s="16">
        <v>22</v>
      </c>
      <c r="C66" s="16" t="s">
        <v>18</v>
      </c>
      <c r="D66" s="16" t="s">
        <v>92</v>
      </c>
      <c r="E66" s="16"/>
    </row>
    <row r="67" spans="1:5" x14ac:dyDescent="0.15">
      <c r="A67" s="16"/>
      <c r="B67" s="16"/>
      <c r="C67" s="17" t="s">
        <v>53</v>
      </c>
      <c r="D67" s="16"/>
      <c r="E67" s="16" t="s">
        <v>0</v>
      </c>
    </row>
    <row r="68" spans="1:5" x14ac:dyDescent="0.15">
      <c r="A68" s="16"/>
      <c r="B68" s="16"/>
      <c r="C68" s="16"/>
      <c r="D68" s="16"/>
      <c r="E68" s="16"/>
    </row>
    <row r="69" spans="1:5" x14ac:dyDescent="0.15">
      <c r="A69" s="16"/>
      <c r="B69" s="16">
        <v>23</v>
      </c>
      <c r="C69" s="16" t="s">
        <v>19</v>
      </c>
      <c r="D69" s="16"/>
      <c r="E69" s="16"/>
    </row>
    <row r="70" spans="1:5" x14ac:dyDescent="0.15">
      <c r="A70" s="16"/>
      <c r="B70" s="16"/>
      <c r="C70" s="17" t="s">
        <v>54</v>
      </c>
      <c r="D70" s="16"/>
      <c r="E70" s="16" t="s">
        <v>0</v>
      </c>
    </row>
    <row r="71" spans="1:5" x14ac:dyDescent="0.15">
      <c r="A71" s="16"/>
      <c r="B71" s="16"/>
      <c r="C71" s="16"/>
      <c r="D71" s="16"/>
      <c r="E71" s="16"/>
    </row>
    <row r="72" spans="1:5" x14ac:dyDescent="0.15">
      <c r="A72" s="16"/>
      <c r="B72" s="16">
        <v>24</v>
      </c>
      <c r="C72" s="16" t="s">
        <v>20</v>
      </c>
      <c r="D72" s="16"/>
      <c r="E72" s="16"/>
    </row>
    <row r="73" spans="1:5" x14ac:dyDescent="0.15">
      <c r="A73" s="16"/>
      <c r="B73" s="16"/>
      <c r="C73" s="17" t="s">
        <v>55</v>
      </c>
      <c r="D73" s="16"/>
      <c r="E73" s="16" t="s">
        <v>0</v>
      </c>
    </row>
    <row r="74" spans="1:5" x14ac:dyDescent="0.15">
      <c r="A74" s="16"/>
      <c r="B74" s="16"/>
      <c r="C74" s="16"/>
      <c r="D74" s="16"/>
      <c r="E74" s="16"/>
    </row>
    <row r="75" spans="1:5" x14ac:dyDescent="0.15">
      <c r="A75" s="16"/>
      <c r="B75" s="16">
        <v>25</v>
      </c>
      <c r="C75" s="16" t="s">
        <v>21</v>
      </c>
      <c r="D75" s="16" t="s">
        <v>83</v>
      </c>
      <c r="E75" s="16"/>
    </row>
    <row r="76" spans="1:5" x14ac:dyDescent="0.15">
      <c r="A76" s="16"/>
      <c r="B76" s="16"/>
      <c r="C76" s="17" t="s">
        <v>56</v>
      </c>
      <c r="D76" s="16"/>
      <c r="E76" s="16" t="s">
        <v>0</v>
      </c>
    </row>
    <row r="77" spans="1:5" x14ac:dyDescent="0.15">
      <c r="A77" s="16"/>
      <c r="B77" s="16"/>
      <c r="C77" s="16"/>
      <c r="D77" s="16"/>
      <c r="E77" s="16"/>
    </row>
    <row r="78" spans="1:5" x14ac:dyDescent="0.15">
      <c r="A78" s="16"/>
      <c r="B78" s="16">
        <v>26</v>
      </c>
      <c r="C78" s="16" t="s">
        <v>18</v>
      </c>
      <c r="D78" s="16" t="s">
        <v>92</v>
      </c>
      <c r="E78" s="16"/>
    </row>
    <row r="79" spans="1:5" x14ac:dyDescent="0.15">
      <c r="A79" s="16"/>
      <c r="B79" s="16"/>
      <c r="C79" s="17" t="s">
        <v>57</v>
      </c>
      <c r="D79" s="16"/>
      <c r="E79" s="16" t="s">
        <v>0</v>
      </c>
    </row>
    <row r="80" spans="1:5" x14ac:dyDescent="0.15">
      <c r="A80" s="16"/>
      <c r="B80" s="16"/>
      <c r="C80" s="16"/>
      <c r="D80" s="16"/>
      <c r="E80" s="16"/>
    </row>
    <row r="81" spans="1:5" x14ac:dyDescent="0.15">
      <c r="A81" s="19">
        <v>8</v>
      </c>
      <c r="B81" s="16">
        <v>27</v>
      </c>
      <c r="C81" s="18" t="s">
        <v>22</v>
      </c>
      <c r="D81" s="16" t="s">
        <v>78</v>
      </c>
      <c r="E81" s="16"/>
    </row>
    <row r="82" spans="1:5" x14ac:dyDescent="0.15">
      <c r="A82" s="16"/>
      <c r="B82" s="16"/>
      <c r="C82" s="17" t="s">
        <v>58</v>
      </c>
      <c r="D82" s="16"/>
      <c r="E82" s="16" t="s">
        <v>0</v>
      </c>
    </row>
    <row r="83" spans="1:5" x14ac:dyDescent="0.15">
      <c r="A83" s="16"/>
      <c r="B83" s="16"/>
      <c r="C83" s="16"/>
      <c r="D83" s="16"/>
      <c r="E83" s="16"/>
    </row>
    <row r="84" spans="1:5" x14ac:dyDescent="0.15">
      <c r="A84" s="19">
        <v>5</v>
      </c>
      <c r="B84" s="16">
        <v>28</v>
      </c>
      <c r="C84" s="18" t="s">
        <v>23</v>
      </c>
      <c r="D84" s="16" t="s">
        <v>75</v>
      </c>
      <c r="E84" s="16"/>
    </row>
    <row r="85" spans="1:5" x14ac:dyDescent="0.15">
      <c r="A85" s="16"/>
      <c r="B85" s="16"/>
      <c r="C85" s="17" t="s">
        <v>59</v>
      </c>
      <c r="D85" s="16"/>
      <c r="E85" s="16" t="s">
        <v>0</v>
      </c>
    </row>
    <row r="86" spans="1:5" x14ac:dyDescent="0.15">
      <c r="A86" s="16"/>
      <c r="B86" s="16"/>
      <c r="C86" s="16"/>
      <c r="D86" s="16"/>
      <c r="E86" s="16"/>
    </row>
    <row r="87" spans="1:5" x14ac:dyDescent="0.15">
      <c r="A87" s="19">
        <v>4</v>
      </c>
      <c r="B87" s="16">
        <v>29</v>
      </c>
      <c r="C87" s="18" t="s">
        <v>24</v>
      </c>
      <c r="D87" s="16" t="s">
        <v>74</v>
      </c>
      <c r="E87" s="16"/>
    </row>
    <row r="88" spans="1:5" x14ac:dyDescent="0.15">
      <c r="A88" s="16"/>
      <c r="B88" s="16"/>
      <c r="C88" s="17" t="s">
        <v>60</v>
      </c>
      <c r="D88" s="16"/>
      <c r="E88" s="16" t="s">
        <v>0</v>
      </c>
    </row>
    <row r="89" spans="1:5" x14ac:dyDescent="0.15">
      <c r="A89" s="16"/>
      <c r="B89" s="16"/>
      <c r="C89" s="16"/>
      <c r="D89" s="16"/>
      <c r="E89" s="16"/>
    </row>
    <row r="90" spans="1:5" x14ac:dyDescent="0.15">
      <c r="A90" s="19">
        <v>4</v>
      </c>
      <c r="B90" s="16">
        <v>30</v>
      </c>
      <c r="C90" s="18" t="s">
        <v>25</v>
      </c>
      <c r="D90" s="16" t="s">
        <v>74</v>
      </c>
      <c r="E90" s="16"/>
    </row>
    <row r="91" spans="1:5" x14ac:dyDescent="0.15">
      <c r="A91" s="16"/>
      <c r="B91" s="16"/>
      <c r="C91" s="17" t="s">
        <v>61</v>
      </c>
      <c r="D91" s="16"/>
      <c r="E91" s="16" t="s">
        <v>0</v>
      </c>
    </row>
    <row r="92" spans="1:5" x14ac:dyDescent="0.15">
      <c r="A92" s="16"/>
      <c r="B92" s="16"/>
      <c r="C92" s="16"/>
      <c r="D92" s="16"/>
      <c r="E92" s="16"/>
    </row>
    <row r="93" spans="1:5" x14ac:dyDescent="0.15">
      <c r="A93" s="19">
        <v>5</v>
      </c>
      <c r="B93" s="16">
        <v>31</v>
      </c>
      <c r="C93" s="18" t="s">
        <v>26</v>
      </c>
      <c r="D93" s="16" t="s">
        <v>75</v>
      </c>
      <c r="E93" s="16"/>
    </row>
    <row r="94" spans="1:5" x14ac:dyDescent="0.15">
      <c r="A94" s="16"/>
      <c r="B94" s="16"/>
      <c r="C94" s="17" t="s">
        <v>62</v>
      </c>
      <c r="D94" s="16"/>
      <c r="E94" s="16" t="s">
        <v>0</v>
      </c>
    </row>
    <row r="95" spans="1:5" x14ac:dyDescent="0.15">
      <c r="A95" s="16"/>
      <c r="B95" s="16"/>
      <c r="C95" s="16"/>
      <c r="D95" s="16"/>
      <c r="E95" s="16"/>
    </row>
    <row r="96" spans="1:5" x14ac:dyDescent="0.15">
      <c r="A96" s="16"/>
      <c r="B96" s="16">
        <v>32</v>
      </c>
      <c r="C96" s="16" t="s">
        <v>27</v>
      </c>
      <c r="D96" s="16" t="s">
        <v>93</v>
      </c>
      <c r="E96" s="16"/>
    </row>
    <row r="97" spans="1:5" x14ac:dyDescent="0.15">
      <c r="A97" s="16"/>
      <c r="B97" s="16"/>
      <c r="C97" s="17" t="s">
        <v>63</v>
      </c>
      <c r="D97" s="16"/>
      <c r="E97" s="16" t="s">
        <v>0</v>
      </c>
    </row>
    <row r="98" spans="1:5" x14ac:dyDescent="0.15">
      <c r="A98" s="16"/>
      <c r="B98" s="16"/>
      <c r="C98" s="16"/>
      <c r="D98" s="16"/>
      <c r="E98" s="16"/>
    </row>
    <row r="99" spans="1:5" x14ac:dyDescent="0.15">
      <c r="A99" s="19">
        <v>4</v>
      </c>
      <c r="B99" s="16">
        <v>33</v>
      </c>
      <c r="C99" s="18" t="s">
        <v>28</v>
      </c>
      <c r="D99" s="16" t="s">
        <v>74</v>
      </c>
      <c r="E99" s="16"/>
    </row>
    <row r="100" spans="1:5" x14ac:dyDescent="0.15">
      <c r="A100" s="16"/>
      <c r="B100" s="16"/>
      <c r="C100" s="17" t="s">
        <v>64</v>
      </c>
      <c r="D100" s="16"/>
      <c r="E100" s="16" t="s">
        <v>0</v>
      </c>
    </row>
    <row r="101" spans="1:5" x14ac:dyDescent="0.15">
      <c r="A101" s="16"/>
      <c r="B101" s="16"/>
      <c r="C101" s="16"/>
      <c r="D101" s="16"/>
      <c r="E101" s="16"/>
    </row>
    <row r="102" spans="1:5" x14ac:dyDescent="0.15">
      <c r="A102" s="19">
        <v>4</v>
      </c>
      <c r="B102" s="16">
        <v>34</v>
      </c>
      <c r="C102" s="18" t="s">
        <v>29</v>
      </c>
      <c r="D102" s="16" t="s">
        <v>74</v>
      </c>
      <c r="E102" s="16"/>
    </row>
    <row r="103" spans="1:5" x14ac:dyDescent="0.15">
      <c r="A103" s="16"/>
      <c r="B103" s="16"/>
      <c r="C103" s="17" t="s">
        <v>65</v>
      </c>
      <c r="D103" s="16"/>
      <c r="E103" s="16" t="s">
        <v>0</v>
      </c>
    </row>
    <row r="104" spans="1:5" x14ac:dyDescent="0.15">
      <c r="A104" s="16"/>
      <c r="B104" s="16"/>
      <c r="C104" s="16"/>
      <c r="D104" s="16"/>
      <c r="E104" s="16"/>
    </row>
    <row r="105" spans="1:5" x14ac:dyDescent="0.15">
      <c r="A105" s="19">
        <v>4</v>
      </c>
      <c r="B105" s="16">
        <v>35</v>
      </c>
      <c r="C105" s="18" t="s">
        <v>25</v>
      </c>
      <c r="D105" s="16" t="s">
        <v>74</v>
      </c>
      <c r="E105" s="16"/>
    </row>
    <row r="106" spans="1:5" x14ac:dyDescent="0.15">
      <c r="A106" s="16"/>
      <c r="B106" s="16"/>
      <c r="C106" s="17" t="s">
        <v>66</v>
      </c>
      <c r="D106" s="16"/>
      <c r="E106" s="16" t="s">
        <v>0</v>
      </c>
    </row>
    <row r="107" spans="1:5" x14ac:dyDescent="0.15">
      <c r="A107" s="16"/>
      <c r="B107" s="16"/>
      <c r="C107" s="16"/>
      <c r="D107" s="16"/>
      <c r="E107" s="16"/>
    </row>
    <row r="108" spans="1:5" x14ac:dyDescent="0.15">
      <c r="A108" s="19">
        <v>4</v>
      </c>
      <c r="B108" s="16">
        <v>36</v>
      </c>
      <c r="C108" s="18" t="s">
        <v>30</v>
      </c>
      <c r="D108" s="16" t="s">
        <v>74</v>
      </c>
      <c r="E108" s="16"/>
    </row>
    <row r="109" spans="1:5" x14ac:dyDescent="0.15">
      <c r="A109" s="16"/>
      <c r="B109" s="16"/>
      <c r="C109" s="17" t="s">
        <v>67</v>
      </c>
      <c r="D109" s="16"/>
      <c r="E109" s="16" t="s">
        <v>0</v>
      </c>
    </row>
    <row r="110" spans="1:5" x14ac:dyDescent="0.15">
      <c r="A110" s="16"/>
      <c r="B110" s="16"/>
      <c r="C110" s="16"/>
      <c r="D110" s="16"/>
      <c r="E110" s="16"/>
    </row>
    <row r="111" spans="1:5" x14ac:dyDescent="0.15">
      <c r="A111" s="16"/>
      <c r="B111" s="16">
        <v>37</v>
      </c>
      <c r="C111" s="16" t="s">
        <v>31</v>
      </c>
      <c r="D111" s="16"/>
      <c r="E111" s="16"/>
    </row>
    <row r="112" spans="1:5" x14ac:dyDescent="0.15">
      <c r="A112" s="16"/>
      <c r="B112" s="16"/>
      <c r="C112" s="17" t="s">
        <v>68</v>
      </c>
      <c r="D112" s="16" t="s">
        <v>84</v>
      </c>
      <c r="E112" s="16" t="s">
        <v>0</v>
      </c>
    </row>
    <row r="113" spans="1:5" x14ac:dyDescent="0.15">
      <c r="A113" s="16"/>
      <c r="B113" s="16"/>
      <c r="C113" s="16"/>
      <c r="D113" s="16"/>
      <c r="E113" s="16"/>
    </row>
    <row r="114" spans="1:5" x14ac:dyDescent="0.15">
      <c r="A114" s="16"/>
      <c r="B114" s="16">
        <v>38</v>
      </c>
      <c r="C114" s="16" t="s">
        <v>32</v>
      </c>
      <c r="D114" s="18" t="s">
        <v>139</v>
      </c>
      <c r="E114" s="16"/>
    </row>
    <row r="115" spans="1:5" x14ac:dyDescent="0.15">
      <c r="A115" s="16"/>
      <c r="B115" s="16"/>
      <c r="C115" s="17" t="s">
        <v>69</v>
      </c>
      <c r="D115" s="16" t="s">
        <v>138</v>
      </c>
      <c r="E115" s="16" t="s">
        <v>94</v>
      </c>
    </row>
  </sheetData>
  <phoneticPr fontId="2"/>
  <hyperlinks>
    <hyperlink ref="C4" r:id="rId1" xr:uid="{00000000-0004-0000-0200-000000000000}"/>
    <hyperlink ref="C7" r:id="rId2" xr:uid="{00000000-0004-0000-0200-000001000000}"/>
    <hyperlink ref="C10" r:id="rId3" xr:uid="{00000000-0004-0000-0200-000002000000}"/>
    <hyperlink ref="C13" r:id="rId4" xr:uid="{00000000-0004-0000-0200-000003000000}"/>
    <hyperlink ref="C16" r:id="rId5" xr:uid="{00000000-0004-0000-0200-000004000000}"/>
    <hyperlink ref="C19" r:id="rId6" xr:uid="{00000000-0004-0000-0200-000005000000}"/>
    <hyperlink ref="C22" r:id="rId7" xr:uid="{00000000-0004-0000-0200-000006000000}"/>
    <hyperlink ref="C25" r:id="rId8" xr:uid="{00000000-0004-0000-0200-000007000000}"/>
    <hyperlink ref="C28" r:id="rId9" xr:uid="{00000000-0004-0000-0200-000008000000}"/>
    <hyperlink ref="C31" r:id="rId10" xr:uid="{00000000-0004-0000-0200-000009000000}"/>
    <hyperlink ref="C34" r:id="rId11" xr:uid="{00000000-0004-0000-0200-00000A000000}"/>
    <hyperlink ref="C37" r:id="rId12" xr:uid="{00000000-0004-0000-0200-00000B000000}"/>
    <hyperlink ref="C40" r:id="rId13" xr:uid="{00000000-0004-0000-0200-00000C000000}"/>
    <hyperlink ref="C43" r:id="rId14" xr:uid="{00000000-0004-0000-0200-00000D000000}"/>
    <hyperlink ref="C46" r:id="rId15" xr:uid="{00000000-0004-0000-0200-00000E000000}"/>
    <hyperlink ref="C49" r:id="rId16" xr:uid="{00000000-0004-0000-0200-00000F000000}"/>
    <hyperlink ref="C52" r:id="rId17" xr:uid="{00000000-0004-0000-0200-000010000000}"/>
    <hyperlink ref="C55" r:id="rId18" xr:uid="{00000000-0004-0000-0200-000011000000}"/>
    <hyperlink ref="C58" r:id="rId19" xr:uid="{00000000-0004-0000-0200-000012000000}"/>
    <hyperlink ref="C61" r:id="rId20" xr:uid="{00000000-0004-0000-0200-000013000000}"/>
    <hyperlink ref="C64" r:id="rId21" xr:uid="{00000000-0004-0000-0200-000014000000}"/>
    <hyperlink ref="C67" r:id="rId22" xr:uid="{00000000-0004-0000-0200-000015000000}"/>
    <hyperlink ref="C70" r:id="rId23" xr:uid="{00000000-0004-0000-0200-000016000000}"/>
    <hyperlink ref="C73" r:id="rId24" xr:uid="{00000000-0004-0000-0200-000017000000}"/>
    <hyperlink ref="C76" r:id="rId25" xr:uid="{00000000-0004-0000-0200-000018000000}"/>
    <hyperlink ref="C79" r:id="rId26" xr:uid="{00000000-0004-0000-0200-000019000000}"/>
    <hyperlink ref="C82" r:id="rId27" xr:uid="{00000000-0004-0000-0200-00001A000000}"/>
    <hyperlink ref="C85" r:id="rId28" xr:uid="{00000000-0004-0000-0200-00001B000000}"/>
    <hyperlink ref="C88" r:id="rId29" xr:uid="{00000000-0004-0000-0200-00001C000000}"/>
    <hyperlink ref="C91" r:id="rId30" xr:uid="{00000000-0004-0000-0200-00001D000000}"/>
    <hyperlink ref="C94" r:id="rId31" xr:uid="{00000000-0004-0000-0200-00001E000000}"/>
    <hyperlink ref="C97" r:id="rId32" xr:uid="{00000000-0004-0000-0200-00001F000000}"/>
    <hyperlink ref="C100" r:id="rId33" xr:uid="{00000000-0004-0000-0200-000020000000}"/>
    <hyperlink ref="C103" r:id="rId34" xr:uid="{00000000-0004-0000-0200-000021000000}"/>
    <hyperlink ref="C106" r:id="rId35" xr:uid="{00000000-0004-0000-0200-000022000000}"/>
    <hyperlink ref="C109" r:id="rId36" xr:uid="{00000000-0004-0000-0200-000023000000}"/>
    <hyperlink ref="C112" r:id="rId37" xr:uid="{00000000-0004-0000-0200-000024000000}"/>
    <hyperlink ref="C115" r:id="rId38" xr:uid="{00000000-0004-0000-0200-000025000000}"/>
  </hyperlinks>
  <pageMargins left="0.7" right="0.7" top="0.75" bottom="0.75" header="0.3" footer="0.3"/>
  <pageSetup paperSize="9" orientation="portrait" horizontalDpi="4294967293" verticalDpi="0" r:id="rId3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C30"/>
  <sheetViews>
    <sheetView zoomScale="190" zoomScaleNormal="190" workbookViewId="0">
      <selection activeCell="C2" sqref="C2"/>
    </sheetView>
  </sheetViews>
  <sheetFormatPr defaultRowHeight="13.5" x14ac:dyDescent="0.15"/>
  <cols>
    <col min="2" max="2" width="36.125" customWidth="1"/>
  </cols>
  <sheetData>
    <row r="1" spans="1:3" x14ac:dyDescent="0.15">
      <c r="A1" s="3" t="s">
        <v>95</v>
      </c>
      <c r="B1" s="5" t="s">
        <v>96</v>
      </c>
      <c r="C1" s="4" t="s">
        <v>97</v>
      </c>
    </row>
    <row r="2" spans="1:3" x14ac:dyDescent="0.15">
      <c r="A2" s="6" t="s">
        <v>95</v>
      </c>
      <c r="B2" s="7" t="s">
        <v>98</v>
      </c>
      <c r="C2" s="4" t="s">
        <v>99</v>
      </c>
    </row>
    <row r="3" spans="1:3" x14ac:dyDescent="0.15">
      <c r="A3" s="3" t="s">
        <v>95</v>
      </c>
      <c r="B3" s="5" t="s">
        <v>100</v>
      </c>
      <c r="C3" s="4" t="s">
        <v>101</v>
      </c>
    </row>
    <row r="4" spans="1:3" x14ac:dyDescent="0.15">
      <c r="A4" s="3" t="s">
        <v>95</v>
      </c>
      <c r="B4" s="5" t="s">
        <v>102</v>
      </c>
      <c r="C4" s="4" t="s">
        <v>103</v>
      </c>
    </row>
    <row r="5" spans="1:3" x14ac:dyDescent="0.15">
      <c r="A5" s="3" t="s">
        <v>95</v>
      </c>
      <c r="B5" s="8" t="s">
        <v>104</v>
      </c>
      <c r="C5" s="9" t="s">
        <v>105</v>
      </c>
    </row>
    <row r="6" spans="1:3" x14ac:dyDescent="0.15">
      <c r="A6" s="3"/>
      <c r="C6" s="4"/>
    </row>
    <row r="7" spans="1:3" x14ac:dyDescent="0.15">
      <c r="A7" s="6" t="s">
        <v>95</v>
      </c>
      <c r="B7" s="10" t="s">
        <v>106</v>
      </c>
      <c r="C7" s="9" t="s">
        <v>107</v>
      </c>
    </row>
    <row r="8" spans="1:3" x14ac:dyDescent="0.15">
      <c r="A8" s="3"/>
    </row>
    <row r="9" spans="1:3" x14ac:dyDescent="0.15">
      <c r="A9" s="3" t="s">
        <v>95</v>
      </c>
      <c r="B9" s="5" t="s">
        <v>108</v>
      </c>
      <c r="C9" s="4" t="s">
        <v>109</v>
      </c>
    </row>
    <row r="10" spans="1:3" x14ac:dyDescent="0.15">
      <c r="A10" s="3"/>
    </row>
    <row r="11" spans="1:3" x14ac:dyDescent="0.15">
      <c r="A11" s="3" t="s">
        <v>95</v>
      </c>
      <c r="B11" s="5" t="s">
        <v>110</v>
      </c>
      <c r="C11" s="9" t="s">
        <v>111</v>
      </c>
    </row>
    <row r="12" spans="1:3" x14ac:dyDescent="0.15">
      <c r="A12" s="6" t="s">
        <v>112</v>
      </c>
      <c r="B12" s="10" t="s">
        <v>113</v>
      </c>
      <c r="C12" s="9" t="s">
        <v>114</v>
      </c>
    </row>
    <row r="13" spans="1:3" x14ac:dyDescent="0.15">
      <c r="A13" s="3"/>
      <c r="B13" s="11"/>
      <c r="C13" s="9" t="s">
        <v>115</v>
      </c>
    </row>
    <row r="14" spans="1:3" x14ac:dyDescent="0.15">
      <c r="A14" s="6" t="s">
        <v>95</v>
      </c>
      <c r="B14" s="12" t="s">
        <v>116</v>
      </c>
      <c r="C14" s="4" t="s">
        <v>117</v>
      </c>
    </row>
    <row r="15" spans="1:3" x14ac:dyDescent="0.15">
      <c r="A15" s="6"/>
      <c r="B15" s="12"/>
      <c r="C15" s="4"/>
    </row>
    <row r="16" spans="1:3" x14ac:dyDescent="0.15">
      <c r="A16" s="3" t="s">
        <v>95</v>
      </c>
      <c r="B16" s="13" t="s">
        <v>118</v>
      </c>
      <c r="C16" s="4" t="s">
        <v>119</v>
      </c>
    </row>
    <row r="17" spans="1:3" x14ac:dyDescent="0.15">
      <c r="A17" s="3"/>
      <c r="B17" s="14" t="s">
        <v>120</v>
      </c>
      <c r="C17" s="4" t="s">
        <v>121</v>
      </c>
    </row>
    <row r="18" spans="1:3" x14ac:dyDescent="0.15">
      <c r="A18" s="3"/>
      <c r="B18" s="14"/>
      <c r="C18" s="4"/>
    </row>
    <row r="19" spans="1:3" x14ac:dyDescent="0.15">
      <c r="A19" s="3"/>
      <c r="B19" s="14" t="s">
        <v>122</v>
      </c>
      <c r="C19" s="4" t="s">
        <v>123</v>
      </c>
    </row>
    <row r="20" spans="1:3" x14ac:dyDescent="0.15">
      <c r="A20" s="3"/>
      <c r="B20" s="14"/>
      <c r="C20" s="4"/>
    </row>
    <row r="21" spans="1:3" x14ac:dyDescent="0.15">
      <c r="A21" s="6" t="s">
        <v>95</v>
      </c>
      <c r="B21" s="5" t="s">
        <v>124</v>
      </c>
      <c r="C21" s="9" t="s">
        <v>125</v>
      </c>
    </row>
    <row r="22" spans="1:3" x14ac:dyDescent="0.15">
      <c r="A22" s="3"/>
    </row>
    <row r="23" spans="1:3" x14ac:dyDescent="0.15">
      <c r="A23" s="3" t="s">
        <v>95</v>
      </c>
      <c r="B23" s="5" t="s">
        <v>126</v>
      </c>
      <c r="C23" s="4" t="s">
        <v>127</v>
      </c>
    </row>
    <row r="24" spans="1:3" x14ac:dyDescent="0.15">
      <c r="A24" s="3"/>
      <c r="B24" s="5" t="s">
        <v>128</v>
      </c>
      <c r="C24" s="4"/>
    </row>
    <row r="25" spans="1:3" x14ac:dyDescent="0.15">
      <c r="A25" s="6" t="s">
        <v>95</v>
      </c>
      <c r="B25" s="5" t="s">
        <v>129</v>
      </c>
      <c r="C25" s="9" t="s">
        <v>130</v>
      </c>
    </row>
    <row r="26" spans="1:3" x14ac:dyDescent="0.15">
      <c r="A26" s="3"/>
    </row>
    <row r="27" spans="1:3" x14ac:dyDescent="0.15">
      <c r="A27" s="3" t="s">
        <v>95</v>
      </c>
      <c r="B27" s="5" t="s">
        <v>131</v>
      </c>
      <c r="C27" s="4" t="s">
        <v>132</v>
      </c>
    </row>
    <row r="28" spans="1:3" x14ac:dyDescent="0.15">
      <c r="A28" s="3"/>
      <c r="B28" s="5" t="s">
        <v>133</v>
      </c>
      <c r="C28" s="4" t="s">
        <v>134</v>
      </c>
    </row>
    <row r="29" spans="1:3" x14ac:dyDescent="0.15">
      <c r="A29" s="3"/>
    </row>
    <row r="30" spans="1:3" x14ac:dyDescent="0.15">
      <c r="A30" s="3" t="s">
        <v>95</v>
      </c>
      <c r="B30" t="s">
        <v>135</v>
      </c>
      <c r="C30" s="4" t="s">
        <v>136</v>
      </c>
    </row>
  </sheetData>
  <phoneticPr fontId="2"/>
  <hyperlinks>
    <hyperlink ref="C2" r:id="rId1" xr:uid="{00000000-0004-0000-0300-000000000000}"/>
    <hyperlink ref="C3" r:id="rId2" xr:uid="{00000000-0004-0000-0300-000001000000}"/>
    <hyperlink ref="C5" r:id="rId3" xr:uid="{00000000-0004-0000-0300-000002000000}"/>
    <hyperlink ref="C7" r:id="rId4" xr:uid="{00000000-0004-0000-0300-000003000000}"/>
    <hyperlink ref="C11" r:id="rId5" xr:uid="{00000000-0004-0000-0300-000004000000}"/>
    <hyperlink ref="C13" r:id="rId6" xr:uid="{00000000-0004-0000-0300-000005000000}"/>
    <hyperlink ref="C12" r:id="rId7" xr:uid="{00000000-0004-0000-0300-000006000000}"/>
    <hyperlink ref="C9" r:id="rId8" xr:uid="{00000000-0004-0000-0300-000007000000}"/>
    <hyperlink ref="C23" r:id="rId9" xr:uid="{00000000-0004-0000-0300-000008000000}"/>
    <hyperlink ref="C25" r:id="rId10" xr:uid="{00000000-0004-0000-0300-000009000000}"/>
    <hyperlink ref="C27" r:id="rId11" xr:uid="{00000000-0004-0000-0300-00000A000000}"/>
    <hyperlink ref="C21" r:id="rId12" xr:uid="{00000000-0004-0000-0300-00000B000000}"/>
    <hyperlink ref="C4" r:id="rId13" xr:uid="{00000000-0004-0000-0300-00000C000000}"/>
    <hyperlink ref="C1" r:id="rId14" xr:uid="{00000000-0004-0000-0300-00000D000000}"/>
    <hyperlink ref="C16" r:id="rId15" xr:uid="{00000000-0004-0000-0300-00000E000000}"/>
    <hyperlink ref="C14" r:id="rId16" xr:uid="{00000000-0004-0000-0300-00000F000000}"/>
    <hyperlink ref="C17" r:id="rId17" xr:uid="{00000000-0004-0000-0300-000010000000}"/>
    <hyperlink ref="C19" r:id="rId18" xr:uid="{00000000-0004-0000-0300-000011000000}"/>
    <hyperlink ref="C28" r:id="rId19" xr:uid="{00000000-0004-0000-0300-000012000000}"/>
    <hyperlink ref="C30" r:id="rId20" xr:uid="{00000000-0004-0000-0300-000013000000}"/>
  </hyperlinks>
  <pageMargins left="0.7" right="0.7" top="0.75" bottom="0.75" header="0.3" footer="0.3"/>
  <pageSetup paperSize="9" orientation="portrait" horizontalDpi="4294967293" verticalDpi="0" r:id="rId2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C7"/>
  <sheetViews>
    <sheetView zoomScale="190" zoomScaleNormal="190" workbookViewId="0">
      <selection activeCell="A2" sqref="A2"/>
    </sheetView>
  </sheetViews>
  <sheetFormatPr defaultRowHeight="13.5" x14ac:dyDescent="0.15"/>
  <cols>
    <col min="1" max="1" width="42" customWidth="1"/>
    <col min="2" max="2" width="44.75" customWidth="1"/>
    <col min="3" max="3" width="35.75" customWidth="1"/>
  </cols>
  <sheetData>
    <row r="1" spans="1:3" x14ac:dyDescent="0.15">
      <c r="A1" t="s">
        <v>453</v>
      </c>
    </row>
    <row r="2" spans="1:3" x14ac:dyDescent="0.15">
      <c r="A2" s="4" t="s">
        <v>443</v>
      </c>
      <c r="B2" s="21" t="s">
        <v>442</v>
      </c>
      <c r="C2" t="s">
        <v>24</v>
      </c>
    </row>
    <row r="3" spans="1:3" x14ac:dyDescent="0.15">
      <c r="A3" s="4" t="s">
        <v>444</v>
      </c>
      <c r="B3" t="s">
        <v>448</v>
      </c>
      <c r="C3" t="s">
        <v>25</v>
      </c>
    </row>
    <row r="4" spans="1:3" x14ac:dyDescent="0.15">
      <c r="A4" s="4" t="s">
        <v>445</v>
      </c>
      <c r="B4" t="s">
        <v>449</v>
      </c>
      <c r="C4" t="s">
        <v>28</v>
      </c>
    </row>
    <row r="5" spans="1:3" x14ac:dyDescent="0.15">
      <c r="A5" s="4" t="s">
        <v>446</v>
      </c>
      <c r="B5" s="1" t="s">
        <v>450</v>
      </c>
      <c r="C5" t="s">
        <v>29</v>
      </c>
    </row>
    <row r="6" spans="1:3" x14ac:dyDescent="0.15">
      <c r="A6" s="4" t="s">
        <v>447</v>
      </c>
      <c r="B6" t="s">
        <v>451</v>
      </c>
      <c r="C6" t="s">
        <v>25</v>
      </c>
    </row>
    <row r="7" spans="1:3" x14ac:dyDescent="0.15">
      <c r="A7" s="4" t="s">
        <v>456</v>
      </c>
      <c r="B7" t="s">
        <v>452</v>
      </c>
      <c r="C7" t="s">
        <v>30</v>
      </c>
    </row>
  </sheetData>
  <phoneticPr fontId="2"/>
  <hyperlinks>
    <hyperlink ref="A2" r:id="rId1" xr:uid="{00000000-0004-0000-0400-000000000000}"/>
    <hyperlink ref="A3" r:id="rId2" xr:uid="{00000000-0004-0000-0400-000001000000}"/>
    <hyperlink ref="A4" r:id="rId3" xr:uid="{00000000-0004-0000-0400-000002000000}"/>
    <hyperlink ref="A5" r:id="rId4" xr:uid="{00000000-0004-0000-0400-000003000000}"/>
    <hyperlink ref="A6" r:id="rId5" xr:uid="{00000000-0004-0000-0400-000004000000}"/>
    <hyperlink ref="A7" r:id="rId6" xr:uid="{00000000-0004-0000-0400-000005000000}"/>
  </hyperlinks>
  <pageMargins left="0.7" right="0.7" top="0.75" bottom="0.75" header="0.3" footer="0.3"/>
  <pageSetup paperSize="9" orientation="portrait" horizontalDpi="4294967293" verticalDpi="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『難経古注集成』（全6巻）</vt:lpstr>
      <vt:lpstr>目次リンク</vt:lpstr>
      <vt:lpstr>富士川文庫資料</vt:lpstr>
      <vt:lpstr>Web資料</vt:lpstr>
      <vt:lpstr>参考　俗解　熊宗立</vt:lpstr>
    </vt:vector>
  </TitlesOfParts>
  <Company>iiyama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健二 小林</cp:lastModifiedBy>
  <dcterms:created xsi:type="dcterms:W3CDTF">2019-08-15T00:01:54Z</dcterms:created>
  <dcterms:modified xsi:type="dcterms:W3CDTF">2024-10-25T10:11:02Z</dcterms:modified>
</cp:coreProperties>
</file>